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drawings/drawing2.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3.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drawings/drawing4.xml" ContentType="application/vnd.openxmlformats-officedocument.drawing+xml"/>
  <Override PartName="/xl/charts/chart60.xml" ContentType="application/vnd.openxmlformats-officedocument.drawingml.chart+xml"/>
  <Override PartName="/xl/drawings/drawing5.xml" ContentType="application/vnd.openxmlformats-officedocument.drawing+xml"/>
  <Override PartName="/xl/charts/chart61.xml" ContentType="application/vnd.openxmlformats-officedocument.drawingml.chart+xml"/>
  <Override PartName="/xl/drawings/drawing6.xml" ContentType="application/vnd.openxmlformats-officedocument.drawing+xml"/>
  <Override PartName="/xl/charts/chart6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defaultThemeVersion="124226"/>
  <bookViews>
    <workbookView xWindow="375" yWindow="2010" windowWidth="18375" windowHeight="8265" tabRatio="819" activeTab="2"/>
  </bookViews>
  <sheets>
    <sheet name="Source" sheetId="15" r:id="rId1"/>
    <sheet name="Report" sheetId="16" r:id="rId2"/>
    <sheet name="Table" sheetId="1" r:id="rId3"/>
    <sheet name="WeeklyReport" sheetId="17" r:id="rId4"/>
    <sheet name="used space Charts" sheetId="2" r:id="rId5"/>
    <sheet name="subscription charts" sheetId="4" r:id="rId6"/>
    <sheet name="Used GB Charts" sheetId="9" r:id="rId7"/>
    <sheet name="Allocated charts" sheetId="7" r:id="rId8"/>
    <sheet name="Usable  Feed" sheetId="13" r:id="rId9"/>
    <sheet name="Used Feed" sheetId="14" r:id="rId10"/>
    <sheet name="Alloc Feed" sheetId="11" r:id="rId11"/>
    <sheet name="Instructions" sheetId="3" r:id="rId12"/>
    <sheet name="Formula explanation" sheetId="10" r:id="rId13"/>
    <sheet name="678 port usage" sheetId="6" r:id="rId14"/>
    <sheet name="879 port usage" sheetId="5" r:id="rId15"/>
    <sheet name="Sheet1" sheetId="12" r:id="rId16"/>
    <sheet name="WeeklyReport-July14" sheetId="18" r:id="rId17"/>
  </sheets>
  <calcPr calcId="145621"/>
</workbook>
</file>

<file path=xl/calcChain.xml><?xml version="1.0" encoding="utf-8"?>
<calcChain xmlns="http://schemas.openxmlformats.org/spreadsheetml/2006/main">
  <c r="Y56" i="17" l="1"/>
  <c r="X56" i="17"/>
  <c r="W56" i="17"/>
  <c r="V56" i="17"/>
  <c r="U56" i="17"/>
  <c r="T56" i="17"/>
  <c r="S56" i="17"/>
  <c r="D55" i="17" s="1"/>
  <c r="R56" i="17"/>
  <c r="Q56" i="17"/>
  <c r="P56" i="17"/>
  <c r="O56" i="17"/>
  <c r="N56" i="17"/>
  <c r="M56" i="17"/>
  <c r="L56" i="17"/>
  <c r="K56" i="17"/>
  <c r="I56" i="17"/>
  <c r="H56" i="17"/>
  <c r="Y54" i="17"/>
  <c r="X54" i="17"/>
  <c r="W54" i="17"/>
  <c r="V54" i="17"/>
  <c r="U54" i="17"/>
  <c r="T54" i="17"/>
  <c r="S54" i="17"/>
  <c r="R54" i="17"/>
  <c r="Q54" i="17"/>
  <c r="P54" i="17"/>
  <c r="O54" i="17"/>
  <c r="M54" i="17"/>
  <c r="L54" i="17"/>
  <c r="K54" i="17"/>
  <c r="D53" i="17"/>
  <c r="H54" i="17"/>
  <c r="Y52" i="17"/>
  <c r="X52" i="17"/>
  <c r="W52" i="17"/>
  <c r="V52" i="17"/>
  <c r="U52" i="17"/>
  <c r="T52" i="17"/>
  <c r="S52" i="17"/>
  <c r="R52" i="17"/>
  <c r="Q52" i="17"/>
  <c r="O52" i="17"/>
  <c r="N52" i="17"/>
  <c r="M52" i="17"/>
  <c r="L52" i="17"/>
  <c r="K52" i="17"/>
  <c r="J52" i="17"/>
  <c r="I52" i="17"/>
  <c r="H52" i="17"/>
  <c r="D51" i="17" s="1"/>
  <c r="Y50" i="17"/>
  <c r="X50" i="17"/>
  <c r="W50" i="17"/>
  <c r="V50" i="17"/>
  <c r="U50" i="17"/>
  <c r="T50" i="17"/>
  <c r="S50" i="17"/>
  <c r="R50" i="17"/>
  <c r="Q50" i="17"/>
  <c r="O50" i="17"/>
  <c r="N50" i="17"/>
  <c r="M50" i="17"/>
  <c r="L50" i="17"/>
  <c r="K50" i="17"/>
  <c r="J50" i="17"/>
  <c r="I50" i="17"/>
  <c r="H50" i="17"/>
  <c r="D49" i="17" s="1"/>
  <c r="Y48" i="17"/>
  <c r="X48" i="17"/>
  <c r="W48" i="17"/>
  <c r="V48" i="17"/>
  <c r="U48" i="17"/>
  <c r="T48" i="17"/>
  <c r="S48" i="17"/>
  <c r="Q48" i="17"/>
  <c r="P48" i="17"/>
  <c r="O48" i="17"/>
  <c r="N48" i="17"/>
  <c r="M48" i="17"/>
  <c r="L48" i="17"/>
  <c r="K48" i="17"/>
  <c r="J48" i="17"/>
  <c r="D47" i="17" s="1"/>
  <c r="I48" i="17"/>
  <c r="H48" i="17"/>
  <c r="Y46" i="17"/>
  <c r="X46" i="17"/>
  <c r="W46" i="17"/>
  <c r="V46" i="17"/>
  <c r="U46" i="17"/>
  <c r="T46" i="17"/>
  <c r="R46" i="17"/>
  <c r="Q46" i="17"/>
  <c r="P46" i="17"/>
  <c r="O46" i="17"/>
  <c r="N46" i="17"/>
  <c r="M46" i="17"/>
  <c r="L46" i="17"/>
  <c r="K46" i="17"/>
  <c r="J46" i="17"/>
  <c r="D45" i="17" s="1"/>
  <c r="I46" i="17"/>
  <c r="H46" i="17"/>
  <c r="F55" i="17"/>
  <c r="F53" i="17"/>
  <c r="F51" i="17"/>
  <c r="F49" i="17"/>
  <c r="F47" i="17"/>
  <c r="F45" i="17"/>
  <c r="F43" i="17"/>
  <c r="F41" i="17"/>
  <c r="F39" i="17"/>
  <c r="F37" i="17"/>
  <c r="F35" i="17"/>
  <c r="F33" i="17"/>
  <c r="F31" i="17"/>
  <c r="F29" i="17"/>
  <c r="F27" i="17"/>
  <c r="F25" i="17"/>
  <c r="F23" i="17"/>
  <c r="F21" i="17"/>
  <c r="F19" i="17"/>
  <c r="F17" i="17"/>
  <c r="F15" i="17"/>
  <c r="F13" i="17"/>
  <c r="F11" i="17"/>
  <c r="F9" i="17"/>
  <c r="F7" i="17"/>
  <c r="F5" i="17"/>
  <c r="F3" i="17"/>
  <c r="V44" i="17"/>
  <c r="W44" i="17"/>
  <c r="D43" i="17" s="1"/>
  <c r="X44" i="17"/>
  <c r="Y44" i="17"/>
  <c r="D41" i="17"/>
  <c r="D39" i="17"/>
  <c r="D37" i="17"/>
  <c r="D35" i="17"/>
  <c r="D33" i="17"/>
  <c r="D31" i="17"/>
  <c r="D29" i="17"/>
  <c r="D27" i="17"/>
  <c r="D25" i="17"/>
  <c r="D23" i="17"/>
  <c r="D21" i="17"/>
  <c r="D19" i="17"/>
  <c r="D17" i="17"/>
  <c r="D15" i="17"/>
  <c r="D13" i="17"/>
  <c r="D11" i="17"/>
  <c r="D9" i="17"/>
  <c r="D7" i="17"/>
  <c r="D5" i="17"/>
  <c r="D3" i="17"/>
  <c r="U44" i="17"/>
  <c r="T44" i="17"/>
  <c r="S44" i="17"/>
  <c r="R44" i="17"/>
  <c r="Q44" i="17"/>
  <c r="P44" i="17"/>
  <c r="O44" i="17"/>
  <c r="N44" i="17"/>
  <c r="M44" i="17"/>
  <c r="L44" i="17"/>
  <c r="K44" i="17"/>
  <c r="J44" i="17"/>
  <c r="I44" i="17"/>
  <c r="H44" i="17"/>
  <c r="Y42" i="17"/>
  <c r="X42" i="17"/>
  <c r="W42" i="17"/>
  <c r="V42" i="17"/>
  <c r="U42" i="17"/>
  <c r="T42" i="17"/>
  <c r="S42" i="17"/>
  <c r="R42" i="17"/>
  <c r="Q42" i="17"/>
  <c r="P42" i="17"/>
  <c r="O42" i="17"/>
  <c r="N42" i="17"/>
  <c r="M42" i="17"/>
  <c r="L42" i="17"/>
  <c r="K42" i="17"/>
  <c r="J42" i="17"/>
  <c r="I42" i="17"/>
  <c r="H42" i="17"/>
  <c r="Y40" i="17"/>
  <c r="X40" i="17"/>
  <c r="W40" i="17"/>
  <c r="V40" i="17"/>
  <c r="U40" i="17"/>
  <c r="T40" i="17"/>
  <c r="S40" i="17"/>
  <c r="R40" i="17"/>
  <c r="Q40" i="17"/>
  <c r="P40" i="17"/>
  <c r="O40" i="17"/>
  <c r="N40" i="17"/>
  <c r="M40" i="17"/>
  <c r="L40" i="17"/>
  <c r="K40" i="17"/>
  <c r="J40" i="17"/>
  <c r="I40" i="17"/>
  <c r="H40" i="17"/>
  <c r="Y38" i="17"/>
  <c r="X38" i="17"/>
  <c r="W38" i="17"/>
  <c r="V38" i="17"/>
  <c r="U38" i="17"/>
  <c r="T38" i="17"/>
  <c r="S38" i="17"/>
  <c r="R38" i="17"/>
  <c r="Q38" i="17"/>
  <c r="P38" i="17"/>
  <c r="O38" i="17"/>
  <c r="N38" i="17"/>
  <c r="M38" i="17"/>
  <c r="L38" i="17"/>
  <c r="K38" i="17"/>
  <c r="J38" i="17"/>
  <c r="I38" i="17"/>
  <c r="H38" i="17"/>
  <c r="Y36" i="17"/>
  <c r="X36" i="17"/>
  <c r="W36" i="17"/>
  <c r="V36" i="17"/>
  <c r="U36" i="17"/>
  <c r="T36" i="17"/>
  <c r="S36" i="17"/>
  <c r="R36" i="17"/>
  <c r="Q36" i="17"/>
  <c r="P36" i="17"/>
  <c r="O36" i="17"/>
  <c r="N36" i="17"/>
  <c r="M36" i="17"/>
  <c r="L36" i="17"/>
  <c r="K36" i="17"/>
  <c r="J36" i="17"/>
  <c r="I36" i="17"/>
  <c r="H36" i="17"/>
  <c r="Y34" i="17"/>
  <c r="X34" i="17"/>
  <c r="W34" i="17"/>
  <c r="V34" i="17"/>
  <c r="U34" i="17"/>
  <c r="T34" i="17"/>
  <c r="S34" i="17"/>
  <c r="R34" i="17"/>
  <c r="Q34" i="17"/>
  <c r="P34" i="17"/>
  <c r="O34" i="17"/>
  <c r="N34" i="17"/>
  <c r="M34" i="17"/>
  <c r="L34" i="17"/>
  <c r="K34" i="17"/>
  <c r="J34" i="17"/>
  <c r="I34" i="17"/>
  <c r="H34" i="17"/>
  <c r="N32" i="17"/>
  <c r="J32" i="17"/>
  <c r="Y30" i="17"/>
  <c r="X30" i="17"/>
  <c r="U30" i="17"/>
  <c r="T30" i="17"/>
  <c r="H30" i="17"/>
  <c r="Y28" i="17"/>
  <c r="W28" i="17"/>
  <c r="V28" i="17"/>
  <c r="R28" i="17"/>
  <c r="N28" i="17"/>
  <c r="X26" i="17"/>
  <c r="T26" i="17"/>
  <c r="P26" i="17"/>
  <c r="H26" i="17"/>
  <c r="V24" i="17"/>
  <c r="N24" i="17"/>
  <c r="K24" i="17"/>
  <c r="J24" i="17"/>
  <c r="Y22" i="17"/>
  <c r="X22" i="17"/>
  <c r="U22" i="17"/>
  <c r="T22" i="17"/>
  <c r="P22" i="17"/>
  <c r="M22" i="17"/>
  <c r="L22" i="17"/>
  <c r="H22" i="17"/>
  <c r="Y20" i="17"/>
  <c r="W20" i="17"/>
  <c r="V20" i="17"/>
  <c r="R20" i="17"/>
  <c r="O20" i="17"/>
  <c r="K20" i="17"/>
  <c r="J20" i="17"/>
  <c r="Y18" i="17"/>
  <c r="T18" i="17"/>
  <c r="Q18" i="17"/>
  <c r="L18" i="17"/>
  <c r="I18" i="17"/>
  <c r="V16" i="17"/>
  <c r="S16" i="17"/>
  <c r="O16" i="17"/>
  <c r="N16" i="17"/>
  <c r="K16" i="17"/>
  <c r="Y14" i="17"/>
  <c r="X14" i="17"/>
  <c r="U14" i="17"/>
  <c r="Q14" i="17"/>
  <c r="P14" i="17"/>
  <c r="M14" i="17"/>
  <c r="I14" i="17"/>
  <c r="H14" i="17"/>
  <c r="Y12" i="17"/>
  <c r="W12" i="17"/>
  <c r="V12" i="17"/>
  <c r="S12" i="17"/>
  <c r="R12" i="17"/>
  <c r="N12" i="17"/>
  <c r="K12" i="17"/>
  <c r="J12" i="17"/>
  <c r="X10" i="17"/>
  <c r="U10" i="17"/>
  <c r="T10" i="17"/>
  <c r="M10" i="17"/>
  <c r="L10" i="17"/>
  <c r="W8" i="17"/>
  <c r="V8" i="17"/>
  <c r="O8" i="17"/>
  <c r="N8" i="17"/>
  <c r="J8" i="17"/>
  <c r="Y6" i="17"/>
  <c r="X6" i="17"/>
  <c r="U6" i="17"/>
  <c r="T6" i="17"/>
  <c r="Q6" i="17"/>
  <c r="P6" i="17"/>
  <c r="I6" i="17"/>
  <c r="H6" i="17"/>
  <c r="V4" i="17"/>
  <c r="U4" i="17"/>
  <c r="R4" i="17"/>
  <c r="Q4" i="17"/>
  <c r="M4" i="17"/>
  <c r="J4" i="17"/>
  <c r="I4" i="17"/>
  <c r="Y7" i="17"/>
  <c r="Y5" i="17"/>
  <c r="Y3" i="17"/>
  <c r="X4" i="17" s="1"/>
  <c r="Y43" i="17"/>
  <c r="Y41" i="17"/>
  <c r="Y39" i="17"/>
  <c r="Y37" i="17"/>
  <c r="Y35" i="17"/>
  <c r="Y33" i="17"/>
  <c r="Y31" i="17"/>
  <c r="Y29" i="17"/>
  <c r="Y27" i="17"/>
  <c r="X28" i="17" s="1"/>
  <c r="Y25" i="17"/>
  <c r="Y26" i="17" s="1"/>
  <c r="Y23" i="17"/>
  <c r="Y21" i="17"/>
  <c r="Y19" i="17"/>
  <c r="X20" i="17" s="1"/>
  <c r="Y17" i="17"/>
  <c r="X18" i="17" s="1"/>
  <c r="Y15" i="17"/>
  <c r="Y13" i="17"/>
  <c r="Y11" i="17"/>
  <c r="X12" i="17" s="1"/>
  <c r="Y9" i="17"/>
  <c r="Y10" i="17" s="1"/>
  <c r="X5" i="17"/>
  <c r="W6" i="17" s="1"/>
  <c r="X3" i="17"/>
  <c r="W4" i="17" s="1"/>
  <c r="X43" i="17"/>
  <c r="X41" i="17"/>
  <c r="X39" i="17"/>
  <c r="X37" i="17"/>
  <c r="X35" i="17"/>
  <c r="X33" i="17"/>
  <c r="X31" i="17"/>
  <c r="X29" i="17"/>
  <c r="W30" i="17" s="1"/>
  <c r="X27" i="17"/>
  <c r="X25" i="17"/>
  <c r="X23" i="17"/>
  <c r="X21" i="17"/>
  <c r="W22" i="17" s="1"/>
  <c r="X19" i="17"/>
  <c r="X17" i="17"/>
  <c r="X15" i="17"/>
  <c r="W16" i="17" s="1"/>
  <c r="X13" i="17"/>
  <c r="W14" i="17" s="1"/>
  <c r="X11" i="17"/>
  <c r="X9" i="17"/>
  <c r="X7" i="17"/>
  <c r="W3" i="17"/>
  <c r="W43" i="17"/>
  <c r="W41" i="17"/>
  <c r="W39" i="17"/>
  <c r="W37" i="17"/>
  <c r="W35" i="17"/>
  <c r="W33" i="17"/>
  <c r="W31" i="17"/>
  <c r="V32" i="17" s="1"/>
  <c r="W29" i="17"/>
  <c r="V30" i="17" s="1"/>
  <c r="W27" i="17"/>
  <c r="W25" i="17"/>
  <c r="W23" i="17"/>
  <c r="W21" i="17"/>
  <c r="V22" i="17" s="1"/>
  <c r="W19" i="17"/>
  <c r="W17" i="17"/>
  <c r="W15" i="17"/>
  <c r="W13" i="17"/>
  <c r="V14" i="17" s="1"/>
  <c r="W11" i="17"/>
  <c r="W9" i="17"/>
  <c r="W7" i="17"/>
  <c r="W5" i="17"/>
  <c r="V6" i="17" s="1"/>
  <c r="V43" i="17"/>
  <c r="V41" i="17"/>
  <c r="V39" i="17"/>
  <c r="V37" i="17"/>
  <c r="V35" i="17"/>
  <c r="V33" i="17"/>
  <c r="V31" i="17"/>
  <c r="U32" i="17" s="1"/>
  <c r="V29" i="17"/>
  <c r="V27" i="17"/>
  <c r="V25" i="17"/>
  <c r="V23" i="17"/>
  <c r="U24" i="17" s="1"/>
  <c r="V21" i="17"/>
  <c r="V19" i="17"/>
  <c r="V17" i="17"/>
  <c r="V15" i="17"/>
  <c r="U16" i="17" s="1"/>
  <c r="V13" i="17"/>
  <c r="V11" i="17"/>
  <c r="V9" i="17"/>
  <c r="V7" i="17"/>
  <c r="U8" i="17" s="1"/>
  <c r="V5" i="17"/>
  <c r="V3" i="17"/>
  <c r="U43" i="17"/>
  <c r="U41" i="17"/>
  <c r="U39" i="17"/>
  <c r="U37" i="17"/>
  <c r="U35" i="17"/>
  <c r="U33" i="17"/>
  <c r="U31" i="17"/>
  <c r="T32" i="17" s="1"/>
  <c r="U29" i="17"/>
  <c r="U27" i="17"/>
  <c r="U25" i="17"/>
  <c r="U23" i="17"/>
  <c r="T24" i="17" s="1"/>
  <c r="U21" i="17"/>
  <c r="U19" i="17"/>
  <c r="U17" i="17"/>
  <c r="U18" i="17" s="1"/>
  <c r="U15" i="17"/>
  <c r="T16" i="17" s="1"/>
  <c r="U13" i="17"/>
  <c r="U11" i="17"/>
  <c r="U9" i="17"/>
  <c r="U7" i="17"/>
  <c r="T8" i="17" s="1"/>
  <c r="U5" i="17"/>
  <c r="U3" i="17"/>
  <c r="T43" i="17"/>
  <c r="T41" i="17"/>
  <c r="T39" i="17"/>
  <c r="T37" i="17"/>
  <c r="T35" i="17"/>
  <c r="T33" i="17"/>
  <c r="T31" i="17"/>
  <c r="T29" i="17"/>
  <c r="S30" i="17" s="1"/>
  <c r="T27" i="17"/>
  <c r="S28" i="17" s="1"/>
  <c r="T25" i="17"/>
  <c r="S26" i="17" s="1"/>
  <c r="T23" i="17"/>
  <c r="T21" i="17"/>
  <c r="S22" i="17" s="1"/>
  <c r="T19" i="17"/>
  <c r="S20" i="17" s="1"/>
  <c r="T17" i="17"/>
  <c r="S18" i="17" s="1"/>
  <c r="T15" i="17"/>
  <c r="T13" i="17"/>
  <c r="S14" i="17" s="1"/>
  <c r="T11" i="17"/>
  <c r="T9" i="17"/>
  <c r="S10" i="17" s="1"/>
  <c r="T7" i="17"/>
  <c r="T5" i="17"/>
  <c r="S6" i="17" s="1"/>
  <c r="T3" i="17"/>
  <c r="S4" i="17" s="1"/>
  <c r="S3" i="17"/>
  <c r="S43" i="17"/>
  <c r="S41" i="17"/>
  <c r="S39" i="17"/>
  <c r="S37" i="17"/>
  <c r="S35" i="17"/>
  <c r="S33" i="17"/>
  <c r="S31" i="17"/>
  <c r="S32" i="17" s="1"/>
  <c r="S29" i="17"/>
  <c r="R30" i="17" s="1"/>
  <c r="S27" i="17"/>
  <c r="S25" i="17"/>
  <c r="R26" i="17" s="1"/>
  <c r="S23" i="17"/>
  <c r="S24" i="17" s="1"/>
  <c r="S21" i="17"/>
  <c r="R22" i="17" s="1"/>
  <c r="S19" i="17"/>
  <c r="S17" i="17"/>
  <c r="R18" i="17" s="1"/>
  <c r="S15" i="17"/>
  <c r="R16" i="17" s="1"/>
  <c r="S13" i="17"/>
  <c r="R14" i="17" s="1"/>
  <c r="S11" i="17"/>
  <c r="S9" i="17"/>
  <c r="R10" i="17" s="1"/>
  <c r="S7" i="17"/>
  <c r="S8" i="17" s="1"/>
  <c r="S5" i="17"/>
  <c r="R6" i="17" s="1"/>
  <c r="R47" i="17"/>
  <c r="R45" i="17"/>
  <c r="R43" i="17"/>
  <c r="R41" i="17"/>
  <c r="R39" i="17"/>
  <c r="R37" i="17"/>
  <c r="R35" i="17"/>
  <c r="R33" i="17"/>
  <c r="R31" i="17"/>
  <c r="Q32" i="17" s="1"/>
  <c r="R29" i="17"/>
  <c r="Q30" i="17" s="1"/>
  <c r="R27" i="17"/>
  <c r="Q28" i="17" s="1"/>
  <c r="R25" i="17"/>
  <c r="R23" i="17"/>
  <c r="R21" i="17"/>
  <c r="Q22" i="17" s="1"/>
  <c r="R19" i="17"/>
  <c r="Q20" i="17" s="1"/>
  <c r="R17" i="17"/>
  <c r="R15" i="17"/>
  <c r="R13" i="17"/>
  <c r="R11" i="17"/>
  <c r="Q12" i="17" s="1"/>
  <c r="R9" i="17"/>
  <c r="R7" i="17"/>
  <c r="R5" i="17"/>
  <c r="R3" i="17"/>
  <c r="Q47" i="17"/>
  <c r="Q45" i="17"/>
  <c r="Q43" i="17"/>
  <c r="Q41" i="17"/>
  <c r="Q39" i="17"/>
  <c r="Q37" i="17"/>
  <c r="Q35" i="17"/>
  <c r="Q33" i="17"/>
  <c r="Q31" i="17"/>
  <c r="P32" i="17" s="1"/>
  <c r="Q29" i="17"/>
  <c r="Q27" i="17"/>
  <c r="Q25" i="17"/>
  <c r="Q26" i="17" s="1"/>
  <c r="Q23" i="17"/>
  <c r="Q24" i="17" s="1"/>
  <c r="Q21" i="17"/>
  <c r="Q19" i="17"/>
  <c r="Q17" i="17"/>
  <c r="P18" i="17" s="1"/>
  <c r="Q15" i="17"/>
  <c r="Q16" i="17" s="1"/>
  <c r="Q13" i="17"/>
  <c r="Q11" i="17"/>
  <c r="Q9" i="17"/>
  <c r="Q10" i="17" s="1"/>
  <c r="Q7" i="17"/>
  <c r="Q8" i="17" s="1"/>
  <c r="Q5" i="17"/>
  <c r="Q3" i="17"/>
  <c r="P51" i="17"/>
  <c r="P49" i="17"/>
  <c r="P47" i="17"/>
  <c r="P45" i="17"/>
  <c r="P43" i="17"/>
  <c r="P41" i="17"/>
  <c r="P39" i="17"/>
  <c r="P37" i="17"/>
  <c r="P35" i="17"/>
  <c r="P33" i="17"/>
  <c r="P31" i="17"/>
  <c r="P29" i="17"/>
  <c r="P27" i="17"/>
  <c r="O28" i="17" s="1"/>
  <c r="P25" i="17"/>
  <c r="O26" i="17" s="1"/>
  <c r="P23" i="17"/>
  <c r="P21" i="17"/>
  <c r="P19" i="17"/>
  <c r="P17" i="17"/>
  <c r="O18" i="17" s="1"/>
  <c r="P15" i="17"/>
  <c r="P13" i="17"/>
  <c r="P11" i="17"/>
  <c r="O12" i="17" s="1"/>
  <c r="P9" i="17"/>
  <c r="O10" i="17" s="1"/>
  <c r="P7" i="17"/>
  <c r="P5" i="17"/>
  <c r="P3" i="17"/>
  <c r="O4" i="17" s="1"/>
  <c r="O51" i="17"/>
  <c r="O49" i="17"/>
  <c r="O47" i="17"/>
  <c r="O45" i="17"/>
  <c r="O43" i="17"/>
  <c r="O41" i="17"/>
  <c r="O39" i="17"/>
  <c r="O37" i="17"/>
  <c r="O35" i="17"/>
  <c r="O33" i="17"/>
  <c r="O31" i="17"/>
  <c r="O32" i="17" s="1"/>
  <c r="O29" i="17"/>
  <c r="N30" i="17" s="1"/>
  <c r="O27" i="17"/>
  <c r="O25" i="17"/>
  <c r="N26" i="17" s="1"/>
  <c r="O23" i="17"/>
  <c r="O24" i="17" s="1"/>
  <c r="O21" i="17"/>
  <c r="N22" i="17" s="1"/>
  <c r="O19" i="17"/>
  <c r="O17" i="17"/>
  <c r="N18" i="17" s="1"/>
  <c r="O15" i="17"/>
  <c r="O13" i="17"/>
  <c r="N14" i="17" s="1"/>
  <c r="O11" i="17"/>
  <c r="O9" i="17"/>
  <c r="N10" i="17" s="1"/>
  <c r="O7" i="17"/>
  <c r="O5" i="17"/>
  <c r="N6" i="17" s="1"/>
  <c r="O3" i="17"/>
  <c r="N53" i="17"/>
  <c r="N51" i="17"/>
  <c r="N49" i="17"/>
  <c r="N47" i="17"/>
  <c r="N45" i="17"/>
  <c r="N43" i="17"/>
  <c r="N41" i="17"/>
  <c r="N39" i="17"/>
  <c r="N37" i="17"/>
  <c r="N35" i="17"/>
  <c r="N33" i="17"/>
  <c r="N31" i="17"/>
  <c r="M32" i="17" s="1"/>
  <c r="N29" i="17"/>
  <c r="N27" i="17"/>
  <c r="M28" i="17" s="1"/>
  <c r="N25" i="17"/>
  <c r="M26" i="17" s="1"/>
  <c r="N23" i="17"/>
  <c r="M24" i="17" s="1"/>
  <c r="N21" i="17"/>
  <c r="N19" i="17"/>
  <c r="M20" i="17" s="1"/>
  <c r="N17" i="17"/>
  <c r="M18" i="17" s="1"/>
  <c r="N15" i="17"/>
  <c r="M16" i="17" s="1"/>
  <c r="N13" i="17"/>
  <c r="N11" i="17"/>
  <c r="M12" i="17" s="1"/>
  <c r="N9" i="17"/>
  <c r="N7" i="17"/>
  <c r="M8" i="17" s="1"/>
  <c r="N5" i="17"/>
  <c r="N3" i="17"/>
  <c r="N4" i="17" s="1"/>
  <c r="M53" i="17"/>
  <c r="M51" i="17"/>
  <c r="M49" i="17"/>
  <c r="M47" i="17"/>
  <c r="M45" i="17"/>
  <c r="M43" i="17"/>
  <c r="M41" i="17"/>
  <c r="M39" i="17"/>
  <c r="M37" i="17"/>
  <c r="M35" i="17"/>
  <c r="M33" i="17"/>
  <c r="M31" i="17"/>
  <c r="L32" i="17" s="1"/>
  <c r="M29" i="17"/>
  <c r="M30" i="17" s="1"/>
  <c r="M27" i="17"/>
  <c r="L28" i="17" s="1"/>
  <c r="M25" i="17"/>
  <c r="M23" i="17"/>
  <c r="L24" i="17" s="1"/>
  <c r="M21" i="17"/>
  <c r="M19" i="17"/>
  <c r="L20" i="17" s="1"/>
  <c r="M17" i="17"/>
  <c r="M15" i="17"/>
  <c r="L16" i="17" s="1"/>
  <c r="M13" i="17"/>
  <c r="L14" i="17" s="1"/>
  <c r="M11" i="17"/>
  <c r="L12" i="17" s="1"/>
  <c r="M9" i="17"/>
  <c r="M7" i="17"/>
  <c r="L8" i="17" s="1"/>
  <c r="M5" i="17"/>
  <c r="M6" i="17" s="1"/>
  <c r="M3" i="17"/>
  <c r="L4" i="17" s="1"/>
  <c r="L53" i="17"/>
  <c r="L51" i="17"/>
  <c r="L49" i="17"/>
  <c r="L47" i="17"/>
  <c r="L45" i="17"/>
  <c r="L43" i="17"/>
  <c r="L41" i="17"/>
  <c r="L39" i="17"/>
  <c r="L37" i="17"/>
  <c r="L35" i="17"/>
  <c r="L33" i="17"/>
  <c r="L31" i="17"/>
  <c r="L29" i="17"/>
  <c r="K30" i="17" s="1"/>
  <c r="L27" i="17"/>
  <c r="K28" i="17" s="1"/>
  <c r="L25" i="17"/>
  <c r="K26" i="17" s="1"/>
  <c r="L23" i="17"/>
  <c r="L21" i="17"/>
  <c r="K22" i="17" s="1"/>
  <c r="L19" i="17"/>
  <c r="L17" i="17"/>
  <c r="K18" i="17" s="1"/>
  <c r="L15" i="17"/>
  <c r="L13" i="17"/>
  <c r="K14" i="17" s="1"/>
  <c r="L11" i="17"/>
  <c r="L9" i="17"/>
  <c r="K10" i="17" s="1"/>
  <c r="L7" i="17"/>
  <c r="L5" i="17"/>
  <c r="L3" i="17"/>
  <c r="K4" i="17" s="1"/>
  <c r="W247" i="1"/>
  <c r="V247" i="1"/>
  <c r="U247" i="1"/>
  <c r="T247" i="1"/>
  <c r="S247" i="1"/>
  <c r="R247" i="1"/>
  <c r="Q247" i="1"/>
  <c r="P247" i="1"/>
  <c r="O247" i="1"/>
  <c r="N247" i="1"/>
  <c r="M247" i="1"/>
  <c r="L247" i="1"/>
  <c r="K247" i="1"/>
  <c r="J247" i="1"/>
  <c r="I247" i="1"/>
  <c r="H247" i="1"/>
  <c r="G247" i="1"/>
  <c r="F247" i="1"/>
  <c r="E247" i="1"/>
  <c r="D247" i="1"/>
  <c r="C247" i="1"/>
  <c r="W233" i="1"/>
  <c r="V233" i="1"/>
  <c r="U233" i="1"/>
  <c r="T233" i="1"/>
  <c r="S233" i="1"/>
  <c r="R233" i="1"/>
  <c r="Q233" i="1"/>
  <c r="P233" i="1"/>
  <c r="O233" i="1"/>
  <c r="N233" i="1"/>
  <c r="M233" i="1"/>
  <c r="L233" i="1"/>
  <c r="K233" i="1"/>
  <c r="J233" i="1"/>
  <c r="I233" i="1"/>
  <c r="H233" i="1"/>
  <c r="G233" i="1"/>
  <c r="F233" i="1"/>
  <c r="E233" i="1"/>
  <c r="D233" i="1"/>
  <c r="C233" i="1"/>
  <c r="W219" i="1"/>
  <c r="V219" i="1"/>
  <c r="U219" i="1"/>
  <c r="T219" i="1"/>
  <c r="S219" i="1"/>
  <c r="R219" i="1"/>
  <c r="Q219" i="1"/>
  <c r="P219" i="1"/>
  <c r="O219" i="1"/>
  <c r="N219" i="1"/>
  <c r="M219" i="1"/>
  <c r="L219" i="1"/>
  <c r="K219" i="1"/>
  <c r="J219" i="1"/>
  <c r="I219" i="1"/>
  <c r="H219" i="1"/>
  <c r="G219" i="1"/>
  <c r="F219" i="1"/>
  <c r="E219" i="1"/>
  <c r="D219" i="1"/>
  <c r="C219" i="1"/>
  <c r="W205" i="1"/>
  <c r="V205" i="1"/>
  <c r="U205" i="1"/>
  <c r="T205" i="1"/>
  <c r="S205" i="1"/>
  <c r="R205" i="1"/>
  <c r="Q205" i="1"/>
  <c r="P205" i="1"/>
  <c r="O205" i="1"/>
  <c r="N205" i="1"/>
  <c r="M205" i="1"/>
  <c r="L205" i="1"/>
  <c r="K205" i="1"/>
  <c r="J205" i="1"/>
  <c r="I205" i="1"/>
  <c r="H205" i="1"/>
  <c r="G205" i="1"/>
  <c r="F205" i="1"/>
  <c r="E205" i="1"/>
  <c r="D205" i="1"/>
  <c r="C205" i="1"/>
  <c r="W191" i="1"/>
  <c r="V191" i="1"/>
  <c r="U191" i="1"/>
  <c r="T191" i="1"/>
  <c r="S191" i="1"/>
  <c r="R191" i="1"/>
  <c r="Q191" i="1"/>
  <c r="P191" i="1"/>
  <c r="O191" i="1"/>
  <c r="N191" i="1"/>
  <c r="M191" i="1"/>
  <c r="L191" i="1"/>
  <c r="K191" i="1"/>
  <c r="J191" i="1"/>
  <c r="I191" i="1"/>
  <c r="H191" i="1"/>
  <c r="G191" i="1"/>
  <c r="F191" i="1"/>
  <c r="E191" i="1"/>
  <c r="D191" i="1"/>
  <c r="C191" i="1"/>
  <c r="W177" i="1"/>
  <c r="V177" i="1"/>
  <c r="U177" i="1"/>
  <c r="T177" i="1"/>
  <c r="S177" i="1"/>
  <c r="R177" i="1"/>
  <c r="Q177" i="1"/>
  <c r="P177" i="1"/>
  <c r="O177" i="1"/>
  <c r="N177" i="1"/>
  <c r="M177" i="1"/>
  <c r="L177" i="1"/>
  <c r="K177" i="1"/>
  <c r="J177" i="1"/>
  <c r="I177" i="1"/>
  <c r="H177" i="1"/>
  <c r="G177" i="1"/>
  <c r="F177" i="1"/>
  <c r="E177" i="1"/>
  <c r="D177" i="1"/>
  <c r="C177" i="1"/>
  <c r="W163" i="1"/>
  <c r="V163" i="1"/>
  <c r="U163" i="1"/>
  <c r="T163" i="1"/>
  <c r="S163" i="1"/>
  <c r="R163" i="1"/>
  <c r="Q163" i="1"/>
  <c r="P163" i="1"/>
  <c r="O163" i="1"/>
  <c r="N163" i="1"/>
  <c r="M163" i="1"/>
  <c r="L163" i="1"/>
  <c r="K163" i="1"/>
  <c r="J163" i="1"/>
  <c r="I163" i="1"/>
  <c r="H163" i="1"/>
  <c r="G163" i="1"/>
  <c r="F163" i="1"/>
  <c r="E163" i="1"/>
  <c r="D163" i="1"/>
  <c r="C163" i="1"/>
  <c r="Y149" i="1"/>
  <c r="X149" i="1"/>
  <c r="W149" i="1"/>
  <c r="V149" i="1"/>
  <c r="U149" i="1"/>
  <c r="T149" i="1"/>
  <c r="S149" i="1"/>
  <c r="R149" i="1"/>
  <c r="Q149" i="1"/>
  <c r="P149" i="1"/>
  <c r="O149" i="1"/>
  <c r="N149" i="1"/>
  <c r="M149" i="1"/>
  <c r="L149" i="1"/>
  <c r="K149" i="1"/>
  <c r="J149" i="1"/>
  <c r="I149" i="1"/>
  <c r="H149" i="1"/>
  <c r="G149" i="1"/>
  <c r="F149" i="1"/>
  <c r="E149" i="1"/>
  <c r="D149" i="1"/>
  <c r="C149" i="1"/>
  <c r="Y135" i="1"/>
  <c r="X135" i="1"/>
  <c r="W135" i="1"/>
  <c r="V135" i="1"/>
  <c r="U135" i="1"/>
  <c r="T135" i="1"/>
  <c r="S135" i="1"/>
  <c r="R135" i="1"/>
  <c r="Q135" i="1"/>
  <c r="P135" i="1"/>
  <c r="O135" i="1"/>
  <c r="N135" i="1"/>
  <c r="M135" i="1"/>
  <c r="L135" i="1"/>
  <c r="K135" i="1"/>
  <c r="J135" i="1"/>
  <c r="I135" i="1"/>
  <c r="H135" i="1"/>
  <c r="G135" i="1"/>
  <c r="F135" i="1"/>
  <c r="E135" i="1"/>
  <c r="D135" i="1"/>
  <c r="C135" i="1"/>
  <c r="AA121" i="1"/>
  <c r="Z121" i="1"/>
  <c r="Y121" i="1"/>
  <c r="X121" i="1"/>
  <c r="W121" i="1"/>
  <c r="V121" i="1"/>
  <c r="U121" i="1"/>
  <c r="T121" i="1"/>
  <c r="S121" i="1"/>
  <c r="R121" i="1"/>
  <c r="Q121" i="1"/>
  <c r="P121" i="1"/>
  <c r="O121" i="1"/>
  <c r="N121" i="1"/>
  <c r="M121" i="1"/>
  <c r="L121" i="1"/>
  <c r="K121" i="1"/>
  <c r="J121" i="1"/>
  <c r="I121" i="1"/>
  <c r="H121" i="1"/>
  <c r="G121" i="1"/>
  <c r="F121" i="1"/>
  <c r="E121" i="1"/>
  <c r="D121" i="1"/>
  <c r="C121" i="1"/>
  <c r="AA107" i="1"/>
  <c r="Z107" i="1"/>
  <c r="Y107" i="1"/>
  <c r="X107" i="1"/>
  <c r="W107" i="1"/>
  <c r="V107" i="1"/>
  <c r="U107" i="1"/>
  <c r="T107" i="1"/>
  <c r="S107" i="1"/>
  <c r="R107" i="1"/>
  <c r="Q107" i="1"/>
  <c r="P107" i="1"/>
  <c r="O107" i="1"/>
  <c r="N107" i="1"/>
  <c r="M107" i="1"/>
  <c r="L107" i="1"/>
  <c r="K107" i="1"/>
  <c r="J107" i="1"/>
  <c r="I107" i="1"/>
  <c r="H107" i="1"/>
  <c r="G107" i="1"/>
  <c r="F107" i="1"/>
  <c r="E107" i="1"/>
  <c r="D107" i="1"/>
  <c r="C107" i="1"/>
  <c r="AB93" i="1"/>
  <c r="AA93" i="1"/>
  <c r="Z93" i="1"/>
  <c r="Y93" i="1"/>
  <c r="X93" i="1"/>
  <c r="W93" i="1"/>
  <c r="V93" i="1"/>
  <c r="U93" i="1"/>
  <c r="T93" i="1"/>
  <c r="S93" i="1"/>
  <c r="R93" i="1"/>
  <c r="Q93" i="1"/>
  <c r="P93" i="1"/>
  <c r="O93" i="1"/>
  <c r="N93" i="1"/>
  <c r="M93" i="1"/>
  <c r="L93" i="1"/>
  <c r="K93" i="1"/>
  <c r="J93" i="1"/>
  <c r="I93" i="1"/>
  <c r="H93" i="1"/>
  <c r="G93" i="1"/>
  <c r="F93" i="1"/>
  <c r="E93" i="1"/>
  <c r="D93" i="1"/>
  <c r="C93" i="1"/>
  <c r="AB79" i="1"/>
  <c r="AA79" i="1"/>
  <c r="Z79" i="1"/>
  <c r="Y79" i="1"/>
  <c r="X79" i="1"/>
  <c r="W79" i="1"/>
  <c r="V79" i="1"/>
  <c r="U79" i="1"/>
  <c r="T79" i="1"/>
  <c r="S79" i="1"/>
  <c r="R79" i="1"/>
  <c r="Q79" i="1"/>
  <c r="P79" i="1"/>
  <c r="O79" i="1"/>
  <c r="N79" i="1"/>
  <c r="M79" i="1"/>
  <c r="L79" i="1"/>
  <c r="K79" i="1"/>
  <c r="J79" i="1"/>
  <c r="I79" i="1"/>
  <c r="H79" i="1"/>
  <c r="G79" i="1"/>
  <c r="F79" i="1"/>
  <c r="E79" i="1"/>
  <c r="D79" i="1"/>
  <c r="C79" i="1"/>
  <c r="AB65" i="1"/>
  <c r="AA65" i="1"/>
  <c r="Z65" i="1"/>
  <c r="Y65" i="1"/>
  <c r="X65" i="1"/>
  <c r="W65" i="1"/>
  <c r="V65" i="1"/>
  <c r="U65" i="1"/>
  <c r="T65" i="1"/>
  <c r="S65" i="1"/>
  <c r="R65" i="1"/>
  <c r="Q65" i="1"/>
  <c r="P65" i="1"/>
  <c r="O65" i="1"/>
  <c r="N65" i="1"/>
  <c r="M65" i="1"/>
  <c r="L65" i="1"/>
  <c r="K65" i="1"/>
  <c r="J65" i="1"/>
  <c r="I65" i="1"/>
  <c r="H65" i="1"/>
  <c r="G65" i="1"/>
  <c r="F65" i="1"/>
  <c r="E65" i="1"/>
  <c r="D65" i="1"/>
  <c r="C65" i="1"/>
  <c r="Y2" i="17"/>
  <c r="X2" i="17"/>
  <c r="W2" i="17"/>
  <c r="V2" i="17"/>
  <c r="U2" i="17"/>
  <c r="T2" i="17"/>
  <c r="S2" i="17"/>
  <c r="R2" i="17"/>
  <c r="Q2" i="17"/>
  <c r="P2" i="17"/>
  <c r="O2" i="17"/>
  <c r="N2" i="17"/>
  <c r="M2" i="17"/>
  <c r="L2" i="17"/>
  <c r="AC51" i="1"/>
  <c r="AB51" i="1"/>
  <c r="AA51" i="1"/>
  <c r="K51" i="17" s="1"/>
  <c r="Z51" i="1"/>
  <c r="K49" i="17" s="1"/>
  <c r="Y51" i="1"/>
  <c r="K47" i="17" s="1"/>
  <c r="X51" i="1"/>
  <c r="W51" i="1"/>
  <c r="K43" i="17" s="1"/>
  <c r="V51" i="1"/>
  <c r="K41" i="17" s="1"/>
  <c r="U51" i="1"/>
  <c r="K39" i="17" s="1"/>
  <c r="T51" i="1"/>
  <c r="S51" i="1"/>
  <c r="K35" i="17" s="1"/>
  <c r="R51" i="1"/>
  <c r="K33" i="17" s="1"/>
  <c r="Q51" i="1"/>
  <c r="K31" i="17" s="1"/>
  <c r="K32" i="17" s="1"/>
  <c r="P51" i="1"/>
  <c r="O51" i="1"/>
  <c r="K27" i="17" s="1"/>
  <c r="N51" i="1"/>
  <c r="K25" i="17" s="1"/>
  <c r="J26" i="17" s="1"/>
  <c r="M51" i="1"/>
  <c r="K23" i="17" s="1"/>
  <c r="L51" i="1"/>
  <c r="K51" i="1"/>
  <c r="K19" i="17" s="1"/>
  <c r="J51" i="1"/>
  <c r="K17" i="17" s="1"/>
  <c r="J18" i="17" s="1"/>
  <c r="I51" i="1"/>
  <c r="K15" i="17" s="1"/>
  <c r="J16" i="17" s="1"/>
  <c r="H51" i="1"/>
  <c r="G51" i="1"/>
  <c r="K11" i="17" s="1"/>
  <c r="F51" i="1"/>
  <c r="K9" i="17" s="1"/>
  <c r="J10" i="17" s="1"/>
  <c r="E51" i="1"/>
  <c r="K7" i="17" s="1"/>
  <c r="K8" i="17" s="1"/>
  <c r="D51" i="1"/>
  <c r="C51" i="1"/>
  <c r="K3" i="17" s="1"/>
  <c r="K53" i="17"/>
  <c r="K45" i="17"/>
  <c r="K37" i="17"/>
  <c r="K29" i="17"/>
  <c r="J30" i="17" s="1"/>
  <c r="K21" i="17"/>
  <c r="J22" i="17" s="1"/>
  <c r="K13" i="17"/>
  <c r="K5" i="17"/>
  <c r="K2" i="17"/>
  <c r="J55" i="17"/>
  <c r="J53" i="17"/>
  <c r="J51" i="17"/>
  <c r="J49" i="17"/>
  <c r="J47" i="17"/>
  <c r="J45" i="17"/>
  <c r="J43" i="17"/>
  <c r="J41" i="17"/>
  <c r="J39" i="17"/>
  <c r="J37" i="17"/>
  <c r="J35" i="17"/>
  <c r="J33" i="17"/>
  <c r="J31" i="17"/>
  <c r="I32" i="17" s="1"/>
  <c r="J29" i="17"/>
  <c r="I30" i="17" s="1"/>
  <c r="J27" i="17"/>
  <c r="I28" i="17" s="1"/>
  <c r="J25" i="17"/>
  <c r="J23" i="17"/>
  <c r="I24" i="17" s="1"/>
  <c r="J21" i="17"/>
  <c r="I22" i="17" s="1"/>
  <c r="J19" i="17"/>
  <c r="I20" i="17" s="1"/>
  <c r="J17" i="17"/>
  <c r="J15" i="17"/>
  <c r="I16" i="17" s="1"/>
  <c r="J13" i="17"/>
  <c r="J11" i="17"/>
  <c r="I12" i="17" s="1"/>
  <c r="J9" i="17"/>
  <c r="J7" i="17"/>
  <c r="I8" i="17" s="1"/>
  <c r="J5" i="17"/>
  <c r="J3" i="17"/>
  <c r="J2" i="17"/>
  <c r="H2" i="17"/>
  <c r="I2" i="17"/>
  <c r="I3" i="17"/>
  <c r="I55" i="17"/>
  <c r="I53" i="17"/>
  <c r="I51" i="17"/>
  <c r="I49" i="17"/>
  <c r="I47" i="17"/>
  <c r="I45" i="17"/>
  <c r="I43" i="17"/>
  <c r="I41" i="17"/>
  <c r="I39" i="17"/>
  <c r="I37" i="17"/>
  <c r="I35" i="17"/>
  <c r="I33" i="17"/>
  <c r="I31" i="17"/>
  <c r="H32" i="17" s="1"/>
  <c r="I29" i="17"/>
  <c r="I27" i="17"/>
  <c r="I25" i="17"/>
  <c r="I26" i="17" s="1"/>
  <c r="I23" i="17"/>
  <c r="H24" i="17" s="1"/>
  <c r="I21" i="17"/>
  <c r="I19" i="17"/>
  <c r="I17" i="17"/>
  <c r="H18" i="17" s="1"/>
  <c r="I15" i="17"/>
  <c r="H16" i="17" s="1"/>
  <c r="I13" i="17"/>
  <c r="I11" i="17"/>
  <c r="I9" i="17"/>
  <c r="I10" i="17" s="1"/>
  <c r="I7" i="17"/>
  <c r="H8" i="17" s="1"/>
  <c r="I5" i="17"/>
  <c r="AC37" i="1"/>
  <c r="AB37" i="1"/>
  <c r="AA37" i="1"/>
  <c r="Z37" i="1"/>
  <c r="Y37" i="1"/>
  <c r="X37" i="1"/>
  <c r="W37" i="1"/>
  <c r="V37" i="1"/>
  <c r="U37" i="1"/>
  <c r="T37" i="1"/>
  <c r="S37" i="1"/>
  <c r="R37" i="1"/>
  <c r="Q37" i="1"/>
  <c r="P37" i="1"/>
  <c r="O37" i="1"/>
  <c r="N37" i="1"/>
  <c r="M37" i="1"/>
  <c r="L37" i="1"/>
  <c r="K37" i="1"/>
  <c r="J37" i="1"/>
  <c r="I37" i="1"/>
  <c r="H37" i="1"/>
  <c r="G37" i="1"/>
  <c r="F37" i="1"/>
  <c r="E37" i="1"/>
  <c r="D37" i="1"/>
  <c r="C37" i="1"/>
  <c r="AD23" i="1"/>
  <c r="AC23" i="1"/>
  <c r="AB23" i="1"/>
  <c r="AA23" i="1"/>
  <c r="Z23" i="1"/>
  <c r="Y23" i="1"/>
  <c r="X23" i="1"/>
  <c r="W23" i="1"/>
  <c r="V23" i="1"/>
  <c r="U23" i="1"/>
  <c r="T23" i="1"/>
  <c r="S23" i="1"/>
  <c r="R23" i="1"/>
  <c r="Q23" i="1"/>
  <c r="P23" i="1"/>
  <c r="O23" i="1"/>
  <c r="N23" i="1"/>
  <c r="M23" i="1"/>
  <c r="L23" i="1"/>
  <c r="K23" i="1"/>
  <c r="J23" i="1"/>
  <c r="I23" i="1"/>
  <c r="H23" i="1"/>
  <c r="G23" i="1"/>
  <c r="F23" i="1"/>
  <c r="E23" i="1"/>
  <c r="D23" i="1"/>
  <c r="C23" i="1"/>
  <c r="H7" i="17"/>
  <c r="H5" i="17"/>
  <c r="H3" i="17"/>
  <c r="H55" i="17"/>
  <c r="H53" i="17"/>
  <c r="H51" i="17"/>
  <c r="H49" i="17"/>
  <c r="H47" i="17"/>
  <c r="H45" i="17"/>
  <c r="H43" i="17"/>
  <c r="H41" i="17"/>
  <c r="H39" i="17"/>
  <c r="H37" i="17"/>
  <c r="H35" i="17"/>
  <c r="H33" i="17"/>
  <c r="H31" i="17"/>
  <c r="H29" i="17"/>
  <c r="H27" i="17"/>
  <c r="H25" i="17"/>
  <c r="H23" i="17"/>
  <c r="H21" i="17"/>
  <c r="H19" i="17"/>
  <c r="H17" i="17"/>
  <c r="H15" i="17"/>
  <c r="H13" i="17"/>
  <c r="H11" i="17"/>
  <c r="H9" i="17"/>
  <c r="AN9" i="1"/>
  <c r="AM9" i="1"/>
  <c r="AL9" i="1"/>
  <c r="AK9" i="1"/>
  <c r="AJ9" i="1"/>
  <c r="AI9" i="1"/>
  <c r="AH9" i="1"/>
  <c r="AG9" i="1"/>
  <c r="AF9" i="1"/>
  <c r="AD9" i="1"/>
  <c r="AC9" i="1"/>
  <c r="AB9" i="1"/>
  <c r="AA9" i="1"/>
  <c r="Z9" i="1"/>
  <c r="Y9" i="1"/>
  <c r="X9" i="1"/>
  <c r="W9" i="1"/>
  <c r="V9" i="1"/>
  <c r="U9" i="1"/>
  <c r="T9" i="1"/>
  <c r="S9" i="1"/>
  <c r="R9" i="1"/>
  <c r="Q9" i="1"/>
  <c r="P9" i="1"/>
  <c r="O9" i="1"/>
  <c r="N9" i="1"/>
  <c r="M9" i="1"/>
  <c r="L9" i="1"/>
  <c r="K9" i="1"/>
  <c r="J9" i="1"/>
  <c r="I9" i="1"/>
  <c r="H9" i="1"/>
  <c r="G9" i="1"/>
  <c r="F9" i="1"/>
  <c r="E9" i="1"/>
  <c r="D9" i="1"/>
  <c r="C9" i="1"/>
  <c r="AG7" i="17"/>
  <c r="H4" i="17" l="1"/>
  <c r="K6" i="17"/>
  <c r="J6" i="17"/>
  <c r="W24" i="17"/>
  <c r="W32" i="17"/>
  <c r="Y16" i="17"/>
  <c r="X16" i="17"/>
  <c r="Y24" i="17"/>
  <c r="X24" i="17"/>
  <c r="Y32" i="17"/>
  <c r="X32" i="17"/>
  <c r="L6" i="17"/>
  <c r="L58" i="17" s="1"/>
  <c r="R8" i="17"/>
  <c r="H10" i="17"/>
  <c r="P10" i="17"/>
  <c r="L26" i="17"/>
  <c r="L30" i="17"/>
  <c r="R32" i="17"/>
  <c r="H12" i="17"/>
  <c r="H20" i="17"/>
  <c r="H28" i="17"/>
  <c r="J14" i="17"/>
  <c r="O6" i="17"/>
  <c r="O14" i="17"/>
  <c r="O22" i="17"/>
  <c r="O58" i="17" s="1"/>
  <c r="O30" i="17"/>
  <c r="P4" i="17"/>
  <c r="P12" i="17"/>
  <c r="P20" i="17"/>
  <c r="P28" i="17"/>
  <c r="T4" i="17"/>
  <c r="T58" i="17" s="1"/>
  <c r="U12" i="17"/>
  <c r="T12" i="17"/>
  <c r="U20" i="17"/>
  <c r="T20" i="17"/>
  <c r="U28" i="17"/>
  <c r="T28" i="17"/>
  <c r="U26" i="17"/>
  <c r="V10" i="17"/>
  <c r="V18" i="17"/>
  <c r="V58" i="17" s="1"/>
  <c r="V26" i="17"/>
  <c r="W10" i="17"/>
  <c r="W18" i="17"/>
  <c r="W58" i="17" s="1"/>
  <c r="W26" i="17"/>
  <c r="Y8" i="17"/>
  <c r="X8" i="17"/>
  <c r="T14" i="17"/>
  <c r="N20" i="17"/>
  <c r="N58" i="17" s="1"/>
  <c r="R24" i="17"/>
  <c r="J28" i="17"/>
  <c r="P30" i="17"/>
  <c r="Y4" i="17"/>
  <c r="Y58" i="17" s="1"/>
  <c r="P8" i="17"/>
  <c r="P58" i="17" s="1"/>
  <c r="P16" i="17"/>
  <c r="P24" i="17"/>
  <c r="X58" i="17"/>
  <c r="R58" i="17"/>
  <c r="M58" i="17"/>
  <c r="S58" i="17"/>
  <c r="Q58" i="17"/>
  <c r="U58" i="17"/>
  <c r="J58" i="17"/>
  <c r="H58" i="17"/>
  <c r="AC4" i="4"/>
  <c r="I58" i="17" l="1"/>
  <c r="K58" i="17"/>
  <c r="AU26" i="1"/>
  <c r="AT26" i="1"/>
  <c r="AS26" i="1"/>
  <c r="AR26" i="1"/>
  <c r="AQ26" i="1"/>
  <c r="AU23" i="1"/>
  <c r="AT23" i="1"/>
  <c r="AS23" i="1"/>
  <c r="AR23" i="1"/>
  <c r="AQ23" i="1"/>
  <c r="AU20" i="1"/>
  <c r="AU27" i="1" s="1"/>
  <c r="AT20" i="1"/>
  <c r="AT27" i="1" s="1"/>
  <c r="AS20" i="1"/>
  <c r="AR20" i="1"/>
  <c r="AR27" i="1" s="1"/>
  <c r="AQ20" i="1"/>
  <c r="AQ27" i="1" s="1"/>
  <c r="AS27" i="1" l="1"/>
  <c r="AC5" i="4"/>
  <c r="AC13" i="1"/>
  <c r="AC7" i="1"/>
  <c r="AC10" i="1" s="1"/>
  <c r="AC5" i="1"/>
  <c r="G55" i="17" s="1"/>
  <c r="AC4" i="1"/>
  <c r="E55" i="17" s="1"/>
  <c r="AB13" i="1"/>
  <c r="AB7" i="1"/>
  <c r="AB10" i="1" s="1"/>
  <c r="AB5" i="1"/>
  <c r="G53" i="17" s="1"/>
  <c r="AB4" i="1"/>
  <c r="E53" i="17" s="1"/>
  <c r="AA13" i="1"/>
  <c r="AA7" i="1"/>
  <c r="AA10" i="1" s="1"/>
  <c r="AA5" i="1"/>
  <c r="G51" i="17" s="1"/>
  <c r="AA4" i="1"/>
  <c r="E51" i="17" s="1"/>
  <c r="Z13" i="1"/>
  <c r="Z7" i="1"/>
  <c r="Z10" i="1" s="1"/>
  <c r="Z5" i="1"/>
  <c r="G49" i="17" s="1"/>
  <c r="Z4" i="1"/>
  <c r="E49" i="17" s="1"/>
  <c r="Y13" i="1"/>
  <c r="Y7" i="1"/>
  <c r="Y10" i="1" s="1"/>
  <c r="Y5" i="1"/>
  <c r="G47" i="17" s="1"/>
  <c r="Y4" i="1"/>
  <c r="E47" i="17" s="1"/>
  <c r="V13" i="1"/>
  <c r="V10" i="1"/>
  <c r="V7" i="1"/>
  <c r="V5" i="1"/>
  <c r="G41" i="17" s="1"/>
  <c r="V4" i="1"/>
  <c r="E41" i="17" s="1"/>
  <c r="U13" i="1"/>
  <c r="U7" i="1"/>
  <c r="U10" i="1" s="1"/>
  <c r="U5" i="1"/>
  <c r="G39" i="17" s="1"/>
  <c r="U4" i="1"/>
  <c r="E39" i="17" s="1"/>
  <c r="T13" i="1"/>
  <c r="T10" i="1"/>
  <c r="T7" i="1"/>
  <c r="T5" i="1"/>
  <c r="G37" i="17" s="1"/>
  <c r="T4" i="1"/>
  <c r="E37" i="17" s="1"/>
  <c r="S13" i="1"/>
  <c r="S7" i="1"/>
  <c r="S10" i="1" s="1"/>
  <c r="S5" i="1"/>
  <c r="G35" i="17" s="1"/>
  <c r="S4" i="1"/>
  <c r="E35" i="17" s="1"/>
  <c r="R13" i="1"/>
  <c r="R7" i="1"/>
  <c r="R10" i="1" s="1"/>
  <c r="R5" i="1"/>
  <c r="G33" i="17" s="1"/>
  <c r="R4" i="1"/>
  <c r="E33" i="17" s="1"/>
  <c r="Q13" i="1"/>
  <c r="Q7" i="1"/>
  <c r="Q10" i="1" s="1"/>
  <c r="Q5" i="1"/>
  <c r="G31" i="17" s="1"/>
  <c r="Q4" i="1"/>
  <c r="E31" i="17" s="1"/>
  <c r="P13" i="1"/>
  <c r="P7" i="1"/>
  <c r="P10" i="1" s="1"/>
  <c r="P5" i="1"/>
  <c r="G29" i="17" s="1"/>
  <c r="P4" i="1"/>
  <c r="E29" i="17" s="1"/>
  <c r="O13" i="1"/>
  <c r="O7" i="1"/>
  <c r="O10" i="1" s="1"/>
  <c r="O5" i="1"/>
  <c r="G27" i="17" s="1"/>
  <c r="O4" i="1"/>
  <c r="E27" i="17" s="1"/>
  <c r="N13" i="1"/>
  <c r="N7" i="1"/>
  <c r="N10" i="1" s="1"/>
  <c r="N5" i="1"/>
  <c r="G25" i="17" s="1"/>
  <c r="N4" i="1"/>
  <c r="E25" i="17" s="1"/>
  <c r="M13" i="1"/>
  <c r="M7" i="1"/>
  <c r="M10" i="1" s="1"/>
  <c r="M5" i="1"/>
  <c r="G23" i="17" s="1"/>
  <c r="M4" i="1"/>
  <c r="E23" i="17" s="1"/>
  <c r="AC42" i="1" l="1"/>
  <c r="Y42" i="1"/>
  <c r="U42" i="1"/>
  <c r="Q42" i="1"/>
  <c r="M42" i="1"/>
  <c r="I42" i="1"/>
  <c r="E42" i="1"/>
  <c r="AB42" i="1"/>
  <c r="AA42" i="1"/>
  <c r="X42" i="1"/>
  <c r="W42" i="1"/>
  <c r="S42" i="1"/>
  <c r="P42" i="1"/>
  <c r="O42" i="1"/>
  <c r="L42" i="1"/>
  <c r="K42" i="1"/>
  <c r="H42" i="1"/>
  <c r="G42" i="1"/>
  <c r="C42" i="1"/>
  <c r="R42" i="1"/>
  <c r="J42" i="1"/>
  <c r="N42" i="1" l="1"/>
  <c r="V42" i="1"/>
  <c r="AG42" i="1"/>
  <c r="F42" i="1"/>
  <c r="Z42" i="1"/>
  <c r="AI42" i="1"/>
  <c r="AJ42" i="1"/>
  <c r="AD42" i="1"/>
  <c r="D42" i="1"/>
  <c r="T42" i="1"/>
  <c r="AK42" i="1"/>
  <c r="AC6" i="4"/>
  <c r="AC11" i="1"/>
  <c r="AT54" i="1"/>
  <c r="AS54" i="1"/>
  <c r="AR54" i="1"/>
  <c r="AQ54" i="1"/>
  <c r="AP54" i="1"/>
  <c r="AT51" i="1"/>
  <c r="AS51" i="1"/>
  <c r="AR51" i="1"/>
  <c r="AQ51" i="1"/>
  <c r="AP51" i="1"/>
  <c r="AT48" i="1"/>
  <c r="AS48" i="1"/>
  <c r="AR48" i="1"/>
  <c r="AQ48" i="1"/>
  <c r="AP48" i="1"/>
  <c r="AR55" i="1" l="1"/>
  <c r="AS55" i="1"/>
  <c r="AC12" i="1"/>
  <c r="AC8" i="1"/>
  <c r="AC14" i="1"/>
  <c r="AC6" i="1"/>
  <c r="AM42" i="1"/>
  <c r="AF42" i="1"/>
  <c r="AN42" i="1"/>
  <c r="AL42" i="1"/>
  <c r="AH42" i="1"/>
  <c r="AP55" i="1"/>
  <c r="AT55" i="1"/>
  <c r="AQ55" i="1"/>
  <c r="AC7" i="4"/>
  <c r="AC8" i="4" l="1"/>
  <c r="AC9" i="4"/>
  <c r="AC10" i="4" l="1"/>
  <c r="AB6" i="1" l="1"/>
  <c r="AB8" i="1"/>
  <c r="AB11" i="1"/>
  <c r="AB12" i="1" s="1"/>
  <c r="AB14" i="1"/>
  <c r="AS110" i="1" l="1"/>
  <c r="AR110" i="1"/>
  <c r="AQ110" i="1"/>
  <c r="AP110" i="1"/>
  <c r="AO110" i="1"/>
  <c r="AS107" i="1"/>
  <c r="AR107" i="1"/>
  <c r="AQ107" i="1"/>
  <c r="AP107" i="1"/>
  <c r="AO107" i="1"/>
  <c r="AS104" i="1"/>
  <c r="AR104" i="1"/>
  <c r="AQ104" i="1"/>
  <c r="AP104" i="1"/>
  <c r="AO104" i="1"/>
  <c r="AO111" i="1" l="1"/>
  <c r="AS111" i="1"/>
  <c r="AP111" i="1"/>
  <c r="AQ111" i="1"/>
  <c r="AR111" i="1"/>
  <c r="AC11" i="4"/>
  <c r="AS124" i="1"/>
  <c r="AR124" i="1"/>
  <c r="AQ124" i="1"/>
  <c r="AP124" i="1"/>
  <c r="AO124" i="1"/>
  <c r="AS121" i="1"/>
  <c r="AR121" i="1"/>
  <c r="AQ121" i="1"/>
  <c r="AP121" i="1"/>
  <c r="AO121" i="1"/>
  <c r="AS118" i="1"/>
  <c r="AR118" i="1"/>
  <c r="AQ118" i="1"/>
  <c r="AP118" i="1"/>
  <c r="AO118" i="1"/>
  <c r="AQ125" i="1" l="1"/>
  <c r="AS125" i="1"/>
  <c r="AO125" i="1"/>
  <c r="AP125" i="1"/>
  <c r="AR125" i="1"/>
  <c r="AC12" i="4"/>
  <c r="AA8" i="1"/>
  <c r="AA11" i="1" l="1"/>
  <c r="AA12" i="1" s="1"/>
  <c r="AA6" i="1"/>
  <c r="AA14" i="1"/>
  <c r="Z11" i="1"/>
  <c r="Z12" i="1" s="1"/>
  <c r="Z8" i="1"/>
  <c r="Z6" i="1"/>
  <c r="Z14" i="1"/>
  <c r="AG153" i="1" l="1"/>
  <c r="AF153" i="1"/>
  <c r="AE153" i="1"/>
  <c r="AD153" i="1"/>
  <c r="AC153" i="1"/>
  <c r="AB153" i="1"/>
  <c r="AA153" i="1"/>
  <c r="AG150" i="1"/>
  <c r="AG151" i="1" s="1"/>
  <c r="AF150" i="1"/>
  <c r="AF151" i="1" s="1"/>
  <c r="AE150" i="1"/>
  <c r="AE151" i="1" s="1"/>
  <c r="AD150" i="1"/>
  <c r="AD151" i="1" s="1"/>
  <c r="AC150" i="1"/>
  <c r="AC151" i="1" s="1"/>
  <c r="AB150" i="1"/>
  <c r="AB151" i="1" s="1"/>
  <c r="AA150" i="1"/>
  <c r="AA151" i="1" s="1"/>
  <c r="AG147" i="1"/>
  <c r="AG148" i="1" s="1"/>
  <c r="AF147" i="1"/>
  <c r="AF148" i="1" s="1"/>
  <c r="AE147" i="1"/>
  <c r="AE148" i="1" s="1"/>
  <c r="AD147" i="1"/>
  <c r="AD148" i="1" s="1"/>
  <c r="AC147" i="1"/>
  <c r="AC148" i="1" s="1"/>
  <c r="AB147" i="1"/>
  <c r="AA147" i="1"/>
  <c r="AG145" i="1"/>
  <c r="AF145" i="1"/>
  <c r="AE145" i="1"/>
  <c r="AD145" i="1"/>
  <c r="AC145" i="1"/>
  <c r="AB145" i="1"/>
  <c r="AA145" i="1"/>
  <c r="AG144" i="1"/>
  <c r="AG149" i="1" s="1"/>
  <c r="AF144" i="1"/>
  <c r="AF149" i="1" s="1"/>
  <c r="AE144" i="1"/>
  <c r="AE149" i="1" s="1"/>
  <c r="AD144" i="1"/>
  <c r="AD149" i="1" s="1"/>
  <c r="AC144" i="1"/>
  <c r="AC149" i="1" s="1"/>
  <c r="AB144" i="1"/>
  <c r="AA144" i="1"/>
  <c r="AA149" i="1" s="1"/>
  <c r="AL5" i="1"/>
  <c r="AN7" i="17" s="1"/>
  <c r="AI147" i="1" l="1"/>
  <c r="AI148" i="1" s="1"/>
  <c r="AD152" i="1"/>
  <c r="AA146" i="1"/>
  <c r="AE146" i="1"/>
  <c r="AH147" i="1"/>
  <c r="AH148" i="1" s="1"/>
  <c r="AF152" i="1"/>
  <c r="AC146" i="1"/>
  <c r="AG146" i="1"/>
  <c r="AA148" i="1"/>
  <c r="AC154" i="1"/>
  <c r="AG154" i="1"/>
  <c r="AB146" i="1"/>
  <c r="AF146" i="1"/>
  <c r="AC152" i="1"/>
  <c r="AG152" i="1"/>
  <c r="AB154" i="1"/>
  <c r="AF154" i="1"/>
  <c r="AB152" i="1"/>
  <c r="AH145" i="1"/>
  <c r="AA152" i="1"/>
  <c r="AE152" i="1"/>
  <c r="AH153" i="1"/>
  <c r="AH144" i="1"/>
  <c r="AH149" i="1" s="1"/>
  <c r="AA154" i="1"/>
  <c r="AE154" i="1"/>
  <c r="AI144" i="1"/>
  <c r="AI149" i="1" s="1"/>
  <c r="AI145" i="1"/>
  <c r="AD146" i="1"/>
  <c r="AB148" i="1"/>
  <c r="AH150" i="1"/>
  <c r="AH151" i="1" s="1"/>
  <c r="AI153" i="1"/>
  <c r="AD154" i="1"/>
  <c r="AB149" i="1"/>
  <c r="AI150" i="1"/>
  <c r="AI151" i="1" s="1"/>
  <c r="AI152" i="1" s="1"/>
  <c r="AC13" i="4"/>
  <c r="AH146" i="1" l="1"/>
  <c r="AL4" i="1"/>
  <c r="AL6" i="1" s="1"/>
  <c r="AL13" i="1"/>
  <c r="AL10" i="1"/>
  <c r="AL11" i="1" s="1"/>
  <c r="AL7" i="1"/>
  <c r="AL8" i="1" s="1"/>
  <c r="AH154" i="1"/>
  <c r="AH152" i="1"/>
  <c r="AI154" i="1"/>
  <c r="AI146" i="1"/>
  <c r="AP152" i="1"/>
  <c r="AO152" i="1"/>
  <c r="AN152" i="1"/>
  <c r="AM152" i="1"/>
  <c r="AL152" i="1"/>
  <c r="AP149" i="1"/>
  <c r="AO149" i="1"/>
  <c r="AN149" i="1"/>
  <c r="AM149" i="1"/>
  <c r="AL149" i="1"/>
  <c r="AP146" i="1"/>
  <c r="AO146" i="1"/>
  <c r="AN146" i="1"/>
  <c r="AM146" i="1"/>
  <c r="AL146" i="1"/>
  <c r="AN153" i="1" l="1"/>
  <c r="AO153" i="1"/>
  <c r="AL14" i="1"/>
  <c r="AL12" i="1"/>
  <c r="AL153" i="1"/>
  <c r="AP153" i="1"/>
  <c r="AM153" i="1"/>
  <c r="E4" i="1"/>
  <c r="E7" i="17" s="1"/>
  <c r="AC14" i="4" l="1"/>
  <c r="Y11" i="1"/>
  <c r="X13" i="1"/>
  <c r="X7" i="1"/>
  <c r="X10" i="1" s="1"/>
  <c r="X11" i="1" s="1"/>
  <c r="X5" i="1"/>
  <c r="G45" i="17" s="1"/>
  <c r="X4" i="1"/>
  <c r="AJ166" i="1"/>
  <c r="AG166" i="1"/>
  <c r="AF166" i="1"/>
  <c r="AE166" i="1"/>
  <c r="AD166" i="1"/>
  <c r="AJ163" i="1"/>
  <c r="AG163" i="1"/>
  <c r="AF163" i="1"/>
  <c r="AE163" i="1"/>
  <c r="AD163" i="1"/>
  <c r="AJ160" i="1"/>
  <c r="AG160" i="1"/>
  <c r="AF160" i="1"/>
  <c r="AE160" i="1"/>
  <c r="AD160" i="1"/>
  <c r="E45" i="17" l="1"/>
  <c r="Y12" i="1"/>
  <c r="Y14" i="1"/>
  <c r="Y8" i="1"/>
  <c r="Y6" i="1"/>
  <c r="X14" i="1"/>
  <c r="AG167" i="1"/>
  <c r="X6" i="1"/>
  <c r="AE167" i="1"/>
  <c r="X12" i="1"/>
  <c r="AF167" i="1"/>
  <c r="X8" i="1"/>
  <c r="AD167" i="1"/>
  <c r="AJ167" i="1"/>
  <c r="AC15" i="4"/>
  <c r="AJ180" i="1"/>
  <c r="AG180" i="1"/>
  <c r="AF180" i="1"/>
  <c r="AE180" i="1"/>
  <c r="AD180" i="1"/>
  <c r="AJ177" i="1"/>
  <c r="AG177" i="1"/>
  <c r="AF177" i="1"/>
  <c r="AE177" i="1"/>
  <c r="AD177" i="1"/>
  <c r="AJ174" i="1"/>
  <c r="AG174" i="1"/>
  <c r="AF174" i="1"/>
  <c r="AE174" i="1"/>
  <c r="AD174" i="1"/>
  <c r="AG181" i="1" l="1"/>
  <c r="AF181" i="1"/>
  <c r="AD181" i="1"/>
  <c r="AJ181" i="1"/>
  <c r="AE181" i="1"/>
  <c r="AC16" i="4"/>
  <c r="AJ194" i="1" l="1"/>
  <c r="AG194" i="1"/>
  <c r="AF194" i="1"/>
  <c r="AE194" i="1"/>
  <c r="AD194" i="1"/>
  <c r="AJ191" i="1"/>
  <c r="AG191" i="1"/>
  <c r="AF191" i="1"/>
  <c r="AE191" i="1"/>
  <c r="AD191" i="1"/>
  <c r="AJ188" i="1"/>
  <c r="AG188" i="1"/>
  <c r="AF188" i="1"/>
  <c r="AE188" i="1"/>
  <c r="AD188" i="1"/>
  <c r="AG195" i="1" l="1"/>
  <c r="AJ195" i="1"/>
  <c r="AD195" i="1"/>
  <c r="AE195" i="1"/>
  <c r="AF195" i="1"/>
  <c r="AC17" i="4"/>
  <c r="AJ208" i="1"/>
  <c r="AG208" i="1"/>
  <c r="AF208" i="1"/>
  <c r="AE208" i="1"/>
  <c r="AD208" i="1"/>
  <c r="AJ205" i="1"/>
  <c r="AG205" i="1"/>
  <c r="AF205" i="1"/>
  <c r="AE205" i="1"/>
  <c r="AD205" i="1"/>
  <c r="AJ202" i="1"/>
  <c r="AG202" i="1"/>
  <c r="AF202" i="1"/>
  <c r="AE202" i="1"/>
  <c r="AD202" i="1"/>
  <c r="AG209" i="1" l="1"/>
  <c r="AD209" i="1"/>
  <c r="AJ209" i="1"/>
  <c r="AF209" i="1"/>
  <c r="AE209" i="1"/>
  <c r="X207" i="1"/>
  <c r="AC18" i="4"/>
  <c r="AJ222" i="1" l="1"/>
  <c r="AG222" i="1"/>
  <c r="AF222" i="1"/>
  <c r="AE222" i="1"/>
  <c r="AD222" i="1"/>
  <c r="AJ219" i="1"/>
  <c r="AG219" i="1"/>
  <c r="AF219" i="1"/>
  <c r="AE219" i="1"/>
  <c r="AD219" i="1"/>
  <c r="AJ216" i="1"/>
  <c r="AG216" i="1"/>
  <c r="AF216" i="1"/>
  <c r="AE216" i="1"/>
  <c r="AD216" i="1"/>
  <c r="AG223" i="1" l="1"/>
  <c r="AJ223" i="1"/>
  <c r="AD223" i="1"/>
  <c r="AE223" i="1"/>
  <c r="AF223" i="1"/>
  <c r="X221" i="1"/>
  <c r="AC19" i="4"/>
  <c r="AJ236" i="1"/>
  <c r="AG236" i="1"/>
  <c r="AF236" i="1"/>
  <c r="AE236" i="1"/>
  <c r="AD236" i="1"/>
  <c r="AJ233" i="1"/>
  <c r="AG233" i="1"/>
  <c r="AF233" i="1"/>
  <c r="AE233" i="1"/>
  <c r="AD233" i="1"/>
  <c r="AJ230" i="1"/>
  <c r="AG230" i="1"/>
  <c r="AF230" i="1"/>
  <c r="AE230" i="1"/>
  <c r="AD230" i="1"/>
  <c r="AG237" i="1" l="1"/>
  <c r="AF237" i="1"/>
  <c r="AD237" i="1"/>
  <c r="AJ237" i="1"/>
  <c r="AE237" i="1"/>
  <c r="X235" i="1"/>
  <c r="W13" i="1"/>
  <c r="AJ13" i="1"/>
  <c r="L13" i="1"/>
  <c r="K13" i="1"/>
  <c r="J13" i="1"/>
  <c r="I13" i="1"/>
  <c r="H13" i="1"/>
  <c r="G13" i="1"/>
  <c r="F13" i="1"/>
  <c r="E13" i="1"/>
  <c r="D13" i="1"/>
  <c r="AG13" i="1" s="1"/>
  <c r="C13" i="1"/>
  <c r="W7" i="1"/>
  <c r="W10" i="1" s="1"/>
  <c r="AJ7" i="1"/>
  <c r="L7" i="1"/>
  <c r="L10" i="1" s="1"/>
  <c r="K7" i="1"/>
  <c r="K10" i="1" s="1"/>
  <c r="J7" i="1"/>
  <c r="J10" i="1" s="1"/>
  <c r="I7" i="1"/>
  <c r="I10" i="1" s="1"/>
  <c r="H7" i="1"/>
  <c r="H10" i="1" s="1"/>
  <c r="G7" i="1"/>
  <c r="G10" i="1" s="1"/>
  <c r="F7" i="1"/>
  <c r="E7" i="1"/>
  <c r="D7" i="1"/>
  <c r="C7" i="1"/>
  <c r="W5" i="1"/>
  <c r="G43" i="17" s="1"/>
  <c r="L5" i="1"/>
  <c r="G21" i="17" s="1"/>
  <c r="K5" i="1"/>
  <c r="G19" i="17" s="1"/>
  <c r="J5" i="1"/>
  <c r="G17" i="17" s="1"/>
  <c r="I5" i="1"/>
  <c r="G15" i="17" s="1"/>
  <c r="H5" i="1"/>
  <c r="G13" i="17" s="1"/>
  <c r="G5" i="1"/>
  <c r="G11" i="17" s="1"/>
  <c r="F5" i="1"/>
  <c r="G9" i="17" s="1"/>
  <c r="E5" i="1"/>
  <c r="G7" i="17" s="1"/>
  <c r="D5" i="1"/>
  <c r="C5" i="1"/>
  <c r="G3" i="17" s="1"/>
  <c r="W4" i="1"/>
  <c r="E43" i="17" s="1"/>
  <c r="L4" i="1"/>
  <c r="E21" i="17" s="1"/>
  <c r="K4" i="1"/>
  <c r="E19" i="17" s="1"/>
  <c r="J4" i="1"/>
  <c r="E17" i="17" s="1"/>
  <c r="I4" i="1"/>
  <c r="E15" i="17" s="1"/>
  <c r="H4" i="1"/>
  <c r="E13" i="17" s="1"/>
  <c r="G4" i="1"/>
  <c r="E11" i="17" s="1"/>
  <c r="F4" i="1"/>
  <c r="E9" i="17" s="1"/>
  <c r="D4" i="1"/>
  <c r="C4" i="1"/>
  <c r="E3" i="17" s="1"/>
  <c r="AG5" i="1" l="1"/>
  <c r="AI7" i="17" s="1"/>
  <c r="G5" i="17"/>
  <c r="G58" i="17" s="1"/>
  <c r="AG4" i="1"/>
  <c r="E5" i="17"/>
  <c r="AD5" i="1"/>
  <c r="AJ4" i="1"/>
  <c r="AD7" i="1"/>
  <c r="AD4" i="1"/>
  <c r="AJ5" i="1"/>
  <c r="AL7" i="17" s="1"/>
  <c r="AD13" i="1"/>
  <c r="AH4" i="1"/>
  <c r="AJ8" i="1"/>
  <c r="AK5" i="1"/>
  <c r="AM7" i="17" s="1"/>
  <c r="AI7" i="1"/>
  <c r="AI8" i="1" s="1"/>
  <c r="AF5" i="1"/>
  <c r="AH7" i="17" s="1"/>
  <c r="AI4" i="1"/>
  <c r="AF7" i="1"/>
  <c r="AF8" i="1" s="1"/>
  <c r="AK7" i="1"/>
  <c r="AK8" i="1" s="1"/>
  <c r="AI13" i="1"/>
  <c r="AK4" i="1"/>
  <c r="AF4" i="1"/>
  <c r="AI5" i="1"/>
  <c r="AK7" i="17" s="1"/>
  <c r="AF13" i="1"/>
  <c r="AK13" i="1"/>
  <c r="AH5" i="1"/>
  <c r="AJ7" i="17" s="1"/>
  <c r="AH13" i="1"/>
  <c r="AG14" i="1"/>
  <c r="D10" i="1"/>
  <c r="AG10" i="1" s="1"/>
  <c r="AG7" i="1"/>
  <c r="E10" i="1"/>
  <c r="AJ10" i="1"/>
  <c r="F10" i="1"/>
  <c r="AH10" i="1" s="1"/>
  <c r="AH11" i="1" s="1"/>
  <c r="AH7" i="1"/>
  <c r="AH8" i="1" s="1"/>
  <c r="C10" i="1"/>
  <c r="CA48" i="9"/>
  <c r="CA49" i="9"/>
  <c r="CA50" i="9"/>
  <c r="CA51" i="9"/>
  <c r="CA52" i="9"/>
  <c r="CA53" i="9"/>
  <c r="CA54" i="9"/>
  <c r="CA55" i="9"/>
  <c r="CA56" i="9"/>
  <c r="CA57" i="9"/>
  <c r="CA58" i="9"/>
  <c r="CA59" i="9"/>
  <c r="CA60" i="9"/>
  <c r="CA61" i="9"/>
  <c r="CA62" i="9"/>
  <c r="CA63" i="9"/>
  <c r="CA64" i="9"/>
  <c r="CA65" i="9"/>
  <c r="CA66" i="9"/>
  <c r="CA67" i="9"/>
  <c r="CA68" i="9"/>
  <c r="CA69" i="9"/>
  <c r="CA70" i="9"/>
  <c r="CA71" i="9"/>
  <c r="CA72" i="9"/>
  <c r="CA73" i="9"/>
  <c r="CA74" i="9"/>
  <c r="CA75" i="9"/>
  <c r="CA76" i="9"/>
  <c r="CA77" i="9"/>
  <c r="CA78" i="9"/>
  <c r="CA79" i="9"/>
  <c r="CA80" i="9"/>
  <c r="CA81" i="9"/>
  <c r="CA82" i="9"/>
  <c r="CA83" i="9"/>
  <c r="CA84" i="9"/>
  <c r="CA85" i="9"/>
  <c r="CA86" i="9"/>
  <c r="CA87" i="9"/>
  <c r="CA88" i="9"/>
  <c r="AC20" i="4"/>
  <c r="AC21" i="4"/>
  <c r="AG6" i="1" l="1"/>
  <c r="E58" i="17"/>
  <c r="AH6" i="1"/>
  <c r="AD10" i="1"/>
  <c r="AH12" i="1"/>
  <c r="AH14" i="1"/>
  <c r="AN13" i="1"/>
  <c r="AJ11" i="1"/>
  <c r="AJ12" i="1" s="1"/>
  <c r="AF14" i="1"/>
  <c r="AF6" i="1"/>
  <c r="AI10" i="1"/>
  <c r="AK10" i="1"/>
  <c r="AK11" i="1" s="1"/>
  <c r="AK12" i="1" s="1"/>
  <c r="AJ6" i="1"/>
  <c r="AI14" i="1"/>
  <c r="AI6" i="1"/>
  <c r="AN5" i="1"/>
  <c r="AN7" i="1"/>
  <c r="AN8" i="1" s="1"/>
  <c r="AK14" i="1"/>
  <c r="AN4" i="1"/>
  <c r="AM5" i="1"/>
  <c r="AM4" i="1"/>
  <c r="AK6" i="1"/>
  <c r="AF10" i="1"/>
  <c r="AG8" i="1"/>
  <c r="AM7" i="1"/>
  <c r="AM8" i="1" s="1"/>
  <c r="AM13" i="1"/>
  <c r="AG11" i="1"/>
  <c r="AG12" i="1" s="1"/>
  <c r="AJ14" i="1"/>
  <c r="AD14" i="1"/>
  <c r="AD6" i="1"/>
  <c r="W14" i="1"/>
  <c r="V14" i="1"/>
  <c r="U14" i="1"/>
  <c r="T14" i="1"/>
  <c r="S14" i="1"/>
  <c r="R14" i="1"/>
  <c r="Q14" i="1"/>
  <c r="P14" i="1"/>
  <c r="O14" i="1"/>
  <c r="N14" i="1"/>
  <c r="M14" i="1"/>
  <c r="L14" i="1"/>
  <c r="K14" i="1"/>
  <c r="J14" i="1"/>
  <c r="I14" i="1"/>
  <c r="H14" i="1"/>
  <c r="G14" i="1"/>
  <c r="F14" i="1"/>
  <c r="E14" i="1"/>
  <c r="D14" i="1"/>
  <c r="C14" i="1"/>
  <c r="AU12" i="1"/>
  <c r="AT12" i="1"/>
  <c r="AS12" i="1"/>
  <c r="AR12" i="1"/>
  <c r="AQ12" i="1"/>
  <c r="W11" i="1"/>
  <c r="W12" i="1" s="1"/>
  <c r="V11" i="1"/>
  <c r="V12" i="1" s="1"/>
  <c r="U11" i="1"/>
  <c r="U12" i="1" s="1"/>
  <c r="T11" i="1"/>
  <c r="S11" i="1"/>
  <c r="S12" i="1" s="1"/>
  <c r="R11" i="1"/>
  <c r="R12" i="1" s="1"/>
  <c r="Q11" i="1"/>
  <c r="Q12" i="1" s="1"/>
  <c r="P11" i="1"/>
  <c r="P12" i="1" s="1"/>
  <c r="O11" i="1"/>
  <c r="O12" i="1" s="1"/>
  <c r="N11" i="1"/>
  <c r="N12" i="1" s="1"/>
  <c r="M11" i="1"/>
  <c r="M12" i="1" s="1"/>
  <c r="L11" i="1"/>
  <c r="L12" i="1" s="1"/>
  <c r="K11" i="1"/>
  <c r="K12" i="1" s="1"/>
  <c r="J11" i="1"/>
  <c r="J12" i="1" s="1"/>
  <c r="I11" i="1"/>
  <c r="H11" i="1"/>
  <c r="G11" i="1"/>
  <c r="G12" i="1" s="1"/>
  <c r="F11" i="1"/>
  <c r="F12" i="1" s="1"/>
  <c r="E11" i="1"/>
  <c r="E12" i="1" s="1"/>
  <c r="D11" i="1"/>
  <c r="D12" i="1" s="1"/>
  <c r="C11" i="1"/>
  <c r="AU9" i="1"/>
  <c r="AT9" i="1"/>
  <c r="AS9" i="1"/>
  <c r="AR9" i="1"/>
  <c r="AQ9" i="1"/>
  <c r="W8" i="1"/>
  <c r="V8" i="1"/>
  <c r="U8" i="1"/>
  <c r="T8" i="1"/>
  <c r="S8" i="1"/>
  <c r="R8" i="1"/>
  <c r="Q8" i="1"/>
  <c r="P8" i="1"/>
  <c r="O8" i="1"/>
  <c r="N8" i="1"/>
  <c r="M8" i="1"/>
  <c r="L8" i="1"/>
  <c r="K8" i="1"/>
  <c r="J8" i="1"/>
  <c r="I8" i="1"/>
  <c r="H8" i="1"/>
  <c r="G8" i="1"/>
  <c r="F8" i="1"/>
  <c r="E8" i="1"/>
  <c r="D8" i="1"/>
  <c r="C8" i="1"/>
  <c r="AU6" i="1"/>
  <c r="AU13" i="1" s="1"/>
  <c r="AT6" i="1"/>
  <c r="AT13" i="1" s="1"/>
  <c r="AS6" i="1"/>
  <c r="AS13" i="1" s="1"/>
  <c r="AR6" i="1"/>
  <c r="AR13" i="1" s="1"/>
  <c r="AQ6" i="1"/>
  <c r="AQ13" i="1" s="1"/>
  <c r="W6" i="1"/>
  <c r="V6" i="1"/>
  <c r="U6" i="1"/>
  <c r="T6" i="1"/>
  <c r="S6" i="1"/>
  <c r="R6" i="1"/>
  <c r="Q6" i="1"/>
  <c r="P6" i="1"/>
  <c r="O6" i="1"/>
  <c r="N6" i="1"/>
  <c r="M6" i="1"/>
  <c r="L6" i="1"/>
  <c r="K6" i="1"/>
  <c r="J6" i="1"/>
  <c r="I6" i="1"/>
  <c r="H6" i="1"/>
  <c r="G6" i="1"/>
  <c r="F6" i="1"/>
  <c r="E6" i="1"/>
  <c r="D6" i="1"/>
  <c r="C6" i="1"/>
  <c r="AD8" i="1" l="1"/>
  <c r="AD11" i="1"/>
  <c r="AD12" i="1" s="1"/>
  <c r="AM10" i="1"/>
  <c r="AM11" i="1" s="1"/>
  <c r="AM12" i="1" s="1"/>
  <c r="AI11" i="1"/>
  <c r="AI12" i="1" s="1"/>
  <c r="I12" i="1"/>
  <c r="AN6" i="1"/>
  <c r="AN14" i="1"/>
  <c r="AF11" i="1"/>
  <c r="AF12" i="1" s="1"/>
  <c r="AN10" i="1"/>
  <c r="AN11" i="1" s="1"/>
  <c r="AN12" i="1" s="1"/>
  <c r="AM14" i="1"/>
  <c r="AM6" i="1"/>
  <c r="T12" i="1"/>
  <c r="C12" i="1"/>
  <c r="H12" i="1"/>
  <c r="AC25" i="4"/>
  <c r="AC24" i="4"/>
  <c r="AC23" i="4"/>
  <c r="AC22" i="4"/>
  <c r="AC3" i="4"/>
  <c r="L248" i="1"/>
  <c r="M248" i="1"/>
  <c r="V248" i="1" l="1"/>
  <c r="S248" i="1"/>
  <c r="S249" i="1" s="1"/>
  <c r="S250" i="1" s="1"/>
  <c r="R248" i="1"/>
  <c r="R249" i="1" s="1"/>
  <c r="R250" i="1" s="1"/>
  <c r="Q248" i="1"/>
  <c r="Q249" i="1" s="1"/>
  <c r="Q250" i="1" s="1"/>
  <c r="P248" i="1"/>
  <c r="M249" i="1"/>
  <c r="M250" i="1" s="1"/>
  <c r="K248" i="1"/>
  <c r="K249" i="1" s="1"/>
  <c r="K250" i="1" s="1"/>
  <c r="J248" i="1"/>
  <c r="J249" i="1" s="1"/>
  <c r="J250" i="1" s="1"/>
  <c r="I248" i="1"/>
  <c r="I249" i="1" s="1"/>
  <c r="I250" i="1" s="1"/>
  <c r="G248" i="1"/>
  <c r="G249" i="1" s="1"/>
  <c r="G250" i="1" s="1"/>
  <c r="W252" i="1"/>
  <c r="V252" i="1"/>
  <c r="U252" i="1"/>
  <c r="T252" i="1"/>
  <c r="S252" i="1"/>
  <c r="R252" i="1"/>
  <c r="Q252" i="1"/>
  <c r="P252" i="1"/>
  <c r="O252" i="1"/>
  <c r="N252" i="1"/>
  <c r="M252" i="1"/>
  <c r="L252" i="1"/>
  <c r="K252" i="1"/>
  <c r="J252" i="1"/>
  <c r="I252" i="1"/>
  <c r="H252" i="1"/>
  <c r="G252" i="1"/>
  <c r="F252" i="1"/>
  <c r="E252" i="1"/>
  <c r="D252" i="1"/>
  <c r="C252" i="1"/>
  <c r="AJ250" i="1"/>
  <c r="AG250" i="1"/>
  <c r="AF250" i="1"/>
  <c r="AE250" i="1"/>
  <c r="AD250" i="1"/>
  <c r="V249" i="1"/>
  <c r="V250" i="1" s="1"/>
  <c r="W248" i="1"/>
  <c r="W249" i="1" s="1"/>
  <c r="W250" i="1" s="1"/>
  <c r="U248" i="1"/>
  <c r="U249" i="1" s="1"/>
  <c r="U250" i="1" s="1"/>
  <c r="T248" i="1"/>
  <c r="T249" i="1" s="1"/>
  <c r="T250" i="1" s="1"/>
  <c r="P249" i="1"/>
  <c r="P250" i="1" s="1"/>
  <c r="O248" i="1"/>
  <c r="O249" i="1" s="1"/>
  <c r="O250" i="1" s="1"/>
  <c r="N248" i="1"/>
  <c r="N249" i="1" s="1"/>
  <c r="N250" i="1" s="1"/>
  <c r="L249" i="1"/>
  <c r="L250" i="1" s="1"/>
  <c r="H248" i="1"/>
  <c r="H249" i="1" s="1"/>
  <c r="F248" i="1"/>
  <c r="F249" i="1" s="1"/>
  <c r="F250" i="1" s="1"/>
  <c r="E248" i="1"/>
  <c r="E249" i="1" s="1"/>
  <c r="E250" i="1" s="1"/>
  <c r="D248" i="1"/>
  <c r="D249" i="1" s="1"/>
  <c r="D250" i="1" s="1"/>
  <c r="C248" i="1"/>
  <c r="C249" i="1" s="1"/>
  <c r="C250" i="1" s="1"/>
  <c r="AJ247" i="1"/>
  <c r="AG247" i="1"/>
  <c r="AF247" i="1"/>
  <c r="AE247" i="1"/>
  <c r="AD247" i="1"/>
  <c r="W246" i="1"/>
  <c r="V246" i="1"/>
  <c r="U246" i="1"/>
  <c r="T246" i="1"/>
  <c r="S246" i="1"/>
  <c r="R246" i="1"/>
  <c r="Q246" i="1"/>
  <c r="P246" i="1"/>
  <c r="O246" i="1"/>
  <c r="N246" i="1"/>
  <c r="M246" i="1"/>
  <c r="L246" i="1"/>
  <c r="K246" i="1"/>
  <c r="J246" i="1"/>
  <c r="I246" i="1"/>
  <c r="H246" i="1"/>
  <c r="G246" i="1"/>
  <c r="F246" i="1"/>
  <c r="E246" i="1"/>
  <c r="D246" i="1"/>
  <c r="C246" i="1"/>
  <c r="AJ244" i="1"/>
  <c r="AG244" i="1"/>
  <c r="AF244" i="1"/>
  <c r="AE244" i="1"/>
  <c r="AD244" i="1"/>
  <c r="W244" i="1"/>
  <c r="V244" i="1"/>
  <c r="U244" i="1"/>
  <c r="T244" i="1"/>
  <c r="S244" i="1"/>
  <c r="R244" i="1"/>
  <c r="Q244" i="1"/>
  <c r="P244" i="1"/>
  <c r="O244" i="1"/>
  <c r="N244" i="1"/>
  <c r="M244" i="1"/>
  <c r="L244" i="1"/>
  <c r="K244" i="1"/>
  <c r="J244" i="1"/>
  <c r="I244" i="1"/>
  <c r="H244" i="1"/>
  <c r="G244" i="1"/>
  <c r="F244" i="1"/>
  <c r="E244" i="1"/>
  <c r="D244" i="1"/>
  <c r="C244" i="1"/>
  <c r="AE251" i="1" l="1"/>
  <c r="AG251" i="1"/>
  <c r="AD251" i="1"/>
  <c r="AJ251" i="1"/>
  <c r="AF251" i="1"/>
  <c r="H250" i="1"/>
  <c r="X249" i="1"/>
  <c r="W266" i="1"/>
  <c r="W262" i="1"/>
  <c r="W263" i="1" s="1"/>
  <c r="W264" i="1" s="1"/>
  <c r="W261" i="1"/>
  <c r="W260" i="1"/>
  <c r="W258" i="1"/>
  <c r="V262" i="1" l="1"/>
  <c r="S262" i="1"/>
  <c r="Q262" i="1"/>
  <c r="O262" i="1"/>
  <c r="M262" i="1"/>
  <c r="L262" i="1"/>
  <c r="L263" i="1" s="1"/>
  <c r="L264" i="1" s="1"/>
  <c r="K262" i="1"/>
  <c r="K263" i="1" s="1"/>
  <c r="K264" i="1" s="1"/>
  <c r="J262" i="1"/>
  <c r="J263" i="1" s="1"/>
  <c r="J264" i="1" s="1"/>
  <c r="I262" i="1"/>
  <c r="I263" i="1" s="1"/>
  <c r="I264" i="1" s="1"/>
  <c r="C260" i="1"/>
  <c r="D260" i="1"/>
  <c r="E260" i="1"/>
  <c r="F260" i="1"/>
  <c r="G260" i="1"/>
  <c r="H260" i="1"/>
  <c r="I260" i="1"/>
  <c r="J260" i="1"/>
  <c r="K260" i="1"/>
  <c r="L260" i="1"/>
  <c r="C277" i="1"/>
  <c r="C278" i="1" s="1"/>
  <c r="D277" i="1"/>
  <c r="E277" i="1"/>
  <c r="E278" i="1" s="1"/>
  <c r="F277" i="1"/>
  <c r="G277" i="1"/>
  <c r="H277" i="1"/>
  <c r="I277" i="1"/>
  <c r="J277" i="1"/>
  <c r="K277" i="1"/>
  <c r="L277" i="1"/>
  <c r="H262" i="1"/>
  <c r="H263" i="1" s="1"/>
  <c r="H264" i="1" s="1"/>
  <c r="C266" i="1"/>
  <c r="G262" i="1"/>
  <c r="G263" i="1" s="1"/>
  <c r="G264" i="1" s="1"/>
  <c r="F262" i="1"/>
  <c r="F263" i="1" s="1"/>
  <c r="F264" i="1" s="1"/>
  <c r="E262" i="1"/>
  <c r="E263" i="1" s="1"/>
  <c r="E264" i="1" s="1"/>
  <c r="L258" i="1"/>
  <c r="K258" i="1"/>
  <c r="J258" i="1"/>
  <c r="I258" i="1"/>
  <c r="H258" i="1"/>
  <c r="G258" i="1"/>
  <c r="F258" i="1"/>
  <c r="E258" i="1"/>
  <c r="D262" i="1"/>
  <c r="D263" i="1" s="1"/>
  <c r="D264" i="1" s="1"/>
  <c r="L266" i="1"/>
  <c r="K266" i="1"/>
  <c r="J266" i="1"/>
  <c r="I266" i="1"/>
  <c r="H266" i="1"/>
  <c r="G266" i="1"/>
  <c r="F266" i="1"/>
  <c r="C262" i="1"/>
  <c r="C263" i="1" s="1"/>
  <c r="C264" i="1" s="1"/>
  <c r="E266" i="1"/>
  <c r="E280" i="1"/>
  <c r="D266" i="1"/>
  <c r="D280" i="1"/>
  <c r="C280" i="1"/>
  <c r="D278" i="1"/>
  <c r="D258" i="1"/>
  <c r="D272" i="1"/>
  <c r="C258" i="1"/>
  <c r="C272" i="1"/>
  <c r="V266" i="1" l="1"/>
  <c r="U266" i="1"/>
  <c r="T266" i="1"/>
  <c r="S266" i="1"/>
  <c r="R266" i="1"/>
  <c r="Q266" i="1"/>
  <c r="P266" i="1"/>
  <c r="O266" i="1"/>
  <c r="N266" i="1"/>
  <c r="M266" i="1"/>
  <c r="AJ264" i="1"/>
  <c r="AG264" i="1"/>
  <c r="AF264" i="1"/>
  <c r="AE264" i="1"/>
  <c r="AD264" i="1"/>
  <c r="X263" i="1"/>
  <c r="V263" i="1"/>
  <c r="V264" i="1" s="1"/>
  <c r="S263" i="1"/>
  <c r="S264" i="1" s="1"/>
  <c r="O263" i="1"/>
  <c r="O264" i="1" s="1"/>
  <c r="U262" i="1"/>
  <c r="U263" i="1" s="1"/>
  <c r="U264" i="1" s="1"/>
  <c r="T262" i="1"/>
  <c r="T263" i="1" s="1"/>
  <c r="T264" i="1" s="1"/>
  <c r="R262" i="1"/>
  <c r="R263" i="1" s="1"/>
  <c r="R264" i="1" s="1"/>
  <c r="Q263" i="1"/>
  <c r="Q264" i="1" s="1"/>
  <c r="P262" i="1"/>
  <c r="P263" i="1" s="1"/>
  <c r="P264" i="1" s="1"/>
  <c r="N262" i="1"/>
  <c r="N263" i="1" s="1"/>
  <c r="N264" i="1" s="1"/>
  <c r="M263" i="1"/>
  <c r="M264" i="1" s="1"/>
  <c r="AJ261" i="1"/>
  <c r="AG261" i="1"/>
  <c r="AF261" i="1"/>
  <c r="AE261" i="1"/>
  <c r="AD261" i="1"/>
  <c r="V261" i="1"/>
  <c r="U261" i="1"/>
  <c r="T261" i="1"/>
  <c r="V260" i="1"/>
  <c r="U260" i="1"/>
  <c r="T260" i="1"/>
  <c r="S260" i="1"/>
  <c r="R260" i="1"/>
  <c r="Q260" i="1"/>
  <c r="P260" i="1"/>
  <c r="O260" i="1"/>
  <c r="N260" i="1"/>
  <c r="M260" i="1"/>
  <c r="AJ258" i="1"/>
  <c r="AG258" i="1"/>
  <c r="AF258" i="1"/>
  <c r="AE258" i="1"/>
  <c r="AD258" i="1"/>
  <c r="V258" i="1"/>
  <c r="U258" i="1"/>
  <c r="T258" i="1"/>
  <c r="S258" i="1"/>
  <c r="R258" i="1"/>
  <c r="Q258" i="1"/>
  <c r="P258" i="1"/>
  <c r="O258" i="1"/>
  <c r="N258" i="1"/>
  <c r="M258" i="1"/>
  <c r="AJ265" i="1" l="1"/>
  <c r="AF265" i="1"/>
  <c r="AG265" i="1"/>
  <c r="AD265" i="1"/>
  <c r="AE265" i="1"/>
  <c r="V276" i="1"/>
  <c r="V277" i="1" s="1"/>
  <c r="V278" i="1" s="1"/>
  <c r="S276" i="1"/>
  <c r="S277" i="1" s="1"/>
  <c r="S278" i="1" s="1"/>
  <c r="R276" i="1"/>
  <c r="R277" i="1" s="1"/>
  <c r="R278" i="1" s="1"/>
  <c r="Q276" i="1"/>
  <c r="Q277" i="1" s="1"/>
  <c r="Q278" i="1" s="1"/>
  <c r="P276" i="1"/>
  <c r="P277" i="1" s="1"/>
  <c r="P278" i="1" s="1"/>
  <c r="M276" i="1"/>
  <c r="V280" i="1"/>
  <c r="U280" i="1"/>
  <c r="T280" i="1"/>
  <c r="S280" i="1"/>
  <c r="R280" i="1"/>
  <c r="Q280" i="1"/>
  <c r="P280" i="1"/>
  <c r="O280" i="1"/>
  <c r="N280" i="1"/>
  <c r="M280" i="1"/>
  <c r="AG278" i="1"/>
  <c r="AF278" i="1"/>
  <c r="AE278" i="1"/>
  <c r="AD278" i="1"/>
  <c r="AC278" i="1"/>
  <c r="U276" i="1"/>
  <c r="U277" i="1" s="1"/>
  <c r="U278" i="1" s="1"/>
  <c r="T276" i="1"/>
  <c r="T277" i="1" s="1"/>
  <c r="T278" i="1" s="1"/>
  <c r="O276" i="1"/>
  <c r="O277" i="1" s="1"/>
  <c r="O278" i="1" s="1"/>
  <c r="N276" i="1"/>
  <c r="N277" i="1" s="1"/>
  <c r="N278" i="1" s="1"/>
  <c r="M277" i="1"/>
  <c r="M278" i="1" s="1"/>
  <c r="AG275" i="1"/>
  <c r="AF275" i="1"/>
  <c r="AE275" i="1"/>
  <c r="AD275" i="1"/>
  <c r="AC275" i="1"/>
  <c r="V275" i="1"/>
  <c r="U275" i="1"/>
  <c r="T275" i="1"/>
  <c r="V274" i="1"/>
  <c r="U274" i="1"/>
  <c r="T274" i="1"/>
  <c r="S274" i="1"/>
  <c r="R274" i="1"/>
  <c r="Q274" i="1"/>
  <c r="P274" i="1"/>
  <c r="O274" i="1"/>
  <c r="N274" i="1"/>
  <c r="M274" i="1"/>
  <c r="AG272" i="1"/>
  <c r="AF272" i="1"/>
  <c r="AF279" i="1" s="1"/>
  <c r="AE272" i="1"/>
  <c r="AD272" i="1"/>
  <c r="AC272" i="1"/>
  <c r="V272" i="1"/>
  <c r="U272" i="1"/>
  <c r="T272" i="1"/>
  <c r="S272" i="1"/>
  <c r="R272" i="1"/>
  <c r="Q272" i="1"/>
  <c r="P272" i="1"/>
  <c r="O272" i="1"/>
  <c r="N272" i="1"/>
  <c r="M272" i="1"/>
  <c r="AC279" i="1" l="1"/>
  <c r="AG279" i="1"/>
  <c r="AD279" i="1"/>
  <c r="AE279" i="1"/>
  <c r="W277" i="1"/>
  <c r="S290" i="1"/>
  <c r="R290" i="1"/>
  <c r="P290" i="1"/>
  <c r="P291" i="1" s="1"/>
  <c r="P292" i="1" s="1"/>
  <c r="L290" i="1"/>
  <c r="L291" i="1" s="1"/>
  <c r="L292" i="1" s="1"/>
  <c r="K290" i="1"/>
  <c r="K291" i="1" s="1"/>
  <c r="K292" i="1" s="1"/>
  <c r="I290" i="1"/>
  <c r="I291" i="1" s="1"/>
  <c r="I292" i="1" s="1"/>
  <c r="E290" i="1"/>
  <c r="E291" i="1" s="1"/>
  <c r="E292" i="1" s="1"/>
  <c r="D290" i="1"/>
  <c r="D291" i="1" s="1"/>
  <c r="D292" i="1" s="1"/>
  <c r="V294" i="1"/>
  <c r="U294" i="1"/>
  <c r="T294" i="1"/>
  <c r="S294" i="1"/>
  <c r="R294" i="1"/>
  <c r="Q294" i="1"/>
  <c r="P294" i="1"/>
  <c r="O294" i="1"/>
  <c r="N294" i="1"/>
  <c r="M294" i="1"/>
  <c r="L294" i="1"/>
  <c r="K294" i="1"/>
  <c r="J294" i="1"/>
  <c r="I294" i="1"/>
  <c r="H294" i="1"/>
  <c r="G294" i="1"/>
  <c r="F294" i="1"/>
  <c r="E294" i="1"/>
  <c r="D294" i="1"/>
  <c r="C294" i="1"/>
  <c r="AG292" i="1"/>
  <c r="AF292" i="1"/>
  <c r="AE292" i="1"/>
  <c r="AD292" i="1"/>
  <c r="AC292" i="1"/>
  <c r="V290" i="1"/>
  <c r="V291" i="1" s="1"/>
  <c r="V292" i="1" s="1"/>
  <c r="U290" i="1"/>
  <c r="U291" i="1" s="1"/>
  <c r="U292" i="1" s="1"/>
  <c r="T290" i="1"/>
  <c r="T291" i="1" s="1"/>
  <c r="T292" i="1" s="1"/>
  <c r="S291" i="1"/>
  <c r="S292" i="1" s="1"/>
  <c r="R291" i="1"/>
  <c r="R292" i="1" s="1"/>
  <c r="Q290" i="1"/>
  <c r="Q291" i="1" s="1"/>
  <c r="Q292" i="1" s="1"/>
  <c r="O290" i="1"/>
  <c r="O291" i="1" s="1"/>
  <c r="O292" i="1" s="1"/>
  <c r="N290" i="1"/>
  <c r="N291" i="1" s="1"/>
  <c r="N292" i="1" s="1"/>
  <c r="M290" i="1"/>
  <c r="M291" i="1" s="1"/>
  <c r="M292" i="1" s="1"/>
  <c r="J290" i="1"/>
  <c r="J291" i="1" s="1"/>
  <c r="J292" i="1" s="1"/>
  <c r="H290" i="1"/>
  <c r="H291" i="1" s="1"/>
  <c r="G290" i="1"/>
  <c r="G291" i="1" s="1"/>
  <c r="G292" i="1" s="1"/>
  <c r="F290" i="1"/>
  <c r="F291" i="1" s="1"/>
  <c r="F292" i="1" s="1"/>
  <c r="C290" i="1"/>
  <c r="C291" i="1" s="1"/>
  <c r="C292" i="1" s="1"/>
  <c r="AG289" i="1"/>
  <c r="AF289" i="1"/>
  <c r="AE289" i="1"/>
  <c r="AD289" i="1"/>
  <c r="AC289" i="1"/>
  <c r="V289" i="1"/>
  <c r="U289" i="1"/>
  <c r="T289" i="1"/>
  <c r="V288" i="1"/>
  <c r="U288" i="1"/>
  <c r="T288" i="1"/>
  <c r="S288" i="1"/>
  <c r="R288" i="1"/>
  <c r="Q288" i="1"/>
  <c r="P288" i="1"/>
  <c r="O288" i="1"/>
  <c r="N288" i="1"/>
  <c r="M288" i="1"/>
  <c r="L288" i="1"/>
  <c r="K288" i="1"/>
  <c r="J288" i="1"/>
  <c r="I288" i="1"/>
  <c r="H288" i="1"/>
  <c r="G288" i="1"/>
  <c r="F288" i="1"/>
  <c r="E288" i="1"/>
  <c r="D288" i="1"/>
  <c r="C288" i="1"/>
  <c r="AG286" i="1"/>
  <c r="AF286" i="1"/>
  <c r="AE286" i="1"/>
  <c r="AD286" i="1"/>
  <c r="AC286" i="1"/>
  <c r="V286" i="1"/>
  <c r="U286" i="1"/>
  <c r="T286" i="1"/>
  <c r="S286" i="1"/>
  <c r="R286" i="1"/>
  <c r="Q286" i="1"/>
  <c r="P286" i="1"/>
  <c r="O286" i="1"/>
  <c r="N286" i="1"/>
  <c r="M286" i="1"/>
  <c r="L286" i="1"/>
  <c r="K286" i="1"/>
  <c r="J286" i="1"/>
  <c r="I286" i="1"/>
  <c r="H286" i="1"/>
  <c r="G286" i="1"/>
  <c r="F286" i="1"/>
  <c r="E286" i="1"/>
  <c r="D286" i="1"/>
  <c r="C286" i="1"/>
  <c r="AD293" i="1" l="1"/>
  <c r="AE293" i="1"/>
  <c r="AF293" i="1"/>
  <c r="AC293" i="1"/>
  <c r="AG293" i="1"/>
  <c r="W291" i="1"/>
  <c r="H292" i="1"/>
  <c r="S304" i="1"/>
  <c r="R304" i="1"/>
  <c r="Q304" i="1"/>
  <c r="P304" i="1"/>
  <c r="O304" i="1"/>
  <c r="N304" i="1"/>
  <c r="M304" i="1"/>
  <c r="L304" i="1"/>
  <c r="K304" i="1"/>
  <c r="J304" i="1"/>
  <c r="I304" i="1"/>
  <c r="F304" i="1"/>
  <c r="C304" i="1" l="1"/>
  <c r="C305" i="1" s="1"/>
  <c r="C306" i="1" s="1"/>
  <c r="V308" i="1"/>
  <c r="U308" i="1"/>
  <c r="T308" i="1"/>
  <c r="S308" i="1"/>
  <c r="R308" i="1"/>
  <c r="Q308" i="1"/>
  <c r="P308" i="1"/>
  <c r="O308" i="1"/>
  <c r="N308" i="1"/>
  <c r="M308" i="1"/>
  <c r="L308" i="1"/>
  <c r="K308" i="1"/>
  <c r="J308" i="1"/>
  <c r="I308" i="1"/>
  <c r="H308" i="1"/>
  <c r="G308" i="1"/>
  <c r="F308" i="1"/>
  <c r="E308" i="1"/>
  <c r="D308" i="1"/>
  <c r="C308" i="1"/>
  <c r="AG306" i="1"/>
  <c r="AF306" i="1"/>
  <c r="AE306" i="1"/>
  <c r="AD306" i="1"/>
  <c r="AC306" i="1"/>
  <c r="V304" i="1"/>
  <c r="V305" i="1" s="1"/>
  <c r="V306" i="1" s="1"/>
  <c r="U304" i="1"/>
  <c r="U305" i="1" s="1"/>
  <c r="U306" i="1" s="1"/>
  <c r="T304" i="1"/>
  <c r="T305" i="1" s="1"/>
  <c r="T306" i="1" s="1"/>
  <c r="S305" i="1"/>
  <c r="S306" i="1" s="1"/>
  <c r="R305" i="1"/>
  <c r="R306" i="1" s="1"/>
  <c r="Q305" i="1"/>
  <c r="Q306" i="1" s="1"/>
  <c r="P305" i="1"/>
  <c r="P306" i="1" s="1"/>
  <c r="O305" i="1"/>
  <c r="O306" i="1" s="1"/>
  <c r="N305" i="1"/>
  <c r="N306" i="1" s="1"/>
  <c r="M305" i="1"/>
  <c r="M306" i="1" s="1"/>
  <c r="L305" i="1"/>
  <c r="L306" i="1" s="1"/>
  <c r="K305" i="1"/>
  <c r="K306" i="1" s="1"/>
  <c r="J305" i="1"/>
  <c r="J306" i="1" s="1"/>
  <c r="I305" i="1"/>
  <c r="I306" i="1" s="1"/>
  <c r="H304" i="1"/>
  <c r="H305" i="1" s="1"/>
  <c r="G304" i="1"/>
  <c r="G305" i="1" s="1"/>
  <c r="G306" i="1" s="1"/>
  <c r="F305" i="1"/>
  <c r="F306" i="1" s="1"/>
  <c r="E304" i="1"/>
  <c r="E305" i="1" s="1"/>
  <c r="E306" i="1" s="1"/>
  <c r="D304" i="1"/>
  <c r="D305" i="1" s="1"/>
  <c r="D306" i="1" s="1"/>
  <c r="AG303" i="1"/>
  <c r="AF303" i="1"/>
  <c r="AE303" i="1"/>
  <c r="AD303" i="1"/>
  <c r="AC303" i="1"/>
  <c r="V303" i="1"/>
  <c r="U303" i="1"/>
  <c r="T303" i="1"/>
  <c r="V302" i="1"/>
  <c r="U302" i="1"/>
  <c r="T302" i="1"/>
  <c r="S302" i="1"/>
  <c r="R302" i="1"/>
  <c r="Q302" i="1"/>
  <c r="P302" i="1"/>
  <c r="O302" i="1"/>
  <c r="N302" i="1"/>
  <c r="M302" i="1"/>
  <c r="L302" i="1"/>
  <c r="K302" i="1"/>
  <c r="J302" i="1"/>
  <c r="I302" i="1"/>
  <c r="H302" i="1"/>
  <c r="G302" i="1"/>
  <c r="F302" i="1"/>
  <c r="E302" i="1"/>
  <c r="D302" i="1"/>
  <c r="C302" i="1"/>
  <c r="AG300" i="1"/>
  <c r="AG307" i="1" s="1"/>
  <c r="AF300" i="1"/>
  <c r="AF307" i="1" s="1"/>
  <c r="AE300" i="1"/>
  <c r="AE307" i="1" s="1"/>
  <c r="AD300" i="1"/>
  <c r="AD307" i="1" s="1"/>
  <c r="AC300" i="1"/>
  <c r="AC307" i="1" s="1"/>
  <c r="V300" i="1"/>
  <c r="U300" i="1"/>
  <c r="T300" i="1"/>
  <c r="S300" i="1"/>
  <c r="R300" i="1"/>
  <c r="Q300" i="1"/>
  <c r="P300" i="1"/>
  <c r="O300" i="1"/>
  <c r="N300" i="1"/>
  <c r="M300" i="1"/>
  <c r="L300" i="1"/>
  <c r="K300" i="1"/>
  <c r="J300" i="1"/>
  <c r="I300" i="1"/>
  <c r="H300" i="1"/>
  <c r="G300" i="1"/>
  <c r="F300" i="1"/>
  <c r="E300" i="1"/>
  <c r="D300" i="1"/>
  <c r="C300" i="1"/>
  <c r="H306" i="1" l="1"/>
  <c r="W305" i="1"/>
  <c r="U318" i="1"/>
  <c r="V318" i="1" l="1"/>
  <c r="V319" i="1" s="1"/>
  <c r="V320" i="1" s="1"/>
  <c r="V322" i="1"/>
  <c r="V317" i="1"/>
  <c r="V316" i="1"/>
  <c r="V314" i="1"/>
  <c r="S318" i="1"/>
  <c r="R318" i="1"/>
  <c r="Q318" i="1"/>
  <c r="L318" i="1"/>
  <c r="K318" i="1"/>
  <c r="J318" i="1"/>
  <c r="U322" i="1" l="1"/>
  <c r="T322" i="1"/>
  <c r="S322" i="1"/>
  <c r="R322" i="1"/>
  <c r="Q322" i="1"/>
  <c r="P322" i="1"/>
  <c r="O322" i="1"/>
  <c r="N322" i="1"/>
  <c r="M322" i="1"/>
  <c r="L322" i="1"/>
  <c r="K322" i="1"/>
  <c r="J322" i="1"/>
  <c r="I322" i="1"/>
  <c r="H322" i="1"/>
  <c r="G322" i="1"/>
  <c r="F322" i="1"/>
  <c r="E322" i="1"/>
  <c r="D322" i="1"/>
  <c r="C322" i="1"/>
  <c r="AG320" i="1"/>
  <c r="AF320" i="1"/>
  <c r="AE320" i="1"/>
  <c r="AD320" i="1"/>
  <c r="AC320" i="1"/>
  <c r="U319" i="1"/>
  <c r="U320" i="1" s="1"/>
  <c r="S319" i="1"/>
  <c r="S320" i="1" s="1"/>
  <c r="Q319" i="1"/>
  <c r="Q320" i="1" s="1"/>
  <c r="K319" i="1"/>
  <c r="K320" i="1" s="1"/>
  <c r="T318" i="1"/>
  <c r="T319" i="1" s="1"/>
  <c r="T320" i="1" s="1"/>
  <c r="R319" i="1"/>
  <c r="R320" i="1" s="1"/>
  <c r="P318" i="1"/>
  <c r="P319" i="1" s="1"/>
  <c r="P320" i="1" s="1"/>
  <c r="O318" i="1"/>
  <c r="O319" i="1" s="1"/>
  <c r="O320" i="1" s="1"/>
  <c r="N318" i="1"/>
  <c r="N319" i="1" s="1"/>
  <c r="N320" i="1" s="1"/>
  <c r="M318" i="1"/>
  <c r="M319" i="1" s="1"/>
  <c r="M320" i="1" s="1"/>
  <c r="L319" i="1"/>
  <c r="L320" i="1" s="1"/>
  <c r="J319" i="1"/>
  <c r="J320" i="1" s="1"/>
  <c r="I318" i="1"/>
  <c r="I319" i="1" s="1"/>
  <c r="I320" i="1" s="1"/>
  <c r="H318" i="1"/>
  <c r="H319" i="1" s="1"/>
  <c r="G318" i="1"/>
  <c r="G319" i="1" s="1"/>
  <c r="G320" i="1" s="1"/>
  <c r="F318" i="1"/>
  <c r="F319" i="1" s="1"/>
  <c r="F320" i="1" s="1"/>
  <c r="E318" i="1"/>
  <c r="E319" i="1" s="1"/>
  <c r="E320" i="1" s="1"/>
  <c r="D318" i="1"/>
  <c r="D319" i="1" s="1"/>
  <c r="D320" i="1" s="1"/>
  <c r="C318" i="1"/>
  <c r="C319" i="1" s="1"/>
  <c r="C320" i="1" s="1"/>
  <c r="AG317" i="1"/>
  <c r="AF317" i="1"/>
  <c r="AE317" i="1"/>
  <c r="AD317" i="1"/>
  <c r="AC317" i="1"/>
  <c r="U317" i="1"/>
  <c r="T317" i="1"/>
  <c r="U316" i="1"/>
  <c r="T316" i="1"/>
  <c r="S316" i="1"/>
  <c r="R316" i="1"/>
  <c r="Q316" i="1"/>
  <c r="P316" i="1"/>
  <c r="O316" i="1"/>
  <c r="N316" i="1"/>
  <c r="M316" i="1"/>
  <c r="L316" i="1"/>
  <c r="K316" i="1"/>
  <c r="J316" i="1"/>
  <c r="I316" i="1"/>
  <c r="H316" i="1"/>
  <c r="G316" i="1"/>
  <c r="F316" i="1"/>
  <c r="E316" i="1"/>
  <c r="D316" i="1"/>
  <c r="C316" i="1"/>
  <c r="AG314" i="1"/>
  <c r="AF314" i="1"/>
  <c r="AE314" i="1"/>
  <c r="AD314" i="1"/>
  <c r="AC314" i="1"/>
  <c r="U314" i="1"/>
  <c r="T314" i="1"/>
  <c r="S314" i="1"/>
  <c r="R314" i="1"/>
  <c r="Q314" i="1"/>
  <c r="P314" i="1"/>
  <c r="O314" i="1"/>
  <c r="N314" i="1"/>
  <c r="M314" i="1"/>
  <c r="L314" i="1"/>
  <c r="K314" i="1"/>
  <c r="J314" i="1"/>
  <c r="I314" i="1"/>
  <c r="H314" i="1"/>
  <c r="G314" i="1"/>
  <c r="F314" i="1"/>
  <c r="E314" i="1"/>
  <c r="D314" i="1"/>
  <c r="C314" i="1"/>
  <c r="AF321" i="1" l="1"/>
  <c r="AC321" i="1"/>
  <c r="AG321" i="1"/>
  <c r="AE321" i="1"/>
  <c r="AD321" i="1"/>
  <c r="W319" i="1"/>
  <c r="H320" i="1"/>
  <c r="U332" i="1" l="1"/>
  <c r="U333" i="1" s="1"/>
  <c r="U334" i="1" s="1"/>
  <c r="T332" i="1"/>
  <c r="T333" i="1" s="1"/>
  <c r="T334" i="1" s="1"/>
  <c r="D332" i="1"/>
  <c r="D333" i="1" s="1"/>
  <c r="D334" i="1" s="1"/>
  <c r="C332" i="1"/>
  <c r="C333" i="1" s="1"/>
  <c r="C334" i="1" s="1"/>
  <c r="S332" i="1"/>
  <c r="S333" i="1" s="1"/>
  <c r="S334" i="1" s="1"/>
  <c r="R332" i="1"/>
  <c r="R333" i="1" s="1"/>
  <c r="R334" i="1" s="1"/>
  <c r="Q332" i="1"/>
  <c r="Q333" i="1" s="1"/>
  <c r="Q334" i="1" s="1"/>
  <c r="L332" i="1"/>
  <c r="L333" i="1" s="1"/>
  <c r="L334" i="1" s="1"/>
  <c r="K332" i="1"/>
  <c r="K333" i="1" s="1"/>
  <c r="K334" i="1" s="1"/>
  <c r="J332" i="1"/>
  <c r="J333" i="1" s="1"/>
  <c r="J334" i="1" s="1"/>
  <c r="E332" i="1"/>
  <c r="E333" i="1" s="1"/>
  <c r="E334" i="1" s="1"/>
  <c r="U336" i="1"/>
  <c r="T336" i="1"/>
  <c r="R336" i="1"/>
  <c r="Q336" i="1"/>
  <c r="P336" i="1"/>
  <c r="O336" i="1"/>
  <c r="M336" i="1"/>
  <c r="L336" i="1"/>
  <c r="K336" i="1"/>
  <c r="J336" i="1"/>
  <c r="I336" i="1"/>
  <c r="G336" i="1"/>
  <c r="F336" i="1"/>
  <c r="E336" i="1"/>
  <c r="D336" i="1"/>
  <c r="AG334" i="1"/>
  <c r="AF334" i="1"/>
  <c r="AE334" i="1"/>
  <c r="AD334" i="1"/>
  <c r="AC334" i="1"/>
  <c r="P332" i="1"/>
  <c r="P333" i="1" s="1"/>
  <c r="P334" i="1" s="1"/>
  <c r="O332" i="1"/>
  <c r="O333" i="1" s="1"/>
  <c r="O334" i="1" s="1"/>
  <c r="N332" i="1"/>
  <c r="N333" i="1" s="1"/>
  <c r="N334" i="1" s="1"/>
  <c r="M332" i="1"/>
  <c r="M333" i="1" s="1"/>
  <c r="M334" i="1" s="1"/>
  <c r="I332" i="1"/>
  <c r="I333" i="1" s="1"/>
  <c r="I334" i="1" s="1"/>
  <c r="H332" i="1"/>
  <c r="H333" i="1" s="1"/>
  <c r="G332" i="1"/>
  <c r="G333" i="1" s="1"/>
  <c r="G334" i="1" s="1"/>
  <c r="F332" i="1"/>
  <c r="F333" i="1" s="1"/>
  <c r="F334" i="1" s="1"/>
  <c r="AG331" i="1"/>
  <c r="AF331" i="1"/>
  <c r="AE331" i="1"/>
  <c r="AD331" i="1"/>
  <c r="AC331" i="1"/>
  <c r="U331" i="1"/>
  <c r="T331" i="1"/>
  <c r="U330" i="1"/>
  <c r="T330" i="1"/>
  <c r="S330" i="1"/>
  <c r="R330" i="1"/>
  <c r="Q330" i="1"/>
  <c r="P330" i="1"/>
  <c r="O330" i="1"/>
  <c r="N330" i="1"/>
  <c r="M330" i="1"/>
  <c r="L330" i="1"/>
  <c r="K330" i="1"/>
  <c r="J330" i="1"/>
  <c r="I330" i="1"/>
  <c r="H330" i="1"/>
  <c r="G330" i="1"/>
  <c r="F330" i="1"/>
  <c r="E330" i="1"/>
  <c r="D330" i="1"/>
  <c r="C330" i="1"/>
  <c r="AG328" i="1"/>
  <c r="AF328" i="1"/>
  <c r="AE328" i="1"/>
  <c r="AD328" i="1"/>
  <c r="AC328" i="1"/>
  <c r="U328" i="1"/>
  <c r="T328" i="1"/>
  <c r="R328" i="1"/>
  <c r="Q328" i="1"/>
  <c r="P328" i="1"/>
  <c r="O328" i="1"/>
  <c r="M328" i="1"/>
  <c r="K328" i="1"/>
  <c r="J328" i="1"/>
  <c r="I328" i="1"/>
  <c r="G328" i="1"/>
  <c r="F328" i="1"/>
  <c r="E328" i="1"/>
  <c r="D328" i="1"/>
  <c r="S328" i="1"/>
  <c r="L328" i="1"/>
  <c r="C328" i="1"/>
  <c r="S336" i="1"/>
  <c r="N328" i="1"/>
  <c r="H336" i="1"/>
  <c r="C336" i="1"/>
  <c r="C340" i="1"/>
  <c r="H354" i="1"/>
  <c r="H340" i="1"/>
  <c r="AD335" i="1" l="1"/>
  <c r="AE335" i="1"/>
  <c r="AF335" i="1"/>
  <c r="AC335" i="1"/>
  <c r="AG335" i="1"/>
  <c r="V333" i="1"/>
  <c r="H334" i="1"/>
  <c r="H328" i="1"/>
  <c r="N336" i="1"/>
  <c r="E382" i="1"/>
  <c r="D350" i="1"/>
  <c r="E350" i="1"/>
  <c r="F350" i="1"/>
  <c r="G350" i="1"/>
  <c r="I350" i="1"/>
  <c r="J350" i="1"/>
  <c r="K350" i="1"/>
  <c r="M350" i="1"/>
  <c r="O350" i="1"/>
  <c r="P350" i="1"/>
  <c r="Q350" i="1"/>
  <c r="R350" i="1"/>
  <c r="T350" i="1"/>
  <c r="U350" i="1"/>
  <c r="C4" i="12"/>
  <c r="H4" i="12"/>
  <c r="L4" i="12"/>
  <c r="N4" i="12"/>
  <c r="N14" i="12" s="1"/>
  <c r="S4" i="12"/>
  <c r="C5" i="12"/>
  <c r="H5" i="12"/>
  <c r="H6" i="12" s="1"/>
  <c r="L5" i="12"/>
  <c r="N5" i="12"/>
  <c r="S5" i="12"/>
  <c r="D6" i="12"/>
  <c r="E6" i="12"/>
  <c r="F6" i="12"/>
  <c r="G6" i="12"/>
  <c r="I6" i="12"/>
  <c r="J6" i="12"/>
  <c r="K6" i="12"/>
  <c r="M6" i="12"/>
  <c r="O6" i="12"/>
  <c r="P6" i="12"/>
  <c r="Q6" i="12"/>
  <c r="R6" i="12"/>
  <c r="T6" i="12"/>
  <c r="U6" i="12"/>
  <c r="AC6" i="12"/>
  <c r="AD6" i="12"/>
  <c r="AE6" i="12"/>
  <c r="AF6" i="12"/>
  <c r="AG6" i="12"/>
  <c r="C8" i="12"/>
  <c r="D8" i="12"/>
  <c r="E8" i="12"/>
  <c r="F8" i="12"/>
  <c r="G8" i="12"/>
  <c r="H8" i="12"/>
  <c r="I8" i="12"/>
  <c r="J8" i="12"/>
  <c r="K8" i="12"/>
  <c r="L8" i="12"/>
  <c r="M8" i="12"/>
  <c r="N8" i="12"/>
  <c r="O8" i="12"/>
  <c r="P8" i="12"/>
  <c r="Q8" i="12"/>
  <c r="R8" i="12"/>
  <c r="S8" i="12"/>
  <c r="T8" i="12"/>
  <c r="U8" i="12"/>
  <c r="T9" i="12"/>
  <c r="U9" i="12"/>
  <c r="AC9" i="12"/>
  <c r="AD9" i="12"/>
  <c r="AE9" i="12"/>
  <c r="AF9" i="12"/>
  <c r="AG9" i="12"/>
  <c r="C10" i="12"/>
  <c r="C11" i="12" s="1"/>
  <c r="C12" i="12" s="1"/>
  <c r="D10" i="12"/>
  <c r="D11" i="12" s="1"/>
  <c r="D12" i="12" s="1"/>
  <c r="E10" i="12"/>
  <c r="E11" i="12" s="1"/>
  <c r="E12" i="12" s="1"/>
  <c r="F10" i="12"/>
  <c r="F11" i="12" s="1"/>
  <c r="F12" i="12" s="1"/>
  <c r="G10" i="12"/>
  <c r="G11" i="12" s="1"/>
  <c r="G12" i="12" s="1"/>
  <c r="H10" i="12"/>
  <c r="H11" i="12" s="1"/>
  <c r="V11" i="12" s="1"/>
  <c r="I10" i="12"/>
  <c r="I11" i="12" s="1"/>
  <c r="I12" i="12" s="1"/>
  <c r="J10" i="12"/>
  <c r="J11" i="12" s="1"/>
  <c r="J12" i="12" s="1"/>
  <c r="K10" i="12"/>
  <c r="L10" i="12"/>
  <c r="L11" i="12" s="1"/>
  <c r="M10" i="12"/>
  <c r="M11" i="12" s="1"/>
  <c r="M12" i="12" s="1"/>
  <c r="N10" i="12"/>
  <c r="N11" i="12" s="1"/>
  <c r="O10" i="12"/>
  <c r="O11" i="12" s="1"/>
  <c r="O12" i="12" s="1"/>
  <c r="P10" i="12"/>
  <c r="P11" i="12" s="1"/>
  <c r="P12" i="12" s="1"/>
  <c r="Q10" i="12"/>
  <c r="Q11" i="12" s="1"/>
  <c r="Q12" i="12" s="1"/>
  <c r="R10" i="12"/>
  <c r="R11" i="12" s="1"/>
  <c r="R12" i="12" s="1"/>
  <c r="S10" i="12"/>
  <c r="S11" i="12" s="1"/>
  <c r="T10" i="12"/>
  <c r="T11" i="12" s="1"/>
  <c r="T12" i="12" s="1"/>
  <c r="U10" i="12"/>
  <c r="U11" i="12" s="1"/>
  <c r="U12" i="12" s="1"/>
  <c r="K11" i="12"/>
  <c r="K12" i="12" s="1"/>
  <c r="AC12" i="12"/>
  <c r="AD12" i="12"/>
  <c r="AE12" i="12"/>
  <c r="AF12" i="12"/>
  <c r="AG12" i="12"/>
  <c r="C14" i="12"/>
  <c r="D14" i="12"/>
  <c r="E14" i="12"/>
  <c r="F14" i="12"/>
  <c r="G14" i="12"/>
  <c r="H14" i="12"/>
  <c r="I14" i="12"/>
  <c r="J14" i="12"/>
  <c r="K14" i="12"/>
  <c r="M14" i="12"/>
  <c r="O14" i="12"/>
  <c r="P14" i="12"/>
  <c r="Q14" i="12"/>
  <c r="R14" i="12"/>
  <c r="T14" i="12"/>
  <c r="U14" i="12"/>
  <c r="Q346" i="1"/>
  <c r="P346" i="1"/>
  <c r="J346" i="1"/>
  <c r="H350" i="1"/>
  <c r="I346" i="1"/>
  <c r="N12" i="12" l="1"/>
  <c r="AF13" i="12"/>
  <c r="S6" i="12"/>
  <c r="C6" i="12"/>
  <c r="S14" i="12"/>
  <c r="S12" i="12"/>
  <c r="AG13" i="12"/>
  <c r="AC13" i="12"/>
  <c r="L6" i="12"/>
  <c r="H12" i="12"/>
  <c r="N6" i="12"/>
  <c r="L12" i="12"/>
  <c r="AE13" i="12"/>
  <c r="AD13" i="12"/>
  <c r="L14" i="12"/>
  <c r="K346" i="1" l="1"/>
  <c r="AG348" i="1" l="1"/>
  <c r="AF348" i="1"/>
  <c r="AE348" i="1"/>
  <c r="AD348" i="1"/>
  <c r="AC348" i="1"/>
  <c r="K347" i="1"/>
  <c r="K348" i="1" s="1"/>
  <c r="J347" i="1"/>
  <c r="J348" i="1" s="1"/>
  <c r="U346" i="1"/>
  <c r="U347" i="1" s="1"/>
  <c r="U348" i="1" s="1"/>
  <c r="T346" i="1"/>
  <c r="T347" i="1" s="1"/>
  <c r="T348" i="1" s="1"/>
  <c r="S346" i="1"/>
  <c r="S347" i="1" s="1"/>
  <c r="R346" i="1"/>
  <c r="R347" i="1" s="1"/>
  <c r="R348" i="1" s="1"/>
  <c r="Q347" i="1"/>
  <c r="Q348" i="1" s="1"/>
  <c r="P347" i="1"/>
  <c r="P348" i="1" s="1"/>
  <c r="O346" i="1"/>
  <c r="O347" i="1" s="1"/>
  <c r="O348" i="1" s="1"/>
  <c r="N346" i="1"/>
  <c r="N347" i="1" s="1"/>
  <c r="M346" i="1"/>
  <c r="M347" i="1" s="1"/>
  <c r="M348" i="1" s="1"/>
  <c r="L346" i="1"/>
  <c r="L347" i="1" s="1"/>
  <c r="I347" i="1"/>
  <c r="I348" i="1" s="1"/>
  <c r="H346" i="1"/>
  <c r="H347" i="1" s="1"/>
  <c r="G346" i="1"/>
  <c r="G347" i="1" s="1"/>
  <c r="G348" i="1" s="1"/>
  <c r="F346" i="1"/>
  <c r="F347" i="1" s="1"/>
  <c r="F348" i="1" s="1"/>
  <c r="E346" i="1"/>
  <c r="E347" i="1" s="1"/>
  <c r="E348" i="1" s="1"/>
  <c r="D346" i="1"/>
  <c r="D347" i="1" s="1"/>
  <c r="D348" i="1" s="1"/>
  <c r="C346" i="1"/>
  <c r="C347" i="1" s="1"/>
  <c r="AG345" i="1"/>
  <c r="AF345" i="1"/>
  <c r="AE345" i="1"/>
  <c r="AD345" i="1"/>
  <c r="AC345" i="1"/>
  <c r="U345" i="1"/>
  <c r="T345" i="1"/>
  <c r="U344" i="1"/>
  <c r="T344" i="1"/>
  <c r="S344" i="1"/>
  <c r="R344" i="1"/>
  <c r="Q344" i="1"/>
  <c r="P344" i="1"/>
  <c r="O344" i="1"/>
  <c r="N344" i="1"/>
  <c r="M344" i="1"/>
  <c r="L344" i="1"/>
  <c r="K344" i="1"/>
  <c r="J344" i="1"/>
  <c r="I344" i="1"/>
  <c r="H344" i="1"/>
  <c r="G344" i="1"/>
  <c r="F344" i="1"/>
  <c r="E344" i="1"/>
  <c r="D344" i="1"/>
  <c r="C344" i="1"/>
  <c r="AG342" i="1"/>
  <c r="AG349" i="1" s="1"/>
  <c r="AF342" i="1"/>
  <c r="AE342" i="1"/>
  <c r="AD342" i="1"/>
  <c r="AC342" i="1"/>
  <c r="AC349" i="1" s="1"/>
  <c r="U342" i="1"/>
  <c r="T342" i="1"/>
  <c r="R342" i="1"/>
  <c r="Q342" i="1"/>
  <c r="P342" i="1"/>
  <c r="O342" i="1"/>
  <c r="M342" i="1"/>
  <c r="K342" i="1"/>
  <c r="J342" i="1"/>
  <c r="I342" i="1"/>
  <c r="G342" i="1"/>
  <c r="F342" i="1"/>
  <c r="E342" i="1"/>
  <c r="D342" i="1"/>
  <c r="S350" i="1"/>
  <c r="N350" i="1"/>
  <c r="L350" i="1"/>
  <c r="C350" i="1"/>
  <c r="AD349" i="1" l="1"/>
  <c r="AE349" i="1"/>
  <c r="AF349" i="1"/>
  <c r="S342" i="1"/>
  <c r="C342" i="1"/>
  <c r="L342" i="1"/>
  <c r="N342" i="1"/>
  <c r="S348" i="1"/>
  <c r="L348" i="1"/>
  <c r="C348" i="1"/>
  <c r="N348" i="1"/>
  <c r="H348" i="1"/>
  <c r="V347" i="1"/>
  <c r="H342" i="1"/>
  <c r="L360" i="1"/>
  <c r="L361" i="1" s="1"/>
  <c r="K360" i="1"/>
  <c r="K361" i="1" s="1"/>
  <c r="K362" i="1" s="1"/>
  <c r="J360" i="1"/>
  <c r="J361" i="1" s="1"/>
  <c r="J362" i="1" s="1"/>
  <c r="G360" i="1"/>
  <c r="G361" i="1" s="1"/>
  <c r="H356" i="1"/>
  <c r="I360" i="1"/>
  <c r="I361" i="1" s="1"/>
  <c r="I362" i="1" s="1"/>
  <c r="S360" i="1"/>
  <c r="S361" i="1" s="1"/>
  <c r="R360" i="1"/>
  <c r="R361" i="1" s="1"/>
  <c r="R362" i="1" s="1"/>
  <c r="Q360" i="1"/>
  <c r="Q361" i="1" s="1"/>
  <c r="Q362" i="1" s="1"/>
  <c r="P360" i="1"/>
  <c r="P361" i="1" s="1"/>
  <c r="P362" i="1" s="1"/>
  <c r="O360" i="1"/>
  <c r="O361" i="1" s="1"/>
  <c r="O362" i="1" s="1"/>
  <c r="M360" i="1"/>
  <c r="M361" i="1" s="1"/>
  <c r="M362" i="1" s="1"/>
  <c r="AG362" i="1"/>
  <c r="AF362" i="1"/>
  <c r="AE362" i="1"/>
  <c r="AD362" i="1"/>
  <c r="AC362" i="1"/>
  <c r="U360" i="1"/>
  <c r="U361" i="1" s="1"/>
  <c r="U362" i="1" s="1"/>
  <c r="T360" i="1"/>
  <c r="T361" i="1" s="1"/>
  <c r="T362" i="1" s="1"/>
  <c r="N360" i="1"/>
  <c r="N361" i="1" s="1"/>
  <c r="H360" i="1"/>
  <c r="H361" i="1" s="1"/>
  <c r="F360" i="1"/>
  <c r="F361" i="1" s="1"/>
  <c r="F362" i="1" s="1"/>
  <c r="E360" i="1"/>
  <c r="E361" i="1" s="1"/>
  <c r="E362" i="1" s="1"/>
  <c r="D360" i="1"/>
  <c r="D361" i="1" s="1"/>
  <c r="D362" i="1" s="1"/>
  <c r="C360" i="1"/>
  <c r="C361" i="1" s="1"/>
  <c r="AG359" i="1"/>
  <c r="AF359" i="1"/>
  <c r="AE359" i="1"/>
  <c r="AD359" i="1"/>
  <c r="AC359" i="1"/>
  <c r="U359" i="1"/>
  <c r="T359" i="1"/>
  <c r="U358" i="1"/>
  <c r="T358" i="1"/>
  <c r="S358" i="1"/>
  <c r="R358" i="1"/>
  <c r="Q358" i="1"/>
  <c r="P358" i="1"/>
  <c r="O358" i="1"/>
  <c r="N358" i="1"/>
  <c r="M358" i="1"/>
  <c r="L358" i="1"/>
  <c r="K358" i="1"/>
  <c r="J358" i="1"/>
  <c r="I358" i="1"/>
  <c r="H358" i="1"/>
  <c r="G358" i="1"/>
  <c r="F358" i="1"/>
  <c r="E358" i="1"/>
  <c r="D358" i="1"/>
  <c r="C358" i="1"/>
  <c r="AG356" i="1"/>
  <c r="AF356" i="1"/>
  <c r="AE356" i="1"/>
  <c r="AD356" i="1"/>
  <c r="AC356" i="1"/>
  <c r="U356" i="1"/>
  <c r="T356" i="1"/>
  <c r="R356" i="1"/>
  <c r="Q356" i="1"/>
  <c r="P356" i="1"/>
  <c r="O356" i="1"/>
  <c r="M356" i="1"/>
  <c r="K356" i="1"/>
  <c r="J356" i="1"/>
  <c r="I356" i="1"/>
  <c r="G356" i="1"/>
  <c r="F356" i="1"/>
  <c r="E356" i="1"/>
  <c r="D356" i="1"/>
  <c r="N362" i="1" l="1"/>
  <c r="S362" i="1"/>
  <c r="L362" i="1"/>
  <c r="S356" i="1"/>
  <c r="C356" i="1"/>
  <c r="C362" i="1"/>
  <c r="L356" i="1"/>
  <c r="G362" i="1"/>
  <c r="N356" i="1"/>
  <c r="V361" i="1"/>
  <c r="H362" i="1"/>
  <c r="U372" i="1"/>
  <c r="U373" i="1" s="1"/>
  <c r="U374" i="1" s="1"/>
  <c r="T372" i="1"/>
  <c r="T373" i="1" s="1"/>
  <c r="T374" i="1" s="1"/>
  <c r="S372" i="1"/>
  <c r="S373" i="1" s="1"/>
  <c r="R372" i="1"/>
  <c r="R373" i="1" s="1"/>
  <c r="R374" i="1" s="1"/>
  <c r="Q372" i="1"/>
  <c r="Q373" i="1" s="1"/>
  <c r="Q374" i="1" s="1"/>
  <c r="P372" i="1"/>
  <c r="P373" i="1" s="1"/>
  <c r="P374" i="1" s="1"/>
  <c r="L372" i="1"/>
  <c r="L373" i="1" s="1"/>
  <c r="K372" i="1"/>
  <c r="K373" i="1" s="1"/>
  <c r="K374" i="1" s="1"/>
  <c r="J372" i="1"/>
  <c r="J373" i="1" s="1"/>
  <c r="J374" i="1" s="1"/>
  <c r="I372" i="1"/>
  <c r="C372" i="1"/>
  <c r="C373" i="1" s="1"/>
  <c r="C374" i="1" s="1"/>
  <c r="AG398" i="1"/>
  <c r="AF398" i="1"/>
  <c r="AE398" i="1"/>
  <c r="AD398" i="1"/>
  <c r="AC398" i="1"/>
  <c r="U397" i="1"/>
  <c r="U398" i="1" s="1"/>
  <c r="T397" i="1"/>
  <c r="T398" i="1" s="1"/>
  <c r="S397" i="1"/>
  <c r="R397" i="1"/>
  <c r="R398" i="1" s="1"/>
  <c r="Q397" i="1"/>
  <c r="Q398" i="1" s="1"/>
  <c r="P397" i="1"/>
  <c r="P398" i="1" s="1"/>
  <c r="O397" i="1"/>
  <c r="O398" i="1" s="1"/>
  <c r="N397" i="1"/>
  <c r="M397" i="1"/>
  <c r="M398" i="1" s="1"/>
  <c r="L397" i="1"/>
  <c r="K397" i="1"/>
  <c r="K398" i="1" s="1"/>
  <c r="J397" i="1"/>
  <c r="J398" i="1" s="1"/>
  <c r="I397" i="1"/>
  <c r="I398" i="1" s="1"/>
  <c r="H397" i="1"/>
  <c r="H398" i="1" s="1"/>
  <c r="G397" i="1"/>
  <c r="G398" i="1" s="1"/>
  <c r="F397" i="1"/>
  <c r="F398" i="1" s="1"/>
  <c r="E397" i="1"/>
  <c r="E398" i="1" s="1"/>
  <c r="D397" i="1"/>
  <c r="D398" i="1" s="1"/>
  <c r="C397" i="1"/>
  <c r="C398" i="1" s="1"/>
  <c r="AG395" i="1"/>
  <c r="AF395" i="1"/>
  <c r="AE395" i="1"/>
  <c r="AD395" i="1"/>
  <c r="AC395" i="1"/>
  <c r="U395" i="1"/>
  <c r="T395" i="1"/>
  <c r="U394" i="1"/>
  <c r="T394" i="1"/>
  <c r="S394" i="1"/>
  <c r="R394" i="1"/>
  <c r="Q394" i="1"/>
  <c r="P394" i="1"/>
  <c r="O394" i="1"/>
  <c r="N394" i="1"/>
  <c r="M394" i="1"/>
  <c r="L394" i="1"/>
  <c r="K394" i="1"/>
  <c r="J394" i="1"/>
  <c r="I394" i="1"/>
  <c r="H394" i="1"/>
  <c r="G394" i="1"/>
  <c r="F394" i="1"/>
  <c r="E394" i="1"/>
  <c r="D394" i="1"/>
  <c r="C394" i="1"/>
  <c r="AG392" i="1"/>
  <c r="AF392" i="1"/>
  <c r="AE392" i="1"/>
  <c r="AD392" i="1"/>
  <c r="AC392" i="1"/>
  <c r="U392" i="1"/>
  <c r="T392" i="1"/>
  <c r="R392" i="1"/>
  <c r="Q392" i="1"/>
  <c r="P392" i="1"/>
  <c r="O392" i="1"/>
  <c r="M392" i="1"/>
  <c r="K392" i="1"/>
  <c r="J392" i="1"/>
  <c r="I392" i="1"/>
  <c r="H392" i="1"/>
  <c r="G392" i="1"/>
  <c r="F392" i="1"/>
  <c r="E392" i="1"/>
  <c r="D392" i="1"/>
  <c r="C392" i="1"/>
  <c r="S390" i="1"/>
  <c r="S392" i="1" s="1"/>
  <c r="N390" i="1"/>
  <c r="N392" i="1" s="1"/>
  <c r="L390" i="1"/>
  <c r="AG386" i="1"/>
  <c r="AF386" i="1"/>
  <c r="AE386" i="1"/>
  <c r="AD386" i="1"/>
  <c r="AC386" i="1"/>
  <c r="R385" i="1"/>
  <c r="R386" i="1" s="1"/>
  <c r="N385" i="1"/>
  <c r="J385" i="1"/>
  <c r="J386" i="1" s="1"/>
  <c r="F385" i="1"/>
  <c r="F386" i="1" s="1"/>
  <c r="U385" i="1"/>
  <c r="U386" i="1" s="1"/>
  <c r="T385" i="1"/>
  <c r="T386" i="1" s="1"/>
  <c r="S385" i="1"/>
  <c r="Q385" i="1"/>
  <c r="Q386" i="1" s="1"/>
  <c r="P385" i="1"/>
  <c r="P386" i="1" s="1"/>
  <c r="O385" i="1"/>
  <c r="O386" i="1" s="1"/>
  <c r="M385" i="1"/>
  <c r="M386" i="1" s="1"/>
  <c r="L385" i="1"/>
  <c r="K385" i="1"/>
  <c r="K386" i="1" s="1"/>
  <c r="I385" i="1"/>
  <c r="I386" i="1" s="1"/>
  <c r="H385" i="1"/>
  <c r="G385" i="1"/>
  <c r="G386" i="1" s="1"/>
  <c r="E385" i="1"/>
  <c r="E386" i="1" s="1"/>
  <c r="D385" i="1"/>
  <c r="D386" i="1" s="1"/>
  <c r="C385" i="1"/>
  <c r="C386" i="1" s="1"/>
  <c r="AG383" i="1"/>
  <c r="AF383" i="1"/>
  <c r="AE383" i="1"/>
  <c r="AD383" i="1"/>
  <c r="AC383" i="1"/>
  <c r="U383" i="1"/>
  <c r="T383" i="1"/>
  <c r="U382" i="1"/>
  <c r="T382" i="1"/>
  <c r="S382" i="1"/>
  <c r="R382" i="1"/>
  <c r="Q382" i="1"/>
  <c r="P382" i="1"/>
  <c r="O382" i="1"/>
  <c r="N382" i="1"/>
  <c r="M382" i="1"/>
  <c r="L382" i="1"/>
  <c r="K382" i="1"/>
  <c r="J382" i="1"/>
  <c r="I382" i="1"/>
  <c r="H382" i="1"/>
  <c r="G382" i="1"/>
  <c r="F382" i="1"/>
  <c r="D382" i="1"/>
  <c r="C382" i="1"/>
  <c r="AG380" i="1"/>
  <c r="AF380" i="1"/>
  <c r="AE380" i="1"/>
  <c r="AD380" i="1"/>
  <c r="AC380" i="1"/>
  <c r="U380" i="1"/>
  <c r="T380" i="1"/>
  <c r="R380" i="1"/>
  <c r="Q380" i="1"/>
  <c r="P380" i="1"/>
  <c r="O380" i="1"/>
  <c r="M380" i="1"/>
  <c r="K380" i="1"/>
  <c r="J380" i="1"/>
  <c r="I380" i="1"/>
  <c r="H380" i="1"/>
  <c r="G380" i="1"/>
  <c r="F380" i="1"/>
  <c r="E380" i="1"/>
  <c r="D380" i="1"/>
  <c r="C380" i="1"/>
  <c r="S378" i="1"/>
  <c r="S380" i="1" s="1"/>
  <c r="N378" i="1"/>
  <c r="N380" i="1" s="1"/>
  <c r="L378" i="1"/>
  <c r="L380" i="1" s="1"/>
  <c r="AG374" i="1"/>
  <c r="AF374" i="1"/>
  <c r="AE374" i="1"/>
  <c r="AD374" i="1"/>
  <c r="AC374" i="1"/>
  <c r="I373" i="1"/>
  <c r="I374" i="1" s="1"/>
  <c r="O372" i="1"/>
  <c r="O373" i="1" s="1"/>
  <c r="O374" i="1" s="1"/>
  <c r="N372" i="1"/>
  <c r="N373" i="1" s="1"/>
  <c r="M372" i="1"/>
  <c r="M373" i="1" s="1"/>
  <c r="M374" i="1" s="1"/>
  <c r="H372" i="1"/>
  <c r="H373" i="1" s="1"/>
  <c r="V373" i="1" s="1"/>
  <c r="G372" i="1"/>
  <c r="G373" i="1" s="1"/>
  <c r="G374" i="1" s="1"/>
  <c r="F372" i="1"/>
  <c r="F373" i="1" s="1"/>
  <c r="F374" i="1" s="1"/>
  <c r="E372" i="1"/>
  <c r="E373" i="1" s="1"/>
  <c r="E374" i="1" s="1"/>
  <c r="D372" i="1"/>
  <c r="D373" i="1" s="1"/>
  <c r="D374" i="1" s="1"/>
  <c r="AG371" i="1"/>
  <c r="AF371" i="1"/>
  <c r="AE371" i="1"/>
  <c r="AD371" i="1"/>
  <c r="AC371" i="1"/>
  <c r="U371" i="1"/>
  <c r="T371" i="1"/>
  <c r="U370" i="1"/>
  <c r="T370" i="1"/>
  <c r="S370" i="1"/>
  <c r="R370" i="1"/>
  <c r="Q370" i="1"/>
  <c r="P370" i="1"/>
  <c r="O370" i="1"/>
  <c r="N370" i="1"/>
  <c r="M370" i="1"/>
  <c r="L370" i="1"/>
  <c r="K370" i="1"/>
  <c r="J370" i="1"/>
  <c r="I370" i="1"/>
  <c r="H370" i="1"/>
  <c r="G370" i="1"/>
  <c r="F370" i="1"/>
  <c r="E370" i="1"/>
  <c r="D370" i="1"/>
  <c r="C370" i="1"/>
  <c r="AG368" i="1"/>
  <c r="AF368" i="1"/>
  <c r="AE368" i="1"/>
  <c r="AD368" i="1"/>
  <c r="AC368" i="1"/>
  <c r="U368" i="1"/>
  <c r="T368" i="1"/>
  <c r="R368" i="1"/>
  <c r="Q368" i="1"/>
  <c r="P368" i="1"/>
  <c r="O368" i="1"/>
  <c r="M368" i="1"/>
  <c r="K368" i="1"/>
  <c r="J368" i="1"/>
  <c r="I368" i="1"/>
  <c r="H368" i="1"/>
  <c r="G368" i="1"/>
  <c r="F368" i="1"/>
  <c r="E368" i="1"/>
  <c r="D368" i="1"/>
  <c r="C368" i="1"/>
  <c r="S366" i="1"/>
  <c r="N366" i="1"/>
  <c r="L366" i="1"/>
  <c r="S368" i="1" l="1"/>
  <c r="L368" i="1"/>
  <c r="N368" i="1"/>
  <c r="L398" i="1"/>
  <c r="S386" i="1"/>
  <c r="L374" i="1"/>
  <c r="V397" i="1"/>
  <c r="S398" i="1"/>
  <c r="N386" i="1"/>
  <c r="S374" i="1"/>
  <c r="L386" i="1"/>
  <c r="N374" i="1"/>
  <c r="L392" i="1"/>
  <c r="N398" i="1"/>
  <c r="H386" i="1"/>
  <c r="V385" i="1"/>
  <c r="H374" i="1"/>
  <c r="U408" i="1"/>
  <c r="U409" i="1" s="1"/>
  <c r="U410" i="1" s="1"/>
  <c r="T408" i="1"/>
  <c r="T409" i="1" s="1"/>
  <c r="T410" i="1" s="1"/>
  <c r="S408" i="1"/>
  <c r="S409" i="1" s="1"/>
  <c r="R408" i="1"/>
  <c r="R409" i="1" s="1"/>
  <c r="R410" i="1" s="1"/>
  <c r="Q408" i="1"/>
  <c r="Q409" i="1" s="1"/>
  <c r="Q410" i="1" s="1"/>
  <c r="P408" i="1"/>
  <c r="P409" i="1" s="1"/>
  <c r="P410" i="1" s="1"/>
  <c r="O408" i="1"/>
  <c r="O409" i="1" s="1"/>
  <c r="O410" i="1" s="1"/>
  <c r="N408" i="1"/>
  <c r="N409" i="1" s="1"/>
  <c r="M408" i="1"/>
  <c r="M409" i="1" s="1"/>
  <c r="M410" i="1" s="1"/>
  <c r="L408" i="1"/>
  <c r="L409" i="1" s="1"/>
  <c r="K408" i="1"/>
  <c r="K409" i="1" s="1"/>
  <c r="K410" i="1" s="1"/>
  <c r="J408" i="1"/>
  <c r="J409" i="1" s="1"/>
  <c r="J410" i="1" s="1"/>
  <c r="I408" i="1"/>
  <c r="I409" i="1" s="1"/>
  <c r="I410" i="1" s="1"/>
  <c r="H408" i="1"/>
  <c r="H409" i="1" s="1"/>
  <c r="H410" i="1" s="1"/>
  <c r="G408" i="1"/>
  <c r="G409" i="1" s="1"/>
  <c r="G410" i="1" s="1"/>
  <c r="F408" i="1"/>
  <c r="F409" i="1" s="1"/>
  <c r="F410" i="1" s="1"/>
  <c r="E408" i="1"/>
  <c r="E409" i="1" s="1"/>
  <c r="E410" i="1" s="1"/>
  <c r="D408" i="1"/>
  <c r="D409" i="1" s="1"/>
  <c r="D410" i="1" s="1"/>
  <c r="C408" i="1"/>
  <c r="C409" i="1" s="1"/>
  <c r="C410" i="1" s="1"/>
  <c r="U407" i="1"/>
  <c r="T407" i="1"/>
  <c r="U406" i="1"/>
  <c r="T406" i="1"/>
  <c r="S406" i="1"/>
  <c r="R406" i="1"/>
  <c r="Q406" i="1"/>
  <c r="P406" i="1"/>
  <c r="O406" i="1"/>
  <c r="N406" i="1"/>
  <c r="M406" i="1"/>
  <c r="L406" i="1"/>
  <c r="K406" i="1"/>
  <c r="J406" i="1"/>
  <c r="I406" i="1"/>
  <c r="H406" i="1"/>
  <c r="G406" i="1"/>
  <c r="F406" i="1"/>
  <c r="E406" i="1"/>
  <c r="D406" i="1"/>
  <c r="C406" i="1"/>
  <c r="U404" i="1"/>
  <c r="T404" i="1"/>
  <c r="R404" i="1"/>
  <c r="Q404" i="1"/>
  <c r="P404" i="1"/>
  <c r="O404" i="1"/>
  <c r="M404" i="1"/>
  <c r="K404" i="1"/>
  <c r="J404" i="1"/>
  <c r="I404" i="1"/>
  <c r="H404" i="1"/>
  <c r="G404" i="1"/>
  <c r="F404" i="1"/>
  <c r="E404" i="1"/>
  <c r="D404" i="1"/>
  <c r="C404" i="1"/>
  <c r="S403" i="1"/>
  <c r="N403" i="1"/>
  <c r="L403" i="1"/>
  <c r="S402" i="1"/>
  <c r="N402" i="1"/>
  <c r="L402" i="1"/>
  <c r="AG410" i="1"/>
  <c r="AF410" i="1"/>
  <c r="AE410" i="1"/>
  <c r="AD410" i="1"/>
  <c r="AC410" i="1"/>
  <c r="AG407" i="1"/>
  <c r="AF407" i="1"/>
  <c r="AE407" i="1"/>
  <c r="AD407" i="1"/>
  <c r="AC407" i="1"/>
  <c r="AG404" i="1"/>
  <c r="AF404" i="1"/>
  <c r="AE404" i="1"/>
  <c r="AD404" i="1"/>
  <c r="AC404" i="1"/>
  <c r="N404" i="1" l="1"/>
  <c r="S404" i="1"/>
  <c r="N410" i="1"/>
  <c r="L404" i="1"/>
  <c r="S410" i="1"/>
  <c r="L410" i="1"/>
  <c r="V409" i="1"/>
  <c r="C420" i="1" l="1"/>
  <c r="L420" i="1"/>
  <c r="L415" i="1"/>
  <c r="K420" i="1"/>
  <c r="I420" i="1"/>
  <c r="S420" i="1"/>
  <c r="S415" i="1"/>
  <c r="S414" i="1"/>
  <c r="R420" i="1"/>
  <c r="P420" i="1"/>
  <c r="N420" i="1"/>
  <c r="N415" i="1"/>
  <c r="Q420" i="1" l="1"/>
  <c r="U420" i="1"/>
  <c r="T420" i="1"/>
  <c r="L421" i="1" l="1"/>
  <c r="L414" i="1"/>
  <c r="J420" i="1"/>
  <c r="J421" i="1" s="1"/>
  <c r="J422" i="1" s="1"/>
  <c r="I421" i="1"/>
  <c r="I422" i="1" s="1"/>
  <c r="G420" i="1"/>
  <c r="G421" i="1" s="1"/>
  <c r="G422" i="1" s="1"/>
  <c r="AG422" i="1"/>
  <c r="AF422" i="1"/>
  <c r="AE422" i="1"/>
  <c r="AD422" i="1"/>
  <c r="AC422" i="1"/>
  <c r="U421" i="1"/>
  <c r="U422" i="1" s="1"/>
  <c r="S421" i="1"/>
  <c r="S422" i="1" s="1"/>
  <c r="Q421" i="1"/>
  <c r="Q422" i="1" s="1"/>
  <c r="K421" i="1"/>
  <c r="K422" i="1" s="1"/>
  <c r="C421" i="1"/>
  <c r="C422" i="1" s="1"/>
  <c r="T421" i="1"/>
  <c r="T422" i="1" s="1"/>
  <c r="R421" i="1"/>
  <c r="R422" i="1" s="1"/>
  <c r="P421" i="1"/>
  <c r="P422" i="1" s="1"/>
  <c r="O420" i="1"/>
  <c r="O421" i="1" s="1"/>
  <c r="O422" i="1" s="1"/>
  <c r="N421" i="1"/>
  <c r="M420" i="1"/>
  <c r="M421" i="1" s="1"/>
  <c r="M422" i="1" s="1"/>
  <c r="H420" i="1"/>
  <c r="H421" i="1" s="1"/>
  <c r="F420" i="1"/>
  <c r="F421" i="1" s="1"/>
  <c r="F422" i="1" s="1"/>
  <c r="E420" i="1"/>
  <c r="E421" i="1" s="1"/>
  <c r="E422" i="1" s="1"/>
  <c r="D420" i="1"/>
  <c r="D421" i="1" s="1"/>
  <c r="D422" i="1" s="1"/>
  <c r="AG419" i="1"/>
  <c r="AF419" i="1"/>
  <c r="AE419" i="1"/>
  <c r="AD419" i="1"/>
  <c r="AC419" i="1"/>
  <c r="U419" i="1"/>
  <c r="T419" i="1"/>
  <c r="U418" i="1"/>
  <c r="T418" i="1"/>
  <c r="S418" i="1"/>
  <c r="R418" i="1"/>
  <c r="Q418" i="1"/>
  <c r="P418" i="1"/>
  <c r="O418" i="1"/>
  <c r="N418" i="1"/>
  <c r="M418" i="1"/>
  <c r="L418" i="1"/>
  <c r="K418" i="1"/>
  <c r="J418" i="1"/>
  <c r="I418" i="1"/>
  <c r="H418" i="1"/>
  <c r="G418" i="1"/>
  <c r="F418" i="1"/>
  <c r="E418" i="1"/>
  <c r="D418" i="1"/>
  <c r="C418" i="1"/>
  <c r="AG416" i="1"/>
  <c r="AF416" i="1"/>
  <c r="AE416" i="1"/>
  <c r="AD416" i="1"/>
  <c r="AC416" i="1"/>
  <c r="U416" i="1"/>
  <c r="T416" i="1"/>
  <c r="R416" i="1"/>
  <c r="Q416" i="1"/>
  <c r="P416" i="1"/>
  <c r="O416" i="1"/>
  <c r="M416" i="1"/>
  <c r="K416" i="1"/>
  <c r="J416" i="1"/>
  <c r="I416" i="1"/>
  <c r="H416" i="1"/>
  <c r="G416" i="1"/>
  <c r="F416" i="1"/>
  <c r="E416" i="1"/>
  <c r="D416" i="1"/>
  <c r="C416" i="1"/>
  <c r="S416" i="1"/>
  <c r="L416" i="1"/>
  <c r="N414" i="1"/>
  <c r="N416" i="1" s="1"/>
  <c r="N422" i="1" l="1"/>
  <c r="L422" i="1"/>
  <c r="V421" i="1"/>
  <c r="H422" i="1"/>
  <c r="L432" i="1"/>
  <c r="L433" i="1" s="1"/>
  <c r="L427" i="1"/>
  <c r="K432" i="1"/>
  <c r="K433" i="1" s="1"/>
  <c r="K434" i="1" s="1"/>
  <c r="H432" i="1"/>
  <c r="H433" i="1" s="1"/>
  <c r="G432" i="1"/>
  <c r="G433" i="1" s="1"/>
  <c r="G434" i="1" s="1"/>
  <c r="S432" i="1"/>
  <c r="S433" i="1" s="1"/>
  <c r="S427" i="1"/>
  <c r="R432" i="1"/>
  <c r="R433" i="1" s="1"/>
  <c r="R434" i="1" s="1"/>
  <c r="P432" i="1"/>
  <c r="P433" i="1" s="1"/>
  <c r="P434" i="1" s="1"/>
  <c r="N427" i="1"/>
  <c r="AG434" i="1"/>
  <c r="AF434" i="1"/>
  <c r="AE434" i="1"/>
  <c r="AD434" i="1"/>
  <c r="AC434" i="1"/>
  <c r="U432" i="1"/>
  <c r="U433" i="1" s="1"/>
  <c r="U434" i="1" s="1"/>
  <c r="T432" i="1"/>
  <c r="T433" i="1" s="1"/>
  <c r="T434" i="1" s="1"/>
  <c r="Q432" i="1"/>
  <c r="Q433" i="1" s="1"/>
  <c r="Q434" i="1" s="1"/>
  <c r="O432" i="1"/>
  <c r="O433" i="1" s="1"/>
  <c r="O434" i="1" s="1"/>
  <c r="N432" i="1"/>
  <c r="N433" i="1" s="1"/>
  <c r="M432" i="1"/>
  <c r="M433" i="1" s="1"/>
  <c r="M434" i="1" s="1"/>
  <c r="J432" i="1"/>
  <c r="J433" i="1" s="1"/>
  <c r="J434" i="1" s="1"/>
  <c r="I432" i="1"/>
  <c r="I433" i="1" s="1"/>
  <c r="I434" i="1" s="1"/>
  <c r="F432" i="1"/>
  <c r="F433" i="1" s="1"/>
  <c r="F434" i="1" s="1"/>
  <c r="E432" i="1"/>
  <c r="E433" i="1" s="1"/>
  <c r="E434" i="1" s="1"/>
  <c r="D432" i="1"/>
  <c r="D433" i="1" s="1"/>
  <c r="D434" i="1" s="1"/>
  <c r="C432" i="1"/>
  <c r="C433" i="1" s="1"/>
  <c r="C434" i="1" s="1"/>
  <c r="AG431" i="1"/>
  <c r="AF431" i="1"/>
  <c r="AE431" i="1"/>
  <c r="AD431" i="1"/>
  <c r="AC431" i="1"/>
  <c r="U431" i="1"/>
  <c r="T431" i="1"/>
  <c r="U430" i="1"/>
  <c r="T430" i="1"/>
  <c r="S430" i="1"/>
  <c r="R430" i="1"/>
  <c r="Q430" i="1"/>
  <c r="P430" i="1"/>
  <c r="O430" i="1"/>
  <c r="N430" i="1"/>
  <c r="M430" i="1"/>
  <c r="L430" i="1"/>
  <c r="K430" i="1"/>
  <c r="J430" i="1"/>
  <c r="I430" i="1"/>
  <c r="H430" i="1"/>
  <c r="G430" i="1"/>
  <c r="F430" i="1"/>
  <c r="E430" i="1"/>
  <c r="D430" i="1"/>
  <c r="C430" i="1"/>
  <c r="AG428" i="1"/>
  <c r="AF428" i="1"/>
  <c r="AE428" i="1"/>
  <c r="AD428" i="1"/>
  <c r="AC428" i="1"/>
  <c r="U428" i="1"/>
  <c r="T428" i="1"/>
  <c r="R428" i="1"/>
  <c r="Q428" i="1"/>
  <c r="P428" i="1"/>
  <c r="O428" i="1"/>
  <c r="M428" i="1"/>
  <c r="K428" i="1"/>
  <c r="J428" i="1"/>
  <c r="I428" i="1"/>
  <c r="H428" i="1"/>
  <c r="G428" i="1"/>
  <c r="F428" i="1"/>
  <c r="E428" i="1"/>
  <c r="D428" i="1"/>
  <c r="C428" i="1"/>
  <c r="S426" i="1"/>
  <c r="N426" i="1"/>
  <c r="L426" i="1"/>
  <c r="N434" i="1" l="1"/>
  <c r="N428" i="1"/>
  <c r="S434" i="1"/>
  <c r="L434" i="1"/>
  <c r="L428" i="1"/>
  <c r="H434" i="1"/>
  <c r="V433" i="1"/>
  <c r="S428" i="1"/>
  <c r="N444" i="1"/>
  <c r="S444" i="1" l="1"/>
  <c r="S445" i="1" s="1"/>
  <c r="S439" i="1"/>
  <c r="S438" i="1"/>
  <c r="N439" i="1"/>
  <c r="N438" i="1"/>
  <c r="P444" i="1"/>
  <c r="P445" i="1" s="1"/>
  <c r="P446" i="1" s="1"/>
  <c r="L439" i="1"/>
  <c r="L438" i="1"/>
  <c r="L444" i="1"/>
  <c r="L445" i="1" s="1"/>
  <c r="I444" i="1"/>
  <c r="I445" i="1" s="1"/>
  <c r="I446" i="1" s="1"/>
  <c r="AG446" i="1"/>
  <c r="AF446" i="1"/>
  <c r="AE446" i="1"/>
  <c r="AD446" i="1"/>
  <c r="AC446" i="1"/>
  <c r="U444" i="1"/>
  <c r="U445" i="1" s="1"/>
  <c r="U446" i="1" s="1"/>
  <c r="T444" i="1"/>
  <c r="T445" i="1" s="1"/>
  <c r="T446" i="1" s="1"/>
  <c r="R444" i="1"/>
  <c r="R445" i="1" s="1"/>
  <c r="R446" i="1" s="1"/>
  <c r="Q444" i="1"/>
  <c r="Q445" i="1" s="1"/>
  <c r="Q446" i="1" s="1"/>
  <c r="O444" i="1"/>
  <c r="O445" i="1" s="1"/>
  <c r="O446" i="1" s="1"/>
  <c r="N445" i="1"/>
  <c r="M444" i="1"/>
  <c r="M445" i="1" s="1"/>
  <c r="M446" i="1" s="1"/>
  <c r="K444" i="1"/>
  <c r="K445" i="1" s="1"/>
  <c r="K446" i="1" s="1"/>
  <c r="J444" i="1"/>
  <c r="J445" i="1" s="1"/>
  <c r="J446" i="1" s="1"/>
  <c r="H444" i="1"/>
  <c r="H445" i="1" s="1"/>
  <c r="V445" i="1" s="1"/>
  <c r="G444" i="1"/>
  <c r="G445" i="1" s="1"/>
  <c r="G446" i="1" s="1"/>
  <c r="F444" i="1"/>
  <c r="F445" i="1" s="1"/>
  <c r="F446" i="1" s="1"/>
  <c r="E444" i="1"/>
  <c r="E445" i="1" s="1"/>
  <c r="E446" i="1" s="1"/>
  <c r="D444" i="1"/>
  <c r="D445" i="1" s="1"/>
  <c r="D446" i="1" s="1"/>
  <c r="C444" i="1"/>
  <c r="C445" i="1" s="1"/>
  <c r="C446" i="1" s="1"/>
  <c r="AG443" i="1"/>
  <c r="AF443" i="1"/>
  <c r="AE443" i="1"/>
  <c r="AD443" i="1"/>
  <c r="AC443" i="1"/>
  <c r="U443" i="1"/>
  <c r="T443" i="1"/>
  <c r="U442" i="1"/>
  <c r="T442" i="1"/>
  <c r="S442" i="1"/>
  <c r="R442" i="1"/>
  <c r="Q442" i="1"/>
  <c r="P442" i="1"/>
  <c r="O442" i="1"/>
  <c r="N442" i="1"/>
  <c r="M442" i="1"/>
  <c r="L442" i="1"/>
  <c r="K442" i="1"/>
  <c r="J442" i="1"/>
  <c r="I442" i="1"/>
  <c r="H442" i="1"/>
  <c r="G442" i="1"/>
  <c r="F442" i="1"/>
  <c r="E442" i="1"/>
  <c r="D442" i="1"/>
  <c r="C442" i="1"/>
  <c r="AG440" i="1"/>
  <c r="AF440" i="1"/>
  <c r="AE440" i="1"/>
  <c r="AD440" i="1"/>
  <c r="AC440" i="1"/>
  <c r="U440" i="1"/>
  <c r="T440" i="1"/>
  <c r="R440" i="1"/>
  <c r="Q440" i="1"/>
  <c r="P440" i="1"/>
  <c r="O440" i="1"/>
  <c r="M440" i="1"/>
  <c r="K440" i="1"/>
  <c r="J440" i="1"/>
  <c r="I440" i="1"/>
  <c r="H440" i="1"/>
  <c r="G440" i="1"/>
  <c r="F440" i="1"/>
  <c r="E440" i="1"/>
  <c r="D440" i="1"/>
  <c r="C440" i="1"/>
  <c r="L446" i="1" l="1"/>
  <c r="N440" i="1"/>
  <c r="N446" i="1"/>
  <c r="L440" i="1"/>
  <c r="S440" i="1"/>
  <c r="S446" i="1"/>
  <c r="H446" i="1"/>
  <c r="C456" i="1"/>
  <c r="C457" i="1" s="1"/>
  <c r="C458" i="1" s="1"/>
  <c r="L456" i="1"/>
  <c r="L457" i="1" s="1"/>
  <c r="L458" i="1" s="1"/>
  <c r="S456" i="1"/>
  <c r="S457" i="1" s="1"/>
  <c r="S458" i="1" s="1"/>
  <c r="M456" i="1"/>
  <c r="M457" i="1" s="1"/>
  <c r="M458" i="1" s="1"/>
  <c r="AG458" i="1"/>
  <c r="AF458" i="1"/>
  <c r="AE458" i="1"/>
  <c r="AD458" i="1"/>
  <c r="AC458" i="1"/>
  <c r="U456" i="1"/>
  <c r="U457" i="1" s="1"/>
  <c r="U458" i="1" s="1"/>
  <c r="T456" i="1"/>
  <c r="T457" i="1" s="1"/>
  <c r="T458" i="1" s="1"/>
  <c r="R456" i="1"/>
  <c r="R457" i="1" s="1"/>
  <c r="R458" i="1" s="1"/>
  <c r="Q456" i="1"/>
  <c r="Q457" i="1" s="1"/>
  <c r="Q458" i="1" s="1"/>
  <c r="P456" i="1"/>
  <c r="P457" i="1" s="1"/>
  <c r="P458" i="1" s="1"/>
  <c r="O456" i="1"/>
  <c r="O457" i="1" s="1"/>
  <c r="O458" i="1" s="1"/>
  <c r="N456" i="1"/>
  <c r="N457" i="1" s="1"/>
  <c r="N458" i="1" s="1"/>
  <c r="K456" i="1"/>
  <c r="K457" i="1" s="1"/>
  <c r="K458" i="1" s="1"/>
  <c r="J456" i="1"/>
  <c r="J457" i="1" s="1"/>
  <c r="J458" i="1" s="1"/>
  <c r="I456" i="1"/>
  <c r="I457" i="1" s="1"/>
  <c r="I458" i="1" s="1"/>
  <c r="H456" i="1"/>
  <c r="H457" i="1" s="1"/>
  <c r="G456" i="1"/>
  <c r="G457" i="1" s="1"/>
  <c r="G458" i="1" s="1"/>
  <c r="F456" i="1"/>
  <c r="F457" i="1" s="1"/>
  <c r="F458" i="1" s="1"/>
  <c r="E456" i="1"/>
  <c r="E457" i="1" s="1"/>
  <c r="E458" i="1" s="1"/>
  <c r="D456" i="1"/>
  <c r="D457" i="1" s="1"/>
  <c r="D458" i="1" s="1"/>
  <c r="AG455" i="1"/>
  <c r="AF455" i="1"/>
  <c r="AE455" i="1"/>
  <c r="AD455" i="1"/>
  <c r="AC455" i="1"/>
  <c r="U455" i="1"/>
  <c r="T455" i="1"/>
  <c r="U454" i="1"/>
  <c r="T454" i="1"/>
  <c r="S454" i="1"/>
  <c r="R454" i="1"/>
  <c r="Q454" i="1"/>
  <c r="P454" i="1"/>
  <c r="O454" i="1"/>
  <c r="N454" i="1"/>
  <c r="M454" i="1"/>
  <c r="L454" i="1"/>
  <c r="K454" i="1"/>
  <c r="J454" i="1"/>
  <c r="I454" i="1"/>
  <c r="H454" i="1"/>
  <c r="G454" i="1"/>
  <c r="F454" i="1"/>
  <c r="E454" i="1"/>
  <c r="D454" i="1"/>
  <c r="C454" i="1"/>
  <c r="AG452" i="1"/>
  <c r="AF452" i="1"/>
  <c r="AE452" i="1"/>
  <c r="AD452" i="1"/>
  <c r="AC452" i="1"/>
  <c r="U452" i="1"/>
  <c r="T452" i="1"/>
  <c r="S452" i="1"/>
  <c r="R452" i="1"/>
  <c r="Q452" i="1"/>
  <c r="P452" i="1"/>
  <c r="O452" i="1"/>
  <c r="N452" i="1"/>
  <c r="M452" i="1"/>
  <c r="L452" i="1"/>
  <c r="K452" i="1"/>
  <c r="J452" i="1"/>
  <c r="I452" i="1"/>
  <c r="H452" i="1"/>
  <c r="G452" i="1"/>
  <c r="F452" i="1"/>
  <c r="E452" i="1"/>
  <c r="D452" i="1"/>
  <c r="C452" i="1"/>
  <c r="V457" i="1" l="1"/>
  <c r="H458" i="1"/>
  <c r="U468" i="1"/>
  <c r="U469" i="1" s="1"/>
  <c r="U470" i="1" s="1"/>
  <c r="T468" i="1"/>
  <c r="T469" i="1" s="1"/>
  <c r="T470" i="1" s="1"/>
  <c r="D468" i="1"/>
  <c r="D469" i="1" s="1"/>
  <c r="D470" i="1" s="1"/>
  <c r="C468" i="1"/>
  <c r="C469" i="1" s="1"/>
  <c r="C470" i="1" s="1"/>
  <c r="S468" i="1"/>
  <c r="S469" i="1" s="1"/>
  <c r="S470" i="1" s="1"/>
  <c r="R468" i="1"/>
  <c r="R469" i="1" s="1"/>
  <c r="R470" i="1" s="1"/>
  <c r="P468" i="1"/>
  <c r="P469" i="1" s="1"/>
  <c r="P470" i="1" s="1"/>
  <c r="M468" i="1"/>
  <c r="M469" i="1" s="1"/>
  <c r="M470" i="1" s="1"/>
  <c r="L468" i="1"/>
  <c r="L469" i="1" s="1"/>
  <c r="L470" i="1" s="1"/>
  <c r="K468" i="1"/>
  <c r="K469" i="1" s="1"/>
  <c r="K470" i="1" s="1"/>
  <c r="I468" i="1"/>
  <c r="I469" i="1" s="1"/>
  <c r="I470" i="1" s="1"/>
  <c r="H468" i="1"/>
  <c r="H469" i="1" s="1"/>
  <c r="E468" i="1"/>
  <c r="E469" i="1" s="1"/>
  <c r="E470" i="1" s="1"/>
  <c r="AG470" i="1"/>
  <c r="AF470" i="1"/>
  <c r="AE470" i="1"/>
  <c r="AD470" i="1"/>
  <c r="AC470" i="1"/>
  <c r="Q468" i="1"/>
  <c r="Q469" i="1" s="1"/>
  <c r="Q470" i="1" s="1"/>
  <c r="O468" i="1"/>
  <c r="O469" i="1" s="1"/>
  <c r="O470" i="1" s="1"/>
  <c r="N468" i="1"/>
  <c r="N469" i="1" s="1"/>
  <c r="N470" i="1" s="1"/>
  <c r="J468" i="1"/>
  <c r="J469" i="1" s="1"/>
  <c r="J470" i="1" s="1"/>
  <c r="G468" i="1"/>
  <c r="G469" i="1" s="1"/>
  <c r="G470" i="1" s="1"/>
  <c r="F468" i="1"/>
  <c r="F469" i="1" s="1"/>
  <c r="F470" i="1" s="1"/>
  <c r="AG467" i="1"/>
  <c r="AF467" i="1"/>
  <c r="AE467" i="1"/>
  <c r="AD467" i="1"/>
  <c r="AC467" i="1"/>
  <c r="U467" i="1"/>
  <c r="T467" i="1"/>
  <c r="U466" i="1"/>
  <c r="T466" i="1"/>
  <c r="S466" i="1"/>
  <c r="R466" i="1"/>
  <c r="Q466" i="1"/>
  <c r="P466" i="1"/>
  <c r="O466" i="1"/>
  <c r="N466" i="1"/>
  <c r="M466" i="1"/>
  <c r="L466" i="1"/>
  <c r="K466" i="1"/>
  <c r="J466" i="1"/>
  <c r="I466" i="1"/>
  <c r="H466" i="1"/>
  <c r="G466" i="1"/>
  <c r="F466" i="1"/>
  <c r="E466" i="1"/>
  <c r="D466" i="1"/>
  <c r="C466" i="1"/>
  <c r="AG464" i="1"/>
  <c r="AF464" i="1"/>
  <c r="AE464" i="1"/>
  <c r="AD464" i="1"/>
  <c r="AC464" i="1"/>
  <c r="U464" i="1"/>
  <c r="T464" i="1"/>
  <c r="R464" i="1"/>
  <c r="Q464" i="1"/>
  <c r="P464" i="1"/>
  <c r="O464" i="1"/>
  <c r="N464" i="1"/>
  <c r="M464" i="1"/>
  <c r="L464" i="1"/>
  <c r="K464" i="1"/>
  <c r="J464" i="1"/>
  <c r="I464" i="1"/>
  <c r="H464" i="1"/>
  <c r="G464" i="1"/>
  <c r="F464" i="1"/>
  <c r="E464" i="1"/>
  <c r="D464" i="1"/>
  <c r="C464" i="1"/>
  <c r="S464" i="1"/>
  <c r="V469" i="1" l="1"/>
  <c r="H470" i="1"/>
  <c r="S475" i="1"/>
  <c r="Q480" i="1"/>
  <c r="Q481" i="1" s="1"/>
  <c r="Q482" i="1" s="1"/>
  <c r="P480" i="1"/>
  <c r="P481" i="1" s="1"/>
  <c r="P482" i="1" s="1"/>
  <c r="O480" i="1"/>
  <c r="O481" i="1" s="1"/>
  <c r="O482" i="1" s="1"/>
  <c r="M480" i="1"/>
  <c r="M481" i="1" s="1"/>
  <c r="M482" i="1" s="1"/>
  <c r="D480" i="1"/>
  <c r="D481" i="1" s="1"/>
  <c r="D482" i="1" s="1"/>
  <c r="C480" i="1"/>
  <c r="C481" i="1" s="1"/>
  <c r="C482" i="1" s="1"/>
  <c r="L475" i="1"/>
  <c r="J480" i="1"/>
  <c r="J481" i="1" s="1"/>
  <c r="J482" i="1" s="1"/>
  <c r="I480" i="1"/>
  <c r="I481" i="1" s="1"/>
  <c r="I482" i="1" s="1"/>
  <c r="H480" i="1"/>
  <c r="H481" i="1" s="1"/>
  <c r="G480" i="1"/>
  <c r="G481" i="1" s="1"/>
  <c r="G482" i="1" s="1"/>
  <c r="E480" i="1"/>
  <c r="E481" i="1" s="1"/>
  <c r="E482" i="1" s="1"/>
  <c r="AG482" i="1"/>
  <c r="AF482" i="1"/>
  <c r="AE482" i="1"/>
  <c r="AD482" i="1"/>
  <c r="AC482" i="1"/>
  <c r="U480" i="1"/>
  <c r="U481" i="1" s="1"/>
  <c r="U482" i="1" s="1"/>
  <c r="T480" i="1"/>
  <c r="T481" i="1" s="1"/>
  <c r="T482" i="1" s="1"/>
  <c r="S480" i="1"/>
  <c r="S481" i="1" s="1"/>
  <c r="R480" i="1"/>
  <c r="R481" i="1" s="1"/>
  <c r="R482" i="1" s="1"/>
  <c r="N480" i="1"/>
  <c r="N481" i="1" s="1"/>
  <c r="N482" i="1" s="1"/>
  <c r="L480" i="1"/>
  <c r="L481" i="1" s="1"/>
  <c r="K480" i="1"/>
  <c r="K481" i="1" s="1"/>
  <c r="K482" i="1" s="1"/>
  <c r="F480" i="1"/>
  <c r="F481" i="1" s="1"/>
  <c r="F482" i="1" s="1"/>
  <c r="AG479" i="1"/>
  <c r="AF479" i="1"/>
  <c r="AE479" i="1"/>
  <c r="AD479" i="1"/>
  <c r="AC479" i="1"/>
  <c r="U479" i="1"/>
  <c r="T479" i="1"/>
  <c r="U478" i="1"/>
  <c r="T478" i="1"/>
  <c r="S478" i="1"/>
  <c r="R478" i="1"/>
  <c r="Q478" i="1"/>
  <c r="P478" i="1"/>
  <c r="O478" i="1"/>
  <c r="N478" i="1"/>
  <c r="M478" i="1"/>
  <c r="L478" i="1"/>
  <c r="K478" i="1"/>
  <c r="J478" i="1"/>
  <c r="I478" i="1"/>
  <c r="H478" i="1"/>
  <c r="G478" i="1"/>
  <c r="F478" i="1"/>
  <c r="E478" i="1"/>
  <c r="D478" i="1"/>
  <c r="C478" i="1"/>
  <c r="AG476" i="1"/>
  <c r="AF476" i="1"/>
  <c r="AE476" i="1"/>
  <c r="AD476" i="1"/>
  <c r="AC476" i="1"/>
  <c r="U476" i="1"/>
  <c r="T476" i="1"/>
  <c r="R476" i="1"/>
  <c r="Q476" i="1"/>
  <c r="P476" i="1"/>
  <c r="O476" i="1"/>
  <c r="N476" i="1"/>
  <c r="M476" i="1"/>
  <c r="K476" i="1"/>
  <c r="J476" i="1"/>
  <c r="I476" i="1"/>
  <c r="H476" i="1"/>
  <c r="G476" i="1"/>
  <c r="F476" i="1"/>
  <c r="E476" i="1"/>
  <c r="D476" i="1"/>
  <c r="C476" i="1"/>
  <c r="S474" i="1"/>
  <c r="L474" i="1"/>
  <c r="S476" i="1" l="1"/>
  <c r="S482" i="1"/>
  <c r="L476" i="1"/>
  <c r="L482" i="1"/>
  <c r="V481" i="1"/>
  <c r="H482" i="1"/>
  <c r="U492" i="1"/>
  <c r="T492" i="1"/>
  <c r="S492" i="1"/>
  <c r="S487" i="1"/>
  <c r="R492" i="1"/>
  <c r="Q492" i="1"/>
  <c r="P492" i="1"/>
  <c r="N492" i="1"/>
  <c r="D492" i="1"/>
  <c r="C492" i="1"/>
  <c r="L492" i="1" l="1"/>
  <c r="L493" i="1" s="1"/>
  <c r="L487" i="1"/>
  <c r="L486" i="1"/>
  <c r="K492" i="1"/>
  <c r="K493" i="1" s="1"/>
  <c r="K494" i="1" s="1"/>
  <c r="J492" i="1"/>
  <c r="J493" i="1" s="1"/>
  <c r="J494" i="1" s="1"/>
  <c r="I492" i="1"/>
  <c r="I493" i="1" s="1"/>
  <c r="I494" i="1" s="1"/>
  <c r="H492" i="1"/>
  <c r="H493" i="1" s="1"/>
  <c r="F492" i="1"/>
  <c r="F493" i="1" s="1"/>
  <c r="F494" i="1" s="1"/>
  <c r="AG494" i="1"/>
  <c r="AF494" i="1"/>
  <c r="AE494" i="1"/>
  <c r="AD494" i="1"/>
  <c r="AC494" i="1"/>
  <c r="S493" i="1"/>
  <c r="R493" i="1"/>
  <c r="R494" i="1" s="1"/>
  <c r="C493" i="1"/>
  <c r="C494" i="1" s="1"/>
  <c r="U493" i="1"/>
  <c r="U494" i="1" s="1"/>
  <c r="T493" i="1"/>
  <c r="T494" i="1" s="1"/>
  <c r="Q493" i="1"/>
  <c r="Q494" i="1" s="1"/>
  <c r="P493" i="1"/>
  <c r="P494" i="1" s="1"/>
  <c r="O492" i="1"/>
  <c r="O493" i="1" s="1"/>
  <c r="O494" i="1" s="1"/>
  <c r="N493" i="1"/>
  <c r="N494" i="1" s="1"/>
  <c r="M492" i="1"/>
  <c r="M493" i="1" s="1"/>
  <c r="M494" i="1" s="1"/>
  <c r="G492" i="1"/>
  <c r="G493" i="1" s="1"/>
  <c r="G494" i="1" s="1"/>
  <c r="E492" i="1"/>
  <c r="E493" i="1" s="1"/>
  <c r="E494" i="1" s="1"/>
  <c r="D493" i="1"/>
  <c r="D494" i="1" s="1"/>
  <c r="AG491" i="1"/>
  <c r="AF491" i="1"/>
  <c r="AE491" i="1"/>
  <c r="AD491" i="1"/>
  <c r="AC491" i="1"/>
  <c r="U491" i="1"/>
  <c r="T491" i="1"/>
  <c r="U490" i="1"/>
  <c r="T490" i="1"/>
  <c r="S490" i="1"/>
  <c r="R490" i="1"/>
  <c r="Q490" i="1"/>
  <c r="P490" i="1"/>
  <c r="O490" i="1"/>
  <c r="N490" i="1"/>
  <c r="M490" i="1"/>
  <c r="L490" i="1"/>
  <c r="K490" i="1"/>
  <c r="J490" i="1"/>
  <c r="I490" i="1"/>
  <c r="H490" i="1"/>
  <c r="G490" i="1"/>
  <c r="F490" i="1"/>
  <c r="E490" i="1"/>
  <c r="D490" i="1"/>
  <c r="C490" i="1"/>
  <c r="AG488" i="1"/>
  <c r="AF488" i="1"/>
  <c r="AE488" i="1"/>
  <c r="AD488" i="1"/>
  <c r="AC488" i="1"/>
  <c r="U488" i="1"/>
  <c r="T488" i="1"/>
  <c r="R488" i="1"/>
  <c r="Q488" i="1"/>
  <c r="P488" i="1"/>
  <c r="O488" i="1"/>
  <c r="N488" i="1"/>
  <c r="M488" i="1"/>
  <c r="K488" i="1"/>
  <c r="J488" i="1"/>
  <c r="I488" i="1"/>
  <c r="H488" i="1"/>
  <c r="G488" i="1"/>
  <c r="F488" i="1"/>
  <c r="E488" i="1"/>
  <c r="D488" i="1"/>
  <c r="C488" i="1"/>
  <c r="S486" i="1"/>
  <c r="S488" i="1" s="1"/>
  <c r="S494" i="1" l="1"/>
  <c r="L488" i="1"/>
  <c r="L494" i="1"/>
  <c r="V493" i="1"/>
  <c r="H494" i="1"/>
  <c r="U516" i="1"/>
  <c r="U517" i="1" s="1"/>
  <c r="U518" i="1" s="1"/>
  <c r="T516" i="1"/>
  <c r="T517" i="1" s="1"/>
  <c r="T518" i="1" s="1"/>
  <c r="S516" i="1"/>
  <c r="S517" i="1" s="1"/>
  <c r="R516" i="1"/>
  <c r="R517" i="1" s="1"/>
  <c r="R518" i="1" s="1"/>
  <c r="Q516" i="1"/>
  <c r="Q517" i="1" s="1"/>
  <c r="Q518" i="1" s="1"/>
  <c r="P516" i="1"/>
  <c r="P517" i="1" s="1"/>
  <c r="P518" i="1" s="1"/>
  <c r="O516" i="1"/>
  <c r="O517" i="1" s="1"/>
  <c r="O518" i="1" s="1"/>
  <c r="N516" i="1"/>
  <c r="N517" i="1" s="1"/>
  <c r="N518" i="1" s="1"/>
  <c r="M516" i="1"/>
  <c r="M517" i="1" s="1"/>
  <c r="M518" i="1" s="1"/>
  <c r="L516" i="1"/>
  <c r="L517" i="1" s="1"/>
  <c r="K516" i="1"/>
  <c r="K517" i="1" s="1"/>
  <c r="K518" i="1" s="1"/>
  <c r="J516" i="1"/>
  <c r="J517" i="1" s="1"/>
  <c r="J518" i="1" s="1"/>
  <c r="I516" i="1"/>
  <c r="I517" i="1" s="1"/>
  <c r="I518" i="1" s="1"/>
  <c r="H516" i="1"/>
  <c r="H517" i="1" s="1"/>
  <c r="H518" i="1" s="1"/>
  <c r="G516" i="1"/>
  <c r="G517" i="1" s="1"/>
  <c r="G518" i="1" s="1"/>
  <c r="F516" i="1"/>
  <c r="F517" i="1" s="1"/>
  <c r="F518" i="1" s="1"/>
  <c r="E516" i="1"/>
  <c r="E517" i="1" s="1"/>
  <c r="E518" i="1" s="1"/>
  <c r="D516" i="1"/>
  <c r="D517" i="1" s="1"/>
  <c r="D518" i="1" s="1"/>
  <c r="C516" i="1"/>
  <c r="C517" i="1" s="1"/>
  <c r="C518" i="1" s="1"/>
  <c r="U515" i="1"/>
  <c r="T515" i="1"/>
  <c r="U514" i="1"/>
  <c r="T514" i="1"/>
  <c r="S514" i="1"/>
  <c r="R514" i="1"/>
  <c r="Q514" i="1"/>
  <c r="P514" i="1"/>
  <c r="O514" i="1"/>
  <c r="N514" i="1"/>
  <c r="M514" i="1"/>
  <c r="L514" i="1"/>
  <c r="K514" i="1"/>
  <c r="J514" i="1"/>
  <c r="I514" i="1"/>
  <c r="H514" i="1"/>
  <c r="G514" i="1"/>
  <c r="F514" i="1"/>
  <c r="E514" i="1"/>
  <c r="D514" i="1"/>
  <c r="C514" i="1"/>
  <c r="U512" i="1"/>
  <c r="T512" i="1"/>
  <c r="R512" i="1"/>
  <c r="Q512" i="1"/>
  <c r="P512" i="1"/>
  <c r="O512" i="1"/>
  <c r="N512" i="1"/>
  <c r="M512" i="1"/>
  <c r="K512" i="1"/>
  <c r="J512" i="1"/>
  <c r="I512" i="1"/>
  <c r="H512" i="1"/>
  <c r="G512" i="1"/>
  <c r="F512" i="1"/>
  <c r="E512" i="1"/>
  <c r="D512" i="1"/>
  <c r="C512" i="1"/>
  <c r="S511" i="1"/>
  <c r="L511" i="1"/>
  <c r="S510" i="1"/>
  <c r="L510" i="1"/>
  <c r="AG506" i="1"/>
  <c r="AF506" i="1"/>
  <c r="AE506" i="1"/>
  <c r="AD506" i="1"/>
  <c r="AC506" i="1"/>
  <c r="U504" i="1"/>
  <c r="U505" i="1" s="1"/>
  <c r="U506" i="1" s="1"/>
  <c r="T504" i="1"/>
  <c r="T505" i="1" s="1"/>
  <c r="T506" i="1" s="1"/>
  <c r="S504" i="1"/>
  <c r="S505" i="1" s="1"/>
  <c r="R504" i="1"/>
  <c r="R505" i="1" s="1"/>
  <c r="R506" i="1" s="1"/>
  <c r="Q504" i="1"/>
  <c r="Q505" i="1" s="1"/>
  <c r="Q506" i="1" s="1"/>
  <c r="P504" i="1"/>
  <c r="P505" i="1" s="1"/>
  <c r="P506" i="1" s="1"/>
  <c r="O504" i="1"/>
  <c r="O505" i="1" s="1"/>
  <c r="O506" i="1" s="1"/>
  <c r="N504" i="1"/>
  <c r="N505" i="1" s="1"/>
  <c r="N506" i="1" s="1"/>
  <c r="M504" i="1"/>
  <c r="M505" i="1" s="1"/>
  <c r="M506" i="1" s="1"/>
  <c r="L504" i="1"/>
  <c r="L505" i="1" s="1"/>
  <c r="K504" i="1"/>
  <c r="K505" i="1" s="1"/>
  <c r="K506" i="1" s="1"/>
  <c r="J504" i="1"/>
  <c r="J505" i="1" s="1"/>
  <c r="J506" i="1" s="1"/>
  <c r="I504" i="1"/>
  <c r="I505" i="1" s="1"/>
  <c r="I506" i="1" s="1"/>
  <c r="H504" i="1"/>
  <c r="H505" i="1" s="1"/>
  <c r="G504" i="1"/>
  <c r="G505" i="1" s="1"/>
  <c r="G506" i="1" s="1"/>
  <c r="F504" i="1"/>
  <c r="F505" i="1" s="1"/>
  <c r="F506" i="1" s="1"/>
  <c r="E504" i="1"/>
  <c r="E505" i="1" s="1"/>
  <c r="E506" i="1" s="1"/>
  <c r="D504" i="1"/>
  <c r="D505" i="1" s="1"/>
  <c r="D506" i="1" s="1"/>
  <c r="C504" i="1"/>
  <c r="C505" i="1" s="1"/>
  <c r="C506" i="1" s="1"/>
  <c r="AG503" i="1"/>
  <c r="AF503" i="1"/>
  <c r="AE503" i="1"/>
  <c r="AD503" i="1"/>
  <c r="AC503" i="1"/>
  <c r="U503" i="1"/>
  <c r="T503" i="1"/>
  <c r="U502" i="1"/>
  <c r="T502" i="1"/>
  <c r="S502" i="1"/>
  <c r="R502" i="1"/>
  <c r="Q502" i="1"/>
  <c r="P502" i="1"/>
  <c r="O502" i="1"/>
  <c r="N502" i="1"/>
  <c r="M502" i="1"/>
  <c r="L502" i="1"/>
  <c r="K502" i="1"/>
  <c r="J502" i="1"/>
  <c r="I502" i="1"/>
  <c r="H502" i="1"/>
  <c r="G502" i="1"/>
  <c r="F502" i="1"/>
  <c r="E502" i="1"/>
  <c r="D502" i="1"/>
  <c r="C502" i="1"/>
  <c r="AG500" i="1"/>
  <c r="AF500" i="1"/>
  <c r="AE500" i="1"/>
  <c r="AD500" i="1"/>
  <c r="AC500" i="1"/>
  <c r="U500" i="1"/>
  <c r="T500" i="1"/>
  <c r="R500" i="1"/>
  <c r="Q500" i="1"/>
  <c r="P500" i="1"/>
  <c r="O500" i="1"/>
  <c r="N500" i="1"/>
  <c r="M500" i="1"/>
  <c r="K500" i="1"/>
  <c r="J500" i="1"/>
  <c r="I500" i="1"/>
  <c r="H500" i="1"/>
  <c r="G500" i="1"/>
  <c r="F500" i="1"/>
  <c r="E500" i="1"/>
  <c r="D500" i="1"/>
  <c r="C500" i="1"/>
  <c r="S499" i="1"/>
  <c r="L499" i="1"/>
  <c r="S498" i="1"/>
  <c r="L498" i="1"/>
  <c r="L512" i="1" l="1"/>
  <c r="S500" i="1"/>
  <c r="L500" i="1"/>
  <c r="S506" i="1"/>
  <c r="S518" i="1"/>
  <c r="L518" i="1"/>
  <c r="L506" i="1"/>
  <c r="S512" i="1"/>
  <c r="H506" i="1"/>
  <c r="V505" i="1"/>
  <c r="AG530" i="1" l="1"/>
  <c r="AF530" i="1"/>
  <c r="AE530" i="1"/>
  <c r="AD530" i="1"/>
  <c r="AC530" i="1"/>
  <c r="U528" i="1"/>
  <c r="U529" i="1" s="1"/>
  <c r="U530" i="1" s="1"/>
  <c r="T528" i="1"/>
  <c r="T529" i="1" s="1"/>
  <c r="T530" i="1" s="1"/>
  <c r="S528" i="1"/>
  <c r="S529" i="1" s="1"/>
  <c r="R528" i="1"/>
  <c r="R529" i="1" s="1"/>
  <c r="R530" i="1" s="1"/>
  <c r="Q528" i="1"/>
  <c r="Q529" i="1" s="1"/>
  <c r="Q530" i="1" s="1"/>
  <c r="P528" i="1"/>
  <c r="P529" i="1" s="1"/>
  <c r="P530" i="1" s="1"/>
  <c r="O528" i="1"/>
  <c r="O529" i="1" s="1"/>
  <c r="O530" i="1" s="1"/>
  <c r="N528" i="1"/>
  <c r="N529" i="1" s="1"/>
  <c r="N530" i="1" s="1"/>
  <c r="M528" i="1"/>
  <c r="M529" i="1" s="1"/>
  <c r="M530" i="1" s="1"/>
  <c r="L528" i="1"/>
  <c r="L529" i="1" s="1"/>
  <c r="K528" i="1"/>
  <c r="K529" i="1" s="1"/>
  <c r="K530" i="1" s="1"/>
  <c r="J528" i="1"/>
  <c r="J529" i="1" s="1"/>
  <c r="J530" i="1" s="1"/>
  <c r="I528" i="1"/>
  <c r="I529" i="1" s="1"/>
  <c r="I530" i="1" s="1"/>
  <c r="H528" i="1"/>
  <c r="H529" i="1" s="1"/>
  <c r="V529" i="1" s="1"/>
  <c r="G528" i="1"/>
  <c r="G529" i="1" s="1"/>
  <c r="G530" i="1" s="1"/>
  <c r="F528" i="1"/>
  <c r="F529" i="1" s="1"/>
  <c r="F530" i="1" s="1"/>
  <c r="E528" i="1"/>
  <c r="E529" i="1" s="1"/>
  <c r="E530" i="1" s="1"/>
  <c r="D528" i="1"/>
  <c r="D529" i="1" s="1"/>
  <c r="D530" i="1" s="1"/>
  <c r="C528" i="1"/>
  <c r="C529" i="1" s="1"/>
  <c r="C530" i="1" s="1"/>
  <c r="AG527" i="1"/>
  <c r="AF527" i="1"/>
  <c r="AE527" i="1"/>
  <c r="AD527" i="1"/>
  <c r="AC527" i="1"/>
  <c r="U527" i="1"/>
  <c r="T527" i="1"/>
  <c r="U526" i="1"/>
  <c r="T526" i="1"/>
  <c r="S526" i="1"/>
  <c r="R526" i="1"/>
  <c r="Q526" i="1"/>
  <c r="P526" i="1"/>
  <c r="O526" i="1"/>
  <c r="N526" i="1"/>
  <c r="M526" i="1"/>
  <c r="L526" i="1"/>
  <c r="K526" i="1"/>
  <c r="J526" i="1"/>
  <c r="I526" i="1"/>
  <c r="H526" i="1"/>
  <c r="G526" i="1"/>
  <c r="F526" i="1"/>
  <c r="E526" i="1"/>
  <c r="D526" i="1"/>
  <c r="C526" i="1"/>
  <c r="AG524" i="1"/>
  <c r="AF524" i="1"/>
  <c r="AE524" i="1"/>
  <c r="AD524" i="1"/>
  <c r="AC524" i="1"/>
  <c r="U524" i="1"/>
  <c r="T524" i="1"/>
  <c r="R524" i="1"/>
  <c r="Q524" i="1"/>
  <c r="P524" i="1"/>
  <c r="O524" i="1"/>
  <c r="N524" i="1"/>
  <c r="M524" i="1"/>
  <c r="K524" i="1"/>
  <c r="J524" i="1"/>
  <c r="I524" i="1"/>
  <c r="H524" i="1"/>
  <c r="G524" i="1"/>
  <c r="F524" i="1"/>
  <c r="E524" i="1"/>
  <c r="D524" i="1"/>
  <c r="C524" i="1"/>
  <c r="S523" i="1"/>
  <c r="L523" i="1"/>
  <c r="S522" i="1"/>
  <c r="L522" i="1"/>
  <c r="S524" i="1" l="1"/>
  <c r="L524" i="1"/>
  <c r="S530" i="1"/>
  <c r="L530" i="1"/>
  <c r="H530" i="1"/>
  <c r="AG518" i="1"/>
  <c r="AF518" i="1"/>
  <c r="AE518" i="1"/>
  <c r="AD518" i="1"/>
  <c r="AC518" i="1"/>
  <c r="V517" i="1"/>
  <c r="AG515" i="1"/>
  <c r="AF515" i="1"/>
  <c r="AE515" i="1"/>
  <c r="AD515" i="1"/>
  <c r="AC515" i="1"/>
  <c r="AG512" i="1"/>
  <c r="AF512" i="1"/>
  <c r="AE512" i="1"/>
  <c r="AD512" i="1"/>
  <c r="AC512" i="1"/>
  <c r="U540" i="1" l="1"/>
  <c r="S540" i="1"/>
  <c r="S541" i="1" s="1"/>
  <c r="S535" i="1"/>
  <c r="R540" i="1"/>
  <c r="R541" i="1" s="1"/>
  <c r="R542" i="1" s="1"/>
  <c r="Q540" i="1"/>
  <c r="Q541" i="1" s="1"/>
  <c r="Q542" i="1" s="1"/>
  <c r="O540" i="1"/>
  <c r="O541" i="1" s="1"/>
  <c r="O542" i="1" s="1"/>
  <c r="M540" i="1"/>
  <c r="M541" i="1" s="1"/>
  <c r="M542" i="1" s="1"/>
  <c r="L540" i="1"/>
  <c r="L541" i="1" s="1"/>
  <c r="L535" i="1"/>
  <c r="K540" i="1"/>
  <c r="K541" i="1" s="1"/>
  <c r="K542" i="1" s="1"/>
  <c r="J540" i="1"/>
  <c r="G540" i="1"/>
  <c r="G541" i="1" s="1"/>
  <c r="G542" i="1" s="1"/>
  <c r="F540" i="1"/>
  <c r="F541" i="1" s="1"/>
  <c r="F542" i="1" s="1"/>
  <c r="AG542" i="1"/>
  <c r="AF542" i="1"/>
  <c r="AE542" i="1"/>
  <c r="AD542" i="1"/>
  <c r="AC542" i="1"/>
  <c r="J541" i="1"/>
  <c r="J542" i="1" s="1"/>
  <c r="U541" i="1"/>
  <c r="U542" i="1" s="1"/>
  <c r="T540" i="1"/>
  <c r="T541" i="1" s="1"/>
  <c r="T542" i="1" s="1"/>
  <c r="P540" i="1"/>
  <c r="P541" i="1" s="1"/>
  <c r="P542" i="1" s="1"/>
  <c r="N540" i="1"/>
  <c r="N541" i="1" s="1"/>
  <c r="N542" i="1" s="1"/>
  <c r="I540" i="1"/>
  <c r="I541" i="1" s="1"/>
  <c r="I542" i="1" s="1"/>
  <c r="H540" i="1"/>
  <c r="H541" i="1" s="1"/>
  <c r="E540" i="1"/>
  <c r="E541" i="1" s="1"/>
  <c r="E542" i="1" s="1"/>
  <c r="D540" i="1"/>
  <c r="D541" i="1" s="1"/>
  <c r="D542" i="1" s="1"/>
  <c r="C540" i="1"/>
  <c r="C541" i="1" s="1"/>
  <c r="C542" i="1" s="1"/>
  <c r="AG539" i="1"/>
  <c r="AF539" i="1"/>
  <c r="AE539" i="1"/>
  <c r="AD539" i="1"/>
  <c r="AC539" i="1"/>
  <c r="U539" i="1"/>
  <c r="T539" i="1"/>
  <c r="U538" i="1"/>
  <c r="T538" i="1"/>
  <c r="S538" i="1"/>
  <c r="R538" i="1"/>
  <c r="Q538" i="1"/>
  <c r="P538" i="1"/>
  <c r="O538" i="1"/>
  <c r="N538" i="1"/>
  <c r="M538" i="1"/>
  <c r="L538" i="1"/>
  <c r="K538" i="1"/>
  <c r="J538" i="1"/>
  <c r="I538" i="1"/>
  <c r="H538" i="1"/>
  <c r="G538" i="1"/>
  <c r="F538" i="1"/>
  <c r="E538" i="1"/>
  <c r="D538" i="1"/>
  <c r="C538" i="1"/>
  <c r="AG536" i="1"/>
  <c r="AF536" i="1"/>
  <c r="AE536" i="1"/>
  <c r="AD536" i="1"/>
  <c r="AC536" i="1"/>
  <c r="U536" i="1"/>
  <c r="T536" i="1"/>
  <c r="R536" i="1"/>
  <c r="Q536" i="1"/>
  <c r="P536" i="1"/>
  <c r="O536" i="1"/>
  <c r="N536" i="1"/>
  <c r="M536" i="1"/>
  <c r="K536" i="1"/>
  <c r="J536" i="1"/>
  <c r="I536" i="1"/>
  <c r="H536" i="1"/>
  <c r="G536" i="1"/>
  <c r="F536" i="1"/>
  <c r="E536" i="1"/>
  <c r="D536" i="1"/>
  <c r="C536" i="1"/>
  <c r="S534" i="1"/>
  <c r="L534" i="1"/>
  <c r="L542" i="1" l="1"/>
  <c r="S536" i="1"/>
  <c r="L536" i="1"/>
  <c r="S542" i="1"/>
  <c r="V541" i="1"/>
  <c r="H542" i="1"/>
  <c r="AG566" i="1"/>
  <c r="AF566" i="1"/>
  <c r="AE566" i="1"/>
  <c r="AD566" i="1"/>
  <c r="AC566" i="1"/>
  <c r="U564" i="1"/>
  <c r="U565" i="1" s="1"/>
  <c r="U566" i="1" s="1"/>
  <c r="T564" i="1"/>
  <c r="T565" i="1" s="1"/>
  <c r="T566" i="1" s="1"/>
  <c r="S564" i="1"/>
  <c r="S565" i="1" s="1"/>
  <c r="S566" i="1" s="1"/>
  <c r="R564" i="1"/>
  <c r="R565" i="1" s="1"/>
  <c r="R566" i="1" s="1"/>
  <c r="Q564" i="1"/>
  <c r="Q565" i="1" s="1"/>
  <c r="Q566" i="1" s="1"/>
  <c r="P564" i="1"/>
  <c r="P565" i="1" s="1"/>
  <c r="P566" i="1" s="1"/>
  <c r="O564" i="1"/>
  <c r="O565" i="1" s="1"/>
  <c r="O566" i="1" s="1"/>
  <c r="N564" i="1"/>
  <c r="N565" i="1" s="1"/>
  <c r="N566" i="1" s="1"/>
  <c r="M564" i="1"/>
  <c r="M565" i="1" s="1"/>
  <c r="M566" i="1" s="1"/>
  <c r="L564" i="1"/>
  <c r="L565" i="1" s="1"/>
  <c r="L566" i="1" s="1"/>
  <c r="K564" i="1"/>
  <c r="K565" i="1" s="1"/>
  <c r="K566" i="1" s="1"/>
  <c r="J564" i="1"/>
  <c r="J565" i="1" s="1"/>
  <c r="J566" i="1" s="1"/>
  <c r="I564" i="1"/>
  <c r="I565" i="1" s="1"/>
  <c r="I566" i="1" s="1"/>
  <c r="H564" i="1"/>
  <c r="H565" i="1" s="1"/>
  <c r="G564" i="1"/>
  <c r="G565" i="1" s="1"/>
  <c r="G566" i="1" s="1"/>
  <c r="F564" i="1"/>
  <c r="F565" i="1" s="1"/>
  <c r="F566" i="1" s="1"/>
  <c r="E564" i="1"/>
  <c r="E565" i="1" s="1"/>
  <c r="E566" i="1" s="1"/>
  <c r="D564" i="1"/>
  <c r="D565" i="1" s="1"/>
  <c r="D566" i="1" s="1"/>
  <c r="C564" i="1"/>
  <c r="C565" i="1" s="1"/>
  <c r="C566" i="1" s="1"/>
  <c r="AG563" i="1"/>
  <c r="AF563" i="1"/>
  <c r="AE563" i="1"/>
  <c r="AD563" i="1"/>
  <c r="AC563" i="1"/>
  <c r="U563" i="1"/>
  <c r="T563" i="1"/>
  <c r="U562" i="1"/>
  <c r="T562" i="1"/>
  <c r="S562" i="1"/>
  <c r="R562" i="1"/>
  <c r="Q562" i="1"/>
  <c r="P562" i="1"/>
  <c r="O562" i="1"/>
  <c r="N562" i="1"/>
  <c r="M562" i="1"/>
  <c r="L562" i="1"/>
  <c r="K562" i="1"/>
  <c r="J562" i="1"/>
  <c r="I562" i="1"/>
  <c r="H562" i="1"/>
  <c r="G562" i="1"/>
  <c r="F562" i="1"/>
  <c r="E562" i="1"/>
  <c r="D562" i="1"/>
  <c r="C562" i="1"/>
  <c r="AG560" i="1"/>
  <c r="AF560" i="1"/>
  <c r="AE560" i="1"/>
  <c r="AD560" i="1"/>
  <c r="AC560" i="1"/>
  <c r="U560" i="1"/>
  <c r="T560" i="1"/>
  <c r="S560" i="1"/>
  <c r="R560" i="1"/>
  <c r="Q560" i="1"/>
  <c r="P560" i="1"/>
  <c r="O560" i="1"/>
  <c r="N560" i="1"/>
  <c r="M560" i="1"/>
  <c r="L560" i="1"/>
  <c r="K560" i="1"/>
  <c r="J560" i="1"/>
  <c r="I560" i="1"/>
  <c r="H560" i="1"/>
  <c r="G560" i="1"/>
  <c r="F560" i="1"/>
  <c r="E560" i="1"/>
  <c r="D560" i="1"/>
  <c r="C560" i="1"/>
  <c r="V565" i="1" l="1"/>
  <c r="H566" i="1"/>
  <c r="T552" i="1"/>
  <c r="T553" i="1" s="1"/>
  <c r="T554" i="1" s="1"/>
  <c r="S547" i="1"/>
  <c r="S546" i="1"/>
  <c r="R552" i="1"/>
  <c r="R553" i="1" s="1"/>
  <c r="R554" i="1" s="1"/>
  <c r="M552" i="1"/>
  <c r="M553" i="1" s="1"/>
  <c r="M554" i="1" s="1"/>
  <c r="L547" i="1"/>
  <c r="L546" i="1"/>
  <c r="K552" i="1"/>
  <c r="K553" i="1" s="1"/>
  <c r="K554" i="1" s="1"/>
  <c r="H552" i="1"/>
  <c r="H553" i="1" s="1"/>
  <c r="H554" i="1" s="1"/>
  <c r="F552" i="1"/>
  <c r="F553" i="1" s="1"/>
  <c r="F554" i="1" s="1"/>
  <c r="C552" i="1"/>
  <c r="C553" i="1" s="1"/>
  <c r="C554" i="1" s="1"/>
  <c r="S552" i="1"/>
  <c r="S553" i="1" s="1"/>
  <c r="N552" i="1"/>
  <c r="N553" i="1" s="1"/>
  <c r="O552" i="1"/>
  <c r="O553" i="1" s="1"/>
  <c r="O554" i="1" s="1"/>
  <c r="P552" i="1"/>
  <c r="P553" i="1" s="1"/>
  <c r="P554" i="1" s="1"/>
  <c r="L552" i="1"/>
  <c r="L553" i="1" s="1"/>
  <c r="G552" i="1"/>
  <c r="G553" i="1" s="1"/>
  <c r="G554" i="1" s="1"/>
  <c r="I552" i="1"/>
  <c r="I553" i="1" s="1"/>
  <c r="I554" i="1" s="1"/>
  <c r="E552" i="1"/>
  <c r="E553" i="1" s="1"/>
  <c r="E554" i="1" s="1"/>
  <c r="D552" i="1"/>
  <c r="D553" i="1" s="1"/>
  <c r="D554" i="1" s="1"/>
  <c r="AG554" i="1"/>
  <c r="AF554" i="1"/>
  <c r="AE554" i="1"/>
  <c r="AD554" i="1"/>
  <c r="AC554" i="1"/>
  <c r="U552" i="1"/>
  <c r="U553" i="1" s="1"/>
  <c r="U554" i="1" s="1"/>
  <c r="Q552" i="1"/>
  <c r="Q553" i="1" s="1"/>
  <c r="Q554" i="1" s="1"/>
  <c r="J552" i="1"/>
  <c r="J553" i="1" s="1"/>
  <c r="J554" i="1" s="1"/>
  <c r="AG551" i="1"/>
  <c r="AF551" i="1"/>
  <c r="AE551" i="1"/>
  <c r="AD551" i="1"/>
  <c r="AC551" i="1"/>
  <c r="U551" i="1"/>
  <c r="T551" i="1"/>
  <c r="U550" i="1"/>
  <c r="T550" i="1"/>
  <c r="S550" i="1"/>
  <c r="R550" i="1"/>
  <c r="Q550" i="1"/>
  <c r="P550" i="1"/>
  <c r="O550" i="1"/>
  <c r="N550" i="1"/>
  <c r="M550" i="1"/>
  <c r="L550" i="1"/>
  <c r="K550" i="1"/>
  <c r="J550" i="1"/>
  <c r="I550" i="1"/>
  <c r="H550" i="1"/>
  <c r="G550" i="1"/>
  <c r="F550" i="1"/>
  <c r="E550" i="1"/>
  <c r="D550" i="1"/>
  <c r="C550" i="1"/>
  <c r="AG548" i="1"/>
  <c r="AF548" i="1"/>
  <c r="AE548" i="1"/>
  <c r="AD548" i="1"/>
  <c r="AC548" i="1"/>
  <c r="U548" i="1"/>
  <c r="T548" i="1"/>
  <c r="R548" i="1"/>
  <c r="Q548" i="1"/>
  <c r="P548" i="1"/>
  <c r="O548" i="1"/>
  <c r="N548" i="1"/>
  <c r="M548" i="1"/>
  <c r="K548" i="1"/>
  <c r="J548" i="1"/>
  <c r="I548" i="1"/>
  <c r="H548" i="1"/>
  <c r="G548" i="1"/>
  <c r="F548" i="1"/>
  <c r="E548" i="1"/>
  <c r="D548" i="1"/>
  <c r="C548" i="1"/>
  <c r="S548" i="1" l="1"/>
  <c r="L548" i="1"/>
  <c r="L554" i="1"/>
  <c r="S554" i="1"/>
  <c r="N554" i="1"/>
  <c r="V553" i="1"/>
  <c r="R576" i="1"/>
  <c r="P576" i="1"/>
  <c r="P577" i="1" s="1"/>
  <c r="P578" i="1" s="1"/>
  <c r="K576" i="1"/>
  <c r="K577" i="1" s="1"/>
  <c r="K578" i="1" s="1"/>
  <c r="H576" i="1"/>
  <c r="I576" i="1"/>
  <c r="I577" i="1" s="1"/>
  <c r="I578" i="1" s="1"/>
  <c r="E576" i="1"/>
  <c r="E577" i="1" s="1"/>
  <c r="E578" i="1" s="1"/>
  <c r="D576" i="1"/>
  <c r="D577" i="1" s="1"/>
  <c r="D578" i="1" s="1"/>
  <c r="C576" i="1"/>
  <c r="C577" i="1" s="1"/>
  <c r="C578" i="1" s="1"/>
  <c r="AG578" i="1"/>
  <c r="AF578" i="1"/>
  <c r="AE578" i="1"/>
  <c r="AD578" i="1"/>
  <c r="AC578" i="1"/>
  <c r="U576" i="1"/>
  <c r="U577" i="1" s="1"/>
  <c r="U578" i="1" s="1"/>
  <c r="T576" i="1"/>
  <c r="T577" i="1" s="1"/>
  <c r="T578" i="1" s="1"/>
  <c r="S576" i="1"/>
  <c r="S577" i="1" s="1"/>
  <c r="S578" i="1" s="1"/>
  <c r="R577" i="1"/>
  <c r="R578" i="1" s="1"/>
  <c r="Q576" i="1"/>
  <c r="Q577" i="1" s="1"/>
  <c r="Q578" i="1" s="1"/>
  <c r="O576" i="1"/>
  <c r="O577" i="1" s="1"/>
  <c r="O578" i="1" s="1"/>
  <c r="N576" i="1"/>
  <c r="N577" i="1" s="1"/>
  <c r="N578" i="1" s="1"/>
  <c r="M576" i="1"/>
  <c r="M577" i="1" s="1"/>
  <c r="M578" i="1" s="1"/>
  <c r="L576" i="1"/>
  <c r="L577" i="1" s="1"/>
  <c r="L578" i="1" s="1"/>
  <c r="J576" i="1"/>
  <c r="J577" i="1" s="1"/>
  <c r="J578" i="1" s="1"/>
  <c r="H577" i="1"/>
  <c r="G576" i="1"/>
  <c r="G577" i="1" s="1"/>
  <c r="G578" i="1" s="1"/>
  <c r="F576" i="1"/>
  <c r="F577" i="1" s="1"/>
  <c r="F578" i="1" s="1"/>
  <c r="AG575" i="1"/>
  <c r="AF575" i="1"/>
  <c r="AE575" i="1"/>
  <c r="AD575" i="1"/>
  <c r="AC575" i="1"/>
  <c r="U575" i="1"/>
  <c r="T575" i="1"/>
  <c r="U574" i="1"/>
  <c r="T574" i="1"/>
  <c r="S574" i="1"/>
  <c r="R574" i="1"/>
  <c r="Q574" i="1"/>
  <c r="P574" i="1"/>
  <c r="O574" i="1"/>
  <c r="N574" i="1"/>
  <c r="M574" i="1"/>
  <c r="L574" i="1"/>
  <c r="K574" i="1"/>
  <c r="J574" i="1"/>
  <c r="I574" i="1"/>
  <c r="H574" i="1"/>
  <c r="G574" i="1"/>
  <c r="F574" i="1"/>
  <c r="E574" i="1"/>
  <c r="D574" i="1"/>
  <c r="C574" i="1"/>
  <c r="AG572" i="1"/>
  <c r="AF572" i="1"/>
  <c r="AE572" i="1"/>
  <c r="AD572" i="1"/>
  <c r="AC572" i="1"/>
  <c r="U572" i="1"/>
  <c r="T572" i="1"/>
  <c r="S572" i="1"/>
  <c r="R572" i="1"/>
  <c r="Q572" i="1"/>
  <c r="P572" i="1"/>
  <c r="O572" i="1"/>
  <c r="N572" i="1"/>
  <c r="M572" i="1"/>
  <c r="L572" i="1"/>
  <c r="K572" i="1"/>
  <c r="J572" i="1"/>
  <c r="I572" i="1"/>
  <c r="H572" i="1"/>
  <c r="G572" i="1"/>
  <c r="F572" i="1"/>
  <c r="E572" i="1"/>
  <c r="D572" i="1"/>
  <c r="C572" i="1"/>
  <c r="H578" i="1" l="1"/>
  <c r="V577" i="1"/>
  <c r="J588" i="1"/>
  <c r="J589" i="1" s="1"/>
  <c r="J590" i="1" s="1"/>
  <c r="I588" i="1"/>
  <c r="I589" i="1" s="1"/>
  <c r="I590" i="1" s="1"/>
  <c r="Q588" i="1"/>
  <c r="Q589" i="1" s="1"/>
  <c r="Q590" i="1" s="1"/>
  <c r="P588" i="1"/>
  <c r="P589" i="1" s="1"/>
  <c r="P590" i="1" s="1"/>
  <c r="T588" i="1"/>
  <c r="T589" i="1" s="1"/>
  <c r="T590" i="1" s="1"/>
  <c r="AG590" i="1"/>
  <c r="AF590" i="1"/>
  <c r="AE590" i="1"/>
  <c r="AD590" i="1"/>
  <c r="AC590" i="1"/>
  <c r="U588" i="1"/>
  <c r="U589" i="1" s="1"/>
  <c r="U590" i="1" s="1"/>
  <c r="S588" i="1"/>
  <c r="S589" i="1" s="1"/>
  <c r="S590" i="1" s="1"/>
  <c r="R588" i="1"/>
  <c r="R589" i="1" s="1"/>
  <c r="R590" i="1" s="1"/>
  <c r="O588" i="1"/>
  <c r="O589" i="1" s="1"/>
  <c r="O590" i="1" s="1"/>
  <c r="N588" i="1"/>
  <c r="N589" i="1" s="1"/>
  <c r="N590" i="1" s="1"/>
  <c r="M588" i="1"/>
  <c r="M589" i="1" s="1"/>
  <c r="M590" i="1" s="1"/>
  <c r="L588" i="1"/>
  <c r="L589" i="1" s="1"/>
  <c r="L590" i="1" s="1"/>
  <c r="K588" i="1"/>
  <c r="K589" i="1" s="1"/>
  <c r="K590" i="1" s="1"/>
  <c r="H588" i="1"/>
  <c r="H589" i="1" s="1"/>
  <c r="G588" i="1"/>
  <c r="G589" i="1" s="1"/>
  <c r="G590" i="1" s="1"/>
  <c r="F588" i="1"/>
  <c r="F589" i="1" s="1"/>
  <c r="F590" i="1" s="1"/>
  <c r="E588" i="1"/>
  <c r="E589" i="1" s="1"/>
  <c r="E590" i="1" s="1"/>
  <c r="D588" i="1"/>
  <c r="D589" i="1" s="1"/>
  <c r="D590" i="1" s="1"/>
  <c r="C588" i="1"/>
  <c r="C589" i="1" s="1"/>
  <c r="C590" i="1" s="1"/>
  <c r="AG587" i="1"/>
  <c r="AF587" i="1"/>
  <c r="AE587" i="1"/>
  <c r="AD587" i="1"/>
  <c r="AC587" i="1"/>
  <c r="U587" i="1"/>
  <c r="T587" i="1"/>
  <c r="U586" i="1"/>
  <c r="T586" i="1"/>
  <c r="S586" i="1"/>
  <c r="R586" i="1"/>
  <c r="Q586" i="1"/>
  <c r="P586" i="1"/>
  <c r="O586" i="1"/>
  <c r="N586" i="1"/>
  <c r="M586" i="1"/>
  <c r="L586" i="1"/>
  <c r="K586" i="1"/>
  <c r="J586" i="1"/>
  <c r="I586" i="1"/>
  <c r="H586" i="1"/>
  <c r="G586" i="1"/>
  <c r="F586" i="1"/>
  <c r="E586" i="1"/>
  <c r="D586" i="1"/>
  <c r="C586" i="1"/>
  <c r="AG584" i="1"/>
  <c r="AF584" i="1"/>
  <c r="AE584" i="1"/>
  <c r="AD584" i="1"/>
  <c r="AC584" i="1"/>
  <c r="U584" i="1"/>
  <c r="T584" i="1"/>
  <c r="S584" i="1"/>
  <c r="R584" i="1"/>
  <c r="Q584" i="1"/>
  <c r="P584" i="1"/>
  <c r="O584" i="1"/>
  <c r="N584" i="1"/>
  <c r="M584" i="1"/>
  <c r="L584" i="1"/>
  <c r="K584" i="1"/>
  <c r="J584" i="1"/>
  <c r="I584" i="1"/>
  <c r="H584" i="1"/>
  <c r="G584" i="1"/>
  <c r="F584" i="1"/>
  <c r="E584" i="1"/>
  <c r="D584" i="1"/>
  <c r="C584" i="1"/>
  <c r="H590" i="1" l="1"/>
  <c r="V589" i="1"/>
  <c r="AE602" i="1" l="1"/>
  <c r="AE599" i="1"/>
  <c r="AE596" i="1"/>
  <c r="AG602" i="1"/>
  <c r="AG599" i="1"/>
  <c r="AG596" i="1"/>
  <c r="D600" i="1"/>
  <c r="C600" i="1"/>
  <c r="T600" i="1"/>
  <c r="S600" i="1" l="1"/>
  <c r="S601" i="1" s="1"/>
  <c r="S602" i="1" s="1"/>
  <c r="R600" i="1"/>
  <c r="R601" i="1" s="1"/>
  <c r="R602" i="1" s="1"/>
  <c r="M600" i="1"/>
  <c r="M601" i="1" s="1"/>
  <c r="M602" i="1" s="1"/>
  <c r="K600" i="1"/>
  <c r="K601" i="1" s="1"/>
  <c r="K602" i="1" s="1"/>
  <c r="H600" i="1"/>
  <c r="H601" i="1" s="1"/>
  <c r="F600" i="1"/>
  <c r="F601" i="1" s="1"/>
  <c r="F602" i="1" s="1"/>
  <c r="E600" i="1"/>
  <c r="E601" i="1" s="1"/>
  <c r="E602" i="1" s="1"/>
  <c r="AF602" i="1"/>
  <c r="AD602" i="1"/>
  <c r="AC602" i="1"/>
  <c r="C601" i="1"/>
  <c r="C602" i="1" s="1"/>
  <c r="U600" i="1"/>
  <c r="U601" i="1" s="1"/>
  <c r="U602" i="1" s="1"/>
  <c r="T601" i="1"/>
  <c r="T602" i="1" s="1"/>
  <c r="Q600" i="1"/>
  <c r="Q601" i="1" s="1"/>
  <c r="Q602" i="1" s="1"/>
  <c r="P600" i="1"/>
  <c r="P601" i="1" s="1"/>
  <c r="P602" i="1" s="1"/>
  <c r="O600" i="1"/>
  <c r="O601" i="1" s="1"/>
  <c r="O602" i="1" s="1"/>
  <c r="N600" i="1"/>
  <c r="N601" i="1" s="1"/>
  <c r="N602" i="1" s="1"/>
  <c r="L600" i="1"/>
  <c r="L601" i="1" s="1"/>
  <c r="L602" i="1" s="1"/>
  <c r="J600" i="1"/>
  <c r="J601" i="1" s="1"/>
  <c r="J602" i="1" s="1"/>
  <c r="I600" i="1"/>
  <c r="I601" i="1" s="1"/>
  <c r="I602" i="1" s="1"/>
  <c r="G600" i="1"/>
  <c r="G601" i="1" s="1"/>
  <c r="G602" i="1" s="1"/>
  <c r="D601" i="1"/>
  <c r="D602" i="1" s="1"/>
  <c r="AF599" i="1"/>
  <c r="AD599" i="1"/>
  <c r="AC599" i="1"/>
  <c r="U599" i="1"/>
  <c r="T599" i="1"/>
  <c r="U598" i="1"/>
  <c r="T598" i="1"/>
  <c r="S598" i="1"/>
  <c r="R598" i="1"/>
  <c r="Q598" i="1"/>
  <c r="P598" i="1"/>
  <c r="O598" i="1"/>
  <c r="N598" i="1"/>
  <c r="M598" i="1"/>
  <c r="L598" i="1"/>
  <c r="K598" i="1"/>
  <c r="J598" i="1"/>
  <c r="I598" i="1"/>
  <c r="H598" i="1"/>
  <c r="G598" i="1"/>
  <c r="F598" i="1"/>
  <c r="E598" i="1"/>
  <c r="D598" i="1"/>
  <c r="C598" i="1"/>
  <c r="AF596" i="1"/>
  <c r="AD596" i="1"/>
  <c r="AC596" i="1"/>
  <c r="U596" i="1"/>
  <c r="T596" i="1"/>
  <c r="S596" i="1"/>
  <c r="R596" i="1"/>
  <c r="Q596" i="1"/>
  <c r="P596" i="1"/>
  <c r="O596" i="1"/>
  <c r="N596" i="1"/>
  <c r="M596" i="1"/>
  <c r="L596" i="1"/>
  <c r="K596" i="1"/>
  <c r="J596" i="1"/>
  <c r="I596" i="1"/>
  <c r="H596" i="1"/>
  <c r="G596" i="1"/>
  <c r="F596" i="1"/>
  <c r="E596" i="1"/>
  <c r="D596" i="1"/>
  <c r="C596" i="1"/>
  <c r="H602" i="1" l="1"/>
  <c r="V601" i="1"/>
  <c r="S612" i="1"/>
  <c r="S613" i="1" s="1"/>
  <c r="S614" i="1" s="1"/>
  <c r="L612" i="1"/>
  <c r="L613" i="1" s="1"/>
  <c r="L614" i="1" s="1"/>
  <c r="S610" i="1"/>
  <c r="S608" i="1"/>
  <c r="L610" i="1"/>
  <c r="L608" i="1"/>
  <c r="T612" i="1" l="1"/>
  <c r="T613" i="1" s="1"/>
  <c r="T614" i="1" s="1"/>
  <c r="O612" i="1"/>
  <c r="O613" i="1" s="1"/>
  <c r="O614" i="1" s="1"/>
  <c r="N612" i="1"/>
  <c r="N613" i="1" s="1"/>
  <c r="N614" i="1" s="1"/>
  <c r="H612" i="1"/>
  <c r="H613" i="1" s="1"/>
  <c r="G612" i="1"/>
  <c r="G613" i="1" s="1"/>
  <c r="G614" i="1" s="1"/>
  <c r="E612" i="1"/>
  <c r="E613" i="1" s="1"/>
  <c r="E614" i="1" s="1"/>
  <c r="D612" i="1"/>
  <c r="D613" i="1" s="1"/>
  <c r="D614" i="1" s="1"/>
  <c r="AE614" i="1"/>
  <c r="AD614" i="1"/>
  <c r="AC614" i="1"/>
  <c r="U612" i="1"/>
  <c r="U613" i="1" s="1"/>
  <c r="U614" i="1" s="1"/>
  <c r="R612" i="1"/>
  <c r="R613" i="1" s="1"/>
  <c r="R614" i="1" s="1"/>
  <c r="Q612" i="1"/>
  <c r="Q613" i="1" s="1"/>
  <c r="Q614" i="1" s="1"/>
  <c r="P612" i="1"/>
  <c r="P613" i="1" s="1"/>
  <c r="P614" i="1" s="1"/>
  <c r="M612" i="1"/>
  <c r="M613" i="1" s="1"/>
  <c r="M614" i="1" s="1"/>
  <c r="K612" i="1"/>
  <c r="K613" i="1" s="1"/>
  <c r="K614" i="1" s="1"/>
  <c r="J612" i="1"/>
  <c r="J613" i="1" s="1"/>
  <c r="J614" i="1" s="1"/>
  <c r="I612" i="1"/>
  <c r="I613" i="1" s="1"/>
  <c r="I614" i="1" s="1"/>
  <c r="F612" i="1"/>
  <c r="F613" i="1" s="1"/>
  <c r="F614" i="1" s="1"/>
  <c r="C612" i="1"/>
  <c r="C613" i="1" s="1"/>
  <c r="C614" i="1" s="1"/>
  <c r="AE611" i="1"/>
  <c r="AD611" i="1"/>
  <c r="AC611" i="1"/>
  <c r="U611" i="1"/>
  <c r="T611" i="1"/>
  <c r="U610" i="1"/>
  <c r="T610" i="1"/>
  <c r="R610" i="1"/>
  <c r="Q610" i="1"/>
  <c r="P610" i="1"/>
  <c r="O610" i="1"/>
  <c r="N610" i="1"/>
  <c r="M610" i="1"/>
  <c r="K610" i="1"/>
  <c r="J610" i="1"/>
  <c r="I610" i="1"/>
  <c r="H610" i="1"/>
  <c r="G610" i="1"/>
  <c r="F610" i="1"/>
  <c r="E610" i="1"/>
  <c r="D610" i="1"/>
  <c r="C610" i="1"/>
  <c r="AE608" i="1"/>
  <c r="AD608" i="1"/>
  <c r="AC608" i="1"/>
  <c r="U608" i="1"/>
  <c r="T608" i="1"/>
  <c r="R608" i="1"/>
  <c r="Q608" i="1"/>
  <c r="P608" i="1"/>
  <c r="O608" i="1"/>
  <c r="N608" i="1"/>
  <c r="M608" i="1"/>
  <c r="K608" i="1"/>
  <c r="J608" i="1"/>
  <c r="I608" i="1"/>
  <c r="H608" i="1"/>
  <c r="G608" i="1"/>
  <c r="F608" i="1"/>
  <c r="E608" i="1"/>
  <c r="D608" i="1"/>
  <c r="C608" i="1"/>
  <c r="V613" i="1" l="1"/>
  <c r="H614" i="1"/>
  <c r="Q624" i="1"/>
  <c r="Q625" i="1" s="1"/>
  <c r="Q626" i="1" s="1"/>
  <c r="P624" i="1"/>
  <c r="P625" i="1" s="1"/>
  <c r="P626" i="1" s="1"/>
  <c r="N624" i="1"/>
  <c r="O624" i="1"/>
  <c r="O625" i="1" s="1"/>
  <c r="O626" i="1" s="1"/>
  <c r="K624" i="1"/>
  <c r="K625" i="1" s="1"/>
  <c r="K626" i="1" s="1"/>
  <c r="J624" i="1"/>
  <c r="J625" i="1" s="1"/>
  <c r="J626" i="1" s="1"/>
  <c r="G624" i="1"/>
  <c r="G625" i="1" s="1"/>
  <c r="G626" i="1" s="1"/>
  <c r="H624" i="1"/>
  <c r="H625" i="1" s="1"/>
  <c r="H626" i="1" s="1"/>
  <c r="I624" i="1"/>
  <c r="I625" i="1" s="1"/>
  <c r="I626" i="1" s="1"/>
  <c r="AE626" i="1"/>
  <c r="AD626" i="1"/>
  <c r="AC626" i="1"/>
  <c r="N625" i="1"/>
  <c r="N626" i="1" s="1"/>
  <c r="S624" i="1"/>
  <c r="S625" i="1" s="1"/>
  <c r="S626" i="1" s="1"/>
  <c r="R624" i="1"/>
  <c r="R625" i="1" s="1"/>
  <c r="R626" i="1" s="1"/>
  <c r="M624" i="1"/>
  <c r="M625" i="1" s="1"/>
  <c r="M626" i="1" s="1"/>
  <c r="L624" i="1"/>
  <c r="L625" i="1" s="1"/>
  <c r="L626" i="1" s="1"/>
  <c r="F624" i="1"/>
  <c r="F625" i="1" s="1"/>
  <c r="F626" i="1" s="1"/>
  <c r="E624" i="1"/>
  <c r="E625" i="1" s="1"/>
  <c r="E626" i="1" s="1"/>
  <c r="D624" i="1"/>
  <c r="D625" i="1" s="1"/>
  <c r="D626" i="1" s="1"/>
  <c r="C624" i="1"/>
  <c r="C625" i="1" s="1"/>
  <c r="C626" i="1" s="1"/>
  <c r="AE623" i="1"/>
  <c r="AD623" i="1"/>
  <c r="AC623" i="1"/>
  <c r="S623" i="1"/>
  <c r="R623" i="1"/>
  <c r="S622" i="1"/>
  <c r="R622" i="1"/>
  <c r="Q622" i="1"/>
  <c r="P622" i="1"/>
  <c r="O622" i="1"/>
  <c r="N622" i="1"/>
  <c r="M622" i="1"/>
  <c r="L622" i="1"/>
  <c r="K622" i="1"/>
  <c r="J622" i="1"/>
  <c r="I622" i="1"/>
  <c r="H622" i="1"/>
  <c r="G622" i="1"/>
  <c r="F622" i="1"/>
  <c r="E622" i="1"/>
  <c r="D622" i="1"/>
  <c r="C622" i="1"/>
  <c r="AE620" i="1"/>
  <c r="AD620" i="1"/>
  <c r="AC620" i="1"/>
  <c r="S620" i="1"/>
  <c r="R620" i="1"/>
  <c r="Q620" i="1"/>
  <c r="P620" i="1"/>
  <c r="O620" i="1"/>
  <c r="N620" i="1"/>
  <c r="M620" i="1"/>
  <c r="L620" i="1"/>
  <c r="K620" i="1"/>
  <c r="J620" i="1"/>
  <c r="I620" i="1"/>
  <c r="H620" i="1"/>
  <c r="G620" i="1"/>
  <c r="F620" i="1"/>
  <c r="E620" i="1"/>
  <c r="D620" i="1"/>
  <c r="C620" i="1"/>
  <c r="K636" i="1" l="1"/>
  <c r="AE638" i="1"/>
  <c r="AD638" i="1"/>
  <c r="AC638" i="1"/>
  <c r="S636" i="1"/>
  <c r="S637" i="1" s="1"/>
  <c r="S638" i="1" s="1"/>
  <c r="R636" i="1"/>
  <c r="R637" i="1" s="1"/>
  <c r="R638" i="1" s="1"/>
  <c r="Q636" i="1"/>
  <c r="Q637" i="1" s="1"/>
  <c r="Q638" i="1" s="1"/>
  <c r="P636" i="1"/>
  <c r="P637" i="1" s="1"/>
  <c r="P638" i="1" s="1"/>
  <c r="O636" i="1"/>
  <c r="O637" i="1" s="1"/>
  <c r="O638" i="1" s="1"/>
  <c r="N636" i="1"/>
  <c r="N637" i="1" s="1"/>
  <c r="N638" i="1" s="1"/>
  <c r="M636" i="1"/>
  <c r="M637" i="1" s="1"/>
  <c r="M638" i="1" s="1"/>
  <c r="L636" i="1"/>
  <c r="L637" i="1" s="1"/>
  <c r="L638" i="1" s="1"/>
  <c r="K637" i="1"/>
  <c r="K638" i="1" s="1"/>
  <c r="J636" i="1"/>
  <c r="J637" i="1" s="1"/>
  <c r="J638" i="1" s="1"/>
  <c r="I636" i="1"/>
  <c r="I637" i="1" s="1"/>
  <c r="I638" i="1" s="1"/>
  <c r="H636" i="1"/>
  <c r="H637" i="1" s="1"/>
  <c r="G636" i="1"/>
  <c r="G637" i="1" s="1"/>
  <c r="G638" i="1" s="1"/>
  <c r="F636" i="1"/>
  <c r="F637" i="1" s="1"/>
  <c r="F638" i="1" s="1"/>
  <c r="E636" i="1"/>
  <c r="E637" i="1" s="1"/>
  <c r="E638" i="1" s="1"/>
  <c r="D636" i="1"/>
  <c r="D637" i="1" s="1"/>
  <c r="D638" i="1" s="1"/>
  <c r="C636" i="1"/>
  <c r="C637" i="1" s="1"/>
  <c r="C638" i="1" s="1"/>
  <c r="AE635" i="1"/>
  <c r="AD635" i="1"/>
  <c r="AC635" i="1"/>
  <c r="S635" i="1"/>
  <c r="R635" i="1"/>
  <c r="S634" i="1"/>
  <c r="R634" i="1"/>
  <c r="Q634" i="1"/>
  <c r="P634" i="1"/>
  <c r="O634" i="1"/>
  <c r="N634" i="1"/>
  <c r="M634" i="1"/>
  <c r="L634" i="1"/>
  <c r="K634" i="1"/>
  <c r="J634" i="1"/>
  <c r="I634" i="1"/>
  <c r="H634" i="1"/>
  <c r="G634" i="1"/>
  <c r="F634" i="1"/>
  <c r="E634" i="1"/>
  <c r="D634" i="1"/>
  <c r="C634" i="1"/>
  <c r="AE632" i="1"/>
  <c r="AD632" i="1"/>
  <c r="AC632" i="1"/>
  <c r="S632" i="1"/>
  <c r="R632" i="1"/>
  <c r="Q632" i="1"/>
  <c r="P632" i="1"/>
  <c r="O632" i="1"/>
  <c r="N632" i="1"/>
  <c r="M632" i="1"/>
  <c r="L632" i="1"/>
  <c r="K632" i="1"/>
  <c r="J632" i="1"/>
  <c r="I632" i="1"/>
  <c r="H632" i="1"/>
  <c r="G632" i="1"/>
  <c r="F632" i="1"/>
  <c r="E632" i="1"/>
  <c r="D632" i="1"/>
  <c r="C632" i="1"/>
  <c r="H638" i="1" l="1"/>
  <c r="Q648" i="1"/>
  <c r="Q649" i="1" s="1"/>
  <c r="Q650" i="1" s="1"/>
  <c r="AE650" i="1"/>
  <c r="AD650" i="1"/>
  <c r="AC650" i="1"/>
  <c r="S648" i="1"/>
  <c r="S649" i="1" s="1"/>
  <c r="S650" i="1" s="1"/>
  <c r="R648" i="1"/>
  <c r="R649" i="1" s="1"/>
  <c r="R650" i="1" s="1"/>
  <c r="P648" i="1"/>
  <c r="P649" i="1" s="1"/>
  <c r="P650" i="1" s="1"/>
  <c r="O648" i="1"/>
  <c r="O649" i="1" s="1"/>
  <c r="O650" i="1" s="1"/>
  <c r="N648" i="1"/>
  <c r="N649" i="1" s="1"/>
  <c r="N650" i="1" s="1"/>
  <c r="M648" i="1"/>
  <c r="M649" i="1" s="1"/>
  <c r="M650" i="1" s="1"/>
  <c r="L648" i="1"/>
  <c r="L649" i="1" s="1"/>
  <c r="L650" i="1" s="1"/>
  <c r="K648" i="1"/>
  <c r="K649" i="1" s="1"/>
  <c r="K650" i="1" s="1"/>
  <c r="J648" i="1"/>
  <c r="J649" i="1" s="1"/>
  <c r="J650" i="1" s="1"/>
  <c r="I648" i="1"/>
  <c r="I649" i="1" s="1"/>
  <c r="I650" i="1" s="1"/>
  <c r="H648" i="1"/>
  <c r="H649" i="1" s="1"/>
  <c r="G648" i="1"/>
  <c r="G649" i="1" s="1"/>
  <c r="G650" i="1" s="1"/>
  <c r="F648" i="1"/>
  <c r="F649" i="1" s="1"/>
  <c r="F650" i="1" s="1"/>
  <c r="E648" i="1"/>
  <c r="E649" i="1" s="1"/>
  <c r="E650" i="1" s="1"/>
  <c r="D648" i="1"/>
  <c r="D649" i="1" s="1"/>
  <c r="D650" i="1" s="1"/>
  <c r="C648" i="1"/>
  <c r="C649" i="1" s="1"/>
  <c r="C650" i="1" s="1"/>
  <c r="AE647" i="1"/>
  <c r="AD647" i="1"/>
  <c r="AC647" i="1"/>
  <c r="S647" i="1"/>
  <c r="R647" i="1"/>
  <c r="S646" i="1"/>
  <c r="R646" i="1"/>
  <c r="Q646" i="1"/>
  <c r="P646" i="1"/>
  <c r="O646" i="1"/>
  <c r="N646" i="1"/>
  <c r="M646" i="1"/>
  <c r="L646" i="1"/>
  <c r="K646" i="1"/>
  <c r="J646" i="1"/>
  <c r="I646" i="1"/>
  <c r="H646" i="1"/>
  <c r="G646" i="1"/>
  <c r="F646" i="1"/>
  <c r="E646" i="1"/>
  <c r="D646" i="1"/>
  <c r="C646" i="1"/>
  <c r="AE644" i="1"/>
  <c r="AD644" i="1"/>
  <c r="AC644" i="1"/>
  <c r="S644" i="1"/>
  <c r="R644" i="1"/>
  <c r="Q644" i="1"/>
  <c r="P644" i="1"/>
  <c r="O644" i="1"/>
  <c r="N644" i="1"/>
  <c r="M644" i="1"/>
  <c r="L644" i="1"/>
  <c r="K644" i="1"/>
  <c r="J644" i="1"/>
  <c r="I644" i="1"/>
  <c r="H644" i="1"/>
  <c r="G644" i="1"/>
  <c r="F644" i="1"/>
  <c r="E644" i="1"/>
  <c r="D644" i="1"/>
  <c r="C644" i="1"/>
  <c r="H650" i="1" l="1"/>
  <c r="D660" i="1"/>
  <c r="D661" i="1" s="1"/>
  <c r="D662" i="1" s="1"/>
  <c r="C660" i="1"/>
  <c r="C661" i="1" s="1"/>
  <c r="C662" i="1" s="1"/>
  <c r="K660" i="1"/>
  <c r="K661" i="1" s="1"/>
  <c r="K662" i="1" s="1"/>
  <c r="K658" i="1"/>
  <c r="K656" i="1"/>
  <c r="G660" i="1"/>
  <c r="E660" i="1"/>
  <c r="E661" i="1" s="1"/>
  <c r="E662" i="1" s="1"/>
  <c r="Q660" i="1"/>
  <c r="Q661" i="1" s="1"/>
  <c r="Q662" i="1" s="1"/>
  <c r="Q658" i="1"/>
  <c r="Q656" i="1"/>
  <c r="P660" i="1"/>
  <c r="P661" i="1" s="1"/>
  <c r="P662" i="1" s="1"/>
  <c r="M660" i="1"/>
  <c r="M661" i="1" s="1"/>
  <c r="M662" i="1" s="1"/>
  <c r="N660" i="1"/>
  <c r="N661" i="1" s="1"/>
  <c r="N662" i="1" s="1"/>
  <c r="N656" i="1"/>
  <c r="AE662" i="1"/>
  <c r="AD662" i="1"/>
  <c r="AC662" i="1"/>
  <c r="G661" i="1"/>
  <c r="G662" i="1" s="1"/>
  <c r="S660" i="1"/>
  <c r="S661" i="1" s="1"/>
  <c r="S662" i="1" s="1"/>
  <c r="R660" i="1"/>
  <c r="R661" i="1" s="1"/>
  <c r="R662" i="1" s="1"/>
  <c r="O660" i="1"/>
  <c r="O661" i="1" s="1"/>
  <c r="O662" i="1" s="1"/>
  <c r="L660" i="1"/>
  <c r="L661" i="1" s="1"/>
  <c r="L662" i="1" s="1"/>
  <c r="J660" i="1"/>
  <c r="J661" i="1" s="1"/>
  <c r="J662" i="1" s="1"/>
  <c r="I660" i="1"/>
  <c r="I661" i="1" s="1"/>
  <c r="I662" i="1" s="1"/>
  <c r="H660" i="1"/>
  <c r="H661" i="1" s="1"/>
  <c r="F660" i="1"/>
  <c r="F661" i="1" s="1"/>
  <c r="F662" i="1" s="1"/>
  <c r="AE659" i="1"/>
  <c r="AD659" i="1"/>
  <c r="AC659" i="1"/>
  <c r="S659" i="1"/>
  <c r="R659" i="1"/>
  <c r="S658" i="1"/>
  <c r="R658" i="1"/>
  <c r="P658" i="1"/>
  <c r="O658" i="1"/>
  <c r="N658" i="1"/>
  <c r="M658" i="1"/>
  <c r="L658" i="1"/>
  <c r="J658" i="1"/>
  <c r="I658" i="1"/>
  <c r="H658" i="1"/>
  <c r="G658" i="1"/>
  <c r="F658" i="1"/>
  <c r="E658" i="1"/>
  <c r="D658" i="1"/>
  <c r="C658" i="1"/>
  <c r="AE656" i="1"/>
  <c r="AD656" i="1"/>
  <c r="AC656" i="1"/>
  <c r="S656" i="1"/>
  <c r="R656" i="1"/>
  <c r="P656" i="1"/>
  <c r="O656" i="1"/>
  <c r="M656" i="1"/>
  <c r="L656" i="1"/>
  <c r="J656" i="1"/>
  <c r="I656" i="1"/>
  <c r="H656" i="1"/>
  <c r="G656" i="1"/>
  <c r="F656" i="1"/>
  <c r="E656" i="1"/>
  <c r="D656" i="1"/>
  <c r="C656" i="1"/>
  <c r="J672" i="1"/>
  <c r="J673" i="1" s="1"/>
  <c r="J674" i="1" s="1"/>
  <c r="O672" i="1"/>
  <c r="O673" i="1" s="1"/>
  <c r="O674" i="1" s="1"/>
  <c r="E672" i="1"/>
  <c r="C672" i="1"/>
  <c r="C673" i="1" s="1"/>
  <c r="C674" i="1" s="1"/>
  <c r="G672" i="1"/>
  <c r="H672" i="1"/>
  <c r="H673" i="1" s="1"/>
  <c r="H674" i="1" s="1"/>
  <c r="L672" i="1"/>
  <c r="L673" i="1" s="1"/>
  <c r="L674" i="1" s="1"/>
  <c r="M672" i="1"/>
  <c r="M673" i="1" s="1"/>
  <c r="M674" i="1" s="1"/>
  <c r="AE674" i="1"/>
  <c r="AD674" i="1"/>
  <c r="AC674" i="1"/>
  <c r="Q672" i="1"/>
  <c r="Q673" i="1" s="1"/>
  <c r="Q674" i="1" s="1"/>
  <c r="P672" i="1"/>
  <c r="P673" i="1" s="1"/>
  <c r="P674" i="1" s="1"/>
  <c r="N672" i="1"/>
  <c r="N673" i="1" s="1"/>
  <c r="N674" i="1" s="1"/>
  <c r="K672" i="1"/>
  <c r="K673" i="1" s="1"/>
  <c r="K674" i="1" s="1"/>
  <c r="I672" i="1"/>
  <c r="I673" i="1" s="1"/>
  <c r="I674" i="1" s="1"/>
  <c r="G673" i="1"/>
  <c r="G674" i="1" s="1"/>
  <c r="F672" i="1"/>
  <c r="F673" i="1" s="1"/>
  <c r="F674" i="1" s="1"/>
  <c r="E673" i="1"/>
  <c r="E674" i="1" s="1"/>
  <c r="D672" i="1"/>
  <c r="D673" i="1" s="1"/>
  <c r="D674" i="1" s="1"/>
  <c r="AE671" i="1"/>
  <c r="AD671" i="1"/>
  <c r="AC671" i="1"/>
  <c r="Q671" i="1"/>
  <c r="P671" i="1"/>
  <c r="Q670" i="1"/>
  <c r="P670" i="1"/>
  <c r="O670" i="1"/>
  <c r="N670" i="1"/>
  <c r="M670" i="1"/>
  <c r="L670" i="1"/>
  <c r="K670" i="1"/>
  <c r="J670" i="1"/>
  <c r="I670" i="1"/>
  <c r="H670" i="1"/>
  <c r="G670" i="1"/>
  <c r="F670" i="1"/>
  <c r="E670" i="1"/>
  <c r="D670" i="1"/>
  <c r="C670" i="1"/>
  <c r="AE668" i="1"/>
  <c r="AD668" i="1"/>
  <c r="AC668" i="1"/>
  <c r="Q668" i="1"/>
  <c r="P668" i="1"/>
  <c r="O668" i="1"/>
  <c r="N668" i="1"/>
  <c r="M668" i="1"/>
  <c r="L668" i="1"/>
  <c r="K668" i="1"/>
  <c r="J668" i="1"/>
  <c r="I668" i="1"/>
  <c r="H668" i="1"/>
  <c r="G668" i="1"/>
  <c r="F668" i="1"/>
  <c r="E668" i="1"/>
  <c r="D668" i="1"/>
  <c r="C668" i="1"/>
  <c r="Q684" i="1"/>
  <c r="Q685" i="1" s="1"/>
  <c r="Q686" i="1" s="1"/>
  <c r="P684" i="1"/>
  <c r="P685" i="1" s="1"/>
  <c r="P686" i="1" s="1"/>
  <c r="J684" i="1"/>
  <c r="J685" i="1" s="1"/>
  <c r="J686" i="1" s="1"/>
  <c r="O684" i="1"/>
  <c r="O685" i="1" s="1"/>
  <c r="O686" i="1" s="1"/>
  <c r="L684" i="1"/>
  <c r="L685" i="1" s="1"/>
  <c r="L686" i="1" s="1"/>
  <c r="N684" i="1"/>
  <c r="N685" i="1" s="1"/>
  <c r="N686" i="1" s="1"/>
  <c r="G684" i="1"/>
  <c r="G685" i="1" s="1"/>
  <c r="G686" i="1" s="1"/>
  <c r="H684" i="1"/>
  <c r="H685" i="1" s="1"/>
  <c r="I684" i="1"/>
  <c r="I685" i="1" s="1"/>
  <c r="I686" i="1" s="1"/>
  <c r="E684" i="1"/>
  <c r="E685" i="1" s="1"/>
  <c r="E686" i="1" s="1"/>
  <c r="D684" i="1"/>
  <c r="D685" i="1" s="1"/>
  <c r="D686" i="1" s="1"/>
  <c r="C684" i="1"/>
  <c r="C685" i="1" s="1"/>
  <c r="C686" i="1" s="1"/>
  <c r="AE686" i="1"/>
  <c r="AD686" i="1"/>
  <c r="AC686" i="1"/>
  <c r="M684" i="1"/>
  <c r="M685" i="1" s="1"/>
  <c r="M686" i="1" s="1"/>
  <c r="K684" i="1"/>
  <c r="K685" i="1" s="1"/>
  <c r="K686" i="1" s="1"/>
  <c r="F684" i="1"/>
  <c r="F685" i="1" s="1"/>
  <c r="F686" i="1" s="1"/>
  <c r="AE683" i="1"/>
  <c r="AD683" i="1"/>
  <c r="AC683" i="1"/>
  <c r="Q683" i="1"/>
  <c r="P683" i="1"/>
  <c r="Q682" i="1"/>
  <c r="P682" i="1"/>
  <c r="O682" i="1"/>
  <c r="N682" i="1"/>
  <c r="M682" i="1"/>
  <c r="L682" i="1"/>
  <c r="K682" i="1"/>
  <c r="J682" i="1"/>
  <c r="I682" i="1"/>
  <c r="H682" i="1"/>
  <c r="G682" i="1"/>
  <c r="F682" i="1"/>
  <c r="E682" i="1"/>
  <c r="D682" i="1"/>
  <c r="C682" i="1"/>
  <c r="AE680" i="1"/>
  <c r="AD680" i="1"/>
  <c r="AC680" i="1"/>
  <c r="Q680" i="1"/>
  <c r="P680" i="1"/>
  <c r="O680" i="1"/>
  <c r="N680" i="1"/>
  <c r="M680" i="1"/>
  <c r="L680" i="1"/>
  <c r="K680" i="1"/>
  <c r="J680" i="1"/>
  <c r="I680" i="1"/>
  <c r="H680" i="1"/>
  <c r="G680" i="1"/>
  <c r="F680" i="1"/>
  <c r="E680" i="1"/>
  <c r="D680" i="1"/>
  <c r="C680" i="1"/>
  <c r="H662" i="1" l="1"/>
  <c r="R673" i="1"/>
  <c r="H686" i="1"/>
  <c r="R685" i="1"/>
  <c r="M696" i="1"/>
  <c r="L696" i="1"/>
  <c r="H696" i="1"/>
  <c r="H697" i="1" s="1"/>
  <c r="G696" i="1"/>
  <c r="G697" i="1" s="1"/>
  <c r="G698" i="1" s="1"/>
  <c r="C696" i="1"/>
  <c r="AE698" i="1"/>
  <c r="AD698" i="1"/>
  <c r="AC698" i="1"/>
  <c r="Q696" i="1"/>
  <c r="Q697" i="1" s="1"/>
  <c r="Q698" i="1" s="1"/>
  <c r="P696" i="1"/>
  <c r="P697" i="1" s="1"/>
  <c r="P698" i="1" s="1"/>
  <c r="O696" i="1"/>
  <c r="O697" i="1" s="1"/>
  <c r="O698" i="1" s="1"/>
  <c r="N696" i="1"/>
  <c r="N697" i="1" s="1"/>
  <c r="N698" i="1" s="1"/>
  <c r="M697" i="1"/>
  <c r="M698" i="1" s="1"/>
  <c r="L697" i="1"/>
  <c r="L698" i="1" s="1"/>
  <c r="K696" i="1"/>
  <c r="K697" i="1" s="1"/>
  <c r="K698" i="1" s="1"/>
  <c r="J696" i="1"/>
  <c r="J697" i="1" s="1"/>
  <c r="J698" i="1" s="1"/>
  <c r="I696" i="1"/>
  <c r="I697" i="1" s="1"/>
  <c r="I698" i="1" s="1"/>
  <c r="F696" i="1"/>
  <c r="F697" i="1" s="1"/>
  <c r="F698" i="1" s="1"/>
  <c r="E696" i="1"/>
  <c r="E697" i="1" s="1"/>
  <c r="E698" i="1" s="1"/>
  <c r="D696" i="1"/>
  <c r="D697" i="1" s="1"/>
  <c r="D698" i="1" s="1"/>
  <c r="C697" i="1"/>
  <c r="C698" i="1" s="1"/>
  <c r="AE695" i="1"/>
  <c r="AD695" i="1"/>
  <c r="AC695" i="1"/>
  <c r="Q695" i="1"/>
  <c r="P695" i="1"/>
  <c r="Q694" i="1"/>
  <c r="P694" i="1"/>
  <c r="O694" i="1"/>
  <c r="N694" i="1"/>
  <c r="M694" i="1"/>
  <c r="L694" i="1"/>
  <c r="K694" i="1"/>
  <c r="J694" i="1"/>
  <c r="I694" i="1"/>
  <c r="H694" i="1"/>
  <c r="G694" i="1"/>
  <c r="F694" i="1"/>
  <c r="E694" i="1"/>
  <c r="D694" i="1"/>
  <c r="C694" i="1"/>
  <c r="AE692" i="1"/>
  <c r="AD692" i="1"/>
  <c r="AC692" i="1"/>
  <c r="Q692" i="1"/>
  <c r="P692" i="1"/>
  <c r="O692" i="1"/>
  <c r="N692" i="1"/>
  <c r="M692" i="1"/>
  <c r="L692" i="1"/>
  <c r="K692" i="1"/>
  <c r="J692" i="1"/>
  <c r="I692" i="1"/>
  <c r="H692" i="1"/>
  <c r="G692" i="1"/>
  <c r="F692" i="1"/>
  <c r="E692" i="1"/>
  <c r="D692" i="1"/>
  <c r="C692" i="1"/>
  <c r="P120" i="4"/>
  <c r="P176" i="4"/>
  <c r="P94" i="4"/>
  <c r="P153" i="4"/>
  <c r="P97" i="4"/>
  <c r="P194" i="4"/>
  <c r="P243" i="4"/>
  <c r="P150" i="4"/>
  <c r="P215" i="4"/>
  <c r="P188" i="4"/>
  <c r="P230" i="4"/>
  <c r="P124" i="4"/>
  <c r="P141" i="4"/>
  <c r="P119" i="4"/>
  <c r="P245" i="4"/>
  <c r="P113" i="4"/>
  <c r="P192" i="4"/>
  <c r="P184" i="4"/>
  <c r="P250" i="4"/>
  <c r="P220" i="4"/>
  <c r="P204" i="4"/>
  <c r="P248" i="4"/>
  <c r="P146" i="4"/>
  <c r="P229" i="4"/>
  <c r="P213" i="4"/>
  <c r="P221" i="4"/>
  <c r="P132" i="4"/>
  <c r="P126" i="4"/>
  <c r="P233" i="4"/>
  <c r="P197" i="4"/>
  <c r="P227" i="4"/>
  <c r="P203" i="4"/>
  <c r="P158" i="4"/>
  <c r="P152" i="4"/>
  <c r="P93" i="4"/>
  <c r="P253" i="4"/>
  <c r="P106" i="4"/>
  <c r="P112" i="4"/>
  <c r="P156" i="4"/>
  <c r="P210" i="4"/>
  <c r="P111" i="4"/>
  <c r="P143" i="4"/>
  <c r="P187" i="4"/>
  <c r="P110" i="4"/>
  <c r="P224" i="4"/>
  <c r="P212" i="4"/>
  <c r="P172" i="4"/>
  <c r="P101" i="4"/>
  <c r="P186" i="4"/>
  <c r="P95" i="4"/>
  <c r="P140" i="4"/>
  <c r="P185" i="4"/>
  <c r="P251" i="4"/>
  <c r="P161" i="4"/>
  <c r="P235" i="4"/>
  <c r="P173" i="4"/>
  <c r="P164" i="4"/>
  <c r="P151" i="4"/>
  <c r="P114" i="4"/>
  <c r="P211" i="4"/>
  <c r="P202" i="4"/>
  <c r="P170" i="4"/>
  <c r="P134" i="4"/>
  <c r="P127" i="4"/>
  <c r="P252" i="4"/>
  <c r="P183" i="4"/>
  <c r="P178" i="4"/>
  <c r="P193" i="4"/>
  <c r="P129" i="4"/>
  <c r="P199" i="4"/>
  <c r="P177" i="4"/>
  <c r="P223" i="4"/>
  <c r="P116" i="4"/>
  <c r="P121" i="4"/>
  <c r="P241" i="4"/>
  <c r="P123" i="4"/>
  <c r="P149" i="4"/>
  <c r="P92" i="4"/>
  <c r="P136" i="4"/>
  <c r="P209" i="4"/>
  <c r="P115" i="4"/>
  <c r="P207" i="4"/>
  <c r="P137" i="4"/>
  <c r="P217" i="4"/>
  <c r="P214" i="4"/>
  <c r="P102" i="4"/>
  <c r="P201" i="4"/>
  <c r="P147" i="4"/>
  <c r="P133" i="4"/>
  <c r="P98" i="4"/>
  <c r="P226" i="4"/>
  <c r="P122" i="4"/>
  <c r="P144" i="4"/>
  <c r="P103" i="4"/>
  <c r="P160" i="4"/>
  <c r="P232" i="4"/>
  <c r="P205" i="4"/>
  <c r="P157" i="4"/>
  <c r="P99" i="4"/>
  <c r="P130" i="4"/>
  <c r="P189" i="4"/>
  <c r="P109" i="4"/>
  <c r="P234" i="4"/>
  <c r="P219" i="4"/>
  <c r="P125" i="4"/>
  <c r="P159" i="4"/>
  <c r="P142" i="4"/>
  <c r="P131" i="4"/>
  <c r="P225" i="4"/>
  <c r="P105" i="4"/>
  <c r="P104" i="4"/>
  <c r="P237" i="4"/>
  <c r="P128" i="4"/>
  <c r="P246" i="4"/>
  <c r="P240" i="4"/>
  <c r="P242" i="4"/>
  <c r="P198" i="4"/>
  <c r="P117" i="4"/>
  <c r="P135" i="4"/>
  <c r="P163" i="4"/>
  <c r="P206" i="4"/>
  <c r="P171" i="4"/>
  <c r="P196" i="4"/>
  <c r="P165" i="4"/>
  <c r="P145" i="4"/>
  <c r="P100" i="4"/>
  <c r="P218" i="4"/>
  <c r="P195" i="4"/>
  <c r="P191" i="4"/>
  <c r="P190" i="4"/>
  <c r="P174" i="4"/>
  <c r="P175" i="4"/>
  <c r="P169" i="4"/>
  <c r="P118" i="4"/>
  <c r="P167" i="4"/>
  <c r="P168" i="4"/>
  <c r="P244" i="4"/>
  <c r="P154" i="4"/>
  <c r="P138" i="4"/>
  <c r="P247" i="4"/>
  <c r="P182" i="4"/>
  <c r="P222" i="4"/>
  <c r="P162" i="4"/>
  <c r="P107" i="4"/>
  <c r="P96" i="4"/>
  <c r="P236" i="4"/>
  <c r="P148" i="4"/>
  <c r="P216" i="4"/>
  <c r="P155" i="4"/>
  <c r="P238" i="4"/>
  <c r="P249" i="4"/>
  <c r="P239" i="4"/>
  <c r="P208" i="4"/>
  <c r="P139" i="4"/>
  <c r="P166" i="4"/>
  <c r="P200" i="4"/>
  <c r="P228" i="4"/>
  <c r="P231" i="4"/>
  <c r="P108" i="4"/>
  <c r="H698" i="1" l="1"/>
  <c r="R697" i="1"/>
  <c r="I708" i="1"/>
  <c r="I709" i="1" s="1"/>
  <c r="I710" i="1" s="1"/>
  <c r="O708" i="1"/>
  <c r="O709" i="1" s="1"/>
  <c r="O710" i="1" s="1"/>
  <c r="L708" i="1"/>
  <c r="N708" i="1"/>
  <c r="N709" i="1" s="1"/>
  <c r="N710" i="1" s="1"/>
  <c r="AE710" i="1"/>
  <c r="AD710" i="1"/>
  <c r="AC710" i="1"/>
  <c r="Q708" i="1"/>
  <c r="Q709" i="1" s="1"/>
  <c r="Q710" i="1" s="1"/>
  <c r="P708" i="1"/>
  <c r="P709" i="1" s="1"/>
  <c r="P710" i="1" s="1"/>
  <c r="M708" i="1"/>
  <c r="M709" i="1" s="1"/>
  <c r="M710" i="1" s="1"/>
  <c r="L709" i="1"/>
  <c r="L710" i="1" s="1"/>
  <c r="K708" i="1"/>
  <c r="K709" i="1" s="1"/>
  <c r="K710" i="1" s="1"/>
  <c r="J708" i="1"/>
  <c r="J709" i="1" s="1"/>
  <c r="J710" i="1" s="1"/>
  <c r="H708" i="1"/>
  <c r="H709" i="1" s="1"/>
  <c r="G708" i="1"/>
  <c r="G709" i="1" s="1"/>
  <c r="G710" i="1" s="1"/>
  <c r="F708" i="1"/>
  <c r="F709" i="1" s="1"/>
  <c r="F710" i="1" s="1"/>
  <c r="E708" i="1"/>
  <c r="E709" i="1" s="1"/>
  <c r="E710" i="1" s="1"/>
  <c r="D708" i="1"/>
  <c r="D709" i="1" s="1"/>
  <c r="D710" i="1" s="1"/>
  <c r="C708" i="1"/>
  <c r="C709" i="1" s="1"/>
  <c r="C710" i="1" s="1"/>
  <c r="AE707" i="1"/>
  <c r="AD707" i="1"/>
  <c r="AC707" i="1"/>
  <c r="Q707" i="1"/>
  <c r="P707" i="1"/>
  <c r="Q706" i="1"/>
  <c r="P706" i="1"/>
  <c r="O706" i="1"/>
  <c r="N706" i="1"/>
  <c r="M706" i="1"/>
  <c r="L706" i="1"/>
  <c r="K706" i="1"/>
  <c r="J706" i="1"/>
  <c r="I706" i="1"/>
  <c r="H706" i="1"/>
  <c r="G706" i="1"/>
  <c r="F706" i="1"/>
  <c r="E706" i="1"/>
  <c r="D706" i="1"/>
  <c r="C706" i="1"/>
  <c r="AE704" i="1"/>
  <c r="AD704" i="1"/>
  <c r="AC704" i="1"/>
  <c r="Q704" i="1"/>
  <c r="P704" i="1"/>
  <c r="O704" i="1"/>
  <c r="N704" i="1"/>
  <c r="M704" i="1"/>
  <c r="L704" i="1"/>
  <c r="K704" i="1"/>
  <c r="J704" i="1"/>
  <c r="I704" i="1"/>
  <c r="H704" i="1"/>
  <c r="G704" i="1"/>
  <c r="F704" i="1"/>
  <c r="E704" i="1"/>
  <c r="D704" i="1"/>
  <c r="C704" i="1"/>
  <c r="H710" i="1" l="1"/>
  <c r="R709" i="1"/>
  <c r="L720" i="1"/>
  <c r="L721" i="1" s="1"/>
  <c r="L722" i="1" s="1"/>
  <c r="N720" i="1"/>
  <c r="N721" i="1" s="1"/>
  <c r="N722" i="1" s="1"/>
  <c r="I720" i="1"/>
  <c r="I721" i="1" s="1"/>
  <c r="I722" i="1" s="1"/>
  <c r="D716" i="1"/>
  <c r="AE722" i="1"/>
  <c r="AD722" i="1"/>
  <c r="AC722" i="1"/>
  <c r="Q720" i="1"/>
  <c r="Q721" i="1" s="1"/>
  <c r="Q722" i="1" s="1"/>
  <c r="P720" i="1"/>
  <c r="P721" i="1" s="1"/>
  <c r="P722" i="1" s="1"/>
  <c r="O720" i="1"/>
  <c r="O721" i="1" s="1"/>
  <c r="O722" i="1" s="1"/>
  <c r="M720" i="1"/>
  <c r="M721" i="1" s="1"/>
  <c r="M722" i="1" s="1"/>
  <c r="K720" i="1"/>
  <c r="K721" i="1" s="1"/>
  <c r="K722" i="1" s="1"/>
  <c r="J720" i="1"/>
  <c r="J721" i="1" s="1"/>
  <c r="J722" i="1" s="1"/>
  <c r="H720" i="1"/>
  <c r="H721" i="1" s="1"/>
  <c r="G720" i="1"/>
  <c r="G721" i="1" s="1"/>
  <c r="G722" i="1" s="1"/>
  <c r="F720" i="1"/>
  <c r="F721" i="1" s="1"/>
  <c r="F722" i="1" s="1"/>
  <c r="E720" i="1"/>
  <c r="E721" i="1" s="1"/>
  <c r="E722" i="1" s="1"/>
  <c r="D720" i="1"/>
  <c r="D721" i="1" s="1"/>
  <c r="D722" i="1" s="1"/>
  <c r="C720" i="1"/>
  <c r="C721" i="1" s="1"/>
  <c r="C722" i="1" s="1"/>
  <c r="AE719" i="1"/>
  <c r="AD719" i="1"/>
  <c r="AC719" i="1"/>
  <c r="Q719" i="1"/>
  <c r="P719" i="1"/>
  <c r="Q718" i="1"/>
  <c r="P718" i="1"/>
  <c r="O718" i="1"/>
  <c r="N718" i="1"/>
  <c r="M718" i="1"/>
  <c r="L718" i="1"/>
  <c r="K718" i="1"/>
  <c r="J718" i="1"/>
  <c r="I718" i="1"/>
  <c r="H718" i="1"/>
  <c r="G718" i="1"/>
  <c r="F718" i="1"/>
  <c r="E718" i="1"/>
  <c r="D718" i="1"/>
  <c r="C718" i="1"/>
  <c r="AE716" i="1"/>
  <c r="AD716" i="1"/>
  <c r="AC716" i="1"/>
  <c r="Q716" i="1"/>
  <c r="P716" i="1"/>
  <c r="O716" i="1"/>
  <c r="N716" i="1"/>
  <c r="M716" i="1"/>
  <c r="L716" i="1"/>
  <c r="K716" i="1"/>
  <c r="J716" i="1"/>
  <c r="I716" i="1"/>
  <c r="H716" i="1"/>
  <c r="G716" i="1"/>
  <c r="F716" i="1"/>
  <c r="E716" i="1"/>
  <c r="C716" i="1"/>
  <c r="H722" i="1" l="1"/>
  <c r="R721" i="1"/>
  <c r="P732" i="1"/>
  <c r="Q732" i="1"/>
  <c r="C732" i="1" l="1"/>
  <c r="C733" i="1" s="1"/>
  <c r="C734" i="1" s="1"/>
  <c r="I732" i="1"/>
  <c r="I733" i="1" s="1"/>
  <c r="I734" i="1" s="1"/>
  <c r="N732" i="1"/>
  <c r="N733" i="1" s="1"/>
  <c r="N734" i="1" s="1"/>
  <c r="AE734" i="1"/>
  <c r="AD734" i="1"/>
  <c r="AC734" i="1"/>
  <c r="Q733" i="1"/>
  <c r="Q734" i="1" s="1"/>
  <c r="P733" i="1"/>
  <c r="P734" i="1" s="1"/>
  <c r="O732" i="1"/>
  <c r="O733" i="1" s="1"/>
  <c r="O734" i="1" s="1"/>
  <c r="M732" i="1"/>
  <c r="M733" i="1" s="1"/>
  <c r="M734" i="1" s="1"/>
  <c r="L732" i="1"/>
  <c r="L733" i="1" s="1"/>
  <c r="L734" i="1" s="1"/>
  <c r="K732" i="1"/>
  <c r="K733" i="1" s="1"/>
  <c r="K734" i="1" s="1"/>
  <c r="J732" i="1"/>
  <c r="J733" i="1" s="1"/>
  <c r="J734" i="1" s="1"/>
  <c r="H732" i="1"/>
  <c r="H733" i="1" s="1"/>
  <c r="G732" i="1"/>
  <c r="G733" i="1" s="1"/>
  <c r="G734" i="1" s="1"/>
  <c r="F732" i="1"/>
  <c r="F733" i="1" s="1"/>
  <c r="F734" i="1" s="1"/>
  <c r="E732" i="1"/>
  <c r="E733" i="1" s="1"/>
  <c r="E734" i="1" s="1"/>
  <c r="D732" i="1"/>
  <c r="D733" i="1" s="1"/>
  <c r="D734" i="1" s="1"/>
  <c r="AE731" i="1"/>
  <c r="AD731" i="1"/>
  <c r="AC731" i="1"/>
  <c r="Q731" i="1"/>
  <c r="P731" i="1"/>
  <c r="Q730" i="1"/>
  <c r="P730" i="1"/>
  <c r="O730" i="1"/>
  <c r="N730" i="1"/>
  <c r="M730" i="1"/>
  <c r="L730" i="1"/>
  <c r="K730" i="1"/>
  <c r="J730" i="1"/>
  <c r="I730" i="1"/>
  <c r="H730" i="1"/>
  <c r="G730" i="1"/>
  <c r="F730" i="1"/>
  <c r="E730" i="1"/>
  <c r="D730" i="1"/>
  <c r="C730" i="1"/>
  <c r="AE728" i="1"/>
  <c r="AD728" i="1"/>
  <c r="AC728" i="1"/>
  <c r="Q728" i="1"/>
  <c r="P728" i="1"/>
  <c r="O728" i="1"/>
  <c r="N728" i="1"/>
  <c r="M728" i="1"/>
  <c r="L728" i="1"/>
  <c r="K728" i="1"/>
  <c r="J728" i="1"/>
  <c r="I728" i="1"/>
  <c r="H728" i="1"/>
  <c r="G728" i="1"/>
  <c r="F728" i="1"/>
  <c r="E728" i="1"/>
  <c r="C728" i="1"/>
  <c r="N744" i="1"/>
  <c r="N745" i="1" s="1"/>
  <c r="N746" i="1" s="1"/>
  <c r="M744" i="1"/>
  <c r="M745" i="1" s="1"/>
  <c r="M746" i="1" s="1"/>
  <c r="L744" i="1"/>
  <c r="L745" i="1" s="1"/>
  <c r="L746" i="1" s="1"/>
  <c r="I744" i="1"/>
  <c r="I745" i="1" s="1"/>
  <c r="I746" i="1" s="1"/>
  <c r="AE746" i="1"/>
  <c r="AD746" i="1"/>
  <c r="AC746" i="1"/>
  <c r="Q744" i="1"/>
  <c r="Q745" i="1" s="1"/>
  <c r="Q746" i="1" s="1"/>
  <c r="P744" i="1"/>
  <c r="P745" i="1" s="1"/>
  <c r="P746" i="1" s="1"/>
  <c r="O744" i="1"/>
  <c r="O745" i="1" s="1"/>
  <c r="O746" i="1" s="1"/>
  <c r="K744" i="1"/>
  <c r="K745" i="1" s="1"/>
  <c r="K746" i="1" s="1"/>
  <c r="J744" i="1"/>
  <c r="J745" i="1" s="1"/>
  <c r="J746" i="1" s="1"/>
  <c r="H744" i="1"/>
  <c r="H745" i="1" s="1"/>
  <c r="H746" i="1" s="1"/>
  <c r="G744" i="1"/>
  <c r="G745" i="1" s="1"/>
  <c r="G746" i="1" s="1"/>
  <c r="F744" i="1"/>
  <c r="F745" i="1" s="1"/>
  <c r="F746" i="1" s="1"/>
  <c r="E744" i="1"/>
  <c r="E745" i="1" s="1"/>
  <c r="E746" i="1" s="1"/>
  <c r="D744" i="1"/>
  <c r="D745" i="1" s="1"/>
  <c r="D746" i="1" s="1"/>
  <c r="C744" i="1"/>
  <c r="C745" i="1" s="1"/>
  <c r="C746" i="1" s="1"/>
  <c r="AE743" i="1"/>
  <c r="AD743" i="1"/>
  <c r="AC743" i="1"/>
  <c r="Q743" i="1"/>
  <c r="P743" i="1"/>
  <c r="Q742" i="1"/>
  <c r="P742" i="1"/>
  <c r="O742" i="1"/>
  <c r="N742" i="1"/>
  <c r="M742" i="1"/>
  <c r="L742" i="1"/>
  <c r="K742" i="1"/>
  <c r="J742" i="1"/>
  <c r="I742" i="1"/>
  <c r="H742" i="1"/>
  <c r="G742" i="1"/>
  <c r="F742" i="1"/>
  <c r="E742" i="1"/>
  <c r="D742" i="1"/>
  <c r="C742" i="1"/>
  <c r="AE740" i="1"/>
  <c r="AD740" i="1"/>
  <c r="AC740" i="1"/>
  <c r="Q740" i="1"/>
  <c r="P740" i="1"/>
  <c r="O740" i="1"/>
  <c r="N740" i="1"/>
  <c r="M740" i="1"/>
  <c r="L740" i="1"/>
  <c r="K740" i="1"/>
  <c r="J740" i="1"/>
  <c r="I740" i="1"/>
  <c r="H740" i="1"/>
  <c r="G740" i="1"/>
  <c r="F740" i="1"/>
  <c r="E740" i="1"/>
  <c r="D740" i="1"/>
  <c r="C740" i="1"/>
  <c r="H734" i="1" l="1"/>
  <c r="R733" i="1"/>
  <c r="R745" i="1"/>
  <c r="G756" i="1"/>
  <c r="G757" i="1" s="1"/>
  <c r="G758" i="1" s="1"/>
  <c r="H756" i="1"/>
  <c r="H757" i="1" s="1"/>
  <c r="I756" i="1"/>
  <c r="I757" i="1" s="1"/>
  <c r="I758" i="1" s="1"/>
  <c r="F756" i="1"/>
  <c r="F757" i="1" s="1"/>
  <c r="F758" i="1" s="1"/>
  <c r="AE758" i="1"/>
  <c r="AD758" i="1"/>
  <c r="AC758" i="1"/>
  <c r="Q756" i="1"/>
  <c r="Q757" i="1" s="1"/>
  <c r="Q758" i="1" s="1"/>
  <c r="P756" i="1"/>
  <c r="P757" i="1" s="1"/>
  <c r="P758" i="1" s="1"/>
  <c r="O756" i="1"/>
  <c r="O757" i="1" s="1"/>
  <c r="O758" i="1" s="1"/>
  <c r="N756" i="1"/>
  <c r="N757" i="1" s="1"/>
  <c r="N758" i="1" s="1"/>
  <c r="M756" i="1"/>
  <c r="M757" i="1" s="1"/>
  <c r="M758" i="1" s="1"/>
  <c r="L756" i="1"/>
  <c r="L757" i="1" s="1"/>
  <c r="L758" i="1" s="1"/>
  <c r="K756" i="1"/>
  <c r="K757" i="1" s="1"/>
  <c r="K758" i="1" s="1"/>
  <c r="J756" i="1"/>
  <c r="J757" i="1" s="1"/>
  <c r="J758" i="1" s="1"/>
  <c r="E756" i="1"/>
  <c r="E757" i="1" s="1"/>
  <c r="E758" i="1" s="1"/>
  <c r="D756" i="1"/>
  <c r="D757" i="1" s="1"/>
  <c r="D758" i="1" s="1"/>
  <c r="C756" i="1"/>
  <c r="C757" i="1" s="1"/>
  <c r="C758" i="1" s="1"/>
  <c r="AE755" i="1"/>
  <c r="AD755" i="1"/>
  <c r="AC755" i="1"/>
  <c r="Q755" i="1"/>
  <c r="P755" i="1"/>
  <c r="Q754" i="1"/>
  <c r="P754" i="1"/>
  <c r="O754" i="1"/>
  <c r="N754" i="1"/>
  <c r="M754" i="1"/>
  <c r="L754" i="1"/>
  <c r="K754" i="1"/>
  <c r="J754" i="1"/>
  <c r="I754" i="1"/>
  <c r="H754" i="1"/>
  <c r="G754" i="1"/>
  <c r="F754" i="1"/>
  <c r="E754" i="1"/>
  <c r="D754" i="1"/>
  <c r="C754" i="1"/>
  <c r="AE752" i="1"/>
  <c r="AD752" i="1"/>
  <c r="AC752" i="1"/>
  <c r="Q752" i="1"/>
  <c r="P752" i="1"/>
  <c r="O752" i="1"/>
  <c r="N752" i="1"/>
  <c r="M752" i="1"/>
  <c r="L752" i="1"/>
  <c r="K752" i="1"/>
  <c r="J752" i="1"/>
  <c r="I752" i="1"/>
  <c r="H752" i="1"/>
  <c r="G752" i="1"/>
  <c r="F752" i="1"/>
  <c r="E752" i="1"/>
  <c r="D752" i="1"/>
  <c r="C752" i="1"/>
  <c r="H758" i="1" l="1"/>
  <c r="R757" i="1"/>
  <c r="L768" i="1"/>
  <c r="L769" i="1" s="1"/>
  <c r="L770" i="1" s="1"/>
  <c r="M768" i="1"/>
  <c r="M769" i="1" s="1"/>
  <c r="M770" i="1" s="1"/>
  <c r="N768" i="1"/>
  <c r="N769" i="1" s="1"/>
  <c r="N770" i="1" s="1"/>
  <c r="K768" i="1"/>
  <c r="K769" i="1" s="1"/>
  <c r="K770" i="1" s="1"/>
  <c r="G768" i="1"/>
  <c r="G769" i="1" s="1"/>
  <c r="G770" i="1" s="1"/>
  <c r="J768" i="1"/>
  <c r="J769" i="1" s="1"/>
  <c r="J770" i="1" s="1"/>
  <c r="H768" i="1"/>
  <c r="H769" i="1" s="1"/>
  <c r="I768" i="1"/>
  <c r="I769" i="1" s="1"/>
  <c r="I770" i="1" s="1"/>
  <c r="F768" i="1"/>
  <c r="F769" i="1" s="1"/>
  <c r="F770" i="1" s="1"/>
  <c r="AE770" i="1"/>
  <c r="AD770" i="1"/>
  <c r="AC770" i="1"/>
  <c r="Q768" i="1"/>
  <c r="Q769" i="1" s="1"/>
  <c r="Q770" i="1" s="1"/>
  <c r="P768" i="1"/>
  <c r="P769" i="1" s="1"/>
  <c r="P770" i="1" s="1"/>
  <c r="O768" i="1"/>
  <c r="O769" i="1" s="1"/>
  <c r="O770" i="1" s="1"/>
  <c r="E768" i="1"/>
  <c r="E769" i="1" s="1"/>
  <c r="E770" i="1" s="1"/>
  <c r="D768" i="1"/>
  <c r="D769" i="1" s="1"/>
  <c r="D770" i="1" s="1"/>
  <c r="C768" i="1"/>
  <c r="C769" i="1" s="1"/>
  <c r="C770" i="1" s="1"/>
  <c r="AE767" i="1"/>
  <c r="AD767" i="1"/>
  <c r="AC767" i="1"/>
  <c r="Q767" i="1"/>
  <c r="P767" i="1"/>
  <c r="Q766" i="1"/>
  <c r="P766" i="1"/>
  <c r="O766" i="1"/>
  <c r="N766" i="1"/>
  <c r="M766" i="1"/>
  <c r="L766" i="1"/>
  <c r="K766" i="1"/>
  <c r="J766" i="1"/>
  <c r="I766" i="1"/>
  <c r="H766" i="1"/>
  <c r="G766" i="1"/>
  <c r="F766" i="1"/>
  <c r="E766" i="1"/>
  <c r="D766" i="1"/>
  <c r="C766" i="1"/>
  <c r="AE764" i="1"/>
  <c r="AD764" i="1"/>
  <c r="AC764" i="1"/>
  <c r="Q764" i="1"/>
  <c r="P764" i="1"/>
  <c r="O764" i="1"/>
  <c r="N764" i="1"/>
  <c r="M764" i="1"/>
  <c r="L764" i="1"/>
  <c r="K764" i="1"/>
  <c r="J764" i="1"/>
  <c r="I764" i="1"/>
  <c r="H764" i="1"/>
  <c r="G764" i="1"/>
  <c r="F764" i="1"/>
  <c r="E764" i="1"/>
  <c r="D764" i="1"/>
  <c r="C764" i="1"/>
  <c r="H770" i="1" l="1"/>
  <c r="R769" i="1"/>
  <c r="M780" i="1"/>
  <c r="M781" i="1" s="1"/>
  <c r="M782" i="1" s="1"/>
  <c r="J780" i="1"/>
  <c r="J781" i="1" s="1"/>
  <c r="J782" i="1" s="1"/>
  <c r="G780" i="1"/>
  <c r="G781" i="1" s="1"/>
  <c r="G782" i="1" s="1"/>
  <c r="C780" i="1"/>
  <c r="C781" i="1" s="1"/>
  <c r="C782" i="1" s="1"/>
  <c r="D780" i="1"/>
  <c r="D781" i="1" s="1"/>
  <c r="D782" i="1" s="1"/>
  <c r="E780" i="1"/>
  <c r="E781" i="1" s="1"/>
  <c r="E782" i="1" s="1"/>
  <c r="F780" i="1"/>
  <c r="H780" i="1"/>
  <c r="H781" i="1" s="1"/>
  <c r="I780" i="1"/>
  <c r="I781" i="1" s="1"/>
  <c r="I782" i="1" s="1"/>
  <c r="K780" i="1"/>
  <c r="K781" i="1" s="1"/>
  <c r="K782" i="1" s="1"/>
  <c r="L780" i="1"/>
  <c r="L781" i="1" s="1"/>
  <c r="L782" i="1" s="1"/>
  <c r="N780" i="1"/>
  <c r="N781" i="1" s="1"/>
  <c r="N782" i="1" s="1"/>
  <c r="O780" i="1"/>
  <c r="O781" i="1" s="1"/>
  <c r="O782" i="1" s="1"/>
  <c r="P780" i="1"/>
  <c r="P781" i="1" s="1"/>
  <c r="P782" i="1" s="1"/>
  <c r="Q780" i="1"/>
  <c r="Q781" i="1" s="1"/>
  <c r="Q782" i="1" s="1"/>
  <c r="AE782" i="1"/>
  <c r="AD782" i="1"/>
  <c r="AC782" i="1"/>
  <c r="F781" i="1"/>
  <c r="F782" i="1" s="1"/>
  <c r="AE779" i="1"/>
  <c r="AD779" i="1"/>
  <c r="AC779" i="1"/>
  <c r="Q779" i="1"/>
  <c r="P779" i="1"/>
  <c r="Q778" i="1"/>
  <c r="P778" i="1"/>
  <c r="O778" i="1"/>
  <c r="N778" i="1"/>
  <c r="M778" i="1"/>
  <c r="L778" i="1"/>
  <c r="K778" i="1"/>
  <c r="J778" i="1"/>
  <c r="I778" i="1"/>
  <c r="H778" i="1"/>
  <c r="G778" i="1"/>
  <c r="F778" i="1"/>
  <c r="E778" i="1"/>
  <c r="D778" i="1"/>
  <c r="C778" i="1"/>
  <c r="AE776" i="1"/>
  <c r="AD776" i="1"/>
  <c r="AC776" i="1"/>
  <c r="Q776" i="1"/>
  <c r="P776" i="1"/>
  <c r="O776" i="1"/>
  <c r="N776" i="1"/>
  <c r="M776" i="1"/>
  <c r="L776" i="1"/>
  <c r="K776" i="1"/>
  <c r="J776" i="1"/>
  <c r="I776" i="1"/>
  <c r="H776" i="1"/>
  <c r="G776" i="1"/>
  <c r="F776" i="1"/>
  <c r="E776" i="1"/>
  <c r="D776" i="1"/>
  <c r="C776" i="1"/>
  <c r="H782" i="1" l="1"/>
  <c r="R781" i="1"/>
  <c r="O792" i="1"/>
  <c r="O793" i="1" s="1"/>
  <c r="O794" i="1" s="1"/>
  <c r="N792" i="1"/>
  <c r="N793" i="1" s="1"/>
  <c r="N794" i="1" s="1"/>
  <c r="M792" i="1"/>
  <c r="G792" i="1"/>
  <c r="G793" i="1" s="1"/>
  <c r="G794" i="1" s="1"/>
  <c r="I792" i="1"/>
  <c r="I793" i="1" s="1"/>
  <c r="I794" i="1" s="1"/>
  <c r="AE794" i="1"/>
  <c r="AD794" i="1"/>
  <c r="AC794" i="1"/>
  <c r="Q792" i="1"/>
  <c r="Q793" i="1" s="1"/>
  <c r="Q794" i="1" s="1"/>
  <c r="P792" i="1"/>
  <c r="P793" i="1" s="1"/>
  <c r="P794" i="1" s="1"/>
  <c r="M793" i="1"/>
  <c r="M794" i="1" s="1"/>
  <c r="L792" i="1"/>
  <c r="L793" i="1" s="1"/>
  <c r="L794" i="1" s="1"/>
  <c r="K792" i="1"/>
  <c r="K793" i="1" s="1"/>
  <c r="K794" i="1" s="1"/>
  <c r="J792" i="1"/>
  <c r="J793" i="1" s="1"/>
  <c r="J794" i="1" s="1"/>
  <c r="H792" i="1"/>
  <c r="H793" i="1" s="1"/>
  <c r="H794" i="1" s="1"/>
  <c r="F792" i="1"/>
  <c r="F793" i="1" s="1"/>
  <c r="F794" i="1" s="1"/>
  <c r="E792" i="1"/>
  <c r="E793" i="1" s="1"/>
  <c r="E794" i="1" s="1"/>
  <c r="D792" i="1"/>
  <c r="D793" i="1" s="1"/>
  <c r="D794" i="1" s="1"/>
  <c r="C792" i="1"/>
  <c r="C793" i="1" s="1"/>
  <c r="C794" i="1" s="1"/>
  <c r="AE791" i="1"/>
  <c r="AD791" i="1"/>
  <c r="AC791" i="1"/>
  <c r="Q791" i="1"/>
  <c r="P791" i="1"/>
  <c r="Q790" i="1"/>
  <c r="P790" i="1"/>
  <c r="O790" i="1"/>
  <c r="N790" i="1"/>
  <c r="M790" i="1"/>
  <c r="L790" i="1"/>
  <c r="K790" i="1"/>
  <c r="J790" i="1"/>
  <c r="I790" i="1"/>
  <c r="H790" i="1"/>
  <c r="G790" i="1"/>
  <c r="F790" i="1"/>
  <c r="E790" i="1"/>
  <c r="D790" i="1"/>
  <c r="C790" i="1"/>
  <c r="AE788" i="1"/>
  <c r="AD788" i="1"/>
  <c r="AC788" i="1"/>
  <c r="Q788" i="1"/>
  <c r="P788" i="1"/>
  <c r="O788" i="1"/>
  <c r="N788" i="1"/>
  <c r="M788" i="1"/>
  <c r="L788" i="1"/>
  <c r="K788" i="1"/>
  <c r="J788" i="1"/>
  <c r="I788" i="1"/>
  <c r="H788" i="1"/>
  <c r="G788" i="1"/>
  <c r="F788" i="1"/>
  <c r="E788" i="1"/>
  <c r="D788" i="1"/>
  <c r="C788" i="1"/>
  <c r="R793" i="1" l="1"/>
  <c r="L804" i="1"/>
  <c r="L805" i="1" s="1"/>
  <c r="L806" i="1" s="1"/>
  <c r="M804" i="1"/>
  <c r="M805" i="1" s="1"/>
  <c r="M806" i="1" s="1"/>
  <c r="G804" i="1"/>
  <c r="AE806" i="1"/>
  <c r="AD806" i="1"/>
  <c r="AC806" i="1"/>
  <c r="Q804" i="1"/>
  <c r="Q805" i="1" s="1"/>
  <c r="Q806" i="1" s="1"/>
  <c r="P804" i="1"/>
  <c r="P805" i="1" s="1"/>
  <c r="P806" i="1" s="1"/>
  <c r="O804" i="1"/>
  <c r="O805" i="1" s="1"/>
  <c r="O806" i="1" s="1"/>
  <c r="N804" i="1"/>
  <c r="N805" i="1" s="1"/>
  <c r="N806" i="1" s="1"/>
  <c r="K804" i="1"/>
  <c r="K805" i="1" s="1"/>
  <c r="K806" i="1" s="1"/>
  <c r="J804" i="1"/>
  <c r="J805" i="1" s="1"/>
  <c r="J806" i="1" s="1"/>
  <c r="I804" i="1"/>
  <c r="I805" i="1" s="1"/>
  <c r="I806" i="1" s="1"/>
  <c r="H804" i="1"/>
  <c r="H805" i="1" s="1"/>
  <c r="G805" i="1"/>
  <c r="G806" i="1" s="1"/>
  <c r="F804" i="1"/>
  <c r="F805" i="1" s="1"/>
  <c r="F806" i="1" s="1"/>
  <c r="E804" i="1"/>
  <c r="E805" i="1" s="1"/>
  <c r="E806" i="1" s="1"/>
  <c r="D804" i="1"/>
  <c r="D805" i="1" s="1"/>
  <c r="D806" i="1" s="1"/>
  <c r="C804" i="1"/>
  <c r="C805" i="1" s="1"/>
  <c r="C806" i="1" s="1"/>
  <c r="AE803" i="1"/>
  <c r="AD803" i="1"/>
  <c r="AC803" i="1"/>
  <c r="Q803" i="1"/>
  <c r="P803" i="1"/>
  <c r="Q802" i="1"/>
  <c r="P802" i="1"/>
  <c r="O802" i="1"/>
  <c r="N802" i="1"/>
  <c r="M802" i="1"/>
  <c r="L802" i="1"/>
  <c r="K802" i="1"/>
  <c r="J802" i="1"/>
  <c r="I802" i="1"/>
  <c r="H802" i="1"/>
  <c r="G802" i="1"/>
  <c r="F802" i="1"/>
  <c r="E802" i="1"/>
  <c r="D802" i="1"/>
  <c r="C802" i="1"/>
  <c r="AE800" i="1"/>
  <c r="AD800" i="1"/>
  <c r="AC800" i="1"/>
  <c r="Q800" i="1"/>
  <c r="P800" i="1"/>
  <c r="O800" i="1"/>
  <c r="N800" i="1"/>
  <c r="M800" i="1"/>
  <c r="L800" i="1"/>
  <c r="K800" i="1"/>
  <c r="J800" i="1"/>
  <c r="I800" i="1"/>
  <c r="H800" i="1"/>
  <c r="G800" i="1"/>
  <c r="F800" i="1"/>
  <c r="E800" i="1"/>
  <c r="D800" i="1"/>
  <c r="C800" i="1"/>
  <c r="H806" i="1" l="1"/>
  <c r="R805" i="1"/>
  <c r="C812" i="1"/>
  <c r="AE818" i="1"/>
  <c r="AD818" i="1"/>
  <c r="AC818" i="1"/>
  <c r="Q816" i="1"/>
  <c r="Q817" i="1" s="1"/>
  <c r="Q818" i="1" s="1"/>
  <c r="P816" i="1"/>
  <c r="P817" i="1" s="1"/>
  <c r="P818" i="1" s="1"/>
  <c r="O816" i="1"/>
  <c r="O817" i="1" s="1"/>
  <c r="O818" i="1" s="1"/>
  <c r="N816" i="1"/>
  <c r="N817" i="1" s="1"/>
  <c r="N818" i="1" s="1"/>
  <c r="M816" i="1"/>
  <c r="M817" i="1" s="1"/>
  <c r="M818" i="1" s="1"/>
  <c r="L816" i="1"/>
  <c r="L817" i="1" s="1"/>
  <c r="L818" i="1" s="1"/>
  <c r="K816" i="1"/>
  <c r="K817" i="1" s="1"/>
  <c r="K818" i="1" s="1"/>
  <c r="J816" i="1"/>
  <c r="J817" i="1" s="1"/>
  <c r="J818" i="1" s="1"/>
  <c r="I816" i="1"/>
  <c r="I817" i="1" s="1"/>
  <c r="I818" i="1" s="1"/>
  <c r="H816" i="1"/>
  <c r="H817" i="1" s="1"/>
  <c r="G816" i="1"/>
  <c r="G817" i="1" s="1"/>
  <c r="G818" i="1" s="1"/>
  <c r="F816" i="1"/>
  <c r="F817" i="1" s="1"/>
  <c r="F818" i="1" s="1"/>
  <c r="E816" i="1"/>
  <c r="E817" i="1" s="1"/>
  <c r="E818" i="1" s="1"/>
  <c r="D816" i="1"/>
  <c r="D817" i="1" s="1"/>
  <c r="D818" i="1" s="1"/>
  <c r="C816" i="1"/>
  <c r="C817" i="1" s="1"/>
  <c r="C818" i="1" s="1"/>
  <c r="AE815" i="1"/>
  <c r="AD815" i="1"/>
  <c r="AC815" i="1"/>
  <c r="Q815" i="1"/>
  <c r="P815" i="1"/>
  <c r="Q814" i="1"/>
  <c r="P814" i="1"/>
  <c r="O814" i="1"/>
  <c r="N814" i="1"/>
  <c r="M814" i="1"/>
  <c r="L814" i="1"/>
  <c r="K814" i="1"/>
  <c r="J814" i="1"/>
  <c r="I814" i="1"/>
  <c r="H814" i="1"/>
  <c r="G814" i="1"/>
  <c r="F814" i="1"/>
  <c r="E814" i="1"/>
  <c r="D814" i="1"/>
  <c r="C814" i="1"/>
  <c r="AE812" i="1"/>
  <c r="AD812" i="1"/>
  <c r="AC812" i="1"/>
  <c r="Q812" i="1"/>
  <c r="P812" i="1"/>
  <c r="O812" i="1"/>
  <c r="N812" i="1"/>
  <c r="M812" i="1"/>
  <c r="L812" i="1"/>
  <c r="K812" i="1"/>
  <c r="J812" i="1"/>
  <c r="I812" i="1"/>
  <c r="H812" i="1"/>
  <c r="G812" i="1"/>
  <c r="F812" i="1"/>
  <c r="E812" i="1"/>
  <c r="D812" i="1"/>
  <c r="H818" i="1" l="1"/>
  <c r="R817" i="1"/>
  <c r="Q828" i="1"/>
  <c r="Q829" i="1" s="1"/>
  <c r="Q830" i="1" s="1"/>
  <c r="P828" i="1"/>
  <c r="P829" i="1" s="1"/>
  <c r="P830" i="1" s="1"/>
  <c r="G828" i="1"/>
  <c r="G829" i="1" s="1"/>
  <c r="G830" i="1" s="1"/>
  <c r="I828" i="1"/>
  <c r="I829" i="1" s="1"/>
  <c r="I830" i="1" s="1"/>
  <c r="Q826" i="1"/>
  <c r="P826" i="1"/>
  <c r="O826" i="1"/>
  <c r="N826" i="1"/>
  <c r="M826" i="1"/>
  <c r="L826" i="1"/>
  <c r="K826" i="1"/>
  <c r="J826" i="1"/>
  <c r="I826" i="1"/>
  <c r="H826" i="1"/>
  <c r="G826" i="1"/>
  <c r="F826" i="1"/>
  <c r="E826" i="1"/>
  <c r="D826" i="1"/>
  <c r="C826" i="1"/>
  <c r="M828" i="1"/>
  <c r="M829" i="1" s="1"/>
  <c r="M830" i="1" s="1"/>
  <c r="N828" i="1"/>
  <c r="N829" i="1" s="1"/>
  <c r="N830" i="1" s="1"/>
  <c r="K828" i="1"/>
  <c r="K829" i="1" s="1"/>
  <c r="K830" i="1" s="1"/>
  <c r="AE830" i="1"/>
  <c r="AD830" i="1"/>
  <c r="AC830" i="1"/>
  <c r="O828" i="1"/>
  <c r="O829" i="1" s="1"/>
  <c r="O830" i="1" s="1"/>
  <c r="L828" i="1"/>
  <c r="L829" i="1" s="1"/>
  <c r="L830" i="1" s="1"/>
  <c r="J828" i="1"/>
  <c r="J829" i="1" s="1"/>
  <c r="J830" i="1" s="1"/>
  <c r="H828" i="1"/>
  <c r="H829" i="1" s="1"/>
  <c r="F828" i="1"/>
  <c r="F829" i="1" s="1"/>
  <c r="F830" i="1" s="1"/>
  <c r="E828" i="1"/>
  <c r="E829" i="1" s="1"/>
  <c r="E830" i="1" s="1"/>
  <c r="D828" i="1"/>
  <c r="D829" i="1" s="1"/>
  <c r="D830" i="1" s="1"/>
  <c r="C828" i="1"/>
  <c r="C829" i="1" s="1"/>
  <c r="C830" i="1" s="1"/>
  <c r="AE827" i="1"/>
  <c r="AD827" i="1"/>
  <c r="AC827" i="1"/>
  <c r="Q827" i="1"/>
  <c r="P827" i="1"/>
  <c r="AE824" i="1"/>
  <c r="AD824" i="1"/>
  <c r="AC824" i="1"/>
  <c r="Q824" i="1"/>
  <c r="P824" i="1"/>
  <c r="O824" i="1"/>
  <c r="N824" i="1"/>
  <c r="M824" i="1"/>
  <c r="L824" i="1"/>
  <c r="K824" i="1"/>
  <c r="J824" i="1"/>
  <c r="I824" i="1"/>
  <c r="H824" i="1"/>
  <c r="G824" i="1"/>
  <c r="F824" i="1"/>
  <c r="E824" i="1"/>
  <c r="D824" i="1"/>
  <c r="C824" i="1"/>
  <c r="H830" i="1" l="1"/>
  <c r="R829" i="1"/>
  <c r="P840" i="1"/>
  <c r="P841" i="1" s="1"/>
  <c r="P842" i="1" s="1"/>
  <c r="G840" i="1"/>
  <c r="G841" i="1" s="1"/>
  <c r="G842" i="1" s="1"/>
  <c r="I840" i="1"/>
  <c r="I841" i="1" s="1"/>
  <c r="I842" i="1" s="1"/>
  <c r="L840" i="1"/>
  <c r="L841" i="1" s="1"/>
  <c r="L842" i="1" s="1"/>
  <c r="M840" i="1"/>
  <c r="M841" i="1" s="1"/>
  <c r="M842" i="1" s="1"/>
  <c r="N840" i="1"/>
  <c r="N841" i="1" s="1"/>
  <c r="N842" i="1" s="1"/>
  <c r="AE842" i="1"/>
  <c r="AD842" i="1"/>
  <c r="AC842" i="1"/>
  <c r="Q840" i="1"/>
  <c r="Q841" i="1" s="1"/>
  <c r="Q842" i="1" s="1"/>
  <c r="O840" i="1"/>
  <c r="O841" i="1" s="1"/>
  <c r="O842" i="1" s="1"/>
  <c r="K840" i="1"/>
  <c r="K841" i="1" s="1"/>
  <c r="K842" i="1" s="1"/>
  <c r="J840" i="1"/>
  <c r="J841" i="1" s="1"/>
  <c r="J842" i="1" s="1"/>
  <c r="H840" i="1"/>
  <c r="H841" i="1" s="1"/>
  <c r="F840" i="1"/>
  <c r="F841" i="1" s="1"/>
  <c r="F842" i="1" s="1"/>
  <c r="E840" i="1"/>
  <c r="E841" i="1" s="1"/>
  <c r="E842" i="1" s="1"/>
  <c r="D840" i="1"/>
  <c r="D841" i="1" s="1"/>
  <c r="D842" i="1" s="1"/>
  <c r="C840" i="1"/>
  <c r="C841" i="1" s="1"/>
  <c r="C842" i="1" s="1"/>
  <c r="AE839" i="1"/>
  <c r="AD839" i="1"/>
  <c r="AC839" i="1"/>
  <c r="Q839" i="1"/>
  <c r="P839" i="1"/>
  <c r="Q838" i="1"/>
  <c r="P838" i="1"/>
  <c r="O838" i="1"/>
  <c r="N838" i="1"/>
  <c r="M838" i="1"/>
  <c r="L838" i="1"/>
  <c r="K838" i="1"/>
  <c r="J838" i="1"/>
  <c r="I838" i="1"/>
  <c r="H838" i="1"/>
  <c r="G838" i="1"/>
  <c r="F838" i="1"/>
  <c r="E838" i="1"/>
  <c r="D838" i="1"/>
  <c r="C838" i="1"/>
  <c r="AE836" i="1"/>
  <c r="AD836" i="1"/>
  <c r="AC836" i="1"/>
  <c r="Q836" i="1"/>
  <c r="P836" i="1"/>
  <c r="O836" i="1"/>
  <c r="N836" i="1"/>
  <c r="M836" i="1"/>
  <c r="L836" i="1"/>
  <c r="K836" i="1"/>
  <c r="J836" i="1"/>
  <c r="I836" i="1"/>
  <c r="H836" i="1"/>
  <c r="G836" i="1"/>
  <c r="F836" i="1"/>
  <c r="E836" i="1"/>
  <c r="D836" i="1"/>
  <c r="C836" i="1"/>
  <c r="H842" i="1" l="1"/>
  <c r="R841" i="1"/>
  <c r="O848" i="1"/>
  <c r="P848" i="1"/>
  <c r="Q848" i="1"/>
  <c r="O850" i="1"/>
  <c r="P850" i="1"/>
  <c r="Q850" i="1"/>
  <c r="P851" i="1"/>
  <c r="Q851" i="1"/>
  <c r="AD862" i="1" l="1"/>
  <c r="AE862" i="1"/>
  <c r="AC862" i="1"/>
  <c r="AE858" i="1"/>
  <c r="AE860" i="1" s="1"/>
  <c r="AE856" i="1"/>
  <c r="AE859" i="1" s="1"/>
  <c r="AE854" i="1"/>
  <c r="AE851" i="1"/>
  <c r="AE848" i="1"/>
  <c r="AD858" i="1"/>
  <c r="AD860" i="1" s="1"/>
  <c r="AD856" i="1"/>
  <c r="AD859" i="1" s="1"/>
  <c r="AD854" i="1"/>
  <c r="AD851" i="1"/>
  <c r="AD848" i="1"/>
  <c r="AC858" i="1"/>
  <c r="AC860" i="1" s="1"/>
  <c r="AC856" i="1"/>
  <c r="AC859" i="1" s="1"/>
  <c r="AC854" i="1"/>
  <c r="AC851" i="1"/>
  <c r="AC848" i="1"/>
  <c r="AE863" i="1" l="1"/>
  <c r="AC863" i="1"/>
  <c r="AD863" i="1"/>
  <c r="Q852" i="1"/>
  <c r="Q853" i="1" s="1"/>
  <c r="Q854" i="1" s="1"/>
  <c r="P852" i="1"/>
  <c r="P853" i="1" s="1"/>
  <c r="P854" i="1" s="1"/>
  <c r="O852" i="1"/>
  <c r="O853" i="1" s="1"/>
  <c r="O854" i="1" s="1"/>
  <c r="N852" i="1"/>
  <c r="N853" i="1" s="1"/>
  <c r="N854" i="1" s="1"/>
  <c r="M852" i="1"/>
  <c r="M853" i="1" s="1"/>
  <c r="M854" i="1" s="1"/>
  <c r="L852" i="1"/>
  <c r="L853" i="1" s="1"/>
  <c r="L854" i="1" s="1"/>
  <c r="K852" i="1"/>
  <c r="K853" i="1" s="1"/>
  <c r="K854" i="1" s="1"/>
  <c r="J852" i="1"/>
  <c r="J853" i="1" s="1"/>
  <c r="J854" i="1" s="1"/>
  <c r="I852" i="1"/>
  <c r="I853" i="1" s="1"/>
  <c r="I854" i="1" s="1"/>
  <c r="H852" i="1"/>
  <c r="H853" i="1" s="1"/>
  <c r="G852" i="1"/>
  <c r="G853" i="1" s="1"/>
  <c r="G854" i="1" s="1"/>
  <c r="F852" i="1"/>
  <c r="F853" i="1" s="1"/>
  <c r="F854" i="1" s="1"/>
  <c r="E852" i="1"/>
  <c r="E853" i="1" s="1"/>
  <c r="E854" i="1" s="1"/>
  <c r="D852" i="1"/>
  <c r="D853" i="1" s="1"/>
  <c r="D854" i="1" s="1"/>
  <c r="C852" i="1"/>
  <c r="C853" i="1" s="1"/>
  <c r="C854" i="1" s="1"/>
  <c r="N850" i="1"/>
  <c r="M850" i="1"/>
  <c r="L850" i="1"/>
  <c r="K850" i="1"/>
  <c r="J850" i="1"/>
  <c r="I850" i="1"/>
  <c r="H850" i="1"/>
  <c r="G850" i="1"/>
  <c r="F850" i="1"/>
  <c r="E850" i="1"/>
  <c r="D850" i="1"/>
  <c r="C850" i="1"/>
  <c r="N848" i="1"/>
  <c r="M848" i="1"/>
  <c r="L848" i="1"/>
  <c r="K848" i="1"/>
  <c r="J848" i="1"/>
  <c r="I848" i="1"/>
  <c r="H848" i="1"/>
  <c r="G848" i="1"/>
  <c r="F848" i="1"/>
  <c r="E848" i="1"/>
  <c r="D848" i="1"/>
  <c r="C848" i="1"/>
  <c r="H854" i="1" l="1"/>
  <c r="R853" i="1"/>
  <c r="H864" i="1"/>
  <c r="H865" i="1" s="1"/>
  <c r="I864" i="1"/>
  <c r="I865" i="1" s="1"/>
  <c r="I866" i="1" s="1"/>
  <c r="L864" i="1"/>
  <c r="L865" i="1" s="1"/>
  <c r="L866" i="1" s="1"/>
  <c r="N864" i="1"/>
  <c r="N865" i="1" s="1"/>
  <c r="N866" i="1" s="1"/>
  <c r="Q864" i="1"/>
  <c r="Q865" i="1" s="1"/>
  <c r="Q866" i="1" s="1"/>
  <c r="P864" i="1"/>
  <c r="P865" i="1" s="1"/>
  <c r="P866" i="1" s="1"/>
  <c r="O864" i="1"/>
  <c r="O865" i="1" s="1"/>
  <c r="O866" i="1" s="1"/>
  <c r="M864" i="1"/>
  <c r="M865" i="1" s="1"/>
  <c r="M866" i="1" s="1"/>
  <c r="K864" i="1"/>
  <c r="K865" i="1" s="1"/>
  <c r="K866" i="1" s="1"/>
  <c r="J864" i="1"/>
  <c r="J865" i="1" s="1"/>
  <c r="J866" i="1" s="1"/>
  <c r="G864" i="1"/>
  <c r="G865" i="1" s="1"/>
  <c r="G866" i="1" s="1"/>
  <c r="F864" i="1"/>
  <c r="F865" i="1" s="1"/>
  <c r="F866" i="1" s="1"/>
  <c r="E864" i="1"/>
  <c r="E865" i="1" s="1"/>
  <c r="E866" i="1" s="1"/>
  <c r="D864" i="1"/>
  <c r="D865" i="1" s="1"/>
  <c r="D866" i="1" s="1"/>
  <c r="C864" i="1"/>
  <c r="C865" i="1" s="1"/>
  <c r="C866" i="1" s="1"/>
  <c r="Q863" i="1"/>
  <c r="P863" i="1"/>
  <c r="Q862" i="1"/>
  <c r="P862" i="1"/>
  <c r="O862" i="1"/>
  <c r="N862" i="1"/>
  <c r="M862" i="1"/>
  <c r="L862" i="1"/>
  <c r="K862" i="1"/>
  <c r="J862" i="1"/>
  <c r="I862" i="1"/>
  <c r="H862" i="1"/>
  <c r="G862" i="1"/>
  <c r="F862" i="1"/>
  <c r="E862" i="1"/>
  <c r="D862" i="1"/>
  <c r="C862" i="1"/>
  <c r="Q860" i="1"/>
  <c r="P860" i="1"/>
  <c r="O860" i="1"/>
  <c r="N860" i="1"/>
  <c r="M860" i="1"/>
  <c r="L860" i="1"/>
  <c r="K860" i="1"/>
  <c r="J860" i="1"/>
  <c r="I860" i="1"/>
  <c r="H860" i="1"/>
  <c r="G860" i="1"/>
  <c r="F860" i="1"/>
  <c r="E860" i="1"/>
  <c r="D860" i="1"/>
  <c r="C860" i="1"/>
  <c r="H866" i="1" l="1"/>
  <c r="R865" i="1"/>
  <c r="H876" i="1"/>
  <c r="H877" i="1" s="1"/>
  <c r="L876" i="1"/>
  <c r="L877" i="1" s="1"/>
  <c r="L878" i="1" s="1"/>
  <c r="Q876" i="1"/>
  <c r="Q877" i="1" s="1"/>
  <c r="Q878" i="1" s="1"/>
  <c r="P876" i="1"/>
  <c r="P877" i="1" s="1"/>
  <c r="P878" i="1" s="1"/>
  <c r="O876" i="1"/>
  <c r="O877" i="1" s="1"/>
  <c r="O878" i="1" s="1"/>
  <c r="N876" i="1"/>
  <c r="N877" i="1" s="1"/>
  <c r="N878" i="1" s="1"/>
  <c r="M876" i="1"/>
  <c r="M877" i="1" s="1"/>
  <c r="M878" i="1" s="1"/>
  <c r="K876" i="1"/>
  <c r="K877" i="1" s="1"/>
  <c r="K878" i="1" s="1"/>
  <c r="J876" i="1"/>
  <c r="J877" i="1" s="1"/>
  <c r="J878" i="1" s="1"/>
  <c r="I876" i="1"/>
  <c r="I877" i="1" s="1"/>
  <c r="I878" i="1" s="1"/>
  <c r="G876" i="1"/>
  <c r="G877" i="1" s="1"/>
  <c r="G878" i="1" s="1"/>
  <c r="F876" i="1"/>
  <c r="F877" i="1" s="1"/>
  <c r="F878" i="1" s="1"/>
  <c r="E876" i="1"/>
  <c r="E877" i="1" s="1"/>
  <c r="E878" i="1" s="1"/>
  <c r="D876" i="1"/>
  <c r="D877" i="1" s="1"/>
  <c r="D878" i="1" s="1"/>
  <c r="C876" i="1"/>
  <c r="C877" i="1" s="1"/>
  <c r="C878" i="1" s="1"/>
  <c r="Q875" i="1"/>
  <c r="P875" i="1"/>
  <c r="Q874" i="1"/>
  <c r="P874" i="1"/>
  <c r="O874" i="1"/>
  <c r="N874" i="1"/>
  <c r="M874" i="1"/>
  <c r="L874" i="1"/>
  <c r="K874" i="1"/>
  <c r="J874" i="1"/>
  <c r="I874" i="1"/>
  <c r="H874" i="1"/>
  <c r="G874" i="1"/>
  <c r="F874" i="1"/>
  <c r="E874" i="1"/>
  <c r="D874" i="1"/>
  <c r="C874" i="1"/>
  <c r="Q872" i="1"/>
  <c r="P872" i="1"/>
  <c r="O872" i="1"/>
  <c r="N872" i="1"/>
  <c r="M872" i="1"/>
  <c r="L872" i="1"/>
  <c r="K872" i="1"/>
  <c r="J872" i="1"/>
  <c r="I872" i="1"/>
  <c r="H872" i="1"/>
  <c r="G872" i="1"/>
  <c r="F872" i="1"/>
  <c r="E872" i="1"/>
  <c r="D872" i="1"/>
  <c r="C872" i="1"/>
  <c r="H878" i="1" l="1"/>
  <c r="R877" i="1"/>
  <c r="E888" i="1"/>
  <c r="E889" i="1" s="1"/>
  <c r="D888" i="1"/>
  <c r="D889" i="1" s="1"/>
  <c r="D890" i="1" s="1"/>
  <c r="C888" i="1"/>
  <c r="C889" i="1" s="1"/>
  <c r="Q888" i="1"/>
  <c r="Q889" i="1" s="1"/>
  <c r="P888" i="1"/>
  <c r="P889" i="1" s="1"/>
  <c r="O888" i="1"/>
  <c r="O889" i="1" s="1"/>
  <c r="N888" i="1"/>
  <c r="M888" i="1"/>
  <c r="L888" i="1"/>
  <c r="K888" i="1"/>
  <c r="J888" i="1"/>
  <c r="I888" i="1"/>
  <c r="H888" i="1"/>
  <c r="H889" i="1" s="1"/>
  <c r="G888" i="1"/>
  <c r="F888" i="1"/>
  <c r="F889" i="1" s="1"/>
  <c r="Q887" i="1"/>
  <c r="P887" i="1"/>
  <c r="Q886" i="1"/>
  <c r="P886" i="1"/>
  <c r="O886" i="1"/>
  <c r="N886" i="1"/>
  <c r="M886" i="1"/>
  <c r="L886" i="1"/>
  <c r="K886" i="1"/>
  <c r="J886" i="1"/>
  <c r="I886" i="1"/>
  <c r="H886" i="1"/>
  <c r="G886" i="1"/>
  <c r="F886" i="1"/>
  <c r="E886" i="1"/>
  <c r="D886" i="1"/>
  <c r="C886" i="1"/>
  <c r="Q884" i="1"/>
  <c r="P884" i="1"/>
  <c r="O884" i="1"/>
  <c r="N884" i="1"/>
  <c r="M884" i="1"/>
  <c r="L884" i="1"/>
  <c r="K884" i="1"/>
  <c r="J884" i="1"/>
  <c r="I884" i="1"/>
  <c r="H884" i="1"/>
  <c r="G884" i="1"/>
  <c r="F884" i="1"/>
  <c r="E884" i="1"/>
  <c r="D884" i="1"/>
  <c r="C884" i="1"/>
  <c r="J889" i="1" l="1"/>
  <c r="J890" i="1" s="1"/>
  <c r="L889" i="1"/>
  <c r="L890" i="1" s="1"/>
  <c r="O890" i="1"/>
  <c r="Q890" i="1"/>
  <c r="G889" i="1"/>
  <c r="G890" i="1" s="1"/>
  <c r="I889" i="1"/>
  <c r="I890" i="1" s="1"/>
  <c r="K889" i="1"/>
  <c r="K890" i="1" s="1"/>
  <c r="N889" i="1"/>
  <c r="N890" i="1" s="1"/>
  <c r="M889" i="1"/>
  <c r="M890" i="1" s="1"/>
  <c r="P890" i="1"/>
  <c r="F890" i="1"/>
  <c r="E890" i="1"/>
  <c r="C890" i="1"/>
  <c r="H890" i="1"/>
  <c r="R889" i="1"/>
  <c r="Q900" i="1"/>
  <c r="Q901" i="1" s="1"/>
  <c r="Q902" i="1" s="1"/>
  <c r="I900" i="1"/>
  <c r="I901" i="1" s="1"/>
  <c r="I902" i="1" s="1"/>
  <c r="E900" i="1"/>
  <c r="E901" i="1" s="1"/>
  <c r="E902" i="1" s="1"/>
  <c r="N900" i="1"/>
  <c r="N901" i="1" s="1"/>
  <c r="N902" i="1" s="1"/>
  <c r="D900" i="1"/>
  <c r="D901" i="1" s="1"/>
  <c r="D902" i="1" s="1"/>
  <c r="C900" i="1"/>
  <c r="C901" i="1" s="1"/>
  <c r="C902" i="1" s="1"/>
  <c r="P900" i="1"/>
  <c r="P901" i="1" s="1"/>
  <c r="P902" i="1" s="1"/>
  <c r="O900" i="1"/>
  <c r="O901" i="1" s="1"/>
  <c r="O902" i="1" s="1"/>
  <c r="M900" i="1"/>
  <c r="M901" i="1" s="1"/>
  <c r="M902" i="1" s="1"/>
  <c r="L900" i="1"/>
  <c r="L901" i="1" s="1"/>
  <c r="L902" i="1" s="1"/>
  <c r="K900" i="1"/>
  <c r="K901" i="1" s="1"/>
  <c r="K902" i="1" s="1"/>
  <c r="J900" i="1"/>
  <c r="J901" i="1" s="1"/>
  <c r="J902" i="1" s="1"/>
  <c r="H900" i="1"/>
  <c r="H901" i="1" s="1"/>
  <c r="G900" i="1"/>
  <c r="G901" i="1" s="1"/>
  <c r="G902" i="1" s="1"/>
  <c r="F900" i="1"/>
  <c r="F901" i="1" s="1"/>
  <c r="F902" i="1" s="1"/>
  <c r="Q899" i="1"/>
  <c r="P899" i="1"/>
  <c r="Q898" i="1"/>
  <c r="P898" i="1"/>
  <c r="O898" i="1"/>
  <c r="N898" i="1"/>
  <c r="M898" i="1"/>
  <c r="L898" i="1"/>
  <c r="K898" i="1"/>
  <c r="J898" i="1"/>
  <c r="I898" i="1"/>
  <c r="H898" i="1"/>
  <c r="G898" i="1"/>
  <c r="F898" i="1"/>
  <c r="E898" i="1"/>
  <c r="D898" i="1"/>
  <c r="C898" i="1"/>
  <c r="Q896" i="1"/>
  <c r="P896" i="1"/>
  <c r="O896" i="1"/>
  <c r="N896" i="1"/>
  <c r="M896" i="1"/>
  <c r="L896" i="1"/>
  <c r="K896" i="1"/>
  <c r="J896" i="1"/>
  <c r="I896" i="1"/>
  <c r="H896" i="1"/>
  <c r="G896" i="1"/>
  <c r="F896" i="1"/>
  <c r="E896" i="1"/>
  <c r="D896" i="1"/>
  <c r="C896" i="1"/>
  <c r="H902" i="1" l="1"/>
  <c r="R901" i="1"/>
  <c r="G912" i="1"/>
  <c r="G913" i="1" s="1"/>
  <c r="G914" i="1" s="1"/>
  <c r="D984" i="1"/>
  <c r="F984" i="1"/>
  <c r="J912" i="1"/>
  <c r="J913" i="1" s="1"/>
  <c r="J914" i="1" s="1"/>
  <c r="J910" i="1"/>
  <c r="J908" i="1"/>
  <c r="O912" i="1"/>
  <c r="O913" i="1" s="1"/>
  <c r="O914" i="1" s="1"/>
  <c r="O910" i="1"/>
  <c r="O908" i="1"/>
  <c r="L912" i="1"/>
  <c r="L913" i="1" s="1"/>
  <c r="L914" i="1" s="1"/>
  <c r="M912" i="1"/>
  <c r="M913" i="1" s="1"/>
  <c r="M914" i="1" s="1"/>
  <c r="K912" i="1"/>
  <c r="K913" i="1" s="1"/>
  <c r="K914" i="1" s="1"/>
  <c r="P912" i="1"/>
  <c r="P913" i="1" s="1"/>
  <c r="P914" i="1" s="1"/>
  <c r="Q912" i="1"/>
  <c r="Q913" i="1" s="1"/>
  <c r="Q914" i="1" s="1"/>
  <c r="N912" i="1"/>
  <c r="N913" i="1" s="1"/>
  <c r="N914" i="1" s="1"/>
  <c r="I912" i="1"/>
  <c r="I913" i="1" s="1"/>
  <c r="I914" i="1" s="1"/>
  <c r="H912" i="1"/>
  <c r="H913" i="1" s="1"/>
  <c r="F912" i="1"/>
  <c r="F913" i="1" s="1"/>
  <c r="F914" i="1" s="1"/>
  <c r="E912" i="1"/>
  <c r="E913" i="1" s="1"/>
  <c r="E914" i="1" s="1"/>
  <c r="D912" i="1"/>
  <c r="D913" i="1" s="1"/>
  <c r="D914" i="1" s="1"/>
  <c r="C912" i="1"/>
  <c r="C913" i="1" s="1"/>
  <c r="C914" i="1" s="1"/>
  <c r="Q911" i="1"/>
  <c r="P911" i="1"/>
  <c r="Q910" i="1"/>
  <c r="P910" i="1"/>
  <c r="N910" i="1"/>
  <c r="M910" i="1"/>
  <c r="L910" i="1"/>
  <c r="K910" i="1"/>
  <c r="I910" i="1"/>
  <c r="H910" i="1"/>
  <c r="G910" i="1"/>
  <c r="F910" i="1"/>
  <c r="E910" i="1"/>
  <c r="D910" i="1"/>
  <c r="C910" i="1"/>
  <c r="Q908" i="1"/>
  <c r="P908" i="1"/>
  <c r="N908" i="1"/>
  <c r="M908" i="1"/>
  <c r="L908" i="1"/>
  <c r="K908" i="1"/>
  <c r="I908" i="1"/>
  <c r="H908" i="1"/>
  <c r="G908" i="1"/>
  <c r="F908" i="1"/>
  <c r="E908" i="1"/>
  <c r="D908" i="1"/>
  <c r="C908" i="1"/>
  <c r="H914" i="1" l="1"/>
  <c r="R913" i="1"/>
  <c r="O924" i="1" l="1"/>
  <c r="O925" i="1" s="1"/>
  <c r="O926" i="1" s="1"/>
  <c r="O922" i="1"/>
  <c r="O920" i="1"/>
  <c r="N922" i="1"/>
  <c r="N920" i="1"/>
  <c r="J924" i="1"/>
  <c r="N924" i="1"/>
  <c r="N925" i="1" s="1"/>
  <c r="N926" i="1" s="1"/>
  <c r="M924" i="1"/>
  <c r="M925" i="1" s="1"/>
  <c r="M926" i="1" s="1"/>
  <c r="L924" i="1"/>
  <c r="K924" i="1"/>
  <c r="K925" i="1" s="1"/>
  <c r="K926" i="1" s="1"/>
  <c r="M920" i="1"/>
  <c r="L920" i="1"/>
  <c r="K920" i="1"/>
  <c r="J920" i="1"/>
  <c r="I920" i="1"/>
  <c r="H920" i="1"/>
  <c r="G920" i="1"/>
  <c r="F920" i="1"/>
  <c r="E920" i="1"/>
  <c r="D920" i="1"/>
  <c r="C920" i="1"/>
  <c r="M922" i="1"/>
  <c r="L922" i="1"/>
  <c r="K922" i="1"/>
  <c r="J922" i="1"/>
  <c r="I922" i="1"/>
  <c r="H922" i="1"/>
  <c r="G922" i="1"/>
  <c r="F922" i="1"/>
  <c r="E922" i="1"/>
  <c r="D922" i="1"/>
  <c r="C922" i="1"/>
  <c r="M934" i="1"/>
  <c r="L934" i="1"/>
  <c r="K934" i="1"/>
  <c r="J934" i="1"/>
  <c r="I934" i="1"/>
  <c r="H934" i="1"/>
  <c r="G934" i="1"/>
  <c r="F934" i="1"/>
  <c r="E934" i="1"/>
  <c r="D934" i="1"/>
  <c r="C934" i="1"/>
  <c r="M946" i="1"/>
  <c r="L946" i="1"/>
  <c r="K946" i="1"/>
  <c r="J946" i="1"/>
  <c r="I946" i="1"/>
  <c r="H946" i="1"/>
  <c r="G946" i="1"/>
  <c r="F946" i="1"/>
  <c r="E946" i="1"/>
  <c r="D946" i="1"/>
  <c r="C946" i="1"/>
  <c r="M958" i="1"/>
  <c r="L958" i="1"/>
  <c r="K958" i="1"/>
  <c r="J958" i="1"/>
  <c r="I958" i="1"/>
  <c r="H958" i="1"/>
  <c r="G958" i="1"/>
  <c r="F958" i="1"/>
  <c r="E958" i="1"/>
  <c r="D958" i="1"/>
  <c r="C958" i="1"/>
  <c r="M970" i="1"/>
  <c r="L970" i="1"/>
  <c r="K970" i="1"/>
  <c r="J970" i="1"/>
  <c r="I970" i="1"/>
  <c r="H970" i="1"/>
  <c r="G970" i="1"/>
  <c r="F970" i="1"/>
  <c r="E970" i="1"/>
  <c r="D970" i="1"/>
  <c r="C970" i="1"/>
  <c r="M982" i="1"/>
  <c r="L982" i="1"/>
  <c r="K982" i="1"/>
  <c r="J982" i="1"/>
  <c r="I982" i="1"/>
  <c r="H982" i="1"/>
  <c r="G982" i="1"/>
  <c r="F982" i="1"/>
  <c r="E982" i="1"/>
  <c r="D982" i="1"/>
  <c r="C982" i="1"/>
  <c r="M994" i="1"/>
  <c r="L994" i="1"/>
  <c r="K994" i="1"/>
  <c r="J994" i="1"/>
  <c r="I994" i="1"/>
  <c r="H994" i="1"/>
  <c r="G994" i="1"/>
  <c r="F994" i="1"/>
  <c r="E994" i="1"/>
  <c r="D994" i="1"/>
  <c r="C994" i="1"/>
  <c r="M1006" i="1"/>
  <c r="L1006" i="1"/>
  <c r="K1006" i="1"/>
  <c r="J1006" i="1"/>
  <c r="I1006" i="1"/>
  <c r="H1006" i="1"/>
  <c r="G1006" i="1"/>
  <c r="F1006" i="1"/>
  <c r="E1006" i="1"/>
  <c r="D1006" i="1"/>
  <c r="C1006" i="1"/>
  <c r="M1018" i="1"/>
  <c r="L1018" i="1"/>
  <c r="K1018" i="1"/>
  <c r="J1018" i="1"/>
  <c r="I1018" i="1"/>
  <c r="H1018" i="1"/>
  <c r="G1018" i="1"/>
  <c r="F1018" i="1"/>
  <c r="E1018" i="1"/>
  <c r="D1018" i="1"/>
  <c r="C1018" i="1"/>
  <c r="L925" i="1"/>
  <c r="L926" i="1" s="1"/>
  <c r="J925" i="1"/>
  <c r="J926" i="1" s="1"/>
  <c r="C1020" i="1"/>
  <c r="C1021" i="1" s="1"/>
  <c r="C1022" i="1" s="1"/>
  <c r="D1020" i="1"/>
  <c r="D1021" i="1" s="1"/>
  <c r="D1022" i="1" s="1"/>
  <c r="E1020" i="1"/>
  <c r="E1021" i="1" s="1"/>
  <c r="E1022" i="1" s="1"/>
  <c r="F1020" i="1"/>
  <c r="F1021" i="1" s="1"/>
  <c r="F1022" i="1" s="1"/>
  <c r="G1020" i="1"/>
  <c r="G1021" i="1" s="1"/>
  <c r="G1022" i="1" s="1"/>
  <c r="H1020" i="1"/>
  <c r="H1021" i="1" s="1"/>
  <c r="H1022" i="1" s="1"/>
  <c r="I1020" i="1"/>
  <c r="I1021" i="1" s="1"/>
  <c r="I1022" i="1" s="1"/>
  <c r="J1020" i="1"/>
  <c r="J1021" i="1" s="1"/>
  <c r="J1022" i="1" s="1"/>
  <c r="K1020" i="1"/>
  <c r="K1021" i="1" s="1"/>
  <c r="K1022" i="1" s="1"/>
  <c r="L1020" i="1"/>
  <c r="L1021" i="1" s="1"/>
  <c r="L1022" i="1" s="1"/>
  <c r="M1020" i="1"/>
  <c r="M1021" i="1" s="1"/>
  <c r="M1022" i="1" s="1"/>
  <c r="C1008" i="1"/>
  <c r="C1009" i="1" s="1"/>
  <c r="C1010" i="1" s="1"/>
  <c r="D1008" i="1"/>
  <c r="D1009" i="1" s="1"/>
  <c r="D1010" i="1" s="1"/>
  <c r="E1008" i="1"/>
  <c r="E1009" i="1" s="1"/>
  <c r="E1010" i="1" s="1"/>
  <c r="F1008" i="1"/>
  <c r="F1009" i="1" s="1"/>
  <c r="F1010" i="1" s="1"/>
  <c r="G1008" i="1"/>
  <c r="G1009" i="1" s="1"/>
  <c r="G1010" i="1" s="1"/>
  <c r="H1008" i="1"/>
  <c r="H1009" i="1" s="1"/>
  <c r="H1010" i="1" s="1"/>
  <c r="I1008" i="1"/>
  <c r="I1009" i="1" s="1"/>
  <c r="I1010" i="1" s="1"/>
  <c r="J1008" i="1"/>
  <c r="J1009" i="1" s="1"/>
  <c r="J1010" i="1" s="1"/>
  <c r="K1008" i="1"/>
  <c r="K1009" i="1" s="1"/>
  <c r="K1010" i="1" s="1"/>
  <c r="L1008" i="1"/>
  <c r="L1009" i="1" s="1"/>
  <c r="L1010" i="1" s="1"/>
  <c r="M1008" i="1"/>
  <c r="M1009" i="1" s="1"/>
  <c r="M1010" i="1" s="1"/>
  <c r="C996" i="1"/>
  <c r="C997" i="1" s="1"/>
  <c r="C998" i="1" s="1"/>
  <c r="D996" i="1"/>
  <c r="D997" i="1" s="1"/>
  <c r="D998" i="1" s="1"/>
  <c r="E996" i="1"/>
  <c r="E997" i="1" s="1"/>
  <c r="E998" i="1" s="1"/>
  <c r="F996" i="1"/>
  <c r="F997" i="1" s="1"/>
  <c r="F998" i="1" s="1"/>
  <c r="G996" i="1"/>
  <c r="G997" i="1" s="1"/>
  <c r="G998" i="1" s="1"/>
  <c r="H996" i="1"/>
  <c r="H997" i="1" s="1"/>
  <c r="H998" i="1" s="1"/>
  <c r="I996" i="1"/>
  <c r="I997" i="1" s="1"/>
  <c r="I998" i="1" s="1"/>
  <c r="J996" i="1"/>
  <c r="J997" i="1" s="1"/>
  <c r="J998" i="1" s="1"/>
  <c r="K996" i="1"/>
  <c r="K997" i="1" s="1"/>
  <c r="K998" i="1" s="1"/>
  <c r="L996" i="1"/>
  <c r="L997" i="1" s="1"/>
  <c r="L998" i="1" s="1"/>
  <c r="M996" i="1"/>
  <c r="M997" i="1" s="1"/>
  <c r="M998" i="1" s="1"/>
  <c r="C984" i="1"/>
  <c r="C985" i="1" s="1"/>
  <c r="C986" i="1" s="1"/>
  <c r="D985" i="1"/>
  <c r="D986" i="1" s="1"/>
  <c r="E984" i="1"/>
  <c r="E985" i="1" s="1"/>
  <c r="E986" i="1" s="1"/>
  <c r="F985" i="1"/>
  <c r="F986" i="1" s="1"/>
  <c r="G984" i="1"/>
  <c r="G985" i="1" s="1"/>
  <c r="G986" i="1" s="1"/>
  <c r="H984" i="1"/>
  <c r="H985" i="1" s="1"/>
  <c r="H986" i="1" s="1"/>
  <c r="I984" i="1"/>
  <c r="I985" i="1" s="1"/>
  <c r="I986" i="1" s="1"/>
  <c r="J984" i="1"/>
  <c r="J985" i="1" s="1"/>
  <c r="J986" i="1" s="1"/>
  <c r="K984" i="1"/>
  <c r="K985" i="1" s="1"/>
  <c r="K986" i="1" s="1"/>
  <c r="L984" i="1"/>
  <c r="L985" i="1" s="1"/>
  <c r="L986" i="1" s="1"/>
  <c r="M984" i="1"/>
  <c r="M985" i="1" s="1"/>
  <c r="M986" i="1" s="1"/>
  <c r="C972" i="1"/>
  <c r="C973" i="1" s="1"/>
  <c r="C974" i="1" s="1"/>
  <c r="D972" i="1"/>
  <c r="D973" i="1" s="1"/>
  <c r="D974" i="1" s="1"/>
  <c r="E972" i="1"/>
  <c r="E973" i="1" s="1"/>
  <c r="E974" i="1" s="1"/>
  <c r="F972" i="1"/>
  <c r="F973" i="1" s="1"/>
  <c r="F974" i="1" s="1"/>
  <c r="G972" i="1"/>
  <c r="G973" i="1" s="1"/>
  <c r="G974" i="1" s="1"/>
  <c r="H972" i="1"/>
  <c r="H973" i="1" s="1"/>
  <c r="H974" i="1" s="1"/>
  <c r="I972" i="1"/>
  <c r="I973" i="1" s="1"/>
  <c r="I974" i="1" s="1"/>
  <c r="J972" i="1"/>
  <c r="J973" i="1" s="1"/>
  <c r="J974" i="1" s="1"/>
  <c r="K972" i="1"/>
  <c r="K973" i="1" s="1"/>
  <c r="K974" i="1" s="1"/>
  <c r="L972" i="1"/>
  <c r="L973" i="1" s="1"/>
  <c r="L974" i="1" s="1"/>
  <c r="M972" i="1"/>
  <c r="M973" i="1" s="1"/>
  <c r="M974" i="1" s="1"/>
  <c r="C960" i="1"/>
  <c r="C961" i="1" s="1"/>
  <c r="C962" i="1" s="1"/>
  <c r="D960" i="1"/>
  <c r="D961" i="1" s="1"/>
  <c r="D962" i="1" s="1"/>
  <c r="E960" i="1"/>
  <c r="E961" i="1" s="1"/>
  <c r="E962" i="1" s="1"/>
  <c r="F960" i="1"/>
  <c r="F961" i="1" s="1"/>
  <c r="F962" i="1" s="1"/>
  <c r="G960" i="1"/>
  <c r="G961" i="1" s="1"/>
  <c r="G962" i="1" s="1"/>
  <c r="H960" i="1"/>
  <c r="H961" i="1" s="1"/>
  <c r="H962" i="1" s="1"/>
  <c r="I960" i="1"/>
  <c r="I961" i="1" s="1"/>
  <c r="I962" i="1" s="1"/>
  <c r="J960" i="1"/>
  <c r="J961" i="1" s="1"/>
  <c r="J962" i="1" s="1"/>
  <c r="K960" i="1"/>
  <c r="K961" i="1" s="1"/>
  <c r="K962" i="1" s="1"/>
  <c r="L960" i="1"/>
  <c r="L961" i="1" s="1"/>
  <c r="L962" i="1" s="1"/>
  <c r="M960" i="1"/>
  <c r="M961" i="1" s="1"/>
  <c r="M962" i="1" s="1"/>
  <c r="C948" i="1"/>
  <c r="C949" i="1" s="1"/>
  <c r="C950" i="1" s="1"/>
  <c r="D948" i="1"/>
  <c r="D949" i="1" s="1"/>
  <c r="D950" i="1" s="1"/>
  <c r="E948" i="1"/>
  <c r="E949" i="1" s="1"/>
  <c r="E950" i="1" s="1"/>
  <c r="F948" i="1"/>
  <c r="F949" i="1" s="1"/>
  <c r="F950" i="1" s="1"/>
  <c r="G948" i="1"/>
  <c r="G949" i="1" s="1"/>
  <c r="G950" i="1" s="1"/>
  <c r="H948" i="1"/>
  <c r="H949" i="1" s="1"/>
  <c r="H950" i="1" s="1"/>
  <c r="I948" i="1"/>
  <c r="I949" i="1" s="1"/>
  <c r="I950" i="1" s="1"/>
  <c r="J948" i="1"/>
  <c r="J949" i="1" s="1"/>
  <c r="J950" i="1" s="1"/>
  <c r="K948" i="1"/>
  <c r="K949" i="1" s="1"/>
  <c r="K950" i="1" s="1"/>
  <c r="L948" i="1"/>
  <c r="L949" i="1" s="1"/>
  <c r="L950" i="1" s="1"/>
  <c r="M948" i="1"/>
  <c r="M949" i="1" s="1"/>
  <c r="M950" i="1" s="1"/>
  <c r="C936" i="1"/>
  <c r="C937" i="1" s="1"/>
  <c r="C938" i="1" s="1"/>
  <c r="D936" i="1"/>
  <c r="D937" i="1" s="1"/>
  <c r="D938" i="1" s="1"/>
  <c r="E936" i="1"/>
  <c r="E937" i="1" s="1"/>
  <c r="E938" i="1" s="1"/>
  <c r="F936" i="1"/>
  <c r="F937" i="1" s="1"/>
  <c r="F938" i="1" s="1"/>
  <c r="G936" i="1"/>
  <c r="G937" i="1" s="1"/>
  <c r="G938" i="1" s="1"/>
  <c r="H936" i="1"/>
  <c r="H937" i="1" s="1"/>
  <c r="R937" i="1" s="1"/>
  <c r="I936" i="1"/>
  <c r="I937" i="1" s="1"/>
  <c r="I938" i="1" s="1"/>
  <c r="J936" i="1"/>
  <c r="J937" i="1" s="1"/>
  <c r="J938" i="1" s="1"/>
  <c r="K936" i="1"/>
  <c r="K937" i="1" s="1"/>
  <c r="K938" i="1" s="1"/>
  <c r="L936" i="1"/>
  <c r="L937" i="1" s="1"/>
  <c r="L938" i="1" s="1"/>
  <c r="M936" i="1"/>
  <c r="M937" i="1" s="1"/>
  <c r="M938" i="1" s="1"/>
  <c r="J932" i="1"/>
  <c r="K932" i="1"/>
  <c r="L932" i="1"/>
  <c r="M932" i="1"/>
  <c r="I924" i="1"/>
  <c r="I925" i="1" s="1"/>
  <c r="I926" i="1" s="1"/>
  <c r="E924" i="1"/>
  <c r="E925" i="1" s="1"/>
  <c r="E926" i="1" s="1"/>
  <c r="D924" i="1"/>
  <c r="D925" i="1" s="1"/>
  <c r="D926" i="1" s="1"/>
  <c r="H924" i="1"/>
  <c r="H925" i="1" s="1"/>
  <c r="R925" i="1" s="1"/>
  <c r="G924" i="1"/>
  <c r="G925" i="1" s="1"/>
  <c r="G926" i="1" s="1"/>
  <c r="F924" i="1"/>
  <c r="F925" i="1" s="1"/>
  <c r="F926" i="1" s="1"/>
  <c r="C924" i="1"/>
  <c r="C925" i="1" s="1"/>
  <c r="C926" i="1" s="1"/>
  <c r="I932" i="1"/>
  <c r="H932" i="1"/>
  <c r="G932" i="1"/>
  <c r="F932" i="1"/>
  <c r="E932" i="1"/>
  <c r="D932" i="1"/>
  <c r="C932" i="1"/>
  <c r="H926" i="1" l="1"/>
  <c r="H938" i="1"/>
  <c r="R949" i="1"/>
  <c r="M944" i="1"/>
  <c r="L944" i="1"/>
  <c r="K944" i="1"/>
  <c r="J944" i="1"/>
  <c r="I944" i="1"/>
  <c r="H944" i="1"/>
  <c r="G944" i="1"/>
  <c r="F944" i="1"/>
  <c r="E944" i="1"/>
  <c r="D944" i="1"/>
  <c r="C944" i="1"/>
  <c r="R961" i="1" l="1"/>
  <c r="M956" i="1"/>
  <c r="L956" i="1"/>
  <c r="K956" i="1"/>
  <c r="J956" i="1"/>
  <c r="I956" i="1"/>
  <c r="H956" i="1"/>
  <c r="G956" i="1"/>
  <c r="F956" i="1"/>
  <c r="E956" i="1"/>
  <c r="D956" i="1"/>
  <c r="C956" i="1"/>
  <c r="R973" i="1" l="1"/>
  <c r="M968" i="1"/>
  <c r="L968" i="1"/>
  <c r="K968" i="1"/>
  <c r="J968" i="1"/>
  <c r="I968" i="1"/>
  <c r="H968" i="1"/>
  <c r="G968" i="1"/>
  <c r="F968" i="1"/>
  <c r="E968" i="1"/>
  <c r="D968" i="1"/>
  <c r="C968" i="1"/>
  <c r="R985" i="1" l="1"/>
  <c r="M980" i="1"/>
  <c r="L980" i="1"/>
  <c r="K980" i="1"/>
  <c r="J980" i="1"/>
  <c r="I980" i="1"/>
  <c r="H980" i="1"/>
  <c r="G980" i="1"/>
  <c r="F980" i="1"/>
  <c r="E980" i="1"/>
  <c r="D980" i="1"/>
  <c r="C980" i="1"/>
  <c r="R997" i="1" l="1"/>
  <c r="M992" i="1"/>
  <c r="L992" i="1"/>
  <c r="K992" i="1"/>
  <c r="J992" i="1"/>
  <c r="I992" i="1"/>
  <c r="H992" i="1"/>
  <c r="G992" i="1"/>
  <c r="F992" i="1"/>
  <c r="E992" i="1"/>
  <c r="D992" i="1"/>
  <c r="C992" i="1"/>
  <c r="M1004" i="1" l="1"/>
  <c r="L1004" i="1"/>
  <c r="K1004" i="1"/>
  <c r="J1004" i="1"/>
  <c r="I1004" i="1"/>
  <c r="H1004" i="1"/>
  <c r="G1004" i="1"/>
  <c r="F1004" i="1"/>
  <c r="E1004" i="1"/>
  <c r="D1004" i="1"/>
  <c r="C1004" i="1"/>
  <c r="M1016" i="1"/>
  <c r="L1016" i="1"/>
  <c r="K1016" i="1"/>
  <c r="J1016" i="1"/>
  <c r="I1016" i="1"/>
  <c r="H1016" i="1"/>
  <c r="G1016" i="1"/>
  <c r="F1016" i="1"/>
  <c r="E1016" i="1"/>
  <c r="D1016" i="1"/>
  <c r="C1016" i="1"/>
  <c r="R1009" i="1"/>
  <c r="R1021" i="1" l="1"/>
  <c r="E1032" i="1"/>
  <c r="E1033" i="1" s="1"/>
  <c r="E1034" i="1" s="1"/>
  <c r="D1032" i="1"/>
  <c r="D1033" i="1" s="1"/>
  <c r="D1034" i="1" s="1"/>
  <c r="C1032" i="1"/>
  <c r="C1033" i="1" s="1"/>
  <c r="C1034" i="1" s="1"/>
  <c r="M1032" i="1"/>
  <c r="M1033" i="1" s="1"/>
  <c r="M1034" i="1" s="1"/>
  <c r="L1032" i="1"/>
  <c r="L1033" i="1" s="1"/>
  <c r="L1034" i="1" s="1"/>
  <c r="K1032" i="1"/>
  <c r="K1033" i="1" s="1"/>
  <c r="K1034" i="1" s="1"/>
  <c r="J1032" i="1"/>
  <c r="J1033" i="1" s="1"/>
  <c r="J1034" i="1" s="1"/>
  <c r="I1032" i="1"/>
  <c r="I1033" i="1" s="1"/>
  <c r="I1034" i="1" s="1"/>
  <c r="H1032" i="1"/>
  <c r="H1033" i="1" s="1"/>
  <c r="H1034" i="1" s="1"/>
  <c r="G1032" i="1"/>
  <c r="G1033" i="1" s="1"/>
  <c r="G1034" i="1" s="1"/>
  <c r="F1032" i="1"/>
  <c r="F1033" i="1" s="1"/>
  <c r="F1034" i="1" s="1"/>
  <c r="M1031" i="1"/>
  <c r="K1031" i="1"/>
  <c r="I1031" i="1"/>
  <c r="H1031" i="1"/>
  <c r="G1031" i="1"/>
  <c r="M1030" i="1"/>
  <c r="L1030" i="1"/>
  <c r="K1030" i="1"/>
  <c r="J1030" i="1"/>
  <c r="I1030" i="1"/>
  <c r="H1030" i="1"/>
  <c r="G1030" i="1"/>
  <c r="F1030" i="1"/>
  <c r="E1030" i="1"/>
  <c r="D1030" i="1"/>
  <c r="C1030" i="1"/>
  <c r="M1028" i="1"/>
  <c r="L1028" i="1"/>
  <c r="K1028" i="1"/>
  <c r="J1028" i="1"/>
  <c r="I1028" i="1"/>
  <c r="H1028" i="1"/>
  <c r="G1028" i="1"/>
  <c r="F1028" i="1"/>
  <c r="E1028" i="1"/>
  <c r="D1028" i="1"/>
  <c r="C1028" i="1"/>
  <c r="M1044" i="1"/>
  <c r="M1045" i="1" s="1"/>
  <c r="M1046" i="1" s="1"/>
  <c r="L1044" i="1"/>
  <c r="L1045" i="1" s="1"/>
  <c r="L1046" i="1" s="1"/>
  <c r="K1044" i="1"/>
  <c r="K1045" i="1" s="1"/>
  <c r="K1046" i="1" s="1"/>
  <c r="J1044" i="1"/>
  <c r="J1045" i="1" s="1"/>
  <c r="J1046" i="1" s="1"/>
  <c r="I1044" i="1"/>
  <c r="I1045" i="1" s="1"/>
  <c r="I1046" i="1" s="1"/>
  <c r="H1044" i="1"/>
  <c r="H1045" i="1" s="1"/>
  <c r="H1046" i="1" s="1"/>
  <c r="G1044" i="1"/>
  <c r="G1045" i="1" s="1"/>
  <c r="G1046" i="1" s="1"/>
  <c r="F1044" i="1"/>
  <c r="F1045" i="1" s="1"/>
  <c r="F1046" i="1" s="1"/>
  <c r="E1044" i="1"/>
  <c r="E1045" i="1" s="1"/>
  <c r="E1046" i="1" s="1"/>
  <c r="D1044" i="1"/>
  <c r="D1045" i="1" s="1"/>
  <c r="D1046" i="1" s="1"/>
  <c r="C1044" i="1"/>
  <c r="C1045" i="1" s="1"/>
  <c r="C1046" i="1" s="1"/>
  <c r="M1043" i="1"/>
  <c r="K1043" i="1"/>
  <c r="I1043" i="1"/>
  <c r="H1043" i="1"/>
  <c r="G1043" i="1"/>
  <c r="M1042" i="1"/>
  <c r="L1042" i="1"/>
  <c r="K1042" i="1"/>
  <c r="J1042" i="1"/>
  <c r="I1042" i="1"/>
  <c r="H1042" i="1"/>
  <c r="G1042" i="1"/>
  <c r="F1042" i="1"/>
  <c r="E1042" i="1"/>
  <c r="D1042" i="1"/>
  <c r="C1042" i="1"/>
  <c r="M1040" i="1"/>
  <c r="L1040" i="1"/>
  <c r="K1040" i="1"/>
  <c r="J1040" i="1"/>
  <c r="I1040" i="1"/>
  <c r="H1040" i="1"/>
  <c r="G1040" i="1"/>
  <c r="F1040" i="1"/>
  <c r="E1040" i="1"/>
  <c r="D1040" i="1"/>
  <c r="C1040" i="1"/>
  <c r="R1033" i="1" l="1"/>
  <c r="R1045" i="1"/>
  <c r="H1056" i="1"/>
  <c r="H1057" i="1" s="1"/>
  <c r="F1056" i="1"/>
  <c r="F1057" i="1" s="1"/>
  <c r="F1058" i="1" s="1"/>
  <c r="E1056" i="1"/>
  <c r="E1057" i="1" s="1"/>
  <c r="E1058" i="1" s="1"/>
  <c r="K1056" i="1"/>
  <c r="K1057" i="1" s="1"/>
  <c r="K1058" i="1" s="1"/>
  <c r="J1056" i="1"/>
  <c r="J1057" i="1" s="1"/>
  <c r="J1058" i="1" s="1"/>
  <c r="D1056" i="1"/>
  <c r="D1057" i="1" s="1"/>
  <c r="D1058" i="1" s="1"/>
  <c r="C1056" i="1"/>
  <c r="C1057" i="1" s="1"/>
  <c r="C1058" i="1" s="1"/>
  <c r="M1056" i="1"/>
  <c r="M1057" i="1" s="1"/>
  <c r="M1058" i="1" s="1"/>
  <c r="L1056" i="1"/>
  <c r="L1057" i="1" s="1"/>
  <c r="L1058" i="1" s="1"/>
  <c r="I1056" i="1"/>
  <c r="I1057" i="1" s="1"/>
  <c r="I1058" i="1" s="1"/>
  <c r="G1056" i="1"/>
  <c r="G1057" i="1" s="1"/>
  <c r="G1058" i="1" s="1"/>
  <c r="M1055" i="1"/>
  <c r="K1055" i="1"/>
  <c r="I1055" i="1"/>
  <c r="H1055" i="1"/>
  <c r="G1055" i="1"/>
  <c r="M1054" i="1"/>
  <c r="L1054" i="1"/>
  <c r="K1054" i="1"/>
  <c r="J1054" i="1"/>
  <c r="I1054" i="1"/>
  <c r="H1054" i="1"/>
  <c r="G1054" i="1"/>
  <c r="F1054" i="1"/>
  <c r="E1054" i="1"/>
  <c r="D1054" i="1"/>
  <c r="C1054" i="1"/>
  <c r="M1052" i="1"/>
  <c r="L1052" i="1"/>
  <c r="K1052" i="1"/>
  <c r="J1052" i="1"/>
  <c r="I1052" i="1"/>
  <c r="H1052" i="1"/>
  <c r="G1052" i="1"/>
  <c r="F1052" i="1"/>
  <c r="E1052" i="1"/>
  <c r="D1052" i="1"/>
  <c r="C1052" i="1"/>
  <c r="H1058" i="1" l="1"/>
  <c r="R1057" i="1"/>
  <c r="H1068" i="1"/>
  <c r="H1069" i="1" s="1"/>
  <c r="H1070" i="1" s="1"/>
  <c r="M1068" i="1"/>
  <c r="M1069" i="1" s="1"/>
  <c r="M1070" i="1" s="1"/>
  <c r="L1068" i="1"/>
  <c r="L1069" i="1" s="1"/>
  <c r="L1070" i="1" s="1"/>
  <c r="K1068" i="1"/>
  <c r="K1069" i="1" s="1"/>
  <c r="K1070" i="1" s="1"/>
  <c r="J1068" i="1"/>
  <c r="J1069" i="1" s="1"/>
  <c r="J1070" i="1" s="1"/>
  <c r="I1068" i="1"/>
  <c r="I1069" i="1" s="1"/>
  <c r="I1070" i="1" s="1"/>
  <c r="G1068" i="1"/>
  <c r="G1069" i="1" s="1"/>
  <c r="G1070" i="1" s="1"/>
  <c r="F1068" i="1"/>
  <c r="F1069" i="1" s="1"/>
  <c r="F1070" i="1" s="1"/>
  <c r="E1068" i="1"/>
  <c r="E1069" i="1" s="1"/>
  <c r="E1070" i="1" s="1"/>
  <c r="D1068" i="1"/>
  <c r="D1069" i="1" s="1"/>
  <c r="D1070" i="1" s="1"/>
  <c r="C1068" i="1"/>
  <c r="C1069" i="1" s="1"/>
  <c r="C1070" i="1" s="1"/>
  <c r="M1067" i="1"/>
  <c r="K1067" i="1"/>
  <c r="I1067" i="1"/>
  <c r="H1067" i="1"/>
  <c r="G1067" i="1"/>
  <c r="M1066" i="1"/>
  <c r="L1066" i="1"/>
  <c r="K1066" i="1"/>
  <c r="J1066" i="1"/>
  <c r="I1066" i="1"/>
  <c r="H1066" i="1"/>
  <c r="G1066" i="1"/>
  <c r="F1066" i="1"/>
  <c r="E1066" i="1"/>
  <c r="D1066" i="1"/>
  <c r="C1066" i="1"/>
  <c r="M1064" i="1"/>
  <c r="L1064" i="1"/>
  <c r="K1064" i="1"/>
  <c r="J1064" i="1"/>
  <c r="I1064" i="1"/>
  <c r="H1064" i="1"/>
  <c r="G1064" i="1"/>
  <c r="F1064" i="1"/>
  <c r="E1064" i="1"/>
  <c r="D1064" i="1"/>
  <c r="C1064" i="1"/>
  <c r="R1069" i="1" l="1"/>
  <c r="H1080" i="1"/>
  <c r="H1081" i="1" s="1"/>
  <c r="H1082" i="1" s="1"/>
  <c r="I1080" i="1"/>
  <c r="I1081" i="1" s="1"/>
  <c r="I1082" i="1" s="1"/>
  <c r="M1080" i="1"/>
  <c r="M1081" i="1" s="1"/>
  <c r="M1082" i="1" s="1"/>
  <c r="L1080" i="1"/>
  <c r="L1081" i="1" s="1"/>
  <c r="L1082" i="1" s="1"/>
  <c r="K1080" i="1"/>
  <c r="K1081" i="1" s="1"/>
  <c r="K1082" i="1" s="1"/>
  <c r="J1080" i="1"/>
  <c r="J1081" i="1" s="1"/>
  <c r="J1082" i="1" s="1"/>
  <c r="G1080" i="1"/>
  <c r="G1081" i="1" s="1"/>
  <c r="G1082" i="1" s="1"/>
  <c r="F1080" i="1"/>
  <c r="F1081" i="1" s="1"/>
  <c r="F1082" i="1" s="1"/>
  <c r="E1080" i="1"/>
  <c r="E1081" i="1" s="1"/>
  <c r="E1082" i="1" s="1"/>
  <c r="D1080" i="1"/>
  <c r="D1081" i="1" s="1"/>
  <c r="D1082" i="1" s="1"/>
  <c r="C1080" i="1"/>
  <c r="C1081" i="1" s="1"/>
  <c r="C1082" i="1" s="1"/>
  <c r="M1079" i="1"/>
  <c r="K1079" i="1"/>
  <c r="I1079" i="1"/>
  <c r="H1079" i="1"/>
  <c r="G1079" i="1"/>
  <c r="M1078" i="1"/>
  <c r="L1078" i="1"/>
  <c r="K1078" i="1"/>
  <c r="J1078" i="1"/>
  <c r="I1078" i="1"/>
  <c r="H1078" i="1"/>
  <c r="G1078" i="1"/>
  <c r="F1078" i="1"/>
  <c r="E1078" i="1"/>
  <c r="D1078" i="1"/>
  <c r="C1078" i="1"/>
  <c r="M1076" i="1"/>
  <c r="L1076" i="1"/>
  <c r="K1076" i="1"/>
  <c r="J1076" i="1"/>
  <c r="I1076" i="1"/>
  <c r="H1076" i="1"/>
  <c r="G1076" i="1"/>
  <c r="F1076" i="1"/>
  <c r="E1076" i="1"/>
  <c r="D1076" i="1"/>
  <c r="C1076" i="1"/>
  <c r="R1081" i="1" l="1"/>
  <c r="G1092" i="1"/>
  <c r="G1093" i="1" s="1"/>
  <c r="G1094" i="1" s="1"/>
  <c r="I1092" i="1"/>
  <c r="I1093" i="1" s="1"/>
  <c r="I1094" i="1" s="1"/>
  <c r="M1092" i="1"/>
  <c r="M1093" i="1" s="1"/>
  <c r="M1094" i="1" s="1"/>
  <c r="L1092" i="1"/>
  <c r="L1093" i="1" s="1"/>
  <c r="L1094" i="1" s="1"/>
  <c r="K1092" i="1"/>
  <c r="K1093" i="1" s="1"/>
  <c r="K1094" i="1" s="1"/>
  <c r="J1092" i="1"/>
  <c r="J1093" i="1" s="1"/>
  <c r="J1094" i="1" s="1"/>
  <c r="H1092" i="1"/>
  <c r="H1093" i="1" s="1"/>
  <c r="H1094" i="1" s="1"/>
  <c r="F1092" i="1"/>
  <c r="F1093" i="1" s="1"/>
  <c r="F1094" i="1" s="1"/>
  <c r="E1092" i="1"/>
  <c r="E1093" i="1" s="1"/>
  <c r="E1094" i="1" s="1"/>
  <c r="D1092" i="1"/>
  <c r="D1093" i="1" s="1"/>
  <c r="D1094" i="1" s="1"/>
  <c r="C1092" i="1"/>
  <c r="C1093" i="1" s="1"/>
  <c r="C1094" i="1" s="1"/>
  <c r="M1091" i="1"/>
  <c r="K1091" i="1"/>
  <c r="I1091" i="1"/>
  <c r="H1091" i="1"/>
  <c r="G1091" i="1"/>
  <c r="M1090" i="1"/>
  <c r="L1090" i="1"/>
  <c r="K1090" i="1"/>
  <c r="J1090" i="1"/>
  <c r="I1090" i="1"/>
  <c r="H1090" i="1"/>
  <c r="G1090" i="1"/>
  <c r="F1090" i="1"/>
  <c r="E1090" i="1"/>
  <c r="D1090" i="1"/>
  <c r="C1090" i="1"/>
  <c r="M1088" i="1"/>
  <c r="L1088" i="1"/>
  <c r="K1088" i="1"/>
  <c r="J1088" i="1"/>
  <c r="I1088" i="1"/>
  <c r="H1088" i="1"/>
  <c r="G1088" i="1"/>
  <c r="F1088" i="1"/>
  <c r="E1088" i="1"/>
  <c r="D1088" i="1"/>
  <c r="C1088" i="1"/>
  <c r="R1093" i="1" l="1"/>
  <c r="G30" i="3" l="1"/>
  <c r="W2" i="10" l="1"/>
  <c r="S2" i="10"/>
  <c r="BT2" i="9"/>
  <c r="BL2" i="9"/>
  <c r="AJ2" i="7"/>
  <c r="AF2" i="7"/>
  <c r="AI2" i="4"/>
  <c r="AH5" i="7" l="1"/>
  <c r="AH4" i="7"/>
  <c r="AD5" i="7"/>
  <c r="AD4" i="7"/>
  <c r="BR4" i="9"/>
  <c r="BJ4" i="9"/>
  <c r="AG5" i="4"/>
  <c r="AG4" i="4"/>
  <c r="BR5" i="9"/>
  <c r="BJ5" i="9"/>
  <c r="AH7" i="7"/>
  <c r="AH6" i="7"/>
  <c r="AD7" i="7"/>
  <c r="AD6" i="7"/>
  <c r="BJ6" i="9"/>
  <c r="BR6" i="9"/>
  <c r="AG7" i="4"/>
  <c r="AG6" i="4"/>
  <c r="BJ7" i="9"/>
  <c r="BR7" i="9"/>
  <c r="AD9" i="7"/>
  <c r="AD8" i="7"/>
  <c r="AH9" i="7"/>
  <c r="AH8" i="7"/>
  <c r="BR8" i="9"/>
  <c r="BJ8" i="9"/>
  <c r="BR9" i="9"/>
  <c r="BJ9" i="9"/>
  <c r="AG9" i="4"/>
  <c r="AG8" i="4"/>
  <c r="AD11" i="7"/>
  <c r="AD10" i="7"/>
  <c r="AH11" i="7"/>
  <c r="AH10" i="7"/>
  <c r="BR10" i="9"/>
  <c r="BJ10" i="9"/>
  <c r="AG11" i="4"/>
  <c r="AG10" i="4"/>
  <c r="AH3" i="7"/>
  <c r="AH12" i="7"/>
  <c r="AD3" i="7"/>
  <c r="AD12" i="7"/>
  <c r="BR11" i="9"/>
  <c r="BJ11" i="9"/>
  <c r="BR12" i="9"/>
  <c r="BJ12" i="9"/>
  <c r="AG13" i="4"/>
  <c r="AG12" i="4"/>
  <c r="AD14" i="7"/>
  <c r="AD13" i="7"/>
  <c r="AH14" i="7"/>
  <c r="AH13" i="7"/>
  <c r="BR13" i="9"/>
  <c r="BJ13" i="9"/>
  <c r="BJ3" i="9"/>
  <c r="BR3" i="9"/>
  <c r="AG15" i="4"/>
  <c r="AG14" i="4"/>
  <c r="AH16" i="7"/>
  <c r="AH15" i="7"/>
  <c r="AD16" i="7"/>
  <c r="AD15" i="7"/>
  <c r="BR15" i="9"/>
  <c r="BJ15" i="9"/>
  <c r="BR16" i="9"/>
  <c r="BJ16" i="9"/>
  <c r="AG17" i="4"/>
  <c r="AG16" i="4"/>
  <c r="AD18" i="7"/>
  <c r="AD17" i="7"/>
  <c r="AH18" i="7"/>
  <c r="AH17" i="7"/>
  <c r="BJ17" i="9"/>
  <c r="BR17" i="9"/>
  <c r="BR18" i="9"/>
  <c r="BJ18" i="9"/>
  <c r="AG19" i="4"/>
  <c r="AG18" i="4"/>
  <c r="AD20" i="7"/>
  <c r="AH20" i="7"/>
  <c r="BJ14" i="9"/>
  <c r="BR14" i="9"/>
  <c r="BR20" i="9"/>
  <c r="BJ20" i="9"/>
  <c r="AG20" i="4"/>
  <c r="AG21" i="4"/>
  <c r="AD23" i="7"/>
  <c r="AD22" i="7"/>
  <c r="AD25" i="7"/>
  <c r="AD21" i="7"/>
  <c r="AD24" i="7"/>
  <c r="AD19" i="7"/>
  <c r="AH22" i="7"/>
  <c r="AH25" i="7"/>
  <c r="AH21" i="7"/>
  <c r="AH24" i="7"/>
  <c r="AH19" i="7"/>
  <c r="AH23" i="7"/>
  <c r="AG25" i="4"/>
  <c r="AG22" i="4"/>
  <c r="AG23" i="4"/>
  <c r="AG24" i="4"/>
  <c r="AG3" i="4"/>
  <c r="BR21" i="9"/>
  <c r="BJ21" i="9"/>
  <c r="BR19" i="9"/>
  <c r="BJ19" i="9"/>
  <c r="BR22" i="9"/>
  <c r="BJ22" i="9"/>
  <c r="BR23" i="9"/>
  <c r="BJ23" i="9"/>
  <c r="BR24" i="9"/>
  <c r="BJ24" i="9"/>
  <c r="AG26" i="4"/>
  <c r="AD27" i="7"/>
  <c r="AD26" i="7"/>
  <c r="AH27" i="7"/>
  <c r="AH26" i="7"/>
  <c r="BR26" i="9"/>
  <c r="BJ26" i="9"/>
  <c r="AG27" i="4"/>
  <c r="BR27" i="9"/>
  <c r="BJ27" i="9"/>
  <c r="AD30" i="7"/>
  <c r="AH30" i="7"/>
  <c r="BR31" i="9"/>
  <c r="BR30" i="9"/>
  <c r="BR29" i="9"/>
  <c r="BR28" i="9"/>
  <c r="BJ31" i="9"/>
  <c r="BJ30" i="9"/>
  <c r="BJ29" i="9"/>
  <c r="BJ28" i="9"/>
  <c r="AG30" i="4"/>
  <c r="AG28" i="4"/>
  <c r="AG31" i="4"/>
  <c r="AG29" i="4"/>
  <c r="AD31" i="7"/>
  <c r="AD28" i="7"/>
  <c r="AD29" i="7"/>
  <c r="AH31" i="7"/>
  <c r="AH28" i="7"/>
  <c r="AH29" i="7"/>
  <c r="AD32" i="7"/>
  <c r="AH32" i="7"/>
  <c r="AG32" i="4"/>
  <c r="BR32" i="9"/>
  <c r="BJ32" i="9"/>
  <c r="AD34" i="7"/>
  <c r="AD33" i="7"/>
  <c r="AH34" i="7"/>
  <c r="AH33" i="7"/>
  <c r="BR33" i="9"/>
  <c r="BJ33" i="9"/>
  <c r="BR34" i="9"/>
  <c r="BJ34" i="9"/>
  <c r="AG34" i="4"/>
  <c r="AG33" i="4"/>
  <c r="AD36" i="7"/>
  <c r="AD35" i="7"/>
  <c r="AH36" i="7"/>
  <c r="AH35" i="7"/>
  <c r="BR35" i="9"/>
  <c r="BJ35" i="9"/>
  <c r="AG36" i="4"/>
  <c r="AG35" i="4"/>
  <c r="BR36" i="9"/>
  <c r="BJ36" i="9"/>
  <c r="AH38" i="7"/>
  <c r="AH37" i="7"/>
  <c r="AD38" i="7"/>
  <c r="AD37" i="7"/>
  <c r="BJ37" i="9"/>
  <c r="BR37" i="9"/>
  <c r="AG38" i="4"/>
  <c r="AG37" i="4"/>
  <c r="BR38" i="9"/>
  <c r="BJ38" i="9"/>
  <c r="AD40" i="7"/>
  <c r="AD39" i="7"/>
  <c r="AH40" i="7"/>
  <c r="AH39" i="7"/>
  <c r="BR39" i="9"/>
  <c r="BJ39" i="9"/>
  <c r="AG40" i="4"/>
  <c r="AG39" i="4"/>
  <c r="BR40" i="9"/>
  <c r="BJ40" i="9"/>
  <c r="AG42" i="4"/>
  <c r="AG41" i="4"/>
  <c r="BR41" i="9"/>
  <c r="BJ41" i="9"/>
  <c r="AD42" i="7"/>
  <c r="AD41" i="7"/>
  <c r="AH42" i="7"/>
  <c r="AH41" i="7"/>
  <c r="BR42" i="9"/>
  <c r="BJ42" i="9"/>
  <c r="AH43" i="7"/>
  <c r="AD43" i="7"/>
  <c r="BR25" i="9"/>
  <c r="BJ25" i="9"/>
  <c r="AH45" i="7"/>
  <c r="AH44" i="7"/>
  <c r="AD45" i="7"/>
  <c r="AD44" i="7"/>
  <c r="BR44" i="9"/>
  <c r="BJ44" i="9"/>
  <c r="AG45" i="4"/>
  <c r="AG44" i="4"/>
  <c r="AD47" i="7"/>
  <c r="AD46" i="7"/>
  <c r="AH47" i="7"/>
  <c r="AH46" i="7"/>
  <c r="BR45" i="9"/>
  <c r="BJ45" i="9"/>
  <c r="BR46" i="9"/>
  <c r="BJ46" i="9"/>
  <c r="AG47" i="4"/>
  <c r="AG46" i="4"/>
  <c r="BR47" i="9"/>
  <c r="BJ47" i="9"/>
  <c r="AD49" i="7"/>
  <c r="AD48" i="7"/>
  <c r="AH49" i="7"/>
  <c r="AH48" i="7"/>
  <c r="BR48" i="9"/>
  <c r="BJ48" i="9"/>
  <c r="BR49" i="9"/>
  <c r="BJ49" i="9"/>
  <c r="AG49" i="4"/>
  <c r="AG48" i="4"/>
  <c r="BR50" i="9"/>
  <c r="BJ50" i="9"/>
  <c r="AD51" i="7"/>
  <c r="AD50" i="7"/>
  <c r="AH51" i="7"/>
  <c r="AH50" i="7"/>
  <c r="BR51" i="9"/>
  <c r="BJ51" i="9"/>
  <c r="AG51" i="4"/>
  <c r="AG50" i="4"/>
  <c r="BR52" i="9"/>
  <c r="BJ52" i="9"/>
  <c r="AD53" i="7"/>
  <c r="AD52" i="7"/>
  <c r="AH53" i="7"/>
  <c r="AH52" i="7"/>
  <c r="BR53" i="9"/>
  <c r="BJ53" i="9"/>
  <c r="BJ54" i="9"/>
  <c r="BR54" i="9"/>
  <c r="AG52" i="4"/>
  <c r="AG53" i="4"/>
  <c r="AG43" i="4"/>
  <c r="AG54" i="4"/>
  <c r="AH55" i="7"/>
  <c r="AH54" i="7"/>
  <c r="AD55" i="7"/>
  <c r="AD54" i="7"/>
  <c r="BR55" i="9"/>
  <c r="BJ55" i="9"/>
  <c r="BR56" i="9"/>
  <c r="BJ56" i="9"/>
  <c r="AG56" i="4"/>
  <c r="AG55" i="4"/>
  <c r="AD57" i="7"/>
  <c r="AD56" i="7"/>
  <c r="AH57" i="7"/>
  <c r="AH56" i="7"/>
  <c r="BR57" i="9"/>
  <c r="BJ57" i="9"/>
  <c r="BR58" i="9"/>
  <c r="BJ58" i="9"/>
  <c r="AG58" i="4"/>
  <c r="AG57" i="4"/>
  <c r="AD59" i="7"/>
  <c r="AD58" i="7"/>
  <c r="AH59" i="7"/>
  <c r="AH58" i="7"/>
  <c r="BR59" i="9"/>
  <c r="BJ59" i="9"/>
  <c r="BR60" i="9"/>
  <c r="BJ60" i="9"/>
  <c r="AG60" i="4"/>
  <c r="AG59" i="4"/>
  <c r="AD61" i="7"/>
  <c r="AD60" i="7"/>
  <c r="AH61" i="7"/>
  <c r="AH60" i="7"/>
  <c r="BR61" i="9"/>
  <c r="BJ61" i="9"/>
  <c r="BR62" i="9"/>
  <c r="BJ62" i="9"/>
  <c r="AG62" i="4"/>
  <c r="AG61" i="4"/>
  <c r="AD62" i="7"/>
  <c r="AH62" i="7"/>
  <c r="BR63" i="9"/>
  <c r="BJ63" i="9"/>
  <c r="AD64" i="7"/>
  <c r="AH64" i="7"/>
  <c r="BR43" i="9"/>
  <c r="BJ43" i="9"/>
  <c r="AG63" i="4"/>
  <c r="BR65" i="9"/>
  <c r="BJ65" i="9"/>
  <c r="AD66" i="7"/>
  <c r="AD65" i="7"/>
  <c r="AH66" i="7"/>
  <c r="AH65" i="7"/>
  <c r="BR66" i="9"/>
  <c r="BJ66" i="9"/>
  <c r="AG66" i="4"/>
  <c r="AG65" i="4"/>
  <c r="BR67" i="9"/>
  <c r="BJ67" i="9"/>
  <c r="AD68" i="7"/>
  <c r="AD67" i="7"/>
  <c r="AH68" i="7"/>
  <c r="AH67" i="7"/>
  <c r="BR68" i="9"/>
  <c r="BJ68" i="9"/>
  <c r="AG68" i="4"/>
  <c r="AG67" i="4"/>
  <c r="BR69" i="9"/>
  <c r="BJ69" i="9"/>
  <c r="AD70" i="7"/>
  <c r="AD69" i="7"/>
  <c r="AH70" i="7"/>
  <c r="AH69" i="7"/>
  <c r="BR70" i="9"/>
  <c r="BJ70" i="9"/>
  <c r="AG70" i="4"/>
  <c r="AG69" i="4"/>
  <c r="BR71" i="9"/>
  <c r="BJ71" i="9"/>
  <c r="AD72" i="7"/>
  <c r="AD71" i="7"/>
  <c r="AH72" i="7"/>
  <c r="AH71" i="7"/>
  <c r="BR72" i="9"/>
  <c r="BJ72" i="9"/>
  <c r="AG72" i="4"/>
  <c r="AG71" i="4"/>
  <c r="BR73" i="9"/>
  <c r="BJ73" i="9"/>
  <c r="AD74" i="7"/>
  <c r="AD73" i="7"/>
  <c r="AH74" i="7"/>
  <c r="AH73" i="7"/>
  <c r="BR74" i="9"/>
  <c r="BJ74" i="9"/>
  <c r="BJ75" i="9"/>
  <c r="BR75" i="9"/>
  <c r="AG74" i="4"/>
  <c r="AG73" i="4"/>
  <c r="AH76" i="7"/>
  <c r="AH75" i="7"/>
  <c r="AD76" i="7"/>
  <c r="AD75" i="7"/>
  <c r="BR76" i="9"/>
  <c r="BJ76" i="9"/>
  <c r="AG76" i="4"/>
  <c r="AG75" i="4"/>
  <c r="BR77" i="9"/>
  <c r="BJ77" i="9"/>
  <c r="AD78" i="7"/>
  <c r="AD77" i="7"/>
  <c r="AH78" i="7"/>
  <c r="AH77" i="7"/>
  <c r="BR78" i="9"/>
  <c r="BJ78" i="9"/>
  <c r="AG78" i="4"/>
  <c r="AG77" i="4"/>
  <c r="BR79" i="9"/>
  <c r="BJ79" i="9"/>
  <c r="AD63" i="7"/>
  <c r="AD79" i="7"/>
  <c r="AH63" i="7"/>
  <c r="AH79" i="7"/>
  <c r="BR80" i="9"/>
  <c r="BJ80" i="9"/>
  <c r="AG64" i="4"/>
  <c r="AG79" i="4"/>
  <c r="BR64" i="9"/>
  <c r="BJ64" i="9"/>
  <c r="AD80" i="7"/>
  <c r="AD81" i="7"/>
  <c r="AH80" i="7"/>
  <c r="AH81" i="7"/>
  <c r="BR82" i="9"/>
  <c r="BJ82" i="9"/>
  <c r="AG80" i="4"/>
  <c r="AG81" i="4"/>
  <c r="BR81" i="9"/>
  <c r="BJ81" i="9"/>
  <c r="AD83" i="7"/>
  <c r="AD82" i="7"/>
  <c r="AH83" i="7"/>
  <c r="AH82" i="7"/>
  <c r="BR83" i="9"/>
  <c r="BJ83" i="9"/>
  <c r="AG83" i="4"/>
  <c r="AG82" i="4"/>
  <c r="AD85" i="7"/>
  <c r="AD84" i="7"/>
  <c r="AH85" i="7"/>
  <c r="AH84" i="7"/>
  <c r="BR84" i="9"/>
  <c r="BJ84" i="9"/>
  <c r="BR85" i="9"/>
  <c r="BJ85" i="9"/>
  <c r="AG84" i="4"/>
  <c r="AG85" i="4"/>
  <c r="BR86" i="9"/>
  <c r="BJ86" i="9"/>
  <c r="AD86" i="7"/>
  <c r="AH86" i="7"/>
  <c r="BR87" i="9"/>
  <c r="BJ87" i="9"/>
  <c r="AG87" i="4"/>
  <c r="AG86" i="4"/>
  <c r="BR88" i="9"/>
  <c r="BJ88" i="9"/>
  <c r="U5" i="10"/>
  <c r="U4" i="10"/>
  <c r="U3" i="10"/>
  <c r="Q5" i="10"/>
  <c r="Q4" i="10"/>
  <c r="Q3" i="10"/>
  <c r="AB5" i="7"/>
  <c r="O5" i="7"/>
  <c r="F5" i="4"/>
  <c r="T5" i="4"/>
  <c r="L5" i="7"/>
  <c r="Z5" i="7"/>
  <c r="Q5" i="4"/>
  <c r="W5" i="7"/>
  <c r="U5" i="4"/>
  <c r="AA5" i="7"/>
  <c r="V5" i="4"/>
  <c r="L5" i="4"/>
  <c r="X5" i="7"/>
  <c r="B5" i="4"/>
  <c r="B5" i="7"/>
  <c r="G5" i="4"/>
  <c r="G5" i="7"/>
  <c r="AB5" i="4"/>
  <c r="H5" i="7"/>
  <c r="Z5" i="4"/>
  <c r="M5" i="4"/>
  <c r="S5" i="4"/>
  <c r="S5" i="7"/>
  <c r="J5" i="4"/>
  <c r="X5" i="4"/>
  <c r="C5" i="7"/>
  <c r="R5" i="4"/>
  <c r="N5" i="7"/>
  <c r="F5" i="7"/>
  <c r="D5" i="4"/>
  <c r="O5" i="4"/>
  <c r="K5" i="7"/>
  <c r="Y5" i="7"/>
  <c r="P5" i="4"/>
  <c r="C5" i="4"/>
  <c r="V5" i="7"/>
  <c r="I5" i="7"/>
  <c r="AA5" i="4"/>
  <c r="N5" i="4"/>
  <c r="J5" i="7"/>
  <c r="Y5" i="4"/>
  <c r="U5" i="7"/>
  <c r="T5" i="7"/>
  <c r="Q5" i="7"/>
  <c r="H5" i="4"/>
  <c r="R5" i="7"/>
  <c r="E5" i="7"/>
  <c r="W5" i="4"/>
  <c r="E5" i="4"/>
  <c r="P5" i="7"/>
  <c r="M5" i="7"/>
  <c r="K5" i="4"/>
  <c r="I5" i="4"/>
  <c r="D5" i="7"/>
  <c r="E4" i="11" l="1"/>
  <c r="D4" i="11"/>
  <c r="G4" i="11"/>
  <c r="C4" i="11"/>
  <c r="H4" i="11"/>
  <c r="B4" i="11"/>
  <c r="F4" i="11"/>
  <c r="AL5" i="7"/>
  <c r="AI2" i="2"/>
  <c r="AG4" i="2" s="1"/>
  <c r="I4" i="5"/>
  <c r="J4" i="5"/>
  <c r="I5" i="5"/>
  <c r="J5" i="5"/>
  <c r="I6" i="5"/>
  <c r="J6" i="5"/>
  <c r="I7" i="5"/>
  <c r="J7" i="5"/>
  <c r="I8" i="5"/>
  <c r="J8" i="5"/>
  <c r="I9" i="5"/>
  <c r="J9" i="5"/>
  <c r="I10" i="5"/>
  <c r="J10" i="5"/>
  <c r="I11" i="5"/>
  <c r="J11" i="5"/>
  <c r="I12" i="5"/>
  <c r="J12" i="5"/>
  <c r="I13" i="5"/>
  <c r="J13" i="5"/>
  <c r="I14" i="5"/>
  <c r="J14" i="5"/>
  <c r="I15" i="5"/>
  <c r="J15" i="5"/>
  <c r="I16" i="5"/>
  <c r="H16" i="5" s="1"/>
  <c r="J16" i="5"/>
  <c r="I17" i="5"/>
  <c r="H17" i="5" s="1"/>
  <c r="J17" i="5"/>
  <c r="I18" i="5"/>
  <c r="J18" i="5"/>
  <c r="I19" i="5"/>
  <c r="J19" i="5"/>
  <c r="I4" i="6"/>
  <c r="J4" i="6"/>
  <c r="I5" i="6"/>
  <c r="J5" i="6"/>
  <c r="J18" i="6" s="1"/>
  <c r="I6" i="6"/>
  <c r="J6" i="6"/>
  <c r="I7" i="6"/>
  <c r="J7" i="6"/>
  <c r="I8" i="6"/>
  <c r="J8" i="6"/>
  <c r="I9" i="6"/>
  <c r="J9" i="6"/>
  <c r="I10" i="6"/>
  <c r="J10" i="6"/>
  <c r="I11" i="6"/>
  <c r="J11" i="6"/>
  <c r="I12" i="6"/>
  <c r="J12" i="6"/>
  <c r="I13" i="6"/>
  <c r="J13" i="6"/>
  <c r="I14" i="6"/>
  <c r="J14" i="6"/>
  <c r="I15" i="6"/>
  <c r="J15" i="6"/>
  <c r="I16" i="6"/>
  <c r="J16" i="6"/>
  <c r="I17" i="6"/>
  <c r="J17" i="6"/>
  <c r="G34" i="3"/>
  <c r="G36" i="3"/>
  <c r="BH2" i="9"/>
  <c r="BF4" i="9" s="1"/>
  <c r="BP2" i="9"/>
  <c r="BN4" i="9" s="1"/>
  <c r="AE2" i="2"/>
  <c r="AC4" i="2" s="1"/>
  <c r="T4" i="7"/>
  <c r="J4" i="7"/>
  <c r="K4" i="7"/>
  <c r="H4" i="7"/>
  <c r="U4" i="7"/>
  <c r="F4" i="7"/>
  <c r="B4" i="7"/>
  <c r="AJ4" i="9"/>
  <c r="AY4" i="9"/>
  <c r="AP4" i="9"/>
  <c r="U4" i="9"/>
  <c r="BA4" i="9"/>
  <c r="O4" i="9"/>
  <c r="AC4" i="9"/>
  <c r="AB4" i="9"/>
  <c r="AQ4" i="9"/>
  <c r="AH4" i="9"/>
  <c r="BD4" i="9"/>
  <c r="AG4" i="9"/>
  <c r="G4" i="9"/>
  <c r="AA4" i="4"/>
  <c r="Q4" i="4"/>
  <c r="G4" i="4"/>
  <c r="X4" i="4"/>
  <c r="N4" i="4"/>
  <c r="D4" i="4"/>
  <c r="U4" i="4"/>
  <c r="V4" i="7"/>
  <c r="S4" i="7"/>
  <c r="R4" i="9"/>
  <c r="AI4" i="9"/>
  <c r="Z4" i="9"/>
  <c r="Q4" i="9"/>
  <c r="AW4" i="9"/>
  <c r="AA4" i="9"/>
  <c r="AN4" i="9"/>
  <c r="AT4" i="9"/>
  <c r="AB4" i="4"/>
  <c r="H4" i="4"/>
  <c r="O4" i="4"/>
  <c r="Y4" i="7"/>
  <c r="L4" i="7"/>
  <c r="C4" i="7"/>
  <c r="W4" i="7"/>
  <c r="S4" i="9"/>
  <c r="AF4" i="9"/>
  <c r="AL4" i="9"/>
  <c r="AS4" i="9"/>
  <c r="I4" i="9"/>
  <c r="AM4" i="9"/>
  <c r="V4" i="4"/>
  <c r="B4" i="4"/>
  <c r="I4" i="4"/>
  <c r="P4" i="4"/>
  <c r="I4" i="7"/>
  <c r="Z4" i="7"/>
  <c r="G4" i="7"/>
  <c r="X4" i="7"/>
  <c r="N4" i="7"/>
  <c r="AA4" i="7"/>
  <c r="R4" i="7"/>
  <c r="AZ4" i="9"/>
  <c r="Y4" i="9"/>
  <c r="C4" i="9"/>
  <c r="F4" i="9"/>
  <c r="P4" i="9"/>
  <c r="AE4" i="9"/>
  <c r="V4" i="9"/>
  <c r="AR4" i="9"/>
  <c r="E4" i="9"/>
  <c r="AX4" i="9"/>
  <c r="AO4" i="9"/>
  <c r="H4" i="9"/>
  <c r="W4" i="9"/>
  <c r="J4" i="9"/>
  <c r="F4" i="4"/>
  <c r="W4" i="4"/>
  <c r="M4" i="4"/>
  <c r="C4" i="4"/>
  <c r="T4" i="4"/>
  <c r="J4" i="4"/>
  <c r="D4" i="7"/>
  <c r="Q4" i="7"/>
  <c r="E4" i="7"/>
  <c r="AB4" i="7"/>
  <c r="T4" i="9"/>
  <c r="AV4" i="9"/>
  <c r="BB4" i="9"/>
  <c r="L4" i="9"/>
  <c r="N4" i="9"/>
  <c r="BC4" i="9"/>
  <c r="K4" i="4"/>
  <c r="R4" i="4"/>
  <c r="Y4" i="4"/>
  <c r="E4" i="4"/>
  <c r="O4" i="7"/>
  <c r="M4" i="7"/>
  <c r="P4" i="7"/>
  <c r="AK4" i="9"/>
  <c r="D4" i="9"/>
  <c r="B4" i="9"/>
  <c r="AU4" i="9"/>
  <c r="M4" i="9"/>
  <c r="K4" i="9"/>
  <c r="X4" i="9"/>
  <c r="AD4" i="9"/>
  <c r="L4" i="4"/>
  <c r="S4" i="4"/>
  <c r="Z4" i="4"/>
  <c r="B3" i="11" l="1"/>
  <c r="E3" i="11"/>
  <c r="G3" i="11"/>
  <c r="C3" i="11"/>
  <c r="H3" i="11"/>
  <c r="F3" i="11"/>
  <c r="D3" i="11"/>
  <c r="G3" i="14"/>
  <c r="E3" i="14"/>
  <c r="F3" i="14"/>
  <c r="B3" i="14"/>
  <c r="C3" i="14"/>
  <c r="H3" i="14"/>
  <c r="D3" i="14"/>
  <c r="B3" i="13"/>
  <c r="E3" i="13"/>
  <c r="F3" i="13"/>
  <c r="C3" i="13"/>
  <c r="H3" i="13"/>
  <c r="D3" i="13"/>
  <c r="G3" i="13"/>
  <c r="AL4" i="7"/>
  <c r="BW4" i="9"/>
  <c r="BX4" i="9"/>
  <c r="I4" i="11"/>
  <c r="BN6" i="9"/>
  <c r="BN5" i="9"/>
  <c r="BF6" i="9"/>
  <c r="BF5" i="9"/>
  <c r="AC6" i="2"/>
  <c r="AC5" i="2"/>
  <c r="AG6" i="2"/>
  <c r="AG5" i="2"/>
  <c r="BF8" i="9"/>
  <c r="BF7" i="9"/>
  <c r="BN8" i="9"/>
  <c r="BN7" i="9"/>
  <c r="AC8" i="2"/>
  <c r="AC7" i="2"/>
  <c r="AG8" i="2"/>
  <c r="AG7" i="2"/>
  <c r="BN10" i="9"/>
  <c r="BN9" i="9"/>
  <c r="BF10" i="9"/>
  <c r="BF9" i="9"/>
  <c r="AC10" i="2"/>
  <c r="AC9" i="2"/>
  <c r="AG10" i="2"/>
  <c r="AG9" i="2"/>
  <c r="I18" i="6"/>
  <c r="I20" i="5"/>
  <c r="BN12" i="9"/>
  <c r="BN11" i="9"/>
  <c r="BF12" i="9"/>
  <c r="BF11" i="9"/>
  <c r="AC12" i="2"/>
  <c r="AC11" i="2"/>
  <c r="AG12" i="2"/>
  <c r="AG11" i="2"/>
  <c r="BN3" i="9"/>
  <c r="BN13" i="9"/>
  <c r="BF3" i="9"/>
  <c r="BF13" i="9"/>
  <c r="AC14" i="2"/>
  <c r="AC13" i="2"/>
  <c r="AG14" i="2"/>
  <c r="AG13" i="2"/>
  <c r="BN16" i="9"/>
  <c r="BN15" i="9"/>
  <c r="BF16" i="9"/>
  <c r="BF15" i="9"/>
  <c r="AC16" i="2"/>
  <c r="AC15" i="2"/>
  <c r="AG16" i="2"/>
  <c r="AG15" i="2"/>
  <c r="BN18" i="9"/>
  <c r="BN17" i="9"/>
  <c r="BF18" i="9"/>
  <c r="BF17" i="9"/>
  <c r="AC17" i="2"/>
  <c r="AC18" i="2"/>
  <c r="AG17" i="2"/>
  <c r="AG18" i="2"/>
  <c r="BF20" i="9"/>
  <c r="BF14" i="9"/>
  <c r="BN20" i="9"/>
  <c r="BN14" i="9"/>
  <c r="AC20" i="2"/>
  <c r="AC19" i="2"/>
  <c r="AG20" i="2"/>
  <c r="AG19" i="2"/>
  <c r="AC24" i="2"/>
  <c r="AC3" i="2"/>
  <c r="AC23" i="2"/>
  <c r="AC25" i="2"/>
  <c r="AC21" i="2"/>
  <c r="AC22" i="2"/>
  <c r="AG25" i="2"/>
  <c r="AG21" i="2"/>
  <c r="AG3" i="2"/>
  <c r="AG22" i="2"/>
  <c r="AG24" i="2"/>
  <c r="AG23" i="2"/>
  <c r="BF19" i="9"/>
  <c r="BF21" i="9"/>
  <c r="BN19" i="9"/>
  <c r="BN21" i="9"/>
  <c r="BF23" i="9"/>
  <c r="BF22" i="9"/>
  <c r="BN23" i="9"/>
  <c r="BN22" i="9"/>
  <c r="BN26" i="9"/>
  <c r="BN24" i="9"/>
  <c r="BF26" i="9"/>
  <c r="BF24" i="9"/>
  <c r="AC26" i="4"/>
  <c r="BF27" i="9"/>
  <c r="BN27" i="9"/>
  <c r="AC27" i="4"/>
  <c r="AC27" i="2"/>
  <c r="AC26" i="2"/>
  <c r="AG27" i="2"/>
  <c r="AG26" i="2"/>
  <c r="AC30" i="2"/>
  <c r="AC28" i="2"/>
  <c r="AC31" i="2"/>
  <c r="AC29" i="2"/>
  <c r="AC30" i="4"/>
  <c r="AC31" i="4"/>
  <c r="AC28" i="4"/>
  <c r="AC29" i="4"/>
  <c r="BN30" i="9"/>
  <c r="BN28" i="9"/>
  <c r="BN31" i="9"/>
  <c r="BN29" i="9"/>
  <c r="BF29" i="9"/>
  <c r="BF30" i="9"/>
  <c r="BF31" i="9"/>
  <c r="BF28" i="9"/>
  <c r="AG30" i="2"/>
  <c r="AG28" i="2"/>
  <c r="AG31" i="2"/>
  <c r="AG29" i="2"/>
  <c r="BF32" i="9"/>
  <c r="BN32" i="9"/>
  <c r="AC32" i="4"/>
  <c r="AC33" i="2"/>
  <c r="AC32" i="2"/>
  <c r="AG33" i="2"/>
  <c r="AG32" i="2"/>
  <c r="BF34" i="9"/>
  <c r="BF33" i="9"/>
  <c r="BN34" i="9"/>
  <c r="BN33" i="9"/>
  <c r="AC34" i="4"/>
  <c r="AC33" i="4"/>
  <c r="AC34" i="2"/>
  <c r="AG34" i="2"/>
  <c r="AC35" i="2"/>
  <c r="AG35" i="2"/>
  <c r="BN36" i="9"/>
  <c r="BN35" i="9"/>
  <c r="BF36" i="9"/>
  <c r="BF35" i="9"/>
  <c r="AC36" i="4"/>
  <c r="AC35" i="4"/>
  <c r="AC37" i="2"/>
  <c r="AC36" i="2"/>
  <c r="AG37" i="2"/>
  <c r="AG36" i="2"/>
  <c r="BF38" i="9"/>
  <c r="BF37" i="9"/>
  <c r="BN38" i="9"/>
  <c r="BN37" i="9"/>
  <c r="AC38" i="4"/>
  <c r="AC37" i="4"/>
  <c r="AC39" i="2"/>
  <c r="AC38" i="2"/>
  <c r="AG39" i="2"/>
  <c r="AG38" i="2"/>
  <c r="H16" i="6"/>
  <c r="H14" i="6"/>
  <c r="H12" i="6"/>
  <c r="H10" i="6"/>
  <c r="H8" i="6"/>
  <c r="H6" i="6"/>
  <c r="BF40" i="9"/>
  <c r="BF39" i="9"/>
  <c r="BN40" i="9"/>
  <c r="BN39" i="9"/>
  <c r="AC40" i="4"/>
  <c r="AC39" i="4"/>
  <c r="AC40" i="2"/>
  <c r="AC41" i="2"/>
  <c r="AC42" i="2"/>
  <c r="AC43" i="2"/>
  <c r="AG40" i="2"/>
  <c r="AG41" i="2"/>
  <c r="AG42" i="2"/>
  <c r="AG43" i="2"/>
  <c r="AC45" i="2"/>
  <c r="AG45" i="2"/>
  <c r="AG47" i="2"/>
  <c r="AG46" i="2"/>
  <c r="AC47" i="2"/>
  <c r="AC46" i="2"/>
  <c r="AC49" i="2"/>
  <c r="AC48" i="2"/>
  <c r="AG49" i="2"/>
  <c r="AG48" i="2"/>
  <c r="BN41" i="9"/>
  <c r="BF41" i="9"/>
  <c r="AC42" i="4"/>
  <c r="AC41" i="4"/>
  <c r="BF25" i="9"/>
  <c r="BF42" i="9"/>
  <c r="BN25" i="9"/>
  <c r="BN42" i="9"/>
  <c r="AC44" i="2"/>
  <c r="AG44" i="2"/>
  <c r="BF44" i="9"/>
  <c r="BN44" i="9"/>
  <c r="AC45" i="4"/>
  <c r="AC44" i="4"/>
  <c r="BF46" i="9"/>
  <c r="BF45" i="9"/>
  <c r="BN46" i="9"/>
  <c r="BN45" i="9"/>
  <c r="AC47" i="4"/>
  <c r="AC46" i="4"/>
  <c r="AC51" i="2"/>
  <c r="AC50" i="2"/>
  <c r="AG51" i="2"/>
  <c r="AG50" i="2"/>
  <c r="BF48" i="9"/>
  <c r="BF47" i="9"/>
  <c r="BN48" i="9"/>
  <c r="BN47" i="9"/>
  <c r="AC53" i="2"/>
  <c r="AC52" i="2"/>
  <c r="AG53" i="2"/>
  <c r="AG52" i="2"/>
  <c r="BF50" i="9"/>
  <c r="BF49" i="9"/>
  <c r="BN50" i="9"/>
  <c r="BN49" i="9"/>
  <c r="AC49" i="4"/>
  <c r="AC48" i="4"/>
  <c r="AC55" i="2"/>
  <c r="AC54" i="2"/>
  <c r="AG55" i="2"/>
  <c r="AG54" i="2"/>
  <c r="BF52" i="9"/>
  <c r="BF51" i="9"/>
  <c r="BN52" i="9"/>
  <c r="BN51" i="9"/>
  <c r="AC51" i="4"/>
  <c r="AC50" i="4"/>
  <c r="AG57" i="2"/>
  <c r="AG56" i="2"/>
  <c r="AC57" i="2"/>
  <c r="AC56" i="2"/>
  <c r="BF53" i="9"/>
  <c r="BF54" i="9"/>
  <c r="BN53" i="9"/>
  <c r="BN54" i="9"/>
  <c r="AC52" i="4"/>
  <c r="AC53" i="4"/>
  <c r="BF55" i="9"/>
  <c r="BN55" i="9"/>
  <c r="AC43" i="4"/>
  <c r="AC54" i="4"/>
  <c r="AG60" i="2"/>
  <c r="AC60" i="2"/>
  <c r="BF57" i="9"/>
  <c r="BF56" i="9"/>
  <c r="BN57" i="9"/>
  <c r="BN56" i="9"/>
  <c r="AC56" i="4"/>
  <c r="AC55" i="4"/>
  <c r="AG62" i="2"/>
  <c r="AG61" i="2"/>
  <c r="AC62" i="2"/>
  <c r="AC61" i="2"/>
  <c r="BF59" i="9"/>
  <c r="BF58" i="9"/>
  <c r="BN59" i="9"/>
  <c r="BN58" i="9"/>
  <c r="AC58" i="4"/>
  <c r="AC57" i="4"/>
  <c r="AC64" i="2"/>
  <c r="AC63" i="2"/>
  <c r="AG64" i="2"/>
  <c r="AG63" i="2"/>
  <c r="BN61" i="9"/>
  <c r="BN60" i="9"/>
  <c r="BF61" i="9"/>
  <c r="BF60" i="9"/>
  <c r="AC60" i="4"/>
  <c r="AC59" i="4"/>
  <c r="AC66" i="2"/>
  <c r="AC65" i="2"/>
  <c r="AG66" i="2"/>
  <c r="AG65" i="2"/>
  <c r="BF63" i="9"/>
  <c r="BF62" i="9"/>
  <c r="BN63" i="9"/>
  <c r="BN62" i="9"/>
  <c r="AC62" i="4"/>
  <c r="AC61" i="4"/>
  <c r="AC67" i="2"/>
  <c r="AC68" i="2"/>
  <c r="AG67" i="2"/>
  <c r="AG68" i="2"/>
  <c r="BN65" i="9"/>
  <c r="BN43" i="9"/>
  <c r="BF65" i="9"/>
  <c r="BF43" i="9"/>
  <c r="AC63" i="4"/>
  <c r="AC70" i="2"/>
  <c r="AG70" i="2"/>
  <c r="BF67" i="9"/>
  <c r="BF66" i="9"/>
  <c r="BN67" i="9"/>
  <c r="BN66" i="9"/>
  <c r="AC66" i="4"/>
  <c r="AC65" i="4"/>
  <c r="AC72" i="2"/>
  <c r="AC71" i="2"/>
  <c r="AG72" i="2"/>
  <c r="AG71" i="2"/>
  <c r="BF69" i="9"/>
  <c r="BF68" i="9"/>
  <c r="BN69" i="9"/>
  <c r="BN68" i="9"/>
  <c r="AC68" i="4"/>
  <c r="AC67" i="4"/>
  <c r="AC73" i="2"/>
  <c r="AC74" i="2"/>
  <c r="AG73" i="2"/>
  <c r="AG74" i="2"/>
  <c r="BF71" i="9"/>
  <c r="BF70" i="9"/>
  <c r="BN71" i="9"/>
  <c r="BN70" i="9"/>
  <c r="AC70" i="4"/>
  <c r="AC69" i="4"/>
  <c r="AC75" i="2"/>
  <c r="AG76" i="2"/>
  <c r="AG75" i="2"/>
  <c r="BF73" i="9"/>
  <c r="BF72" i="9"/>
  <c r="BN73" i="9"/>
  <c r="BN72" i="9"/>
  <c r="AC72" i="4"/>
  <c r="AC71" i="4"/>
  <c r="AC77" i="2"/>
  <c r="AC76" i="2"/>
  <c r="AG78" i="2"/>
  <c r="AG77" i="2"/>
  <c r="BF74" i="9"/>
  <c r="BF75" i="9"/>
  <c r="BN74" i="9"/>
  <c r="BN75" i="9"/>
  <c r="AC74" i="4"/>
  <c r="AC73" i="4"/>
  <c r="AC79" i="2"/>
  <c r="AC78" i="2"/>
  <c r="AG79" i="2"/>
  <c r="AG69" i="2"/>
  <c r="BF77" i="9"/>
  <c r="BF76" i="9"/>
  <c r="BN77" i="9"/>
  <c r="BN76" i="9"/>
  <c r="AC76" i="4"/>
  <c r="AC75" i="4"/>
  <c r="AC81" i="2"/>
  <c r="AC80" i="2"/>
  <c r="AG81" i="2"/>
  <c r="AG80" i="2"/>
  <c r="BN79" i="9"/>
  <c r="BN78" i="9"/>
  <c r="BF79" i="9"/>
  <c r="BF78" i="9"/>
  <c r="AC78" i="4"/>
  <c r="AC77" i="4"/>
  <c r="AC83" i="2"/>
  <c r="AC82" i="2"/>
  <c r="AG83" i="2"/>
  <c r="AG82" i="2"/>
  <c r="BN64" i="9"/>
  <c r="BN80" i="9"/>
  <c r="BF64" i="9"/>
  <c r="BF80" i="9"/>
  <c r="AC64" i="4"/>
  <c r="AC79" i="4"/>
  <c r="AC85" i="2"/>
  <c r="AC84" i="2"/>
  <c r="AG85" i="2"/>
  <c r="AG84" i="2"/>
  <c r="BN81" i="9"/>
  <c r="BN82" i="9"/>
  <c r="BF81" i="9"/>
  <c r="BF82" i="9"/>
  <c r="AC80" i="4"/>
  <c r="AC81" i="4"/>
  <c r="AC69" i="2"/>
  <c r="AC86" i="2"/>
  <c r="AG86" i="2"/>
  <c r="BF84" i="9"/>
  <c r="BF83" i="9"/>
  <c r="BN84" i="9"/>
  <c r="BN83" i="9"/>
  <c r="AC83" i="4"/>
  <c r="AC82" i="4"/>
  <c r="AC88" i="2"/>
  <c r="AC87" i="2"/>
  <c r="AG88" i="2"/>
  <c r="AG87" i="2"/>
  <c r="BF86" i="9"/>
  <c r="BF85" i="9"/>
  <c r="BN86" i="9"/>
  <c r="BN85" i="9"/>
  <c r="AC84" i="4"/>
  <c r="AC85" i="4"/>
  <c r="AC89" i="2"/>
  <c r="AC90" i="2"/>
  <c r="AG89" i="2"/>
  <c r="AG90" i="2"/>
  <c r="H14" i="5"/>
  <c r="H12" i="5"/>
  <c r="H10" i="5"/>
  <c r="H8" i="5"/>
  <c r="H6" i="5"/>
  <c r="H4" i="5"/>
  <c r="BN88" i="9"/>
  <c r="BN87" i="9"/>
  <c r="BF88" i="9"/>
  <c r="BF87" i="9"/>
  <c r="AC87" i="4"/>
  <c r="AC86" i="4"/>
  <c r="AC91" i="2"/>
  <c r="AG91" i="2"/>
  <c r="H19" i="5"/>
  <c r="H17" i="6"/>
  <c r="H15" i="6"/>
  <c r="H13" i="6"/>
  <c r="H11" i="6"/>
  <c r="H9" i="6"/>
  <c r="H7" i="6"/>
  <c r="H5" i="6"/>
  <c r="H4" i="6"/>
  <c r="H18" i="5"/>
  <c r="H15" i="5"/>
  <c r="H13" i="5"/>
  <c r="H11" i="5"/>
  <c r="H9" i="5"/>
  <c r="H7" i="5"/>
  <c r="H5" i="5"/>
  <c r="J20" i="5"/>
  <c r="F4" i="2"/>
  <c r="W4" i="2"/>
  <c r="I4" i="2"/>
  <c r="C4" i="2"/>
  <c r="P4" i="2"/>
  <c r="J4" i="2"/>
  <c r="AA4" i="2"/>
  <c r="W19" i="7"/>
  <c r="W11" i="7"/>
  <c r="P14" i="7"/>
  <c r="Y10" i="7"/>
  <c r="J15" i="4"/>
  <c r="Y6" i="7"/>
  <c r="B7" i="4"/>
  <c r="K20" i="7"/>
  <c r="X13" i="4"/>
  <c r="X11" i="7"/>
  <c r="D9" i="7"/>
  <c r="Z10" i="7"/>
  <c r="S19" i="4"/>
  <c r="W8" i="7"/>
  <c r="D20" i="7"/>
  <c r="Y9" i="4"/>
  <c r="M21" i="4"/>
  <c r="E11" i="4"/>
  <c r="H19" i="4"/>
  <c r="Y9" i="7"/>
  <c r="R17" i="4"/>
  <c r="O16" i="7"/>
  <c r="F18" i="7"/>
  <c r="D7" i="4"/>
  <c r="S20" i="7"/>
  <c r="H20" i="7"/>
  <c r="C11" i="4"/>
  <c r="Q16" i="7"/>
  <c r="B3" i="7"/>
  <c r="N10" i="4"/>
  <c r="T8" i="7"/>
  <c r="V6" i="4"/>
  <c r="W16" i="4"/>
  <c r="V21" i="4"/>
  <c r="J19" i="4"/>
  <c r="R9" i="4"/>
  <c r="T11" i="4"/>
  <c r="Q14" i="7"/>
  <c r="U17" i="4"/>
  <c r="AB12" i="7"/>
  <c r="W21" i="4"/>
  <c r="M13" i="4"/>
  <c r="Q7" i="7"/>
  <c r="S14" i="7"/>
  <c r="N16" i="7"/>
  <c r="G18" i="7"/>
  <c r="Y12" i="7"/>
  <c r="Z8" i="4"/>
  <c r="J11" i="4"/>
  <c r="F9" i="7"/>
  <c r="N14" i="7"/>
  <c r="F19" i="4"/>
  <c r="H11" i="7"/>
  <c r="E9" i="7"/>
  <c r="P16" i="7"/>
  <c r="F14" i="7"/>
  <c r="L14" i="7"/>
  <c r="L11" i="7"/>
  <c r="AA11" i="4"/>
  <c r="I7" i="4"/>
  <c r="P7" i="7"/>
  <c r="N10" i="7"/>
  <c r="C10" i="7"/>
  <c r="E10" i="7"/>
  <c r="AA7" i="4"/>
  <c r="E7" i="4"/>
  <c r="G7" i="4"/>
  <c r="G3" i="7"/>
  <c r="Y7" i="7"/>
  <c r="F11" i="7"/>
  <c r="F21" i="4"/>
  <c r="Z13" i="7"/>
  <c r="Z7" i="4"/>
  <c r="Q9" i="4"/>
  <c r="E11" i="7"/>
  <c r="N18" i="7"/>
  <c r="AA7" i="7"/>
  <c r="G20" i="7"/>
  <c r="AA13" i="7"/>
  <c r="W10" i="4"/>
  <c r="V7" i="7"/>
  <c r="F7" i="4"/>
  <c r="E16" i="7"/>
  <c r="M16" i="7"/>
  <c r="R14" i="7"/>
  <c r="P11" i="7"/>
  <c r="Q11" i="7"/>
  <c r="W10" i="7"/>
  <c r="D11" i="7"/>
  <c r="J14" i="7"/>
  <c r="AB8" i="4"/>
  <c r="L13" i="4"/>
  <c r="B17" i="4"/>
  <c r="R12" i="7"/>
  <c r="W17" i="7"/>
  <c r="AA10" i="4"/>
  <c r="K18" i="7"/>
  <c r="F11" i="4"/>
  <c r="N9" i="7"/>
  <c r="Z6" i="7"/>
  <c r="V13" i="4"/>
  <c r="L16" i="7"/>
  <c r="W20" i="7"/>
  <c r="W14" i="4"/>
  <c r="T20" i="7"/>
  <c r="P15" i="4"/>
  <c r="F3" i="7"/>
  <c r="X6" i="7"/>
  <c r="I18" i="7"/>
  <c r="AB7" i="4"/>
  <c r="G14" i="7"/>
  <c r="Q18" i="7"/>
  <c r="U15" i="4"/>
  <c r="W7" i="7"/>
  <c r="R15" i="4"/>
  <c r="E9" i="4"/>
  <c r="Y10" i="4"/>
  <c r="T19" i="4"/>
  <c r="K16" i="7"/>
  <c r="S9" i="7"/>
  <c r="H4" i="2"/>
  <c r="Y4" i="2"/>
  <c r="S4" i="2"/>
  <c r="E4" i="2"/>
  <c r="Z4" i="2"/>
  <c r="L4" i="2"/>
  <c r="AA10" i="7"/>
  <c r="AB6" i="4"/>
  <c r="E20" i="7"/>
  <c r="M4" i="2"/>
  <c r="T4" i="2"/>
  <c r="B4" i="2"/>
  <c r="K4" i="2"/>
  <c r="E3" i="7"/>
  <c r="Q20" i="7"/>
  <c r="V18" i="7"/>
  <c r="V3" i="7"/>
  <c r="B13" i="4"/>
  <c r="Z12" i="4"/>
  <c r="T14" i="7"/>
  <c r="V9" i="4"/>
  <c r="Q3" i="7"/>
  <c r="E14" i="7"/>
  <c r="W12" i="4"/>
  <c r="L9" i="7"/>
  <c r="M9" i="4"/>
  <c r="V15" i="4"/>
  <c r="I16" i="7"/>
  <c r="H9" i="4"/>
  <c r="V7" i="4"/>
  <c r="R21" i="4"/>
  <c r="L3" i="7"/>
  <c r="Q13" i="4"/>
  <c r="Z3" i="7"/>
  <c r="E6" i="4"/>
  <c r="J10" i="7"/>
  <c r="Z11" i="4"/>
  <c r="P9" i="7"/>
  <c r="I7" i="7"/>
  <c r="AA3" i="7"/>
  <c r="O11" i="7"/>
  <c r="B11" i="7"/>
  <c r="W11" i="4"/>
  <c r="S15" i="4"/>
  <c r="S11" i="4"/>
  <c r="X3" i="7"/>
  <c r="N11" i="7"/>
  <c r="X11" i="4"/>
  <c r="Q11" i="4"/>
  <c r="U7" i="4"/>
  <c r="Y3" i="7"/>
  <c r="U9" i="7"/>
  <c r="Y7" i="4"/>
  <c r="R9" i="7"/>
  <c r="O13" i="4"/>
  <c r="Y11" i="4"/>
  <c r="T11" i="7"/>
  <c r="S10" i="4"/>
  <c r="D8" i="4"/>
  <c r="G12" i="7"/>
  <c r="W15" i="4"/>
  <c r="O19" i="4"/>
  <c r="N11" i="4"/>
  <c r="N3" i="7"/>
  <c r="O15" i="4"/>
  <c r="P11" i="4"/>
  <c r="W19" i="4"/>
  <c r="M11" i="7"/>
  <c r="R19" i="4"/>
  <c r="K19" i="4"/>
  <c r="F9" i="4"/>
  <c r="AB11" i="4"/>
  <c r="G11" i="4"/>
  <c r="J9" i="4"/>
  <c r="H11" i="4"/>
  <c r="R7" i="7"/>
  <c r="W20" i="4"/>
  <c r="L7" i="7"/>
  <c r="I9" i="7"/>
  <c r="Y8" i="4"/>
  <c r="D16" i="7"/>
  <c r="L6" i="7"/>
  <c r="O6" i="4"/>
  <c r="Z6" i="4"/>
  <c r="H21" i="4"/>
  <c r="Q17" i="4"/>
  <c r="I13" i="4"/>
  <c r="S21" i="4"/>
  <c r="AB11" i="7"/>
  <c r="X6" i="4"/>
  <c r="L21" i="4"/>
  <c r="N20" i="7"/>
  <c r="B7" i="7"/>
  <c r="W14" i="7"/>
  <c r="AB10" i="4"/>
  <c r="O20" i="7"/>
  <c r="U3" i="7"/>
  <c r="P20" i="7"/>
  <c r="G19" i="4"/>
  <c r="J21" i="4"/>
  <c r="O7" i="4"/>
  <c r="T9" i="4"/>
  <c r="D7" i="7"/>
  <c r="K9" i="7"/>
  <c r="T9" i="7"/>
  <c r="B8" i="7"/>
  <c r="G8" i="7"/>
  <c r="I6" i="7"/>
  <c r="S6" i="7"/>
  <c r="B6" i="7"/>
  <c r="V8" i="7"/>
  <c r="E8" i="7"/>
  <c r="J12" i="7"/>
  <c r="H8" i="4"/>
  <c r="J6" i="7"/>
  <c r="K12" i="7"/>
  <c r="D10" i="4"/>
  <c r="J6" i="4"/>
  <c r="Q6" i="7"/>
  <c r="E12" i="7"/>
  <c r="S12" i="7"/>
  <c r="H6" i="7"/>
  <c r="S6" i="4"/>
  <c r="F10" i="7"/>
  <c r="J10" i="4"/>
  <c r="H12" i="7"/>
  <c r="D12" i="7"/>
  <c r="N6" i="7"/>
  <c r="S10" i="7"/>
  <c r="L6" i="4"/>
  <c r="S8" i="7"/>
  <c r="P6" i="7"/>
  <c r="D6" i="7"/>
  <c r="V6" i="7"/>
  <c r="K10" i="7"/>
  <c r="C6" i="4"/>
  <c r="R4" i="2"/>
  <c r="O4" i="2"/>
  <c r="AB12" i="4"/>
  <c r="U11" i="4"/>
  <c r="Z9" i="7"/>
  <c r="L17" i="4"/>
  <c r="AB6" i="7"/>
  <c r="T15" i="4"/>
  <c r="Q9" i="7"/>
  <c r="S16" i="7"/>
  <c r="Y6" i="4"/>
  <c r="R20" i="7"/>
  <c r="T18" i="7"/>
  <c r="O14" i="7"/>
  <c r="O18" i="7"/>
  <c r="AA9" i="4"/>
  <c r="Y12" i="4"/>
  <c r="J20" i="7"/>
  <c r="Q6" i="4"/>
  <c r="R10" i="4"/>
  <c r="D14" i="7"/>
  <c r="E7" i="7"/>
  <c r="Q21" i="4"/>
  <c r="Y13" i="4"/>
  <c r="O9" i="4"/>
  <c r="V19" i="4"/>
  <c r="S11" i="7"/>
  <c r="G13" i="4"/>
  <c r="M3" i="7"/>
  <c r="V9" i="7"/>
  <c r="AC5" i="9"/>
  <c r="K3" i="7"/>
  <c r="Z3" i="4"/>
  <c r="C7" i="4"/>
  <c r="K13" i="4"/>
  <c r="D21" i="4"/>
  <c r="C9" i="7"/>
  <c r="I9" i="4"/>
  <c r="I6" i="4"/>
  <c r="M7" i="7"/>
  <c r="B16" i="7"/>
  <c r="P13" i="4"/>
  <c r="AA6" i="4"/>
  <c r="G9" i="7"/>
  <c r="H9" i="7"/>
  <c r="M20" i="7"/>
  <c r="Q8" i="7"/>
  <c r="O10" i="4"/>
  <c r="E6" i="7"/>
  <c r="E8" i="4"/>
  <c r="G6" i="4"/>
  <c r="M10" i="4"/>
  <c r="K6" i="4"/>
  <c r="U12" i="7"/>
  <c r="M8" i="4"/>
  <c r="U10" i="4"/>
  <c r="I8" i="4"/>
  <c r="AN6" i="9"/>
  <c r="AD6" i="9"/>
  <c r="AS5" i="9"/>
  <c r="E6" i="9"/>
  <c r="P5" i="9"/>
  <c r="H8" i="2"/>
  <c r="G4" i="2"/>
  <c r="U4" i="2"/>
  <c r="V4" i="2"/>
  <c r="D11" i="4"/>
  <c r="J17" i="4"/>
  <c r="M15" i="4"/>
  <c r="W13" i="4"/>
  <c r="O7" i="7"/>
  <c r="I3" i="7"/>
  <c r="G16" i="7"/>
  <c r="AA11" i="7"/>
  <c r="K14" i="7"/>
  <c r="K21" i="4"/>
  <c r="H7" i="4"/>
  <c r="AA3" i="4"/>
  <c r="Z8" i="7"/>
  <c r="M19" i="4"/>
  <c r="L19" i="4"/>
  <c r="T12" i="7"/>
  <c r="Q10" i="4"/>
  <c r="X8" i="4"/>
  <c r="U19" i="4"/>
  <c r="C3" i="7"/>
  <c r="J16" i="7"/>
  <c r="AA12" i="7"/>
  <c r="M17" i="4"/>
  <c r="C13" i="4"/>
  <c r="AA8" i="7"/>
  <c r="AA12" i="4"/>
  <c r="H16" i="7"/>
  <c r="K7" i="4"/>
  <c r="B9" i="7"/>
  <c r="M14" i="7"/>
  <c r="W6" i="4"/>
  <c r="P7" i="4"/>
  <c r="N7" i="7"/>
  <c r="N6" i="4"/>
  <c r="P8" i="7"/>
  <c r="Z10" i="4"/>
  <c r="J3" i="7"/>
  <c r="G21" i="4"/>
  <c r="J13" i="4"/>
  <c r="Y13" i="7"/>
  <c r="U20" i="7"/>
  <c r="U7" i="7"/>
  <c r="X13" i="7"/>
  <c r="W7" i="4"/>
  <c r="I15" i="4"/>
  <c r="S9" i="4"/>
  <c r="J18" i="7"/>
  <c r="V16" i="7"/>
  <c r="W18" i="4"/>
  <c r="E15" i="4"/>
  <c r="C21" i="4"/>
  <c r="F6" i="4"/>
  <c r="X9" i="4"/>
  <c r="M9" i="7"/>
  <c r="H14" i="7"/>
  <c r="U18" i="7"/>
  <c r="W18" i="7"/>
  <c r="C15" i="4"/>
  <c r="I14" i="7"/>
  <c r="Q19" i="4"/>
  <c r="X3" i="4"/>
  <c r="V17" i="4"/>
  <c r="K7" i="7"/>
  <c r="D18" i="7"/>
  <c r="W21" i="7"/>
  <c r="X12" i="4"/>
  <c r="D9" i="4"/>
  <c r="T3" i="7"/>
  <c r="R7" i="4"/>
  <c r="C10" i="4"/>
  <c r="F8" i="7"/>
  <c r="B12" i="7"/>
  <c r="M8" i="7"/>
  <c r="O10" i="7"/>
  <c r="C6" i="7"/>
  <c r="H8" i="7"/>
  <c r="F12" i="7"/>
  <c r="H10" i="7"/>
  <c r="O8" i="4"/>
  <c r="F8" i="4"/>
  <c r="R6" i="7"/>
  <c r="B10" i="7"/>
  <c r="O6" i="7"/>
  <c r="J8" i="7"/>
  <c r="N12" i="7"/>
  <c r="M12" i="7"/>
  <c r="T10" i="7"/>
  <c r="O12" i="7"/>
  <c r="M10" i="7"/>
  <c r="P12" i="7"/>
  <c r="H6" i="4"/>
  <c r="L12" i="7"/>
  <c r="AV6" i="9"/>
  <c r="AM5" i="9"/>
  <c r="AJ6" i="9"/>
  <c r="AT6" i="9"/>
  <c r="AQ5" i="9"/>
  <c r="AN5" i="9"/>
  <c r="H6" i="9"/>
  <c r="X5" i="9"/>
  <c r="J5" i="9"/>
  <c r="W20" i="2"/>
  <c r="S6" i="2"/>
  <c r="Z10" i="2"/>
  <c r="AD10" i="9"/>
  <c r="P8" i="9"/>
  <c r="Q10" i="9"/>
  <c r="AM10" i="9"/>
  <c r="AX10" i="9"/>
  <c r="BC9" i="9"/>
  <c r="T9" i="9"/>
  <c r="AB12" i="2"/>
  <c r="AV10" i="9"/>
  <c r="B10" i="2"/>
  <c r="AQ6" i="9"/>
  <c r="BA6" i="9"/>
  <c r="AL5" i="9"/>
  <c r="K6" i="9"/>
  <c r="O6" i="9"/>
  <c r="K5" i="9"/>
  <c r="I5" i="9"/>
  <c r="X10" i="9"/>
  <c r="AF7" i="9"/>
  <c r="T6" i="2"/>
  <c r="AV9" i="9"/>
  <c r="AZ7" i="9"/>
  <c r="AN8" i="9"/>
  <c r="AL10" i="9"/>
  <c r="G7" i="9"/>
  <c r="B9" i="9"/>
  <c r="AA8" i="2"/>
  <c r="R6" i="2"/>
  <c r="D9" i="9"/>
  <c r="X9" i="2"/>
  <c r="X3" i="9"/>
  <c r="AB8" i="2"/>
  <c r="AY12" i="9"/>
  <c r="V8" i="2"/>
  <c r="AX5" i="9"/>
  <c r="Z6" i="9"/>
  <c r="C5" i="9"/>
  <c r="AW8" i="9"/>
  <c r="U9" i="9"/>
  <c r="B6" i="2"/>
  <c r="M7" i="9"/>
  <c r="BC7" i="9"/>
  <c r="L10" i="9"/>
  <c r="AX8" i="9"/>
  <c r="AB11" i="2"/>
  <c r="W8" i="9"/>
  <c r="AJ9" i="9"/>
  <c r="Y8" i="2"/>
  <c r="Y7" i="2"/>
  <c r="W15" i="2"/>
  <c r="W11" i="9"/>
  <c r="AK9" i="9"/>
  <c r="AS6" i="9"/>
  <c r="T6" i="9"/>
  <c r="V5" i="9"/>
  <c r="O8" i="9"/>
  <c r="X3" i="2"/>
  <c r="AM9" i="9"/>
  <c r="W12" i="9"/>
  <c r="G10" i="9"/>
  <c r="AI9" i="9"/>
  <c r="BA11" i="9"/>
  <c r="O6" i="2"/>
  <c r="Z11" i="2"/>
  <c r="R7" i="9"/>
  <c r="L7" i="9"/>
  <c r="H7" i="9"/>
  <c r="AB10" i="2"/>
  <c r="AY3" i="9"/>
  <c r="M8" i="2"/>
  <c r="BB5" i="9"/>
  <c r="R6" i="9"/>
  <c r="W6" i="2"/>
  <c r="L9" i="9"/>
  <c r="Y8" i="9"/>
  <c r="X8" i="2"/>
  <c r="W10" i="2"/>
  <c r="BA7" i="9"/>
  <c r="E10" i="9"/>
  <c r="L10" i="2"/>
  <c r="W10" i="9"/>
  <c r="K7" i="9"/>
  <c r="AY11" i="9"/>
  <c r="AI8" i="9"/>
  <c r="V7" i="9"/>
  <c r="X13" i="2"/>
  <c r="J8" i="2"/>
  <c r="AK6" i="9"/>
  <c r="D6" i="9"/>
  <c r="Y5" i="9"/>
  <c r="BC8" i="9"/>
  <c r="F8" i="2"/>
  <c r="E6" i="2"/>
  <c r="Y14" i="2"/>
  <c r="AS7" i="9"/>
  <c r="I7" i="9"/>
  <c r="Y11" i="2"/>
  <c r="G6" i="2"/>
  <c r="AK7" i="9"/>
  <c r="G9" i="9"/>
  <c r="E7" i="9"/>
  <c r="D10" i="2"/>
  <c r="X14" i="2"/>
  <c r="AJ10" i="9"/>
  <c r="BA3" i="9"/>
  <c r="O21" i="4"/>
  <c r="C19" i="4"/>
  <c r="K11" i="4"/>
  <c r="I11" i="4"/>
  <c r="L7" i="4"/>
  <c r="T17" i="4"/>
  <c r="K6" i="7"/>
  <c r="J9" i="7"/>
  <c r="C14" i="7"/>
  <c r="D19" i="4"/>
  <c r="V20" i="7"/>
  <c r="L11" i="4"/>
  <c r="B9" i="4"/>
  <c r="L18" i="7"/>
  <c r="R11" i="7"/>
  <c r="U9" i="4"/>
  <c r="T7" i="4"/>
  <c r="Z7" i="7"/>
  <c r="AB3" i="4"/>
  <c r="S3" i="7"/>
  <c r="B15" i="4"/>
  <c r="R11" i="4"/>
  <c r="T7" i="7"/>
  <c r="B11" i="4"/>
  <c r="I20" i="7"/>
  <c r="K8" i="4"/>
  <c r="T6" i="7"/>
  <c r="M6" i="7"/>
  <c r="K8" i="7"/>
  <c r="B8" i="4"/>
  <c r="Q12" i="7"/>
  <c r="G10" i="4"/>
  <c r="AC6" i="9"/>
  <c r="D10" i="7"/>
  <c r="L8" i="7"/>
  <c r="J8" i="4"/>
  <c r="V10" i="7"/>
  <c r="AR6" i="9"/>
  <c r="AH5" i="9"/>
  <c r="AF6" i="9"/>
  <c r="V6" i="9"/>
  <c r="R5" i="9"/>
  <c r="W19" i="2"/>
  <c r="X4" i="2"/>
  <c r="AB4" i="2"/>
  <c r="K11" i="7"/>
  <c r="AB8" i="7"/>
  <c r="T13" i="4"/>
  <c r="AB10" i="7"/>
  <c r="F15" i="4"/>
  <c r="C7" i="7"/>
  <c r="X9" i="7"/>
  <c r="N8" i="4"/>
  <c r="AB13" i="4"/>
  <c r="J11" i="7"/>
  <c r="AA13" i="4"/>
  <c r="R16" i="7"/>
  <c r="Z13" i="4"/>
  <c r="U16" i="7"/>
  <c r="K17" i="4"/>
  <c r="V11" i="7"/>
  <c r="C8" i="7"/>
  <c r="Y3" i="4"/>
  <c r="F16" i="7"/>
  <c r="AB7" i="7"/>
  <c r="K9" i="4"/>
  <c r="W17" i="4"/>
  <c r="V14" i="7"/>
  <c r="T16" i="7"/>
  <c r="O9" i="7"/>
  <c r="I10" i="4"/>
  <c r="M7" i="4"/>
  <c r="I17" i="4"/>
  <c r="N13" i="4"/>
  <c r="W9" i="7"/>
  <c r="L9" i="4"/>
  <c r="L15" i="4"/>
  <c r="O11" i="4"/>
  <c r="C11" i="7"/>
  <c r="I10" i="7"/>
  <c r="C8" i="4"/>
  <c r="N8" i="7"/>
  <c r="I8" i="7"/>
  <c r="D8" i="7"/>
  <c r="P8" i="4"/>
  <c r="V8" i="4"/>
  <c r="R6" i="4"/>
  <c r="G8" i="4"/>
  <c r="P6" i="4"/>
  <c r="T6" i="4"/>
  <c r="F10" i="4"/>
  <c r="AK5" i="9"/>
  <c r="AL6" i="9"/>
  <c r="AW5" i="9"/>
  <c r="E5" i="9"/>
  <c r="AB3" i="9"/>
  <c r="AT10" i="9"/>
  <c r="H9" i="9"/>
  <c r="P10" i="2"/>
  <c r="AQ9" i="9"/>
  <c r="AR7" i="9"/>
  <c r="D8" i="9"/>
  <c r="W17" i="2"/>
  <c r="BB3" i="9"/>
  <c r="AX6" i="9"/>
  <c r="AI6" i="9"/>
  <c r="AR5" i="9"/>
  <c r="N6" i="9"/>
  <c r="Q5" i="9"/>
  <c r="X6" i="2"/>
  <c r="G8" i="9"/>
  <c r="X13" i="9"/>
  <c r="AA9" i="9"/>
  <c r="C8" i="2"/>
  <c r="AM7" i="9"/>
  <c r="AA9" i="2"/>
  <c r="P7" i="9"/>
  <c r="Z10" i="9"/>
  <c r="R8" i="9"/>
  <c r="E10" i="2"/>
  <c r="Q9" i="9"/>
  <c r="Z11" i="9"/>
  <c r="AW6" i="9"/>
  <c r="L6" i="9"/>
  <c r="Z6" i="2"/>
  <c r="AO9" i="9"/>
  <c r="T8" i="9"/>
  <c r="AA3" i="2"/>
  <c r="X12" i="9"/>
  <c r="W3" i="2"/>
  <c r="AI7" i="9"/>
  <c r="S9" i="9"/>
  <c r="Z3" i="2"/>
  <c r="S8" i="2"/>
  <c r="N7" i="9"/>
  <c r="AT9" i="9"/>
  <c r="AV5" i="9"/>
  <c r="AB5" i="9"/>
  <c r="Y12" i="2"/>
  <c r="Q10" i="2"/>
  <c r="AM8" i="9"/>
  <c r="X12" i="2"/>
  <c r="Q7" i="9"/>
  <c r="X9" i="9"/>
  <c r="K6" i="2"/>
  <c r="W8" i="2"/>
  <c r="BD3" i="9"/>
  <c r="Y3" i="9"/>
  <c r="AG7" i="9"/>
  <c r="AE6" i="9"/>
  <c r="J6" i="9"/>
  <c r="AB14" i="2"/>
  <c r="AF9" i="9"/>
  <c r="V10" i="9"/>
  <c r="Z8" i="9"/>
  <c r="F8" i="9"/>
  <c r="R9" i="9"/>
  <c r="B8" i="9"/>
  <c r="AW9" i="9"/>
  <c r="F7" i="9"/>
  <c r="Z9" i="9"/>
  <c r="AT8" i="9"/>
  <c r="AW10" i="9"/>
  <c r="M6" i="9"/>
  <c r="AB6" i="2"/>
  <c r="AA7" i="2"/>
  <c r="AQ10" i="9"/>
  <c r="AQ8" i="9"/>
  <c r="AB3" i="2"/>
  <c r="L8" i="9"/>
  <c r="N4" i="2"/>
  <c r="P17" i="4"/>
  <c r="E13" i="4"/>
  <c r="AA8" i="4"/>
  <c r="AA9" i="7"/>
  <c r="R13" i="4"/>
  <c r="W6" i="7"/>
  <c r="B18" i="7"/>
  <c r="G15" i="4"/>
  <c r="O8" i="7"/>
  <c r="C16" i="7"/>
  <c r="N17" i="4"/>
  <c r="V11" i="4"/>
  <c r="G9" i="4"/>
  <c r="G17" i="4"/>
  <c r="L20" i="7"/>
  <c r="Q15" i="4"/>
  <c r="B14" i="7"/>
  <c r="U6" i="7"/>
  <c r="B20" i="7"/>
  <c r="E19" i="4"/>
  <c r="R3" i="7"/>
  <c r="E17" i="4"/>
  <c r="D15" i="4"/>
  <c r="E21" i="4"/>
  <c r="P3" i="7"/>
  <c r="O17" i="4"/>
  <c r="W3" i="4"/>
  <c r="H17" i="4"/>
  <c r="AB9" i="7"/>
  <c r="F7" i="7"/>
  <c r="W15" i="7"/>
  <c r="P9" i="4"/>
  <c r="U21" i="4"/>
  <c r="N7" i="4"/>
  <c r="Q7" i="4"/>
  <c r="Q8" i="4"/>
  <c r="AC9" i="9"/>
  <c r="L10" i="4"/>
  <c r="M6" i="4"/>
  <c r="P10" i="4"/>
  <c r="U10" i="7"/>
  <c r="G10" i="7"/>
  <c r="S8" i="4"/>
  <c r="E10" i="4"/>
  <c r="L8" i="4"/>
  <c r="F6" i="7"/>
  <c r="AZ6" i="9"/>
  <c r="AO6" i="9"/>
  <c r="AJ5" i="9"/>
  <c r="C6" i="9"/>
  <c r="O5" i="9"/>
  <c r="Q8" i="9"/>
  <c r="AH10" i="9"/>
  <c r="C6" i="2"/>
  <c r="AP7" i="9"/>
  <c r="AA10" i="2"/>
  <c r="AL9" i="9"/>
  <c r="AX7" i="9"/>
  <c r="G10" i="2"/>
  <c r="X7" i="2"/>
  <c r="AU6" i="9"/>
  <c r="AO5" i="9"/>
  <c r="Q6" i="9"/>
  <c r="I6" i="9"/>
  <c r="H5" i="9"/>
  <c r="Z13" i="2"/>
  <c r="AI10" i="9"/>
  <c r="BA9" i="9"/>
  <c r="AP9" i="9"/>
  <c r="V10" i="2"/>
  <c r="S10" i="2"/>
  <c r="AP8" i="9"/>
  <c r="AA3" i="9"/>
  <c r="AO8" i="9"/>
  <c r="AU10" i="9"/>
  <c r="X7" i="9"/>
  <c r="O7" i="9"/>
  <c r="R10" i="9"/>
  <c r="AG5" i="9"/>
  <c r="M5" i="9"/>
  <c r="U10" i="2"/>
  <c r="Y11" i="9"/>
  <c r="H10" i="9"/>
  <c r="T10" i="2"/>
  <c r="U8" i="9"/>
  <c r="AK8" i="9"/>
  <c r="M8" i="9"/>
  <c r="F6" i="2"/>
  <c r="C9" i="9"/>
  <c r="W16" i="2"/>
  <c r="W12" i="2"/>
  <c r="O9" i="9"/>
  <c r="X6" i="9"/>
  <c r="S5" i="9"/>
  <c r="AE10" i="9"/>
  <c r="AG10" i="9"/>
  <c r="K10" i="9"/>
  <c r="AA14" i="2"/>
  <c r="AS9" i="9"/>
  <c r="W21" i="2"/>
  <c r="I8" i="2"/>
  <c r="AD7" i="9"/>
  <c r="E9" i="9"/>
  <c r="S10" i="9"/>
  <c r="F9" i="9"/>
  <c r="AI5" i="9"/>
  <c r="AA5" i="9"/>
  <c r="AG9" i="9"/>
  <c r="AV8" i="9"/>
  <c r="Q8" i="2"/>
  <c r="AF8" i="9"/>
  <c r="W13" i="9"/>
  <c r="T10" i="9"/>
  <c r="AS10" i="9"/>
  <c r="J10" i="9"/>
  <c r="AZ10" i="9"/>
  <c r="AB13" i="2"/>
  <c r="BA8" i="9"/>
  <c r="AE5" i="9"/>
  <c r="W5" i="9"/>
  <c r="F10" i="9"/>
  <c r="Z8" i="2"/>
  <c r="AL8" i="9"/>
  <c r="X10" i="2"/>
  <c r="P10" i="9"/>
  <c r="B7" i="9"/>
  <c r="AH7" i="9"/>
  <c r="H6" i="2"/>
  <c r="I9" i="9"/>
  <c r="AA12" i="2"/>
  <c r="AJ8" i="9"/>
  <c r="C20" i="7"/>
  <c r="T21" i="4"/>
  <c r="S7" i="4"/>
  <c r="D13" i="4"/>
  <c r="Z12" i="7"/>
  <c r="J7" i="4"/>
  <c r="W3" i="7"/>
  <c r="U13" i="4"/>
  <c r="Z11" i="7"/>
  <c r="N9" i="4"/>
  <c r="M11" i="4"/>
  <c r="P21" i="4"/>
  <c r="AA6" i="7"/>
  <c r="F17" i="4"/>
  <c r="Z9" i="4"/>
  <c r="H15" i="4"/>
  <c r="D3" i="7"/>
  <c r="T8" i="4"/>
  <c r="R8" i="7"/>
  <c r="I12" i="7"/>
  <c r="U6" i="4"/>
  <c r="AC10" i="9"/>
  <c r="K10" i="4"/>
  <c r="AY6" i="9"/>
  <c r="AU5" i="9"/>
  <c r="Y6" i="2"/>
  <c r="AY7" i="9"/>
  <c r="AY10" i="9"/>
  <c r="P9" i="9"/>
  <c r="O8" i="2"/>
  <c r="AM6" i="9"/>
  <c r="U6" i="9"/>
  <c r="Z5" i="9"/>
  <c r="AU9" i="9"/>
  <c r="M10" i="9"/>
  <c r="AW7" i="9"/>
  <c r="AB7" i="2"/>
  <c r="BA10" i="9"/>
  <c r="W7" i="2"/>
  <c r="B6" i="9"/>
  <c r="AN9" i="9"/>
  <c r="Z12" i="2"/>
  <c r="AE8" i="9"/>
  <c r="U10" i="9"/>
  <c r="AJ7" i="9"/>
  <c r="U8" i="2"/>
  <c r="F6" i="9"/>
  <c r="J10" i="2"/>
  <c r="AZ3" i="9"/>
  <c r="M6" i="2"/>
  <c r="H8" i="9"/>
  <c r="AD8" i="9"/>
  <c r="P8" i="2"/>
  <c r="D5" i="9"/>
  <c r="BB9" i="9"/>
  <c r="Y13" i="2"/>
  <c r="AF10" i="9"/>
  <c r="U7" i="9"/>
  <c r="B10" i="9"/>
  <c r="AY5" i="9"/>
  <c r="AY9" i="9"/>
  <c r="AR10" i="9"/>
  <c r="AZ8" i="9"/>
  <c r="D4" i="2"/>
  <c r="P18" i="7"/>
  <c r="N21" i="4"/>
  <c r="C18" i="7"/>
  <c r="P10" i="7"/>
  <c r="B21" i="4"/>
  <c r="M18" i="7"/>
  <c r="S7" i="7"/>
  <c r="C9" i="4"/>
  <c r="B6" i="4"/>
  <c r="R8" i="4"/>
  <c r="R10" i="7"/>
  <c r="Y6" i="9"/>
  <c r="Y9" i="9"/>
  <c r="C10" i="9"/>
  <c r="G6" i="9"/>
  <c r="AB9" i="2"/>
  <c r="AH8" i="9"/>
  <c r="I6" i="2"/>
  <c r="AZ12" i="9"/>
  <c r="X11" i="2"/>
  <c r="X8" i="9"/>
  <c r="AQ7" i="9"/>
  <c r="B5" i="9"/>
  <c r="AG8" i="9"/>
  <c r="R10" i="2"/>
  <c r="BA5" i="9"/>
  <c r="BB11" i="9"/>
  <c r="M10" i="2"/>
  <c r="AO7" i="9"/>
  <c r="V9" i="9"/>
  <c r="W9" i="9"/>
  <c r="N10" i="9"/>
  <c r="AN10" i="9"/>
  <c r="Q4" i="2"/>
  <c r="H3" i="7"/>
  <c r="J7" i="7"/>
  <c r="X10" i="7"/>
  <c r="AB13" i="7"/>
  <c r="AB3" i="7"/>
  <c r="P19" i="4"/>
  <c r="I11" i="7"/>
  <c r="D17" i="4"/>
  <c r="AC7" i="9"/>
  <c r="G6" i="7"/>
  <c r="U8" i="7"/>
  <c r="W6" i="9"/>
  <c r="W7" i="9"/>
  <c r="N9" i="9"/>
  <c r="J6" i="2"/>
  <c r="N5" i="9"/>
  <c r="R8" i="2"/>
  <c r="G8" i="2"/>
  <c r="F10" i="2"/>
  <c r="F5" i="9"/>
  <c r="I10" i="9"/>
  <c r="AE9" i="9"/>
  <c r="AA6" i="2"/>
  <c r="BB7" i="9"/>
  <c r="W3" i="9"/>
  <c r="S6" i="9"/>
  <c r="K8" i="9"/>
  <c r="Z9" i="2"/>
  <c r="BB8" i="9"/>
  <c r="B8" i="2"/>
  <c r="Z3" i="9"/>
  <c r="N10" i="2"/>
  <c r="AA7" i="9"/>
  <c r="W9" i="4"/>
  <c r="AB9" i="4"/>
  <c r="Y11" i="7"/>
  <c r="K15" i="4"/>
  <c r="AC8" i="9"/>
  <c r="X8" i="7"/>
  <c r="F20" i="7"/>
  <c r="Y8" i="7"/>
  <c r="S18" i="7"/>
  <c r="I19" i="4"/>
  <c r="X10" i="4"/>
  <c r="C17" i="4"/>
  <c r="O3" i="7"/>
  <c r="W16" i="7"/>
  <c r="U11" i="7"/>
  <c r="S17" i="4"/>
  <c r="N19" i="4"/>
  <c r="W12" i="7"/>
  <c r="T10" i="4"/>
  <c r="U8" i="4"/>
  <c r="D6" i="4"/>
  <c r="V12" i="7"/>
  <c r="V10" i="4"/>
  <c r="AG6" i="9"/>
  <c r="AD5" i="9"/>
  <c r="L5" i="9"/>
  <c r="J8" i="9"/>
  <c r="S8" i="9"/>
  <c r="AL7" i="9"/>
  <c r="AY8" i="9"/>
  <c r="BC6" i="9"/>
  <c r="AP5" i="9"/>
  <c r="U5" i="9"/>
  <c r="S7" i="9"/>
  <c r="AR8" i="9"/>
  <c r="AA13" i="2"/>
  <c r="Y9" i="2"/>
  <c r="Y10" i="2"/>
  <c r="I8" i="9"/>
  <c r="AP6" i="9"/>
  <c r="W18" i="2"/>
  <c r="I10" i="2"/>
  <c r="AK10" i="9"/>
  <c r="J7" i="9"/>
  <c r="Z7" i="9"/>
  <c r="W11" i="2"/>
  <c r="AZ5" i="9"/>
  <c r="L8" i="2"/>
  <c r="AN7" i="9"/>
  <c r="E8" i="9"/>
  <c r="D7" i="9"/>
  <c r="AD9" i="9"/>
  <c r="H10" i="2"/>
  <c r="G5" i="9"/>
  <c r="Q6" i="2"/>
  <c r="D8" i="2"/>
  <c r="T8" i="2"/>
  <c r="Y3" i="2"/>
  <c r="Z14" i="2"/>
  <c r="BC5" i="9"/>
  <c r="W14" i="2"/>
  <c r="X11" i="9"/>
  <c r="AR9" i="9"/>
  <c r="AZ13" i="9"/>
  <c r="AH9" i="9"/>
  <c r="O10" i="9"/>
  <c r="L6" i="2"/>
  <c r="AP10" i="9"/>
  <c r="C7" i="9"/>
  <c r="N8" i="2"/>
  <c r="N6" i="2"/>
  <c r="AA8" i="9"/>
  <c r="N15" i="4"/>
  <c r="U14" i="7"/>
  <c r="X7" i="4"/>
  <c r="W8" i="4"/>
  <c r="X7" i="7"/>
  <c r="W13" i="7"/>
  <c r="X12" i="7"/>
  <c r="F13" i="4"/>
  <c r="S13" i="4"/>
  <c r="C12" i="7"/>
  <c r="B10" i="4"/>
  <c r="Q10" i="7"/>
  <c r="AF5" i="9"/>
  <c r="BC3" i="9"/>
  <c r="M9" i="9"/>
  <c r="AV7" i="9"/>
  <c r="AT5" i="9"/>
  <c r="W9" i="2"/>
  <c r="C8" i="9"/>
  <c r="AO10" i="9"/>
  <c r="P6" i="9"/>
  <c r="J9" i="9"/>
  <c r="Z7" i="2"/>
  <c r="AU8" i="9"/>
  <c r="AY13" i="9"/>
  <c r="BB10" i="9"/>
  <c r="Y10" i="9"/>
  <c r="W13" i="2"/>
  <c r="AX9" i="9"/>
  <c r="AS8" i="9"/>
  <c r="AA6" i="9"/>
  <c r="K9" i="9"/>
  <c r="D6" i="2"/>
  <c r="K8" i="2"/>
  <c r="I21" i="4"/>
  <c r="H7" i="7"/>
  <c r="H13" i="4"/>
  <c r="H18" i="7"/>
  <c r="B19" i="4"/>
  <c r="E18" i="7"/>
  <c r="G7" i="7"/>
  <c r="R18" i="7"/>
  <c r="G11" i="7"/>
  <c r="L10" i="7"/>
  <c r="H10" i="4"/>
  <c r="AC11" i="9"/>
  <c r="BB6" i="9"/>
  <c r="K10" i="2"/>
  <c r="AZ9" i="9"/>
  <c r="BD5" i="9"/>
  <c r="AU7" i="9"/>
  <c r="Y7" i="9"/>
  <c r="N8" i="9"/>
  <c r="AT7" i="9"/>
  <c r="D10" i="9"/>
  <c r="AA11" i="2"/>
  <c r="AE7" i="9"/>
  <c r="AH6" i="9"/>
  <c r="T7" i="9"/>
  <c r="V8" i="9"/>
  <c r="U6" i="2"/>
  <c r="P6" i="2"/>
  <c r="C10" i="2"/>
  <c r="E8" i="2"/>
  <c r="T5" i="9"/>
  <c r="O10" i="2"/>
  <c r="V6" i="2"/>
  <c r="AZ11" i="9"/>
  <c r="I3" i="11" l="1"/>
  <c r="I3" i="14"/>
  <c r="I3" i="13"/>
  <c r="BZ4" i="9"/>
  <c r="BY4" i="9"/>
  <c r="D5" i="11"/>
  <c r="H7" i="11"/>
  <c r="F7" i="11"/>
  <c r="H9" i="11"/>
  <c r="G5" i="11"/>
  <c r="D9" i="11"/>
  <c r="AL10" i="7"/>
  <c r="B9" i="11"/>
  <c r="D7" i="11"/>
  <c r="C5" i="11"/>
  <c r="E5" i="11"/>
  <c r="E7" i="11"/>
  <c r="G7" i="11"/>
  <c r="AL6" i="7"/>
  <c r="B5" i="11"/>
  <c r="AL12" i="7"/>
  <c r="H5" i="11"/>
  <c r="F9" i="11"/>
  <c r="AL8" i="7"/>
  <c r="B7" i="11"/>
  <c r="C10" i="11"/>
  <c r="D6" i="11"/>
  <c r="H8" i="11"/>
  <c r="D2" i="11"/>
  <c r="D17" i="11"/>
  <c r="B6" i="11"/>
  <c r="AL7" i="7"/>
  <c r="G19" i="11"/>
  <c r="H6" i="11"/>
  <c r="F15" i="11"/>
  <c r="AL16" i="7"/>
  <c r="B15" i="11"/>
  <c r="G8" i="11"/>
  <c r="F5" i="11"/>
  <c r="D15" i="11"/>
  <c r="D10" i="11"/>
  <c r="F6" i="11"/>
  <c r="C8" i="11"/>
  <c r="F17" i="11"/>
  <c r="E15" i="11"/>
  <c r="G17" i="11"/>
  <c r="E10" i="11"/>
  <c r="E17" i="11"/>
  <c r="C13" i="11"/>
  <c r="G2" i="11"/>
  <c r="AL20" i="7"/>
  <c r="B19" i="11"/>
  <c r="E9" i="11"/>
  <c r="C9" i="11"/>
  <c r="G9" i="11"/>
  <c r="C7" i="11"/>
  <c r="G6" i="11"/>
  <c r="B13" i="11"/>
  <c r="AL14" i="7"/>
  <c r="AM14" i="7" s="1"/>
  <c r="H17" i="11"/>
  <c r="F10" i="11"/>
  <c r="F13" i="11"/>
  <c r="E8" i="11"/>
  <c r="B8" i="11"/>
  <c r="AL9" i="7"/>
  <c r="F19" i="11"/>
  <c r="G13" i="11"/>
  <c r="C17" i="11"/>
  <c r="H10" i="11"/>
  <c r="G10" i="11"/>
  <c r="G15" i="11"/>
  <c r="H13" i="11"/>
  <c r="B10" i="11"/>
  <c r="AL11" i="7"/>
  <c r="E6" i="11"/>
  <c r="C15" i="11"/>
  <c r="D13" i="11"/>
  <c r="AL3" i="7"/>
  <c r="F2" i="11"/>
  <c r="H19" i="11"/>
  <c r="B17" i="11"/>
  <c r="AL18" i="7"/>
  <c r="C6" i="11"/>
  <c r="F8" i="11"/>
  <c r="D19" i="11"/>
  <c r="E13" i="11"/>
  <c r="H15" i="11"/>
  <c r="D8" i="11"/>
  <c r="C19" i="11"/>
  <c r="E19" i="11"/>
  <c r="E2" i="11"/>
  <c r="H4" i="14"/>
  <c r="C4" i="14"/>
  <c r="D4" i="14"/>
  <c r="F4" i="14"/>
  <c r="B4" i="14"/>
  <c r="G4" i="14"/>
  <c r="E4" i="14"/>
  <c r="F4" i="13"/>
  <c r="G4" i="13"/>
  <c r="E4" i="13"/>
  <c r="H4" i="13"/>
  <c r="C4" i="13"/>
  <c r="D4" i="13"/>
  <c r="B4" i="13"/>
  <c r="BX5" i="9"/>
  <c r="E5" i="14"/>
  <c r="G5" i="14"/>
  <c r="C5" i="14"/>
  <c r="F5" i="14"/>
  <c r="D5" i="14"/>
  <c r="H5" i="14"/>
  <c r="BX6" i="9"/>
  <c r="B5" i="14"/>
  <c r="BW5" i="9"/>
  <c r="D5" i="13"/>
  <c r="G5" i="13"/>
  <c r="H5" i="13"/>
  <c r="C5" i="13"/>
  <c r="B5" i="13"/>
  <c r="BW6" i="9"/>
  <c r="BY6" i="9" s="1"/>
  <c r="E5" i="13"/>
  <c r="F5" i="13"/>
  <c r="H7" i="13"/>
  <c r="H9" i="13"/>
  <c r="H8" i="13"/>
  <c r="H6" i="13"/>
  <c r="D9" i="13"/>
  <c r="D8" i="13"/>
  <c r="D7" i="13"/>
  <c r="D6" i="13"/>
  <c r="E9" i="13"/>
  <c r="E6" i="13"/>
  <c r="E7" i="13"/>
  <c r="E8" i="13"/>
  <c r="F7" i="13"/>
  <c r="F6" i="13"/>
  <c r="F9" i="13"/>
  <c r="F8" i="13"/>
  <c r="G6" i="13"/>
  <c r="G9" i="13"/>
  <c r="G8" i="13"/>
  <c r="G7" i="13"/>
  <c r="BW9" i="9"/>
  <c r="BW8" i="9"/>
  <c r="BW10" i="9"/>
  <c r="BW7" i="9"/>
  <c r="C7" i="13"/>
  <c r="C6" i="13"/>
  <c r="C9" i="13"/>
  <c r="C8" i="13"/>
  <c r="B8" i="13"/>
  <c r="B7" i="13"/>
  <c r="B9" i="13"/>
  <c r="B6" i="13"/>
  <c r="D7" i="14"/>
  <c r="C8" i="14"/>
  <c r="H7" i="14"/>
  <c r="G8" i="14"/>
  <c r="G9" i="14"/>
  <c r="D9" i="14"/>
  <c r="D6" i="14"/>
  <c r="C7" i="14"/>
  <c r="F7" i="14"/>
  <c r="F6" i="14"/>
  <c r="E6" i="14"/>
  <c r="E8" i="14"/>
  <c r="E7" i="14"/>
  <c r="E9" i="14"/>
  <c r="G6" i="14"/>
  <c r="D8" i="14"/>
  <c r="F8" i="14"/>
  <c r="C9" i="14"/>
  <c r="F9" i="14"/>
  <c r="G7" i="14"/>
  <c r="H6" i="14"/>
  <c r="C6" i="14"/>
  <c r="H9" i="14"/>
  <c r="H8" i="14"/>
  <c r="B8" i="14"/>
  <c r="B6" i="14"/>
  <c r="B9" i="14"/>
  <c r="B7" i="14"/>
  <c r="BX7" i="9"/>
  <c r="BX8" i="9"/>
  <c r="BX9" i="9"/>
  <c r="BX10" i="9"/>
  <c r="D11" i="11"/>
  <c r="F11" i="11"/>
  <c r="B11" i="11"/>
  <c r="E11" i="11"/>
  <c r="H11" i="11"/>
  <c r="G11" i="11"/>
  <c r="C11" i="11"/>
  <c r="AC59" i="2"/>
  <c r="AC58" i="2"/>
  <c r="AG58" i="2"/>
  <c r="AG59" i="2"/>
  <c r="H18" i="6"/>
  <c r="H20" i="5"/>
  <c r="J5" i="2"/>
  <c r="W5" i="2"/>
  <c r="J7" i="2"/>
  <c r="X5" i="2"/>
  <c r="G5" i="2"/>
  <c r="E7" i="2"/>
  <c r="U7" i="2"/>
  <c r="M5" i="2"/>
  <c r="H7" i="2"/>
  <c r="M7" i="2"/>
  <c r="H5" i="2"/>
  <c r="R7" i="2"/>
  <c r="D5" i="2"/>
  <c r="F5" i="2"/>
  <c r="Q7" i="2"/>
  <c r="R5" i="2"/>
  <c r="O5" i="2"/>
  <c r="I7" i="2"/>
  <c r="B5" i="2"/>
  <c r="O7" i="2"/>
  <c r="L7" i="2"/>
  <c r="L5" i="2"/>
  <c r="K7" i="2"/>
  <c r="F7" i="2"/>
  <c r="K5" i="2"/>
  <c r="I5" i="2"/>
  <c r="S7" i="2"/>
  <c r="V5" i="2"/>
  <c r="P7" i="2"/>
  <c r="D7" i="2"/>
  <c r="Z5" i="2"/>
  <c r="T7" i="2"/>
  <c r="E5" i="2"/>
  <c r="AB5" i="2"/>
  <c r="G7" i="2"/>
  <c r="Q5" i="2"/>
  <c r="P5" i="2"/>
  <c r="C5" i="2"/>
  <c r="C7" i="2"/>
  <c r="AA5" i="2"/>
  <c r="N5" i="2"/>
  <c r="V7" i="2"/>
  <c r="T5" i="2"/>
  <c r="U5" i="2"/>
  <c r="N7" i="2"/>
  <c r="Y5" i="2"/>
  <c r="S5" i="2"/>
  <c r="B7" i="2"/>
  <c r="AM16" i="7" l="1"/>
  <c r="BZ6" i="9"/>
  <c r="AM3" i="7"/>
  <c r="I9" i="11"/>
  <c r="I7" i="11"/>
  <c r="I5" i="11"/>
  <c r="I15" i="11"/>
  <c r="I6" i="11"/>
  <c r="I8" i="11"/>
  <c r="AM18" i="7"/>
  <c r="I10" i="11"/>
  <c r="I17" i="11"/>
  <c r="J4" i="11" s="1"/>
  <c r="I19" i="11"/>
  <c r="CA20" i="9" s="1"/>
  <c r="I13" i="11"/>
  <c r="I4" i="14"/>
  <c r="I4" i="13"/>
  <c r="I5" i="14"/>
  <c r="I5" i="13"/>
  <c r="BZ5" i="9"/>
  <c r="BY5" i="9"/>
  <c r="BZ8" i="9"/>
  <c r="I7" i="13"/>
  <c r="I6" i="14"/>
  <c r="I6" i="13"/>
  <c r="I7" i="14"/>
  <c r="BY8" i="9"/>
  <c r="BY7" i="9"/>
  <c r="BZ7" i="9"/>
  <c r="I8" i="14"/>
  <c r="I8" i="13"/>
  <c r="BZ10" i="9"/>
  <c r="BY9" i="9"/>
  <c r="BY10" i="9"/>
  <c r="I9" i="13"/>
  <c r="I9" i="14"/>
  <c r="BZ9" i="9"/>
  <c r="I11" i="11"/>
  <c r="B2" i="11"/>
  <c r="C2" i="11"/>
  <c r="H2" i="11"/>
  <c r="J3" i="11" l="1"/>
  <c r="J9" i="11"/>
  <c r="J10" i="11"/>
  <c r="J7" i="11"/>
  <c r="J8" i="11"/>
  <c r="J6" i="11"/>
  <c r="J13" i="11"/>
  <c r="J5" i="11"/>
  <c r="J15" i="11"/>
  <c r="J11" i="11"/>
  <c r="I2" i="11"/>
  <c r="CA5" i="9" l="1"/>
  <c r="CB5" i="9" s="1"/>
  <c r="CA4" i="9"/>
  <c r="CB4" i="9" s="1"/>
  <c r="CA7" i="9"/>
  <c r="CB7" i="9" s="1"/>
  <c r="CA6" i="9"/>
  <c r="CB6" i="9" s="1"/>
  <c r="CA9" i="9"/>
  <c r="CB9" i="9" s="1"/>
  <c r="CA8" i="9"/>
  <c r="CB8" i="9" s="1"/>
  <c r="CA11" i="9"/>
  <c r="CA10" i="9"/>
  <c r="CB10" i="9" s="1"/>
  <c r="CA12" i="9"/>
  <c r="CA3" i="9"/>
  <c r="CA16" i="9"/>
  <c r="CA18" i="9"/>
  <c r="CA14" i="9" l="1"/>
  <c r="O3" i="9" l="1"/>
  <c r="B3" i="9"/>
  <c r="T15" i="7"/>
  <c r="R15" i="2"/>
  <c r="AK12" i="9"/>
  <c r="C12" i="4"/>
  <c r="V14" i="2"/>
  <c r="G11" i="9"/>
  <c r="T17" i="7"/>
  <c r="N15" i="9"/>
  <c r="AW14" i="9"/>
  <c r="C12" i="2"/>
  <c r="T17" i="2"/>
  <c r="AM15" i="9"/>
  <c r="AS3" i="9"/>
  <c r="AQ13" i="9"/>
  <c r="Q9" i="2"/>
  <c r="AV12" i="9"/>
  <c r="K12" i="2"/>
  <c r="G16" i="9"/>
  <c r="T16" i="4"/>
  <c r="M18" i="4"/>
  <c r="U14" i="9"/>
  <c r="C15" i="7"/>
  <c r="D14" i="9"/>
  <c r="C16" i="4"/>
  <c r="AL18" i="9"/>
  <c r="J13" i="2"/>
  <c r="AO13" i="9"/>
  <c r="N18" i="9"/>
  <c r="I15" i="9"/>
  <c r="AK18" i="9"/>
  <c r="R13" i="9"/>
  <c r="AX12" i="9"/>
  <c r="N13" i="7"/>
  <c r="AP18" i="9"/>
  <c r="H12" i="4"/>
  <c r="AU16" i="9"/>
  <c r="F17" i="7"/>
  <c r="O13" i="9"/>
  <c r="AI17" i="9"/>
  <c r="V17" i="2"/>
  <c r="V9" i="2"/>
  <c r="U18" i="2"/>
  <c r="I12" i="4"/>
  <c r="I14" i="2"/>
  <c r="O18" i="9"/>
  <c r="E3" i="9"/>
  <c r="N13" i="2"/>
  <c r="C16" i="9"/>
  <c r="R9" i="2"/>
  <c r="Q15" i="9"/>
  <c r="J14" i="9"/>
  <c r="Q13" i="9"/>
  <c r="V18" i="4"/>
  <c r="B12" i="4"/>
  <c r="AG18" i="9"/>
  <c r="AG11" i="9"/>
  <c r="AE11" i="9"/>
  <c r="Q17" i="7"/>
  <c r="F14" i="9"/>
  <c r="I73" i="2"/>
  <c r="L14" i="2"/>
  <c r="AV18" i="9"/>
  <c r="G13" i="7"/>
  <c r="M17" i="9"/>
  <c r="Q12" i="2"/>
  <c r="L15" i="9"/>
  <c r="S18" i="4"/>
  <c r="V15" i="7"/>
  <c r="M18" i="2"/>
  <c r="P17" i="9"/>
  <c r="L16" i="4"/>
  <c r="AH16" i="9"/>
  <c r="G3" i="9"/>
  <c r="T15" i="9"/>
  <c r="L9" i="2"/>
  <c r="AD12" i="9"/>
  <c r="E11" i="2"/>
  <c r="S16" i="4"/>
  <c r="Q14" i="2"/>
  <c r="J14" i="2"/>
  <c r="N16" i="9"/>
  <c r="S14" i="9"/>
  <c r="AO11" i="9"/>
  <c r="H73" i="2"/>
  <c r="N18" i="4"/>
  <c r="U12" i="4"/>
  <c r="E15" i="9"/>
  <c r="D13" i="7"/>
  <c r="L13" i="9"/>
  <c r="AV16" i="9"/>
  <c r="AH13" i="9"/>
  <c r="AF17" i="9"/>
  <c r="U11" i="2"/>
  <c r="AI12" i="9"/>
  <c r="E9" i="2"/>
  <c r="P17" i="7"/>
  <c r="H16" i="4"/>
  <c r="H17" i="2"/>
  <c r="AT15" i="9"/>
  <c r="AD13" i="9"/>
  <c r="R17" i="9"/>
  <c r="V14" i="4"/>
  <c r="J17" i="7"/>
  <c r="T15" i="2"/>
  <c r="AS16" i="9"/>
  <c r="L16" i="9"/>
  <c r="K11" i="2"/>
  <c r="R16" i="2"/>
  <c r="F17" i="2"/>
  <c r="K11" i="9"/>
  <c r="C18" i="4"/>
  <c r="AQ15" i="9"/>
  <c r="G17" i="7"/>
  <c r="N11" i="9"/>
  <c r="M17" i="2"/>
  <c r="G15" i="2"/>
  <c r="F9" i="2"/>
  <c r="AX13" i="9"/>
  <c r="T14" i="9"/>
  <c r="K18" i="2"/>
  <c r="V15" i="2"/>
  <c r="C15" i="2"/>
  <c r="G12" i="4"/>
  <c r="AN12" i="9"/>
  <c r="K17" i="2"/>
  <c r="P15" i="7"/>
  <c r="D21" i="7"/>
  <c r="AD59" i="9"/>
  <c r="AD31" i="9"/>
  <c r="S50" i="2"/>
  <c r="H62" i="9"/>
  <c r="AU38" i="9"/>
  <c r="S32" i="4"/>
  <c r="T35" i="9"/>
  <c r="AK47" i="9"/>
  <c r="U65" i="2"/>
  <c r="AP49" i="9"/>
  <c r="AI77" i="9"/>
  <c r="I65" i="9"/>
  <c r="R22" i="7"/>
  <c r="AL21" i="9"/>
  <c r="AE67" i="9"/>
  <c r="B74" i="9"/>
  <c r="L24" i="9"/>
  <c r="AQ67" i="9"/>
  <c r="G54" i="4"/>
  <c r="E14" i="4"/>
  <c r="L11" i="9"/>
  <c r="G15" i="7"/>
  <c r="B13" i="2"/>
  <c r="AX16" i="9"/>
  <c r="O12" i="2"/>
  <c r="S15" i="2"/>
  <c r="C17" i="2"/>
  <c r="AH12" i="9"/>
  <c r="H14" i="2"/>
  <c r="M16" i="9"/>
  <c r="V17" i="9"/>
  <c r="J12" i="2"/>
  <c r="K12" i="9"/>
  <c r="AM12" i="9"/>
  <c r="AO17" i="9"/>
  <c r="S13" i="9"/>
  <c r="U16" i="4"/>
  <c r="S63" i="9"/>
  <c r="E19" i="7"/>
  <c r="AI54" i="9"/>
  <c r="AL49" i="9"/>
  <c r="E34" i="7"/>
  <c r="AK53" i="9"/>
  <c r="Q27" i="9"/>
  <c r="F31" i="9"/>
  <c r="I23" i="4"/>
  <c r="AQ84" i="9"/>
  <c r="T68" i="7"/>
  <c r="M235" i="7"/>
  <c r="AP77" i="9"/>
  <c r="AJ31" i="9"/>
  <c r="Q22" i="9"/>
  <c r="I46" i="9"/>
  <c r="AJ41" i="9"/>
  <c r="Q24" i="9"/>
  <c r="D42" i="9"/>
  <c r="AJ33" i="9"/>
  <c r="D62" i="9"/>
  <c r="C91" i="2"/>
  <c r="AG24" i="9"/>
  <c r="P25" i="9"/>
  <c r="B17" i="7"/>
  <c r="I13" i="2"/>
  <c r="T12" i="4"/>
  <c r="N14" i="2"/>
  <c r="Q17" i="2"/>
  <c r="B15" i="2"/>
  <c r="N11" i="2"/>
  <c r="D14" i="2"/>
  <c r="O18" i="2"/>
  <c r="P17" i="2"/>
  <c r="R12" i="9"/>
  <c r="V16" i="9"/>
  <c r="L12" i="4"/>
  <c r="AU18" i="9"/>
  <c r="N14" i="4"/>
  <c r="T11" i="2"/>
  <c r="AP16" i="9"/>
  <c r="AJ17" i="9"/>
  <c r="AN71" i="9"/>
  <c r="E32" i="7"/>
  <c r="R38" i="2"/>
  <c r="S35" i="9"/>
  <c r="AI23" i="9"/>
  <c r="AE74" i="9"/>
  <c r="M64" i="2"/>
  <c r="K245" i="4"/>
  <c r="H78" i="9"/>
  <c r="AP43" i="9"/>
  <c r="AP22" i="9"/>
  <c r="F23" i="7"/>
  <c r="U26" i="4"/>
  <c r="AK27" i="9"/>
  <c r="P12" i="2"/>
  <c r="AW15" i="9"/>
  <c r="AI11" i="9"/>
  <c r="AN11" i="9"/>
  <c r="N12" i="9"/>
  <c r="U18" i="9"/>
  <c r="B14" i="2"/>
  <c r="AE14" i="9"/>
  <c r="O14" i="9"/>
  <c r="G18" i="4"/>
  <c r="G14" i="9"/>
  <c r="O11" i="2"/>
  <c r="M17" i="7"/>
  <c r="O15" i="9"/>
  <c r="I16" i="2"/>
  <c r="AK13" i="9"/>
  <c r="F16" i="9"/>
  <c r="L20" i="9"/>
  <c r="O41" i="9"/>
  <c r="T19" i="9"/>
  <c r="AO55" i="9"/>
  <c r="J20" i="2"/>
  <c r="AH37" i="9"/>
  <c r="AT36" i="9"/>
  <c r="H99" i="4"/>
  <c r="O95" i="4"/>
  <c r="AO27" i="9"/>
  <c r="B41" i="4"/>
  <c r="C226" i="7"/>
  <c r="M46" i="7"/>
  <c r="K34" i="7"/>
  <c r="AM41" i="9"/>
  <c r="D41" i="2"/>
  <c r="G13" i="9"/>
  <c r="AK14" i="9"/>
  <c r="T3" i="9"/>
  <c r="H14" i="9"/>
  <c r="R18" i="2"/>
  <c r="E17" i="7"/>
  <c r="R13" i="2"/>
  <c r="F15" i="7"/>
  <c r="P14" i="2"/>
  <c r="B16" i="2"/>
  <c r="AK17" i="9"/>
  <c r="D3" i="9"/>
  <c r="C12" i="9"/>
  <c r="V12" i="9"/>
  <c r="H11" i="9"/>
  <c r="AE3" i="9"/>
  <c r="G18" i="9"/>
  <c r="N12" i="4"/>
  <c r="M15" i="2"/>
  <c r="M12" i="2"/>
  <c r="AK11" i="9"/>
  <c r="E18" i="4"/>
  <c r="G16" i="4"/>
  <c r="P18" i="4"/>
  <c r="T17" i="9"/>
  <c r="AX3" i="9"/>
  <c r="L18" i="2"/>
  <c r="D18" i="4"/>
  <c r="K13" i="2"/>
  <c r="P16" i="2"/>
  <c r="M14" i="4"/>
  <c r="AP13" i="9"/>
  <c r="AV3" i="9"/>
  <c r="H18" i="4"/>
  <c r="AG14" i="9"/>
  <c r="V11" i="2"/>
  <c r="AR15" i="9"/>
  <c r="AI15" i="9"/>
  <c r="AU11" i="9"/>
  <c r="AT16" i="9"/>
  <c r="R15" i="7"/>
  <c r="C3" i="9"/>
  <c r="AT13" i="9"/>
  <c r="AL16" i="9"/>
  <c r="H11" i="2"/>
  <c r="AO16" i="9"/>
  <c r="N15" i="7"/>
  <c r="F3" i="9"/>
  <c r="H13" i="2"/>
  <c r="AL3" i="9"/>
  <c r="F13" i="2"/>
  <c r="V18" i="2"/>
  <c r="F13" i="7"/>
  <c r="P14" i="9"/>
  <c r="H15" i="2"/>
  <c r="T13" i="2"/>
  <c r="L18" i="9"/>
  <c r="AF11" i="9"/>
  <c r="U13" i="7"/>
  <c r="AC12" i="9"/>
  <c r="AG12" i="9"/>
  <c r="B13" i="9"/>
  <c r="AS15" i="9"/>
  <c r="AM13" i="9"/>
  <c r="AC18" i="9"/>
  <c r="P16" i="4"/>
  <c r="AU15" i="9"/>
  <c r="B18" i="9"/>
  <c r="F13" i="9"/>
  <c r="AT14" i="9"/>
  <c r="S11" i="2"/>
  <c r="AO18" i="9"/>
  <c r="H17" i="7"/>
  <c r="AR16" i="9"/>
  <c r="R13" i="7"/>
  <c r="H18" i="9"/>
  <c r="R14" i="9"/>
  <c r="M15" i="7"/>
  <c r="AD14" i="9"/>
  <c r="AK3" i="9"/>
  <c r="V17" i="7"/>
  <c r="I17" i="7"/>
  <c r="Q11" i="9"/>
  <c r="AU14" i="9"/>
  <c r="AE17" i="9"/>
  <c r="AJ18" i="9"/>
  <c r="S11" i="9"/>
  <c r="L18" i="4"/>
  <c r="AU17" i="9"/>
  <c r="L11" i="2"/>
  <c r="AN18" i="9"/>
  <c r="AI13" i="9"/>
  <c r="J15" i="7"/>
  <c r="G11" i="2"/>
  <c r="U14" i="2"/>
  <c r="B17" i="9"/>
  <c r="R12" i="4"/>
  <c r="AL13" i="9"/>
  <c r="N18" i="2"/>
  <c r="J18" i="4"/>
  <c r="P16" i="9"/>
  <c r="E13" i="7"/>
  <c r="R11" i="9"/>
  <c r="E16" i="4"/>
  <c r="U16" i="2"/>
  <c r="I11" i="2"/>
  <c r="K17" i="9"/>
  <c r="F12" i="4"/>
  <c r="Q18" i="9"/>
  <c r="I17" i="2"/>
  <c r="AV17" i="9"/>
  <c r="AL15" i="9"/>
  <c r="Q18" i="2"/>
  <c r="L17" i="2"/>
  <c r="E16" i="2"/>
  <c r="S13" i="2"/>
  <c r="U17" i="7"/>
  <c r="H16" i="2"/>
  <c r="E17" i="9"/>
  <c r="AV14" i="9"/>
  <c r="O16" i="4"/>
  <c r="AT17" i="9"/>
  <c r="F11" i="9"/>
  <c r="Q14" i="9"/>
  <c r="AR18" i="9"/>
  <c r="J9" i="2"/>
  <c r="AT11" i="9"/>
  <c r="C13" i="7"/>
  <c r="O11" i="9"/>
  <c r="AG30" i="9"/>
  <c r="AE30" i="9"/>
  <c r="AK68" i="9"/>
  <c r="AV46" i="9"/>
  <c r="E54" i="9"/>
  <c r="AP28" i="9"/>
  <c r="I60" i="9"/>
  <c r="G81" i="7"/>
  <c r="G27" i="7"/>
  <c r="AS27" i="9"/>
  <c r="AO28" i="9"/>
  <c r="O97" i="4"/>
  <c r="AK73" i="9"/>
  <c r="E20" i="2"/>
  <c r="AP67" i="9"/>
  <c r="S40" i="2"/>
  <c r="AN25" i="9"/>
  <c r="M78" i="9"/>
  <c r="J38" i="4"/>
  <c r="Q16" i="4"/>
  <c r="C13" i="2"/>
  <c r="O16" i="2"/>
  <c r="AQ12" i="9"/>
  <c r="AH17" i="9"/>
  <c r="AN16" i="9"/>
  <c r="D17" i="7"/>
  <c r="P15" i="2"/>
  <c r="S15" i="7"/>
  <c r="O9" i="2"/>
  <c r="P18" i="2"/>
  <c r="F18" i="2"/>
  <c r="F17" i="9"/>
  <c r="K17" i="7"/>
  <c r="AD15" i="9"/>
  <c r="V3" i="9"/>
  <c r="AJ11" i="9"/>
  <c r="B18" i="4"/>
  <c r="M27" i="7"/>
  <c r="AL34" i="9"/>
  <c r="AJ74" i="9"/>
  <c r="O79" i="7"/>
  <c r="F27" i="9"/>
  <c r="AG74" i="9"/>
  <c r="H44" i="9"/>
  <c r="S46" i="2"/>
  <c r="AH75" i="9"/>
  <c r="S64" i="7"/>
  <c r="L23" i="9"/>
  <c r="L95" i="4"/>
  <c r="G31" i="7"/>
  <c r="O51" i="9"/>
  <c r="AI62" i="9"/>
  <c r="AK22" i="9"/>
  <c r="M20" i="2"/>
  <c r="M58" i="4"/>
  <c r="AQ64" i="9"/>
  <c r="C112" i="4"/>
  <c r="K224" i="4"/>
  <c r="R28" i="7"/>
  <c r="L141" i="4"/>
  <c r="AN51" i="9"/>
  <c r="AN14" i="9"/>
  <c r="E13" i="9"/>
  <c r="M15" i="9"/>
  <c r="S15" i="9"/>
  <c r="AL14" i="9"/>
  <c r="Q15" i="2"/>
  <c r="K16" i="2"/>
  <c r="U15" i="9"/>
  <c r="AI16" i="9"/>
  <c r="M12" i="9"/>
  <c r="G15" i="9"/>
  <c r="E18" i="9"/>
  <c r="AG13" i="9"/>
  <c r="M18" i="9"/>
  <c r="D12" i="2"/>
  <c r="F16" i="2"/>
  <c r="AR14" i="9"/>
  <c r="H14" i="4"/>
  <c r="J24" i="7"/>
  <c r="D48" i="9"/>
  <c r="J26" i="2"/>
  <c r="F39" i="4"/>
  <c r="S40" i="7"/>
  <c r="T20" i="2"/>
  <c r="U31" i="7"/>
  <c r="I28" i="7"/>
  <c r="D31" i="7"/>
  <c r="B75" i="9"/>
  <c r="AP44" i="9"/>
  <c r="G22" i="4"/>
  <c r="R26" i="9"/>
  <c r="I23" i="2"/>
  <c r="AV13" i="9"/>
  <c r="S16" i="2"/>
  <c r="Q3" i="9"/>
  <c r="E17" i="2"/>
  <c r="P12" i="9"/>
  <c r="H13" i="9"/>
  <c r="AX18" i="9"/>
  <c r="AF12" i="9"/>
  <c r="B16" i="9"/>
  <c r="AQ11" i="9"/>
  <c r="U17" i="2"/>
  <c r="U14" i="4"/>
  <c r="F14" i="2"/>
  <c r="Q11" i="2"/>
  <c r="H9" i="2"/>
  <c r="U17" i="9"/>
  <c r="V11" i="9"/>
  <c r="C9" i="2"/>
  <c r="M29" i="7"/>
  <c r="AU49" i="9"/>
  <c r="AV22" i="9"/>
  <c r="O79" i="9"/>
  <c r="AG66" i="9"/>
  <c r="AQ87" i="9"/>
  <c r="AJ56" i="9"/>
  <c r="O19" i="2"/>
  <c r="T29" i="7"/>
  <c r="AP38" i="9"/>
  <c r="AQ58" i="9"/>
  <c r="E164" i="4"/>
  <c r="AJ39" i="9"/>
  <c r="B4" i="10"/>
  <c r="U47" i="2"/>
  <c r="F18" i="9"/>
  <c r="N3" i="9"/>
  <c r="R14" i="2"/>
  <c r="AS18" i="9"/>
  <c r="J13" i="7"/>
  <c r="P15" i="9"/>
  <c r="O17" i="7"/>
  <c r="AP14" i="9"/>
  <c r="AT3" i="9"/>
  <c r="AR11" i="9"/>
  <c r="H13" i="7"/>
  <c r="I12" i="2"/>
  <c r="T12" i="9"/>
  <c r="B16" i="4"/>
  <c r="P11" i="2"/>
  <c r="Q17" i="9"/>
  <c r="G12" i="2"/>
  <c r="AM17" i="9"/>
  <c r="E13" i="2"/>
  <c r="C11" i="2"/>
  <c r="S3" i="9"/>
  <c r="F16" i="4"/>
  <c r="AT18" i="9"/>
  <c r="C16" i="2"/>
  <c r="J12" i="4"/>
  <c r="I18" i="4"/>
  <c r="D18" i="2"/>
  <c r="AD16" i="9"/>
  <c r="AW11" i="9"/>
  <c r="D16" i="2"/>
  <c r="D16" i="9"/>
  <c r="AC15" i="9"/>
  <c r="R15" i="9"/>
  <c r="D15" i="9"/>
  <c r="AL12" i="9"/>
  <c r="AS11" i="9"/>
  <c r="K16" i="4"/>
  <c r="O18" i="4"/>
  <c r="AE12" i="9"/>
  <c r="G14" i="2"/>
  <c r="I13" i="7"/>
  <c r="I13" i="9"/>
  <c r="F18" i="4"/>
  <c r="L16" i="2"/>
  <c r="N17" i="7"/>
  <c r="P13" i="7"/>
  <c r="T16" i="9"/>
  <c r="AD11" i="9"/>
  <c r="AH14" i="9"/>
  <c r="O16" i="9"/>
  <c r="AQ17" i="9"/>
  <c r="U9" i="2"/>
  <c r="AD17" i="9"/>
  <c r="V13" i="7"/>
  <c r="R17" i="7"/>
  <c r="U12" i="9"/>
  <c r="AC13" i="9"/>
  <c r="N9" i="2"/>
  <c r="AM14" i="9"/>
  <c r="P12" i="4"/>
  <c r="K14" i="4"/>
  <c r="V13" i="2"/>
  <c r="AF3" i="9"/>
  <c r="M11" i="9"/>
  <c r="Q13" i="2"/>
  <c r="O59" i="7"/>
  <c r="C211" i="4"/>
  <c r="F20" i="4"/>
  <c r="B50" i="9"/>
  <c r="AL20" i="9"/>
  <c r="AF26" i="9"/>
  <c r="H27" i="9"/>
  <c r="M41" i="9"/>
  <c r="S73" i="7"/>
  <c r="AU50" i="9"/>
  <c r="AH3" i="9"/>
  <c r="O17" i="9"/>
  <c r="AN15" i="9"/>
  <c r="R16" i="4"/>
  <c r="AH15" i="9"/>
  <c r="R16" i="9"/>
  <c r="M14" i="9"/>
  <c r="U3" i="9"/>
  <c r="AG65" i="9"/>
  <c r="AG51" i="9"/>
  <c r="B23" i="4"/>
  <c r="R37" i="9"/>
  <c r="E99" i="7"/>
  <c r="E22" i="7"/>
  <c r="P29" i="9"/>
  <c r="AP71" i="9"/>
  <c r="D25" i="9"/>
  <c r="AR49" i="9"/>
  <c r="D22" i="2"/>
  <c r="S54" i="9"/>
  <c r="Q25" i="4"/>
  <c r="B17" i="2"/>
  <c r="AD18" i="9"/>
  <c r="AM18" i="9"/>
  <c r="J11" i="9"/>
  <c r="F12" i="9"/>
  <c r="L13" i="2"/>
  <c r="U15" i="7"/>
  <c r="AF16" i="9"/>
  <c r="F22" i="4"/>
  <c r="C49" i="9"/>
  <c r="H22" i="7"/>
  <c r="AP58" i="9"/>
  <c r="AF28" i="9"/>
  <c r="P62" i="9"/>
  <c r="D21" i="2"/>
  <c r="N23" i="4"/>
  <c r="V12" i="4"/>
  <c r="AG3" i="9"/>
  <c r="E15" i="2"/>
  <c r="S17" i="2"/>
  <c r="P14" i="4"/>
  <c r="O12" i="9"/>
  <c r="E15" i="7"/>
  <c r="AG15" i="9"/>
  <c r="O21" i="7"/>
  <c r="I32" i="7"/>
  <c r="AN58" i="9"/>
  <c r="AF73" i="9"/>
  <c r="K29" i="9"/>
  <c r="AD85" i="9"/>
  <c r="AP74" i="9"/>
  <c r="L69" i="9"/>
  <c r="F45" i="4"/>
  <c r="AE63" i="9"/>
  <c r="AI31" i="9"/>
  <c r="AM30" i="9"/>
  <c r="AL51" i="9"/>
  <c r="H25" i="9"/>
  <c r="O37" i="9"/>
  <c r="AE71" i="9"/>
  <c r="AP19" i="9"/>
  <c r="M84" i="7"/>
  <c r="AV60" i="9"/>
  <c r="AI83" i="9"/>
  <c r="L57" i="9"/>
  <c r="L83" i="9"/>
  <c r="O65" i="9"/>
  <c r="U62" i="4"/>
  <c r="P20" i="9"/>
  <c r="AJ19" i="9"/>
  <c r="S71" i="9"/>
  <c r="AH48" i="9"/>
  <c r="I63" i="9"/>
  <c r="R19" i="7"/>
  <c r="K46" i="7"/>
  <c r="AC29" i="9"/>
  <c r="AJ30" i="9"/>
  <c r="AK43" i="9"/>
  <c r="B19" i="2"/>
  <c r="AP48" i="9"/>
  <c r="AV24" i="9"/>
  <c r="L45" i="9"/>
  <c r="L25" i="4"/>
  <c r="H20" i="2"/>
  <c r="AE53" i="9"/>
  <c r="M46" i="9"/>
  <c r="AQ35" i="9"/>
  <c r="AD22" i="9"/>
  <c r="F19" i="2"/>
  <c r="N48" i="9"/>
  <c r="AT33" i="9"/>
  <c r="D44" i="7"/>
  <c r="M28" i="7"/>
  <c r="AQ37" i="9"/>
  <c r="P67" i="4"/>
  <c r="Q29" i="9"/>
  <c r="S19" i="7"/>
  <c r="AJ27" i="9"/>
  <c r="H49" i="2"/>
  <c r="AV40" i="9"/>
  <c r="L88" i="9"/>
  <c r="F46" i="9"/>
  <c r="Q26" i="7"/>
  <c r="AD51" i="9"/>
  <c r="D3" i="4"/>
  <c r="L62" i="9"/>
  <c r="E23" i="7"/>
  <c r="C203" i="7"/>
  <c r="AL39" i="9"/>
  <c r="AI40" i="9"/>
  <c r="AL50" i="9"/>
  <c r="V19" i="7"/>
  <c r="L43" i="9"/>
  <c r="Q28" i="4"/>
  <c r="N31" i="7"/>
  <c r="AI71" i="9"/>
  <c r="F22" i="7"/>
  <c r="N86" i="9"/>
  <c r="AI35" i="9"/>
  <c r="O77" i="9"/>
  <c r="P22" i="9"/>
  <c r="AM33" i="9"/>
  <c r="AD45" i="9"/>
  <c r="Q21" i="9"/>
  <c r="M185" i="4"/>
  <c r="AO60" i="9"/>
  <c r="F28" i="7"/>
  <c r="H236" i="4"/>
  <c r="F83" i="9"/>
  <c r="C75" i="7"/>
  <c r="C222" i="7"/>
  <c r="AN31" i="9"/>
  <c r="G115" i="4"/>
  <c r="U27" i="7"/>
  <c r="L75" i="7"/>
  <c r="M116" i="4"/>
  <c r="AG88" i="9"/>
  <c r="L71" i="9"/>
  <c r="S55" i="9"/>
  <c r="M69" i="9"/>
  <c r="Q33" i="9"/>
  <c r="AR56" i="9"/>
  <c r="J29" i="7"/>
  <c r="AH62" i="9"/>
  <c r="F45" i="7"/>
  <c r="S56" i="7"/>
  <c r="AN88" i="9"/>
  <c r="D130" i="7"/>
  <c r="C122" i="4"/>
  <c r="K214" i="4"/>
  <c r="N118" i="4"/>
  <c r="N39" i="7"/>
  <c r="G198" i="7"/>
  <c r="L84" i="9"/>
  <c r="AW22" i="9"/>
  <c r="AV53" i="9"/>
  <c r="N34" i="7"/>
  <c r="O58" i="9"/>
  <c r="E87" i="9"/>
  <c r="P25" i="4"/>
  <c r="AS36" i="9"/>
  <c r="AI30" i="9"/>
  <c r="G82" i="9"/>
  <c r="M32" i="4"/>
  <c r="AR28" i="9"/>
  <c r="S27" i="9"/>
  <c r="T52" i="7"/>
  <c r="AF53" i="9"/>
  <c r="AO61" i="9"/>
  <c r="L81" i="9"/>
  <c r="AH44" i="9"/>
  <c r="D157" i="7"/>
  <c r="T32" i="9"/>
  <c r="AD52" i="9"/>
  <c r="M36" i="9"/>
  <c r="M168" i="7"/>
  <c r="AN60" i="9"/>
  <c r="R45" i="2"/>
  <c r="T38" i="9"/>
  <c r="I55" i="7"/>
  <c r="AK33" i="9"/>
  <c r="AD63" i="9"/>
  <c r="AN84" i="9"/>
  <c r="J55" i="7"/>
  <c r="M22" i="4"/>
  <c r="J31" i="9"/>
  <c r="N21" i="2"/>
  <c r="B72" i="9"/>
  <c r="AN72" i="9"/>
  <c r="O205" i="4"/>
  <c r="AP56" i="9"/>
  <c r="V23" i="4"/>
  <c r="N38" i="7"/>
  <c r="S39" i="7"/>
  <c r="M135" i="4"/>
  <c r="G40" i="9"/>
  <c r="L53" i="7"/>
  <c r="H49" i="9"/>
  <c r="P68" i="9"/>
  <c r="J48" i="7"/>
  <c r="AF77" i="9"/>
  <c r="M211" i="7"/>
  <c r="B55" i="7"/>
  <c r="T19" i="2"/>
  <c r="F171" i="7"/>
  <c r="AH41" i="9"/>
  <c r="S19" i="9"/>
  <c r="T31" i="7"/>
  <c r="U26" i="7"/>
  <c r="C21" i="7"/>
  <c r="AE24" i="9"/>
  <c r="G33" i="2"/>
  <c r="S34" i="2"/>
  <c r="AV67" i="9"/>
  <c r="AO33" i="9"/>
  <c r="L23" i="4"/>
  <c r="S22" i="9"/>
  <c r="N60" i="9"/>
  <c r="AI75" i="9"/>
  <c r="G46" i="9"/>
  <c r="E154" i="4"/>
  <c r="AO22" i="9"/>
  <c r="M21" i="7"/>
  <c r="L21" i="7"/>
  <c r="M84" i="2"/>
  <c r="AJ40" i="9"/>
  <c r="G124" i="7"/>
  <c r="AF45" i="9"/>
  <c r="S61" i="9"/>
  <c r="C20" i="2"/>
  <c r="J3" i="4"/>
  <c r="O52" i="9"/>
  <c r="Q3" i="2"/>
  <c r="AD65" i="9"/>
  <c r="I27" i="9"/>
  <c r="T43" i="7"/>
  <c r="J49" i="9"/>
  <c r="AJ21" i="9"/>
  <c r="AR39" i="9"/>
  <c r="O34" i="7"/>
  <c r="AU60" i="9"/>
  <c r="S35" i="7"/>
  <c r="S47" i="7"/>
  <c r="AE72" i="9"/>
  <c r="N23" i="9"/>
  <c r="AH50" i="9"/>
  <c r="R39" i="9"/>
  <c r="AN23" i="9"/>
  <c r="J24" i="4"/>
  <c r="D75" i="9"/>
  <c r="K31" i="2"/>
  <c r="B45" i="2"/>
  <c r="AK39" i="9"/>
  <c r="AS46" i="9"/>
  <c r="L3" i="4"/>
  <c r="AH69" i="9"/>
  <c r="B234" i="7"/>
  <c r="C63" i="9"/>
  <c r="G20" i="9"/>
  <c r="N31" i="9"/>
  <c r="R40" i="2"/>
  <c r="AV71" i="9"/>
  <c r="F188" i="7"/>
  <c r="F72" i="4"/>
  <c r="AM44" i="9"/>
  <c r="M72" i="9"/>
  <c r="J48" i="2"/>
  <c r="L248" i="7"/>
  <c r="AH49" i="9"/>
  <c r="C113" i="7"/>
  <c r="AF20" i="9"/>
  <c r="AM46" i="9"/>
  <c r="H100" i="7"/>
  <c r="AM21" i="9"/>
  <c r="AO24" i="9"/>
  <c r="U22" i="4"/>
  <c r="S43" i="7"/>
  <c r="M66" i="9"/>
  <c r="J81" i="4"/>
  <c r="AJ64" i="9"/>
  <c r="AL47" i="9"/>
  <c r="F71" i="9"/>
  <c r="AI43" i="9"/>
  <c r="R33" i="2"/>
  <c r="P40" i="4"/>
  <c r="B52" i="4"/>
  <c r="AQ52" i="9"/>
  <c r="M22" i="7"/>
  <c r="AK19" i="9"/>
  <c r="AH77" i="9"/>
  <c r="T61" i="7"/>
  <c r="G250" i="4"/>
  <c r="M251" i="4"/>
  <c r="R65" i="2"/>
  <c r="S37" i="9"/>
  <c r="AN65" i="9"/>
  <c r="O69" i="9"/>
  <c r="F44" i="9"/>
  <c r="C162" i="7"/>
  <c r="AJ36" i="9"/>
  <c r="D39" i="2"/>
  <c r="AI85" i="9"/>
  <c r="AQ22" i="9"/>
  <c r="P23" i="7"/>
  <c r="N168" i="7"/>
  <c r="K50" i="4"/>
  <c r="AM32" i="9"/>
  <c r="D38" i="9"/>
  <c r="F3" i="4"/>
  <c r="U32" i="7"/>
  <c r="M249" i="7"/>
  <c r="O50" i="7"/>
  <c r="B149" i="7"/>
  <c r="N24" i="9"/>
  <c r="AP45" i="9"/>
  <c r="AT45" i="9"/>
  <c r="C38" i="4"/>
  <c r="N43" i="9"/>
  <c r="D249" i="7"/>
  <c r="G194" i="7"/>
  <c r="AP83" i="9"/>
  <c r="N99" i="4"/>
  <c r="B43" i="7"/>
  <c r="O23" i="7"/>
  <c r="M106" i="7"/>
  <c r="AJ71" i="9"/>
  <c r="O35" i="9"/>
  <c r="D92" i="4"/>
  <c r="I50" i="2"/>
  <c r="AC21" i="9"/>
  <c r="O71" i="9"/>
  <c r="AQ70" i="9"/>
  <c r="Q79" i="4"/>
  <c r="M108" i="7"/>
  <c r="H25" i="2"/>
  <c r="B44" i="9"/>
  <c r="AN80" i="9"/>
  <c r="D85" i="9"/>
  <c r="M251" i="7"/>
  <c r="S70" i="9"/>
  <c r="P26" i="2"/>
  <c r="D52" i="2"/>
  <c r="O42" i="7"/>
  <c r="AN21" i="9"/>
  <c r="C50" i="9"/>
  <c r="AT28" i="9"/>
  <c r="H95" i="4"/>
  <c r="P22" i="4"/>
  <c r="M45" i="9"/>
  <c r="L68" i="7"/>
  <c r="AN24" i="9"/>
  <c r="O32" i="7"/>
  <c r="T62" i="2"/>
  <c r="L58" i="9"/>
  <c r="M40" i="2"/>
  <c r="AE19" i="9"/>
  <c r="E57" i="9"/>
  <c r="R85" i="4"/>
  <c r="R86" i="4"/>
  <c r="G83" i="2"/>
  <c r="G186" i="4"/>
  <c r="E83" i="4"/>
  <c r="Q34" i="9"/>
  <c r="AV45" i="9"/>
  <c r="K43" i="4"/>
  <c r="T52" i="9"/>
  <c r="J35" i="7"/>
  <c r="AM31" i="9"/>
  <c r="M74" i="2"/>
  <c r="D218" i="4"/>
  <c r="C37" i="9"/>
  <c r="AV51" i="9"/>
  <c r="H70" i="9"/>
  <c r="AO31" i="9"/>
  <c r="J25" i="9"/>
  <c r="K138" i="4"/>
  <c r="C198" i="4"/>
  <c r="AF46" i="9"/>
  <c r="B88" i="2"/>
  <c r="D203" i="4"/>
  <c r="B37" i="9"/>
  <c r="AC41" i="9"/>
  <c r="E231" i="7"/>
  <c r="L99" i="4"/>
  <c r="G23" i="7"/>
  <c r="F68" i="9"/>
  <c r="D157" i="4"/>
  <c r="M19" i="7"/>
  <c r="G129" i="4"/>
  <c r="K32" i="2"/>
  <c r="C72" i="2"/>
  <c r="C164" i="7"/>
  <c r="AE57" i="9"/>
  <c r="J30" i="7"/>
  <c r="G147" i="4"/>
  <c r="AI29" i="9"/>
  <c r="AR74" i="9"/>
  <c r="AR23" i="9"/>
  <c r="P33" i="7"/>
  <c r="Q83" i="2"/>
  <c r="AE51" i="9"/>
  <c r="J19" i="9"/>
  <c r="AN73" i="9"/>
  <c r="M29" i="9"/>
  <c r="P73" i="9"/>
  <c r="AP42" i="9"/>
  <c r="B243" i="7"/>
  <c r="L68" i="4"/>
  <c r="H45" i="9"/>
  <c r="AE33" i="9"/>
  <c r="J25" i="7"/>
  <c r="E38" i="7"/>
  <c r="E25" i="4"/>
  <c r="H39" i="2"/>
  <c r="H57" i="9"/>
  <c r="AV66" i="9"/>
  <c r="R57" i="2"/>
  <c r="AS21" i="9"/>
  <c r="AO82" i="9"/>
  <c r="P32" i="4"/>
  <c r="AK20" i="9"/>
  <c r="P79" i="2"/>
  <c r="N252" i="4"/>
  <c r="J62" i="2"/>
  <c r="L162" i="4"/>
  <c r="AF48" i="9"/>
  <c r="I44" i="2"/>
  <c r="J63" i="4"/>
  <c r="AD73" i="9"/>
  <c r="O62" i="7"/>
  <c r="C97" i="4"/>
  <c r="D101" i="7"/>
  <c r="AG85" i="9"/>
  <c r="AQ48" i="9"/>
  <c r="K3" i="2"/>
  <c r="B18" i="2"/>
  <c r="N17" i="2"/>
  <c r="B15" i="9"/>
  <c r="S12" i="2"/>
  <c r="L13" i="7"/>
  <c r="K16" i="9"/>
  <c r="I14" i="4"/>
  <c r="T18" i="4"/>
  <c r="AM3" i="9"/>
  <c r="AR12" i="9"/>
  <c r="C18" i="9"/>
  <c r="D17" i="2"/>
  <c r="D16" i="4"/>
  <c r="K15" i="2"/>
  <c r="U13" i="2"/>
  <c r="T14" i="4"/>
  <c r="AC14" i="9"/>
  <c r="K13" i="7"/>
  <c r="E11" i="9"/>
  <c r="O13" i="2"/>
  <c r="S18" i="2"/>
  <c r="B11" i="9"/>
  <c r="AJ12" i="9"/>
  <c r="U13" i="9"/>
  <c r="AS12" i="9"/>
  <c r="AK15" i="9"/>
  <c r="B12" i="9"/>
  <c r="K15" i="9"/>
  <c r="AW17" i="9"/>
  <c r="T13" i="7"/>
  <c r="E14" i="2"/>
  <c r="AC17" i="9"/>
  <c r="I15" i="7"/>
  <c r="L14" i="4"/>
  <c r="H16" i="9"/>
  <c r="I15" i="2"/>
  <c r="F15" i="2"/>
  <c r="O15" i="2"/>
  <c r="R3" i="9"/>
  <c r="C11" i="9"/>
  <c r="S12" i="9"/>
  <c r="K9" i="2"/>
  <c r="N12" i="2"/>
  <c r="P13" i="2"/>
  <c r="B15" i="7"/>
  <c r="H12" i="2"/>
  <c r="P13" i="9"/>
  <c r="Q12" i="9"/>
  <c r="H3" i="9"/>
  <c r="L17" i="9"/>
  <c r="D9" i="2"/>
  <c r="AC16" i="9"/>
  <c r="J13" i="9"/>
  <c r="S17" i="9"/>
  <c r="O15" i="7"/>
  <c r="H15" i="7"/>
  <c r="S17" i="7"/>
  <c r="D11" i="9"/>
  <c r="B14" i="4"/>
  <c r="M13" i="9"/>
  <c r="M13" i="2"/>
  <c r="AI18" i="9"/>
  <c r="V16" i="4"/>
  <c r="T12" i="2"/>
  <c r="AL41" i="9"/>
  <c r="Q62" i="4"/>
  <c r="AJ23" i="9"/>
  <c r="AF41" i="9"/>
  <c r="S24" i="4"/>
  <c r="L20" i="2"/>
  <c r="I59" i="9"/>
  <c r="AT44" i="9"/>
  <c r="L19" i="2"/>
  <c r="G3" i="4"/>
  <c r="S14" i="2"/>
  <c r="AX11" i="9"/>
  <c r="AM16" i="9"/>
  <c r="Q18" i="4"/>
  <c r="AV15" i="9"/>
  <c r="AS17" i="9"/>
  <c r="C15" i="9"/>
  <c r="AU3" i="9"/>
  <c r="P11" i="9"/>
  <c r="I27" i="4"/>
  <c r="I49" i="4"/>
  <c r="AH23" i="9"/>
  <c r="D61" i="7"/>
  <c r="U70" i="2"/>
  <c r="AQ43" i="9"/>
  <c r="AT34" i="9"/>
  <c r="AI20" i="9"/>
  <c r="AH35" i="9"/>
  <c r="I30" i="9"/>
  <c r="AP25" i="9"/>
  <c r="H33" i="9"/>
  <c r="J14" i="4"/>
  <c r="I17" i="9"/>
  <c r="AF15" i="9"/>
  <c r="R12" i="2"/>
  <c r="T13" i="9"/>
  <c r="AW12" i="9"/>
  <c r="K14" i="9"/>
  <c r="J15" i="9"/>
  <c r="H12" i="9"/>
  <c r="H23" i="4"/>
  <c r="D46" i="2"/>
  <c r="L29" i="9"/>
  <c r="D57" i="7"/>
  <c r="AR33" i="9"/>
  <c r="G42" i="9"/>
  <c r="J20" i="9"/>
  <c r="AJ14" i="9"/>
  <c r="J16" i="4"/>
  <c r="AO12" i="9"/>
  <c r="N16" i="2"/>
  <c r="AQ14" i="9"/>
  <c r="D18" i="9"/>
  <c r="AQ16" i="9"/>
  <c r="M9" i="2"/>
  <c r="C17" i="7"/>
  <c r="L49" i="9"/>
  <c r="I55" i="2"/>
  <c r="AG44" i="9"/>
  <c r="S42" i="7"/>
  <c r="N28" i="7"/>
  <c r="O82" i="9"/>
  <c r="M88" i="9"/>
  <c r="L25" i="9"/>
  <c r="M24" i="2"/>
  <c r="AK52" i="9"/>
  <c r="AE58" i="9"/>
  <c r="F141" i="4"/>
  <c r="F27" i="7"/>
  <c r="U29" i="7"/>
  <c r="T48" i="7"/>
  <c r="AT42" i="9"/>
  <c r="B170" i="7"/>
  <c r="B26" i="4"/>
  <c r="Q26" i="4"/>
  <c r="G33" i="7"/>
  <c r="S65" i="7"/>
  <c r="C29" i="2"/>
  <c r="AV25" i="9"/>
  <c r="T73" i="9"/>
  <c r="T66" i="4"/>
  <c r="J29" i="9"/>
  <c r="L28" i="7"/>
  <c r="AQ65" i="9"/>
  <c r="F59" i="9"/>
  <c r="U73" i="4"/>
  <c r="H42" i="4"/>
  <c r="M48" i="9"/>
  <c r="AE75" i="9"/>
  <c r="T47" i="7"/>
  <c r="L37" i="2"/>
  <c r="M74" i="9"/>
  <c r="N3" i="2"/>
  <c r="AU62" i="9"/>
  <c r="N27" i="7"/>
  <c r="AV37" i="9"/>
  <c r="H55" i="9"/>
  <c r="R27" i="7"/>
  <c r="F25" i="2"/>
  <c r="F72" i="2"/>
  <c r="V19" i="2"/>
  <c r="T47" i="2"/>
  <c r="N252" i="7"/>
  <c r="R64" i="4"/>
  <c r="AI28" i="9"/>
  <c r="J23" i="9"/>
  <c r="E29" i="4"/>
  <c r="AQ57" i="9"/>
  <c r="AD55" i="9"/>
  <c r="B42" i="2"/>
  <c r="AH40" i="9"/>
  <c r="AH34" i="9"/>
  <c r="AD21" i="9"/>
  <c r="L32" i="4"/>
  <c r="T46" i="7"/>
  <c r="O83" i="9"/>
  <c r="C21" i="2"/>
  <c r="S41" i="9"/>
  <c r="AN46" i="9"/>
  <c r="S55" i="7"/>
  <c r="G84" i="2"/>
  <c r="K39" i="4"/>
  <c r="R3" i="2"/>
  <c r="E21" i="9"/>
  <c r="B52" i="9"/>
  <c r="L59" i="2"/>
  <c r="I67" i="2"/>
  <c r="AI59" i="9"/>
  <c r="O31" i="7"/>
  <c r="AQ74" i="9"/>
  <c r="AQ86" i="9"/>
  <c r="I84" i="4"/>
  <c r="C183" i="4"/>
  <c r="AN79" i="9"/>
  <c r="AV58" i="9"/>
  <c r="AV57" i="9"/>
  <c r="AK51" i="9"/>
  <c r="D26" i="9"/>
  <c r="AR41" i="9"/>
  <c r="D20" i="4"/>
  <c r="K76" i="4"/>
  <c r="AI39" i="9"/>
  <c r="AQ42" i="9"/>
  <c r="N52" i="9"/>
  <c r="C192" i="4"/>
  <c r="AS35" i="9"/>
  <c r="AK23" i="9"/>
  <c r="AE65" i="9"/>
  <c r="G29" i="7"/>
  <c r="C50" i="2"/>
  <c r="U23" i="4"/>
  <c r="AQ39" i="9"/>
  <c r="AI63" i="9"/>
  <c r="E43" i="9"/>
  <c r="N144" i="7"/>
  <c r="S27" i="4"/>
  <c r="L45" i="7"/>
  <c r="E45" i="7"/>
  <c r="P53" i="7"/>
  <c r="AG61" i="9"/>
  <c r="G210" i="7"/>
  <c r="L245" i="4"/>
  <c r="P46" i="9"/>
  <c r="AV20" i="9"/>
  <c r="AJ84" i="9"/>
  <c r="H233" i="7"/>
  <c r="AX21" i="9"/>
  <c r="Q34" i="7"/>
  <c r="AV31" i="9"/>
  <c r="AT40" i="9"/>
  <c r="AQ49" i="9"/>
  <c r="C24" i="9"/>
  <c r="Q34" i="4"/>
  <c r="D82" i="7"/>
  <c r="AP59" i="9"/>
  <c r="N196" i="4"/>
  <c r="L60" i="4"/>
  <c r="N32" i="9"/>
  <c r="R20" i="2"/>
  <c r="L23" i="7"/>
  <c r="AJ50" i="9"/>
  <c r="AU36" i="9"/>
  <c r="F100" i="7"/>
  <c r="AC32" i="9"/>
  <c r="C68" i="4"/>
  <c r="AG25" i="9"/>
  <c r="AK44" i="9"/>
  <c r="R34" i="7"/>
  <c r="R19" i="9"/>
  <c r="G132" i="4"/>
  <c r="K39" i="9"/>
  <c r="P39" i="9"/>
  <c r="AG80" i="9"/>
  <c r="B43" i="2"/>
  <c r="AC26" i="9"/>
  <c r="AD68" i="9"/>
  <c r="J27" i="9"/>
  <c r="AG86" i="9"/>
  <c r="F65" i="9"/>
  <c r="I74" i="9"/>
  <c r="AI33" i="9"/>
  <c r="U51" i="2"/>
  <c r="H74" i="9"/>
  <c r="S38" i="9"/>
  <c r="G83" i="9"/>
  <c r="AV41" i="9"/>
  <c r="D236" i="7"/>
  <c r="AK37" i="9"/>
  <c r="AP82" i="9"/>
  <c r="AK72" i="9"/>
  <c r="N79" i="9"/>
  <c r="S48" i="9"/>
  <c r="L70" i="7"/>
  <c r="J33" i="4"/>
  <c r="F31" i="7"/>
  <c r="AO41" i="9"/>
  <c r="AJ35" i="9"/>
  <c r="AQ20" i="9"/>
  <c r="P34" i="2"/>
  <c r="S21" i="7"/>
  <c r="H61" i="9"/>
  <c r="T41" i="9"/>
  <c r="H176" i="4"/>
  <c r="G68" i="4"/>
  <c r="B197" i="7"/>
  <c r="AT30" i="9"/>
  <c r="G20" i="4"/>
  <c r="AI45" i="9"/>
  <c r="F21" i="7"/>
  <c r="AE49" i="9"/>
  <c r="AJ62" i="9"/>
  <c r="C31" i="9"/>
  <c r="C85" i="2"/>
  <c r="I22" i="4"/>
  <c r="AU52" i="9"/>
  <c r="P26" i="7"/>
  <c r="AH32" i="9"/>
  <c r="AR50" i="9"/>
  <c r="L59" i="7"/>
  <c r="L27" i="9"/>
  <c r="AK30" i="9"/>
  <c r="H22" i="9"/>
  <c r="F31" i="4"/>
  <c r="D27" i="9"/>
  <c r="H50" i="9"/>
  <c r="AU54" i="9"/>
  <c r="AU43" i="9"/>
  <c r="U52" i="4"/>
  <c r="AG81" i="9"/>
  <c r="AQ60" i="9"/>
  <c r="O170" i="4"/>
  <c r="AE87" i="9"/>
  <c r="AH60" i="9"/>
  <c r="T21" i="7"/>
  <c r="AV36" i="9"/>
  <c r="N57" i="2"/>
  <c r="AU59" i="9"/>
  <c r="P28" i="7"/>
  <c r="M51" i="7"/>
  <c r="C25" i="4"/>
  <c r="O27" i="7"/>
  <c r="M57" i="4"/>
  <c r="M96" i="7"/>
  <c r="C58" i="9"/>
  <c r="T70" i="9"/>
  <c r="M84" i="9"/>
  <c r="AS44" i="9"/>
  <c r="C21" i="9"/>
  <c r="L51" i="9"/>
  <c r="C55" i="4"/>
  <c r="D19" i="2"/>
  <c r="R19" i="2"/>
  <c r="AJ46" i="9"/>
  <c r="AG50" i="9"/>
  <c r="L48" i="9"/>
  <c r="D25" i="2"/>
  <c r="C30" i="7"/>
  <c r="Q24" i="4"/>
  <c r="AJ76" i="9"/>
  <c r="AH71" i="9"/>
  <c r="AI66" i="9"/>
  <c r="AD20" i="9"/>
  <c r="H48" i="9"/>
  <c r="AP78" i="9"/>
  <c r="Q32" i="4"/>
  <c r="U24" i="2"/>
  <c r="N29" i="7"/>
  <c r="P51" i="9"/>
  <c r="AW21" i="9"/>
  <c r="AE60" i="9"/>
  <c r="F227" i="7"/>
  <c r="N20" i="4"/>
  <c r="S31" i="7"/>
  <c r="AS42" i="9"/>
  <c r="AQ69" i="9"/>
  <c r="AR58" i="9"/>
  <c r="AD30" i="9"/>
  <c r="G49" i="9"/>
  <c r="T72" i="9"/>
  <c r="U28" i="7"/>
  <c r="AM29" i="9"/>
  <c r="D36" i="4"/>
  <c r="U21" i="7"/>
  <c r="H24" i="4"/>
  <c r="P21" i="7"/>
  <c r="AC19" i="9"/>
  <c r="R25" i="7"/>
  <c r="I85" i="4"/>
  <c r="C220" i="7"/>
  <c r="P63" i="4"/>
  <c r="C83" i="9"/>
  <c r="AT39" i="9"/>
  <c r="C86" i="9"/>
  <c r="G248" i="7"/>
  <c r="V21" i="9"/>
  <c r="S38" i="2"/>
  <c r="AE37" i="9"/>
  <c r="Q31" i="7"/>
  <c r="G28" i="7"/>
  <c r="S30" i="7"/>
  <c r="G34" i="7"/>
  <c r="G19" i="9"/>
  <c r="U66" i="7"/>
  <c r="M79" i="4"/>
  <c r="U20" i="2"/>
  <c r="AO35" i="9"/>
  <c r="AH33" i="9"/>
  <c r="T22" i="7"/>
  <c r="N41" i="9"/>
  <c r="P55" i="2"/>
  <c r="C67" i="2"/>
  <c r="AU34" i="9"/>
  <c r="B24" i="7"/>
  <c r="N33" i="9"/>
  <c r="M38" i="7"/>
  <c r="E73" i="9"/>
  <c r="M33" i="9"/>
  <c r="G75" i="2"/>
  <c r="H91" i="7"/>
  <c r="F32" i="4"/>
  <c r="E72" i="9"/>
  <c r="H37" i="9"/>
  <c r="P56" i="9"/>
  <c r="H142" i="4"/>
  <c r="L26" i="9"/>
  <c r="O60" i="7"/>
  <c r="E58" i="9"/>
  <c r="S39" i="9"/>
  <c r="D41" i="9"/>
  <c r="M32" i="9"/>
  <c r="F20" i="2"/>
  <c r="D127" i="7"/>
  <c r="AH83" i="9"/>
  <c r="T47" i="9"/>
  <c r="M63" i="7"/>
  <c r="F213" i="4"/>
  <c r="M24" i="7"/>
  <c r="O116" i="4"/>
  <c r="G26" i="4"/>
  <c r="D55" i="2"/>
  <c r="E220" i="7"/>
  <c r="H47" i="9"/>
  <c r="T30" i="7"/>
  <c r="AO45" i="9"/>
  <c r="D182" i="7"/>
  <c r="K199" i="4"/>
  <c r="F143" i="7"/>
  <c r="AC78" i="9"/>
  <c r="N217" i="7"/>
  <c r="C23" i="4"/>
  <c r="AF78" i="9"/>
  <c r="AQ59" i="9"/>
  <c r="AG27" i="9"/>
  <c r="G169" i="4"/>
  <c r="S56" i="9"/>
  <c r="O108" i="4"/>
  <c r="E243" i="4"/>
  <c r="E97" i="7"/>
  <c r="T35" i="7"/>
  <c r="N138" i="4"/>
  <c r="E74" i="9"/>
  <c r="O72" i="4"/>
  <c r="AM36" i="9"/>
  <c r="G201" i="7"/>
  <c r="S25" i="7"/>
  <c r="M164" i="7"/>
  <c r="M45" i="4"/>
  <c r="F161" i="7"/>
  <c r="AT26" i="9"/>
  <c r="B80" i="4"/>
  <c r="AN26" i="9"/>
  <c r="C218" i="7"/>
  <c r="N251" i="4"/>
  <c r="AJ86" i="9"/>
  <c r="AV61" i="9"/>
  <c r="L49" i="2"/>
  <c r="J21" i="2"/>
  <c r="C34" i="7"/>
  <c r="N55" i="9"/>
  <c r="C51" i="7"/>
  <c r="AO43" i="9"/>
  <c r="AO77" i="9"/>
  <c r="R63" i="4"/>
  <c r="L145" i="7"/>
  <c r="N45" i="9"/>
  <c r="C166" i="7"/>
  <c r="M25" i="4"/>
  <c r="D47" i="4"/>
  <c r="AO80" i="9"/>
  <c r="N99" i="7"/>
  <c r="T56" i="7"/>
  <c r="H230" i="4"/>
  <c r="O69" i="2"/>
  <c r="O57" i="9"/>
  <c r="T50" i="4"/>
  <c r="G187" i="7"/>
  <c r="K46" i="2"/>
  <c r="B222" i="7"/>
  <c r="O230" i="4"/>
  <c r="B120" i="7"/>
  <c r="AF39" i="9"/>
  <c r="K65" i="7"/>
  <c r="S54" i="4"/>
  <c r="P64" i="9"/>
  <c r="AQ73" i="9"/>
  <c r="G52" i="2"/>
  <c r="K38" i="7"/>
  <c r="C35" i="7"/>
  <c r="K43" i="9"/>
  <c r="L3" i="2"/>
  <c r="AS33" i="9"/>
  <c r="H66" i="9"/>
  <c r="C193" i="7"/>
  <c r="E192" i="7"/>
  <c r="S61" i="4"/>
  <c r="F32" i="9"/>
  <c r="S31" i="2"/>
  <c r="D55" i="4"/>
  <c r="D169" i="7"/>
  <c r="J44" i="9"/>
  <c r="F148" i="4"/>
  <c r="E59" i="4"/>
  <c r="E48" i="9"/>
  <c r="S29" i="4"/>
  <c r="E74" i="2"/>
  <c r="N147" i="4"/>
  <c r="Q20" i="2"/>
  <c r="J18" i="9"/>
  <c r="S9" i="2"/>
  <c r="L3" i="9"/>
  <c r="H17" i="9"/>
  <c r="K13" i="9"/>
  <c r="D15" i="7"/>
  <c r="AT12" i="9"/>
  <c r="G16" i="2"/>
  <c r="B14" i="9"/>
  <c r="J16" i="9"/>
  <c r="D14" i="4"/>
  <c r="O12" i="4"/>
  <c r="AN17" i="9"/>
  <c r="AJ13" i="9"/>
  <c r="AR3" i="9"/>
  <c r="AH11" i="9"/>
  <c r="AJ3" i="9"/>
  <c r="AR13" i="9"/>
  <c r="U12" i="2"/>
  <c r="AD3" i="9"/>
  <c r="T9" i="2"/>
  <c r="P9" i="2"/>
  <c r="E12" i="2"/>
  <c r="I14" i="9"/>
  <c r="R18" i="9"/>
  <c r="V12" i="2"/>
  <c r="I16" i="9"/>
  <c r="AN13" i="9"/>
  <c r="M12" i="4"/>
  <c r="D11" i="2"/>
  <c r="AN3" i="9"/>
  <c r="AE18" i="9"/>
  <c r="S13" i="7"/>
  <c r="U27" i="4"/>
  <c r="C241" i="7"/>
  <c r="E120" i="7"/>
  <c r="AQ81" i="9"/>
  <c r="E60" i="7"/>
  <c r="AP17" i="9"/>
  <c r="H18" i="2"/>
  <c r="G14" i="4"/>
  <c r="F15" i="9"/>
  <c r="O59" i="9"/>
  <c r="AU67" i="9"/>
  <c r="K31" i="7"/>
  <c r="R30" i="7"/>
  <c r="G98" i="7"/>
  <c r="AD42" i="9"/>
  <c r="F12" i="2"/>
  <c r="AF14" i="9"/>
  <c r="D12" i="9"/>
  <c r="O14" i="2"/>
  <c r="I25" i="4"/>
  <c r="AE39" i="9"/>
  <c r="R20" i="9"/>
  <c r="C87" i="9"/>
  <c r="I9" i="2"/>
  <c r="AK16" i="9"/>
  <c r="V15" i="9"/>
  <c r="D15" i="2"/>
  <c r="AN56" i="9"/>
  <c r="L22" i="7"/>
  <c r="P43" i="9"/>
  <c r="N19" i="7"/>
  <c r="B21" i="9"/>
  <c r="N25" i="4"/>
  <c r="K121" i="7"/>
  <c r="R36" i="9"/>
  <c r="AG84" i="9"/>
  <c r="AR69" i="9"/>
  <c r="AK58" i="9"/>
  <c r="K23" i="4"/>
  <c r="S71" i="7"/>
  <c r="D43" i="4"/>
  <c r="H23" i="9"/>
  <c r="H21" i="9"/>
  <c r="C72" i="4"/>
  <c r="Q39" i="9"/>
  <c r="J72" i="2"/>
  <c r="O36" i="9"/>
  <c r="AQ32" i="9"/>
  <c r="AF51" i="9"/>
  <c r="AT37" i="9"/>
  <c r="U38" i="4"/>
  <c r="AE40" i="9"/>
  <c r="U3" i="4"/>
  <c r="AD27" i="9"/>
  <c r="K163" i="7"/>
  <c r="AD43" i="9"/>
  <c r="AR66" i="9"/>
  <c r="AK45" i="9"/>
  <c r="E191" i="7"/>
  <c r="S53" i="7"/>
  <c r="AM39" i="9"/>
  <c r="AP81" i="9"/>
  <c r="M31" i="7"/>
  <c r="N29" i="9"/>
  <c r="AQ54" i="9"/>
  <c r="G21" i="7"/>
  <c r="F54" i="9"/>
  <c r="R35" i="2"/>
  <c r="T21" i="9"/>
  <c r="G41" i="9"/>
  <c r="AO52" i="9"/>
  <c r="AU63" i="9"/>
  <c r="AE81" i="9"/>
  <c r="AN57" i="9"/>
  <c r="M97" i="7"/>
  <c r="N175" i="4"/>
  <c r="AG36" i="9"/>
  <c r="B196" i="7"/>
  <c r="K24" i="7"/>
  <c r="D97" i="7"/>
  <c r="C96" i="4"/>
  <c r="AD50" i="9"/>
  <c r="AF84" i="9"/>
  <c r="Q30" i="9"/>
  <c r="S51" i="9"/>
  <c r="N26" i="4"/>
  <c r="T24" i="7"/>
  <c r="AD66" i="9"/>
  <c r="AR37" i="9"/>
  <c r="K30" i="2"/>
  <c r="AI57" i="9"/>
  <c r="L22" i="9"/>
  <c r="J34" i="7"/>
  <c r="AU25" i="9"/>
  <c r="AD28" i="9"/>
  <c r="S20" i="4"/>
  <c r="Q65" i="2"/>
  <c r="AO88" i="9"/>
  <c r="L98" i="7"/>
  <c r="H30" i="7"/>
  <c r="M30" i="2"/>
  <c r="AR60" i="9"/>
  <c r="S58" i="7"/>
  <c r="L156" i="4"/>
  <c r="U49" i="4"/>
  <c r="AJ79" i="9"/>
  <c r="H34" i="9"/>
  <c r="G37" i="9"/>
  <c r="U28" i="2"/>
  <c r="AD78" i="9"/>
  <c r="N26" i="9"/>
  <c r="L175" i="4"/>
  <c r="H63" i="2"/>
  <c r="AO51" i="9"/>
  <c r="P22" i="7"/>
  <c r="G23" i="4"/>
  <c r="N39" i="9"/>
  <c r="AJ52" i="9"/>
  <c r="D3" i="2"/>
  <c r="S64" i="9"/>
  <c r="AP65" i="9"/>
  <c r="D230" i="7"/>
  <c r="AT23" i="9"/>
  <c r="F109" i="7"/>
  <c r="L21" i="2"/>
  <c r="U61" i="4"/>
  <c r="I25" i="7"/>
  <c r="U43" i="2"/>
  <c r="O34" i="9"/>
  <c r="D69" i="9"/>
  <c r="U39" i="7"/>
  <c r="R39" i="4"/>
  <c r="S54" i="7"/>
  <c r="L226" i="4"/>
  <c r="R43" i="9"/>
  <c r="AG83" i="9"/>
  <c r="D82" i="9"/>
  <c r="E58" i="2"/>
  <c r="AI87" i="9"/>
  <c r="AC61" i="9"/>
  <c r="K22" i="4"/>
  <c r="L145" i="4"/>
  <c r="L185" i="7"/>
  <c r="AE23" i="9"/>
  <c r="M252" i="4"/>
  <c r="L215" i="4"/>
  <c r="P66" i="9"/>
  <c r="C72" i="7"/>
  <c r="G32" i="9"/>
  <c r="AK48" i="9"/>
  <c r="M169" i="4"/>
  <c r="B31" i="9"/>
  <c r="F210" i="4"/>
  <c r="T40" i="7"/>
  <c r="AD40" i="9"/>
  <c r="L38" i="9"/>
  <c r="F39" i="9"/>
  <c r="AK29" i="9"/>
  <c r="S24" i="2"/>
  <c r="AI81" i="9"/>
  <c r="E95" i="7"/>
  <c r="N231" i="4"/>
  <c r="H187" i="7"/>
  <c r="N52" i="4"/>
  <c r="AE47" i="9"/>
  <c r="L116" i="4"/>
  <c r="M43" i="7"/>
  <c r="F227" i="4"/>
  <c r="H111" i="7"/>
  <c r="P56" i="2"/>
  <c r="C87" i="7"/>
  <c r="G116" i="7"/>
  <c r="R70" i="4"/>
  <c r="B38" i="9"/>
  <c r="AK36" i="9"/>
  <c r="AC51" i="9"/>
  <c r="D164" i="7"/>
  <c r="D34" i="9"/>
  <c r="F87" i="9"/>
  <c r="AQ26" i="9"/>
  <c r="D22" i="4"/>
  <c r="D95" i="4"/>
  <c r="B37" i="4"/>
  <c r="M106" i="4"/>
  <c r="E122" i="4"/>
  <c r="L59" i="9"/>
  <c r="L82" i="9"/>
  <c r="M47" i="2"/>
  <c r="E79" i="7"/>
  <c r="E55" i="9"/>
  <c r="I57" i="9"/>
  <c r="N33" i="7"/>
  <c r="AJ59" i="9"/>
  <c r="AV72" i="9"/>
  <c r="J37" i="9"/>
  <c r="P44" i="9"/>
  <c r="D244" i="7"/>
  <c r="Q39" i="4"/>
  <c r="M131" i="4"/>
  <c r="H59" i="9"/>
  <c r="G68" i="7"/>
  <c r="AR68" i="9"/>
  <c r="R35" i="9"/>
  <c r="H38" i="9"/>
  <c r="E82" i="2"/>
  <c r="AQ53" i="9"/>
  <c r="AI78" i="9"/>
  <c r="R80" i="4"/>
  <c r="E114" i="4"/>
  <c r="U22" i="7"/>
  <c r="AM35" i="9"/>
  <c r="R52" i="7"/>
  <c r="G13" i="2"/>
  <c r="AJ16" i="9"/>
  <c r="R17" i="2"/>
  <c r="AF18" i="9"/>
  <c r="J3" i="9"/>
  <c r="G17" i="2"/>
  <c r="R14" i="4"/>
  <c r="AE16" i="9"/>
  <c r="AC3" i="9"/>
  <c r="T11" i="9"/>
  <c r="AP12" i="9"/>
  <c r="T16" i="2"/>
  <c r="O14" i="4"/>
  <c r="M16" i="2"/>
  <c r="M16" i="4"/>
  <c r="N17" i="9"/>
  <c r="I3" i="9"/>
  <c r="AX14" i="9"/>
  <c r="AO3" i="9"/>
  <c r="AS13" i="9"/>
  <c r="AP11" i="9"/>
  <c r="D12" i="4"/>
  <c r="S16" i="9"/>
  <c r="AP3" i="9"/>
  <c r="AI3" i="9"/>
  <c r="G18" i="2"/>
  <c r="Q13" i="7"/>
  <c r="V14" i="9"/>
  <c r="AQ18" i="9"/>
  <c r="K15" i="7"/>
  <c r="AO15" i="9"/>
  <c r="E12" i="4"/>
  <c r="M24" i="4"/>
  <c r="AU30" i="9"/>
  <c r="AU73" i="9"/>
  <c r="AO53" i="9"/>
  <c r="AR21" i="9"/>
  <c r="K18" i="9"/>
  <c r="AJ15" i="9"/>
  <c r="AM11" i="9"/>
  <c r="Q16" i="9"/>
  <c r="C14" i="4"/>
  <c r="AE29" i="9"/>
  <c r="AC28" i="9"/>
  <c r="AF85" i="9"/>
  <c r="C68" i="7"/>
  <c r="AP57" i="9"/>
  <c r="F36" i="2"/>
  <c r="G12" i="9"/>
  <c r="K3" i="9"/>
  <c r="AV11" i="9"/>
  <c r="M3" i="9"/>
  <c r="C29" i="7"/>
  <c r="U34" i="7"/>
  <c r="AK21" i="9"/>
  <c r="AJ43" i="9"/>
  <c r="L15" i="2"/>
  <c r="U11" i="9"/>
  <c r="T18" i="9"/>
  <c r="U15" i="2"/>
  <c r="AU23" i="9"/>
  <c r="M75" i="9"/>
  <c r="O43" i="9"/>
  <c r="C35" i="4"/>
  <c r="M39" i="7"/>
  <c r="G19" i="7"/>
  <c r="H191" i="7"/>
  <c r="M33" i="7"/>
  <c r="AN36" i="9"/>
  <c r="AP70" i="9"/>
  <c r="H56" i="7"/>
  <c r="R65" i="7"/>
  <c r="U40" i="2"/>
  <c r="O64" i="9"/>
  <c r="L79" i="2"/>
  <c r="AI72" i="9"/>
  <c r="J22" i="7"/>
  <c r="K34" i="9"/>
  <c r="I26" i="7"/>
  <c r="AL37" i="9"/>
  <c r="AR42" i="9"/>
  <c r="C56" i="9"/>
  <c r="I37" i="4"/>
  <c r="B34" i="7"/>
  <c r="D46" i="7"/>
  <c r="AS50" i="9"/>
  <c r="C98" i="7"/>
  <c r="O136" i="4"/>
  <c r="E138" i="4"/>
  <c r="I74" i="7"/>
  <c r="N75" i="9"/>
  <c r="N58" i="9"/>
  <c r="T66" i="9"/>
  <c r="AD37" i="9"/>
  <c r="D172" i="4"/>
  <c r="Q44" i="9"/>
  <c r="AG64" i="9"/>
  <c r="H63" i="4"/>
  <c r="M247" i="4"/>
  <c r="E27" i="7"/>
  <c r="AI48" i="9"/>
  <c r="R25" i="4"/>
  <c r="E146" i="7"/>
  <c r="G30" i="7"/>
  <c r="G228" i="4"/>
  <c r="P50" i="9"/>
  <c r="AQ56" i="9"/>
  <c r="T50" i="7"/>
  <c r="E84" i="9"/>
  <c r="N87" i="9"/>
  <c r="B57" i="7"/>
  <c r="I19" i="7"/>
  <c r="C43" i="4"/>
  <c r="H41" i="9"/>
  <c r="AF38" i="9"/>
  <c r="T55" i="7"/>
  <c r="AJ32" i="9"/>
  <c r="AR51" i="9"/>
  <c r="C22" i="7"/>
  <c r="S38" i="7"/>
  <c r="N72" i="9"/>
  <c r="F30" i="7"/>
  <c r="O28" i="4"/>
  <c r="AQ88" i="9"/>
  <c r="AV70" i="9"/>
  <c r="AU20" i="9"/>
  <c r="L31" i="2"/>
  <c r="AF71" i="9"/>
  <c r="AN78" i="9"/>
  <c r="B33" i="9"/>
  <c r="O31" i="4"/>
  <c r="AK66" i="9"/>
  <c r="L30" i="7"/>
  <c r="F29" i="9"/>
  <c r="AG70" i="9"/>
  <c r="C54" i="2"/>
  <c r="D49" i="4"/>
  <c r="E166" i="7"/>
  <c r="AF27" i="9"/>
  <c r="AD39" i="9"/>
  <c r="AI44" i="9"/>
  <c r="F24" i="9"/>
  <c r="P55" i="4"/>
  <c r="AN82" i="9"/>
  <c r="P26" i="9"/>
  <c r="F75" i="4"/>
  <c r="L27" i="7"/>
  <c r="AF65" i="9"/>
  <c r="K84" i="2"/>
  <c r="H51" i="9"/>
  <c r="AS22" i="9"/>
  <c r="AO81" i="9"/>
  <c r="AH21" i="9"/>
  <c r="AD77" i="9"/>
  <c r="B44" i="2"/>
  <c r="AQ63" i="9"/>
  <c r="AK59" i="9"/>
  <c r="I67" i="9"/>
  <c r="I48" i="2"/>
  <c r="M19" i="9"/>
  <c r="E24" i="7"/>
  <c r="AE73" i="9"/>
  <c r="D45" i="9"/>
  <c r="Q23" i="4"/>
  <c r="C57" i="9"/>
  <c r="D72" i="9"/>
  <c r="Q66" i="4"/>
  <c r="J3" i="2"/>
  <c r="G38" i="4"/>
  <c r="O25" i="4"/>
  <c r="J70" i="2"/>
  <c r="O71" i="2"/>
  <c r="D25" i="4"/>
  <c r="AR46" i="9"/>
  <c r="AD70" i="9"/>
  <c r="L30" i="9"/>
  <c r="P40" i="9"/>
  <c r="AR52" i="9"/>
  <c r="B81" i="9"/>
  <c r="T45" i="2"/>
  <c r="AQ80" i="9"/>
  <c r="O24" i="4"/>
  <c r="AE55" i="9"/>
  <c r="M32" i="7"/>
  <c r="T42" i="7"/>
  <c r="T69" i="7"/>
  <c r="F145" i="4"/>
  <c r="T41" i="7"/>
  <c r="AV43" i="9"/>
  <c r="AN39" i="9"/>
  <c r="AR29" i="9"/>
  <c r="I20" i="2"/>
  <c r="D68" i="9"/>
  <c r="K208" i="4"/>
  <c r="F85" i="2"/>
  <c r="L112" i="7"/>
  <c r="D186" i="7"/>
  <c r="O54" i="2"/>
  <c r="T24" i="9"/>
  <c r="K91" i="2"/>
  <c r="R26" i="4"/>
  <c r="M67" i="9"/>
  <c r="H46" i="9"/>
  <c r="E79" i="9"/>
  <c r="AV65" i="9"/>
  <c r="G79" i="2"/>
  <c r="H72" i="9"/>
  <c r="AQ34" i="9"/>
  <c r="AT25" i="9"/>
  <c r="G157" i="7"/>
  <c r="C56" i="4"/>
  <c r="B19" i="7"/>
  <c r="M56" i="2"/>
  <c r="P57" i="9"/>
  <c r="C192" i="7"/>
  <c r="E35" i="9"/>
  <c r="B108" i="7"/>
  <c r="AK46" i="9"/>
  <c r="F96" i="7"/>
  <c r="E40" i="9"/>
  <c r="B3" i="10"/>
  <c r="F162" i="4"/>
  <c r="O168" i="4"/>
  <c r="D132" i="4"/>
  <c r="U19" i="9"/>
  <c r="E51" i="2"/>
  <c r="G22" i="9"/>
  <c r="N40" i="9"/>
  <c r="AJ44" i="9"/>
  <c r="O131" i="4"/>
  <c r="K29" i="4"/>
  <c r="E91" i="7"/>
  <c r="AF81" i="9"/>
  <c r="E184" i="7"/>
  <c r="D43" i="7"/>
  <c r="AI73" i="9"/>
  <c r="L39" i="9"/>
  <c r="AU44" i="9"/>
  <c r="AJ38" i="9"/>
  <c r="Q21" i="7"/>
  <c r="T44" i="7"/>
  <c r="K198" i="4"/>
  <c r="H47" i="7"/>
  <c r="G160" i="4"/>
  <c r="B85" i="2"/>
  <c r="AK70" i="9"/>
  <c r="F62" i="9"/>
  <c r="L77" i="9"/>
  <c r="J40" i="4"/>
  <c r="G86" i="9"/>
  <c r="AR24" i="9"/>
  <c r="AX19" i="9"/>
  <c r="D57" i="9"/>
  <c r="AV26" i="9"/>
  <c r="AU66" i="9"/>
  <c r="Q12" i="4"/>
  <c r="AP15" i="9"/>
  <c r="Q15" i="7"/>
  <c r="J16" i="2"/>
  <c r="AW16" i="9"/>
  <c r="C13" i="9"/>
  <c r="AR17" i="9"/>
  <c r="I12" i="9"/>
  <c r="V18" i="9"/>
  <c r="AW13" i="9"/>
  <c r="V3" i="2"/>
  <c r="AG16" i="9"/>
  <c r="AF13" i="9"/>
  <c r="I18" i="2"/>
  <c r="C14" i="2"/>
  <c r="R18" i="4"/>
  <c r="G25" i="4"/>
  <c r="AE64" i="9"/>
  <c r="AD41" i="9"/>
  <c r="B12" i="2"/>
  <c r="K14" i="2"/>
  <c r="AE45" i="9"/>
  <c r="AP32" i="9"/>
  <c r="N125" i="7"/>
  <c r="U16" i="9"/>
  <c r="T14" i="2"/>
  <c r="C52" i="4"/>
  <c r="C22" i="9"/>
  <c r="AI14" i="9"/>
  <c r="P18" i="9"/>
  <c r="D128" i="7"/>
  <c r="U59" i="4"/>
  <c r="L19" i="7"/>
  <c r="AL36" i="9"/>
  <c r="R74" i="4"/>
  <c r="S62" i="7"/>
  <c r="D78" i="9"/>
  <c r="C81" i="9"/>
  <c r="AF75" i="9"/>
  <c r="C48" i="2"/>
  <c r="C26" i="7"/>
  <c r="AN68" i="9"/>
  <c r="Q29" i="7"/>
  <c r="AI52" i="9"/>
  <c r="H39" i="9"/>
  <c r="AD72" i="9"/>
  <c r="G25" i="7"/>
  <c r="B26" i="7"/>
  <c r="N232" i="4"/>
  <c r="L163" i="4"/>
  <c r="D20" i="2"/>
  <c r="AU28" i="9"/>
  <c r="G32" i="7"/>
  <c r="D160" i="4"/>
  <c r="I20" i="4"/>
  <c r="D91" i="7"/>
  <c r="U63" i="2"/>
  <c r="D29" i="7"/>
  <c r="AI74" i="9"/>
  <c r="S25" i="4"/>
  <c r="S50" i="7"/>
  <c r="E82" i="9"/>
  <c r="AS28" i="9"/>
  <c r="AG56" i="9"/>
  <c r="P30" i="2"/>
  <c r="F189" i="4"/>
  <c r="O31" i="9"/>
  <c r="AL26" i="9"/>
  <c r="Q41" i="9"/>
  <c r="AL28" i="9"/>
  <c r="C84" i="9"/>
  <c r="B31" i="7"/>
  <c r="AH25" i="9"/>
  <c r="R32" i="7"/>
  <c r="AJ42" i="9"/>
  <c r="S23" i="7"/>
  <c r="AE77" i="9"/>
  <c r="T57" i="7"/>
  <c r="B21" i="2"/>
  <c r="N24" i="7"/>
  <c r="J25" i="2"/>
  <c r="D33" i="4"/>
  <c r="L44" i="7"/>
  <c r="AG31" i="9"/>
  <c r="H20" i="4"/>
  <c r="K236" i="7"/>
  <c r="G182" i="4"/>
  <c r="AP76" i="9"/>
  <c r="I44" i="7"/>
  <c r="AV38" i="9"/>
  <c r="B28" i="7"/>
  <c r="L40" i="9"/>
  <c r="G31" i="9"/>
  <c r="AP33" i="9"/>
  <c r="AV47" i="9"/>
  <c r="S48" i="7"/>
  <c r="F110" i="7"/>
  <c r="O25" i="7"/>
  <c r="K35" i="2"/>
  <c r="AH30" i="9"/>
  <c r="M59" i="9"/>
  <c r="AH22" i="9"/>
  <c r="O231" i="4"/>
  <c r="AI21" i="9"/>
  <c r="F69" i="2"/>
  <c r="L195" i="7"/>
  <c r="N47" i="9"/>
  <c r="I41" i="2"/>
  <c r="R58" i="4"/>
  <c r="L63" i="9"/>
  <c r="P46" i="7"/>
  <c r="N86" i="7"/>
  <c r="L62" i="7"/>
  <c r="B30" i="4"/>
  <c r="P43" i="7"/>
  <c r="K185" i="4"/>
  <c r="S35" i="2"/>
  <c r="L24" i="4"/>
  <c r="H63" i="7"/>
  <c r="J48" i="9"/>
  <c r="AD76" i="9"/>
  <c r="AV48" i="9"/>
  <c r="U19" i="2"/>
  <c r="U20" i="4"/>
  <c r="AO36" i="9"/>
  <c r="F55" i="7"/>
  <c r="L47" i="4"/>
  <c r="B46" i="9"/>
  <c r="D90" i="2"/>
  <c r="J21" i="7"/>
  <c r="AV52" i="9"/>
  <c r="AP26" i="9"/>
  <c r="T48" i="9"/>
  <c r="D56" i="9"/>
  <c r="H43" i="2"/>
  <c r="L231" i="7"/>
  <c r="AE27" i="9"/>
  <c r="G245" i="4"/>
  <c r="E42" i="2"/>
  <c r="C31" i="7"/>
  <c r="M21" i="9"/>
  <c r="L109" i="7"/>
  <c r="C215" i="4"/>
  <c r="N77" i="7"/>
  <c r="B48" i="9"/>
  <c r="AO58" i="9"/>
  <c r="S59" i="7"/>
  <c r="P33" i="4"/>
  <c r="H64" i="9"/>
  <c r="D134" i="4"/>
  <c r="AN67" i="9"/>
  <c r="H154" i="4"/>
  <c r="U23" i="2"/>
  <c r="G251" i="4"/>
  <c r="E61" i="2"/>
  <c r="K56" i="7"/>
  <c r="M85" i="7"/>
  <c r="U41" i="7"/>
  <c r="AJ55" i="9"/>
  <c r="E46" i="4"/>
  <c r="B63" i="4"/>
  <c r="F76" i="2"/>
  <c r="G60" i="9"/>
  <c r="E24" i="2"/>
  <c r="G77" i="7"/>
  <c r="L171" i="7"/>
  <c r="G128" i="7"/>
  <c r="AJ83" i="9"/>
  <c r="C98" i="4"/>
  <c r="M41" i="4"/>
  <c r="M79" i="9"/>
  <c r="N42" i="2"/>
  <c r="I72" i="4"/>
  <c r="G56" i="9"/>
  <c r="U60" i="2"/>
  <c r="F159" i="7"/>
  <c r="E71" i="2"/>
  <c r="D184" i="4"/>
  <c r="Q82" i="4"/>
  <c r="D73" i="9"/>
  <c r="L56" i="4"/>
  <c r="N116" i="7"/>
  <c r="N25" i="2"/>
  <c r="F48" i="4"/>
  <c r="G56" i="2"/>
  <c r="K35" i="4"/>
  <c r="F72" i="9"/>
  <c r="U20" i="9"/>
  <c r="M3" i="2"/>
  <c r="D71" i="2"/>
  <c r="M85" i="4"/>
  <c r="AO72" i="9"/>
  <c r="Q23" i="7"/>
  <c r="P58" i="7"/>
  <c r="P19" i="2"/>
  <c r="E21" i="7"/>
  <c r="L53" i="4"/>
  <c r="E175" i="4"/>
  <c r="B3" i="4"/>
  <c r="AN32" i="9"/>
  <c r="AI36" i="9"/>
  <c r="H60" i="9"/>
  <c r="AG76" i="9"/>
  <c r="G211" i="4"/>
  <c r="D151" i="7"/>
  <c r="H232" i="4"/>
  <c r="O29" i="2"/>
  <c r="I30" i="7"/>
  <c r="M21" i="2"/>
  <c r="AQ29" i="9"/>
  <c r="J52" i="9"/>
  <c r="H32" i="2"/>
  <c r="B62" i="9"/>
  <c r="L53" i="2"/>
  <c r="Q33" i="7"/>
  <c r="L35" i="9"/>
  <c r="AI56" i="9"/>
  <c r="AD47" i="9"/>
  <c r="O39" i="9"/>
  <c r="P21" i="9"/>
  <c r="C66" i="9"/>
  <c r="G122" i="4"/>
  <c r="G226" i="4"/>
  <c r="C24" i="4"/>
  <c r="P38" i="9"/>
  <c r="B53" i="4"/>
  <c r="N22" i="4"/>
  <c r="G36" i="2"/>
  <c r="AJ63" i="9"/>
  <c r="AG26" i="9"/>
  <c r="O53" i="7"/>
  <c r="T24" i="4"/>
  <c r="I66" i="9"/>
  <c r="P55" i="7"/>
  <c r="AF37" i="9"/>
  <c r="M165" i="7"/>
  <c r="S54" i="2"/>
  <c r="M60" i="9"/>
  <c r="C53" i="9"/>
  <c r="U23" i="7"/>
  <c r="M23" i="4"/>
  <c r="I19" i="2"/>
  <c r="E53" i="4"/>
  <c r="D102" i="7"/>
  <c r="G191" i="7"/>
  <c r="C174" i="7"/>
  <c r="F84" i="9"/>
  <c r="M122" i="4"/>
  <c r="P82" i="4"/>
  <c r="O70" i="9"/>
  <c r="H207" i="4"/>
  <c r="N35" i="4"/>
  <c r="N34" i="9"/>
  <c r="J46" i="2"/>
  <c r="O43" i="4"/>
  <c r="E147" i="4"/>
  <c r="P19" i="7"/>
  <c r="K27" i="7"/>
  <c r="F81" i="9"/>
  <c r="B47" i="4"/>
  <c r="K210" i="4"/>
  <c r="E66" i="9"/>
  <c r="R22" i="2"/>
  <c r="N59" i="9"/>
  <c r="AJ22" i="9"/>
  <c r="F192" i="4"/>
  <c r="K244" i="4"/>
  <c r="C3" i="2"/>
  <c r="AD36" i="9"/>
  <c r="C178" i="4"/>
  <c r="F152" i="7"/>
  <c r="G52" i="9"/>
  <c r="T72" i="7"/>
  <c r="F63" i="7"/>
  <c r="B73" i="4"/>
  <c r="B73" i="9"/>
  <c r="O51" i="7"/>
  <c r="F35" i="4"/>
  <c r="AC31" i="9"/>
  <c r="AN41" i="9"/>
  <c r="V3" i="4"/>
  <c r="O229" i="4"/>
  <c r="I29" i="7"/>
  <c r="G169" i="7"/>
  <c r="N172" i="4"/>
  <c r="G45" i="7"/>
  <c r="AR26" i="9"/>
  <c r="C99" i="4"/>
  <c r="E188" i="7"/>
  <c r="N108" i="7"/>
  <c r="F19" i="9"/>
  <c r="C104" i="4"/>
  <c r="AN53" i="9"/>
  <c r="H250" i="4"/>
  <c r="B36" i="9"/>
  <c r="N78" i="4"/>
  <c r="M200" i="7"/>
  <c r="H35" i="7"/>
  <c r="F67" i="2"/>
  <c r="G31" i="4"/>
  <c r="AQ82" i="9"/>
  <c r="AO40" i="9"/>
  <c r="H77" i="4"/>
  <c r="AE43" i="9"/>
  <c r="R70" i="7"/>
  <c r="F32" i="2"/>
  <c r="C143" i="7"/>
  <c r="N242" i="7"/>
  <c r="N43" i="2"/>
  <c r="P58" i="2"/>
  <c r="G144" i="7"/>
  <c r="AN55" i="9"/>
  <c r="H19" i="9"/>
  <c r="T53" i="9"/>
  <c r="AV69" i="9"/>
  <c r="R31" i="9"/>
  <c r="R40" i="7"/>
  <c r="F49" i="4"/>
  <c r="K66" i="7"/>
  <c r="AD38" i="9"/>
  <c r="O47" i="9"/>
  <c r="E38" i="2"/>
  <c r="G167" i="4"/>
  <c r="C27" i="9"/>
  <c r="G206" i="4"/>
  <c r="M218" i="7"/>
  <c r="B46" i="7"/>
  <c r="AV27" i="9"/>
  <c r="H132" i="4"/>
  <c r="U21" i="2"/>
  <c r="AK61" i="9"/>
  <c r="U56" i="2"/>
  <c r="D93" i="7"/>
  <c r="B78" i="2"/>
  <c r="L56" i="2"/>
  <c r="Q35" i="2"/>
  <c r="E76" i="9"/>
  <c r="F114" i="7"/>
  <c r="M81" i="4"/>
  <c r="G42" i="7"/>
  <c r="F133" i="7"/>
  <c r="H29" i="2"/>
  <c r="AM38" i="9"/>
  <c r="AG62" i="9"/>
  <c r="C52" i="9"/>
  <c r="H194" i="4"/>
  <c r="H188" i="4"/>
  <c r="K106" i="7"/>
  <c r="AN47" i="9"/>
  <c r="C33" i="9"/>
  <c r="D19" i="7"/>
  <c r="M143" i="4"/>
  <c r="M184" i="7"/>
  <c r="O42" i="2"/>
  <c r="AC85" i="9"/>
  <c r="S42" i="4"/>
  <c r="E237" i="4"/>
  <c r="H30" i="2"/>
  <c r="T55" i="2"/>
  <c r="D48" i="4"/>
  <c r="E116" i="7"/>
  <c r="D84" i="2"/>
  <c r="U64" i="2"/>
  <c r="M72" i="7"/>
  <c r="H19" i="2"/>
  <c r="D145" i="4"/>
  <c r="H98" i="4"/>
  <c r="AI24" i="9"/>
  <c r="J78" i="4"/>
  <c r="H28" i="9"/>
  <c r="H32" i="7"/>
  <c r="E63" i="2"/>
  <c r="AJ80" i="9"/>
  <c r="E62" i="2"/>
  <c r="O30" i="4"/>
  <c r="Q37" i="9"/>
  <c r="AS41" i="9"/>
  <c r="T23" i="7"/>
  <c r="L65" i="2"/>
  <c r="G20" i="2"/>
  <c r="B28" i="9"/>
  <c r="B156" i="7"/>
  <c r="K155" i="7"/>
  <c r="O86" i="2"/>
  <c r="J47" i="2"/>
  <c r="H198" i="4"/>
  <c r="E47" i="7"/>
  <c r="K224" i="7"/>
  <c r="D191" i="4"/>
  <c r="P35" i="2"/>
  <c r="L136" i="7"/>
  <c r="I26" i="9"/>
  <c r="D232" i="4"/>
  <c r="G37" i="2"/>
  <c r="D43" i="2"/>
  <c r="C173" i="4"/>
  <c r="T45" i="7"/>
  <c r="J28" i="4"/>
  <c r="AH29" i="9"/>
  <c r="E77" i="9"/>
  <c r="AN62" i="9"/>
  <c r="E62" i="4"/>
  <c r="D237" i="4"/>
  <c r="M163" i="7"/>
  <c r="D59" i="9"/>
  <c r="M176" i="7"/>
  <c r="AM42" i="9"/>
  <c r="AT47" i="9"/>
  <c r="S65" i="4"/>
  <c r="L195" i="4"/>
  <c r="AH28" i="9"/>
  <c r="N57" i="4"/>
  <c r="M123" i="4"/>
  <c r="T23" i="9"/>
  <c r="K51" i="7"/>
  <c r="H234" i="4"/>
  <c r="N237" i="4"/>
  <c r="H78" i="4"/>
  <c r="E190" i="7"/>
  <c r="E38" i="9"/>
  <c r="L41" i="7"/>
  <c r="O210" i="4"/>
  <c r="K87" i="4"/>
  <c r="M40" i="9"/>
  <c r="C239" i="7"/>
  <c r="P54" i="4"/>
  <c r="D198" i="7"/>
  <c r="O223" i="4"/>
  <c r="L129" i="7"/>
  <c r="C140" i="7"/>
  <c r="B71" i="9"/>
  <c r="H85" i="9"/>
  <c r="B74" i="2"/>
  <c r="L116" i="7"/>
  <c r="R22" i="9"/>
  <c r="C247" i="4"/>
  <c r="C152" i="7"/>
  <c r="U42" i="4"/>
  <c r="L64" i="7"/>
  <c r="K140" i="4"/>
  <c r="F102" i="4"/>
  <c r="K37" i="9"/>
  <c r="N50" i="9"/>
  <c r="F152" i="4"/>
  <c r="F77" i="7"/>
  <c r="K85" i="2"/>
  <c r="H24" i="9"/>
  <c r="AC23" i="9"/>
  <c r="N31" i="4"/>
  <c r="M190" i="4"/>
  <c r="U44" i="2"/>
  <c r="C97" i="7"/>
  <c r="AF30" i="9"/>
  <c r="O25" i="2"/>
  <c r="C23" i="9"/>
  <c r="B140" i="7"/>
  <c r="K36" i="9"/>
  <c r="E46" i="9"/>
  <c r="F47" i="2"/>
  <c r="U27" i="2"/>
  <c r="AV23" i="9"/>
  <c r="J34" i="9"/>
  <c r="O27" i="4"/>
  <c r="B9" i="10"/>
  <c r="AT31" i="9"/>
  <c r="D67" i="4"/>
  <c r="E36" i="9"/>
  <c r="AG21" i="9"/>
  <c r="H48" i="2"/>
  <c r="D139" i="7"/>
  <c r="AJ61" i="9"/>
  <c r="E30" i="4"/>
  <c r="I40" i="9"/>
  <c r="B208" i="7"/>
  <c r="AD81" i="9"/>
  <c r="J20" i="4"/>
  <c r="AR44" i="9"/>
  <c r="Q49" i="2"/>
  <c r="AV34" i="9"/>
  <c r="L55" i="9"/>
  <c r="N23" i="2"/>
  <c r="F29" i="4"/>
  <c r="M87" i="2"/>
  <c r="F74" i="9"/>
  <c r="T58" i="4"/>
  <c r="T73" i="4"/>
  <c r="P31" i="4"/>
  <c r="S30" i="9"/>
  <c r="K216" i="7"/>
  <c r="F28" i="4"/>
  <c r="P76" i="4"/>
  <c r="S22" i="7"/>
  <c r="B104" i="7"/>
  <c r="H168" i="7"/>
  <c r="I74" i="2"/>
  <c r="O240" i="4"/>
  <c r="I70" i="7"/>
  <c r="D200" i="4"/>
  <c r="K71" i="4"/>
  <c r="E158" i="4"/>
  <c r="H3" i="2"/>
  <c r="N184" i="4"/>
  <c r="H119" i="7"/>
  <c r="E242" i="4"/>
  <c r="J54" i="2"/>
  <c r="B27" i="7"/>
  <c r="L232" i="7"/>
  <c r="AK71" i="9"/>
  <c r="N39" i="2"/>
  <c r="O24" i="2"/>
  <c r="E218" i="4"/>
  <c r="M53" i="2"/>
  <c r="V16" i="2"/>
  <c r="AE15" i="9"/>
  <c r="E18" i="2"/>
  <c r="L15" i="7"/>
  <c r="U18" i="4"/>
  <c r="S14" i="4"/>
  <c r="H15" i="9"/>
  <c r="J12" i="9"/>
  <c r="O17" i="2"/>
  <c r="AL11" i="9"/>
  <c r="AG17" i="9"/>
  <c r="I11" i="9"/>
  <c r="M13" i="7"/>
  <c r="L14" i="9"/>
  <c r="J15" i="2"/>
  <c r="D17" i="9"/>
  <c r="O40" i="9"/>
  <c r="O72" i="9"/>
  <c r="T71" i="9"/>
  <c r="AO14" i="9"/>
  <c r="P3" i="9"/>
  <c r="AL35" i="9"/>
  <c r="D23" i="4"/>
  <c r="J25" i="4"/>
  <c r="AU13" i="9"/>
  <c r="E12" i="9"/>
  <c r="O194" i="4"/>
  <c r="G26" i="7"/>
  <c r="AW3" i="9"/>
  <c r="AL17" i="9"/>
  <c r="AF31" i="9"/>
  <c r="M187" i="7"/>
  <c r="AG35" i="9"/>
  <c r="AT20" i="9"/>
  <c r="J28" i="7"/>
  <c r="AO62" i="9"/>
  <c r="L31" i="7"/>
  <c r="AG53" i="9"/>
  <c r="S63" i="7"/>
  <c r="C65" i="9"/>
  <c r="B24" i="4"/>
  <c r="L25" i="7"/>
  <c r="B63" i="9"/>
  <c r="I22" i="9"/>
  <c r="AG78" i="9"/>
  <c r="AF68" i="9"/>
  <c r="Q22" i="7"/>
  <c r="T22" i="2"/>
  <c r="S28" i="4"/>
  <c r="E85" i="9"/>
  <c r="Q22" i="4"/>
  <c r="E30" i="7"/>
  <c r="AV50" i="9"/>
  <c r="AF56" i="9"/>
  <c r="AR54" i="9"/>
  <c r="S70" i="7"/>
  <c r="S53" i="9"/>
  <c r="L32" i="7"/>
  <c r="AE59" i="9"/>
  <c r="AH51" i="9"/>
  <c r="AO30" i="9"/>
  <c r="I28" i="9"/>
  <c r="K46" i="9"/>
  <c r="U25" i="7"/>
  <c r="E145" i="4"/>
  <c r="C216" i="4"/>
  <c r="E192" i="4"/>
  <c r="J28" i="9"/>
  <c r="L39" i="4"/>
  <c r="G226" i="7"/>
  <c r="T23" i="4"/>
  <c r="U36" i="2"/>
  <c r="M38" i="9"/>
  <c r="E92" i="7"/>
  <c r="AF29" i="9"/>
  <c r="T62" i="7"/>
  <c r="AQ79" i="9"/>
  <c r="E29" i="9"/>
  <c r="M98" i="7"/>
  <c r="L75" i="4"/>
  <c r="G45" i="2"/>
  <c r="K95" i="4"/>
  <c r="AT43" i="9"/>
  <c r="G48" i="9"/>
  <c r="N159" i="4"/>
  <c r="C109" i="4"/>
  <c r="N73" i="9"/>
  <c r="AP85" i="9"/>
  <c r="F86" i="9"/>
  <c r="Q41" i="2"/>
  <c r="Q19" i="2"/>
  <c r="P54" i="9"/>
  <c r="U74" i="2"/>
  <c r="L140" i="7"/>
  <c r="N178" i="4"/>
  <c r="S28" i="9"/>
  <c r="D67" i="9"/>
  <c r="H71" i="2"/>
  <c r="H252" i="7"/>
  <c r="T19" i="7"/>
  <c r="O43" i="7"/>
  <c r="AD44" i="9"/>
  <c r="K244" i="7"/>
  <c r="C85" i="9"/>
  <c r="T44" i="2"/>
  <c r="O56" i="9"/>
  <c r="AO20" i="9"/>
  <c r="AG46" i="9"/>
  <c r="AG58" i="9"/>
  <c r="M3" i="4"/>
  <c r="K223" i="4"/>
  <c r="AP37" i="9"/>
  <c r="T64" i="9"/>
  <c r="R32" i="9"/>
  <c r="T42" i="9"/>
  <c r="AE46" i="9"/>
  <c r="I53" i="7"/>
  <c r="E77" i="4"/>
  <c r="O106" i="4"/>
  <c r="H82" i="4"/>
  <c r="E54" i="2"/>
  <c r="F61" i="9"/>
  <c r="M25" i="7"/>
  <c r="K179" i="7"/>
  <c r="E29" i="7"/>
  <c r="M151" i="4"/>
  <c r="N253" i="7"/>
  <c r="O191" i="4"/>
  <c r="H167" i="4"/>
  <c r="M148" i="7"/>
  <c r="C49" i="4"/>
  <c r="G28" i="2"/>
  <c r="AV42" i="9"/>
  <c r="C103" i="7"/>
  <c r="R76" i="4"/>
  <c r="O47" i="4"/>
  <c r="AI70" i="9"/>
  <c r="AE32" i="9"/>
  <c r="M37" i="9"/>
  <c r="Q35" i="9"/>
  <c r="O248" i="4"/>
  <c r="K172" i="4"/>
  <c r="C153" i="7"/>
  <c r="E234" i="4"/>
  <c r="M23" i="9"/>
  <c r="J35" i="2"/>
  <c r="T61" i="9"/>
  <c r="O22" i="7"/>
  <c r="U60" i="7"/>
  <c r="K78" i="4"/>
  <c r="K162" i="4"/>
  <c r="F48" i="7"/>
  <c r="S40" i="9"/>
  <c r="AP30" i="9"/>
  <c r="AJ77" i="9"/>
  <c r="H126" i="7"/>
  <c r="P63" i="9"/>
  <c r="N35" i="9"/>
  <c r="AV62" i="9"/>
  <c r="AO26" i="9"/>
  <c r="B20" i="4"/>
  <c r="E71" i="4"/>
  <c r="AP88" i="9"/>
  <c r="F34" i="2"/>
  <c r="AO76" i="9"/>
  <c r="B240" i="7"/>
  <c r="D23" i="9"/>
  <c r="AG41" i="9"/>
  <c r="E151" i="7"/>
  <c r="AN43" i="9"/>
  <c r="C36" i="9"/>
  <c r="I24" i="2"/>
  <c r="AI80" i="9"/>
  <c r="H33" i="2"/>
  <c r="AM37" i="9"/>
  <c r="P46" i="2"/>
  <c r="U37" i="2"/>
  <c r="G85" i="7"/>
  <c r="E158" i="7"/>
  <c r="G45" i="4"/>
  <c r="C47" i="4"/>
  <c r="F181" i="7"/>
  <c r="U29" i="2"/>
  <c r="AE21" i="9"/>
  <c r="B19" i="9"/>
  <c r="N205" i="7"/>
  <c r="D28" i="7"/>
  <c r="AJ47" i="9"/>
  <c r="J82" i="2"/>
  <c r="N65" i="7"/>
  <c r="N48" i="2"/>
  <c r="H82" i="9"/>
  <c r="C64" i="2"/>
  <c r="AU51" i="9"/>
  <c r="B200" i="7"/>
  <c r="T20" i="9"/>
  <c r="L218" i="7"/>
  <c r="H97" i="7"/>
  <c r="B81" i="7"/>
  <c r="Q19" i="9"/>
  <c r="T29" i="4"/>
  <c r="AQ61" i="9"/>
  <c r="G26" i="2"/>
  <c r="F21" i="9"/>
  <c r="AD32" i="9"/>
  <c r="C81" i="7"/>
  <c r="E83" i="7"/>
  <c r="T34" i="7"/>
  <c r="E87" i="7"/>
  <c r="B20" i="9"/>
  <c r="L210" i="4"/>
  <c r="J41" i="9"/>
  <c r="C73" i="9"/>
  <c r="M95" i="4"/>
  <c r="AU61" i="9"/>
  <c r="R66" i="4"/>
  <c r="C93" i="4"/>
  <c r="AE36" i="9"/>
  <c r="K225" i="4"/>
  <c r="AV63" i="9"/>
  <c r="F116" i="4"/>
  <c r="P49" i="4"/>
  <c r="L239" i="4"/>
  <c r="AO56" i="9"/>
  <c r="G94" i="4"/>
  <c r="U39" i="2"/>
  <c r="C28" i="9"/>
  <c r="G91" i="2"/>
  <c r="AF47" i="9"/>
  <c r="AH65" i="9"/>
  <c r="F32" i="7"/>
  <c r="AH70" i="9"/>
  <c r="G210" i="4"/>
  <c r="AN27" i="9"/>
  <c r="N90" i="2"/>
  <c r="D71" i="4"/>
  <c r="H163" i="7"/>
  <c r="I53" i="9"/>
  <c r="B56" i="4"/>
  <c r="U56" i="4"/>
  <c r="F55" i="9"/>
  <c r="M64" i="9"/>
  <c r="H46" i="4"/>
  <c r="G101" i="4"/>
  <c r="H106" i="7"/>
  <c r="S33" i="9"/>
  <c r="J70" i="4"/>
  <c r="H133" i="4"/>
  <c r="N70" i="4"/>
  <c r="P35" i="9"/>
  <c r="E80" i="4"/>
  <c r="F108" i="7"/>
  <c r="E100" i="4"/>
  <c r="D161" i="4"/>
  <c r="G126" i="4"/>
  <c r="AQ41" i="9"/>
  <c r="U30" i="7"/>
  <c r="T71" i="7"/>
  <c r="D50" i="7"/>
  <c r="AR61" i="9"/>
  <c r="P33" i="9"/>
  <c r="E35" i="4"/>
  <c r="T65" i="2"/>
  <c r="AL27" i="9"/>
  <c r="AN34" i="9"/>
  <c r="F112" i="4"/>
  <c r="M58" i="2"/>
  <c r="N40" i="4"/>
  <c r="G52" i="4"/>
  <c r="P25" i="2"/>
  <c r="D137" i="4"/>
  <c r="B48" i="7"/>
  <c r="C53" i="7"/>
  <c r="G252" i="7"/>
  <c r="P61" i="2"/>
  <c r="M162" i="7"/>
  <c r="K27" i="9"/>
  <c r="N202" i="4"/>
  <c r="I37" i="9"/>
  <c r="U29" i="4"/>
  <c r="AD54" i="9"/>
  <c r="D96" i="4"/>
  <c r="J36" i="7"/>
  <c r="P23" i="9"/>
  <c r="D198" i="4"/>
  <c r="E70" i="4"/>
  <c r="AP34" i="9"/>
  <c r="D58" i="9"/>
  <c r="AI69" i="9"/>
  <c r="B221" i="7"/>
  <c r="AN38" i="9"/>
  <c r="G118" i="7"/>
  <c r="S68" i="7"/>
  <c r="L72" i="4"/>
  <c r="P64" i="4"/>
  <c r="J58" i="2"/>
  <c r="AQ47" i="9"/>
  <c r="B70" i="9"/>
  <c r="F192" i="7"/>
  <c r="D37" i="7"/>
  <c r="AS48" i="9"/>
  <c r="O61" i="7"/>
  <c r="F45" i="2"/>
  <c r="C230" i="7"/>
  <c r="Q39" i="7"/>
  <c r="O70" i="4"/>
  <c r="E55" i="7"/>
  <c r="O119" i="4"/>
  <c r="R49" i="4"/>
  <c r="G37" i="7"/>
  <c r="D66" i="7"/>
  <c r="D104" i="7"/>
  <c r="AU56" i="9"/>
  <c r="H53" i="9"/>
  <c r="E80" i="7"/>
  <c r="U33" i="2"/>
  <c r="M62" i="7"/>
  <c r="N72" i="2"/>
  <c r="C77" i="4"/>
  <c r="B217" i="7"/>
  <c r="AQ33" i="9"/>
  <c r="T68" i="9"/>
  <c r="Q62" i="7"/>
  <c r="L251" i="7"/>
  <c r="AN19" i="9"/>
  <c r="AK62" i="9"/>
  <c r="O28" i="7"/>
  <c r="P60" i="9"/>
  <c r="L59" i="4"/>
  <c r="D224" i="7"/>
  <c r="F157" i="7"/>
  <c r="C227" i="4"/>
  <c r="H91" i="2"/>
  <c r="F62" i="4"/>
  <c r="U67" i="2"/>
  <c r="C243" i="7"/>
  <c r="AC69" i="9"/>
  <c r="F238" i="7"/>
  <c r="K99" i="7"/>
  <c r="G157" i="4"/>
  <c r="B79" i="7"/>
  <c r="Q38" i="2"/>
  <c r="K101" i="4"/>
  <c r="L33" i="7"/>
  <c r="Q48" i="9"/>
  <c r="P65" i="4"/>
  <c r="N225" i="7"/>
  <c r="H183" i="4"/>
  <c r="O19" i="7"/>
  <c r="K183" i="7"/>
  <c r="O241" i="4"/>
  <c r="O64" i="7"/>
  <c r="H205" i="4"/>
  <c r="O57" i="2"/>
  <c r="O238" i="4"/>
  <c r="B93" i="7"/>
  <c r="I55" i="4"/>
  <c r="F150" i="4"/>
  <c r="G44" i="4"/>
  <c r="H89" i="7"/>
  <c r="E50" i="2"/>
  <c r="D222" i="4"/>
  <c r="R28" i="4"/>
  <c r="C67" i="4"/>
  <c r="K33" i="7"/>
  <c r="F170" i="4"/>
  <c r="H46" i="7"/>
  <c r="K47" i="2"/>
  <c r="E72" i="4"/>
  <c r="C47" i="2"/>
  <c r="E75" i="9"/>
  <c r="R48" i="4"/>
  <c r="T65" i="4"/>
  <c r="L69" i="2"/>
  <c r="AF61" i="9"/>
  <c r="C27" i="7"/>
  <c r="G242" i="4"/>
  <c r="B125" i="7"/>
  <c r="L172" i="7"/>
  <c r="P30" i="4"/>
  <c r="G68" i="9"/>
  <c r="E246" i="7"/>
  <c r="K133" i="4"/>
  <c r="AP46" i="9"/>
  <c r="M28" i="9"/>
  <c r="C70" i="2"/>
  <c r="C193" i="4"/>
  <c r="I51" i="2"/>
  <c r="F207" i="4"/>
  <c r="AJ67" i="9"/>
  <c r="S45" i="7"/>
  <c r="AE62" i="9"/>
  <c r="G44" i="9"/>
  <c r="F59" i="7"/>
  <c r="E223" i="4"/>
  <c r="S44" i="9"/>
  <c r="U48" i="2"/>
  <c r="M108" i="4"/>
  <c r="AJ82" i="9"/>
  <c r="H42" i="9"/>
  <c r="M73" i="7"/>
  <c r="O169" i="4"/>
  <c r="M236" i="7"/>
  <c r="AG68" i="9"/>
  <c r="H23" i="2"/>
  <c r="E132" i="4"/>
  <c r="I29" i="2"/>
  <c r="AI76" i="9"/>
  <c r="AU71" i="9"/>
  <c r="G92" i="7"/>
  <c r="B112" i="7"/>
  <c r="O70" i="2"/>
  <c r="H124" i="7"/>
  <c r="D126" i="7"/>
  <c r="J76" i="2"/>
  <c r="G144" i="4"/>
  <c r="B55" i="9"/>
  <c r="D177" i="4"/>
  <c r="P59" i="9"/>
  <c r="S53" i="2"/>
  <c r="AO70" i="9"/>
  <c r="L20" i="4"/>
  <c r="K28" i="2"/>
  <c r="D231" i="4"/>
  <c r="AK69" i="9"/>
  <c r="H129" i="4"/>
  <c r="O85" i="4"/>
  <c r="G54" i="9"/>
  <c r="M51" i="4"/>
  <c r="AT29" i="9"/>
  <c r="AL19" i="9"/>
  <c r="AM45" i="9"/>
  <c r="H80" i="2"/>
  <c r="E157" i="7"/>
  <c r="L168" i="7"/>
  <c r="F46" i="7"/>
  <c r="P73" i="7"/>
  <c r="B37" i="7"/>
  <c r="S67" i="4"/>
  <c r="AH20" i="9"/>
  <c r="M133" i="7"/>
  <c r="O161" i="4"/>
  <c r="R65" i="4"/>
  <c r="U68" i="7"/>
  <c r="D120" i="4"/>
  <c r="C219" i="4"/>
  <c r="S23" i="4"/>
  <c r="O105" i="4"/>
  <c r="F246" i="4"/>
  <c r="C59" i="9"/>
  <c r="AH39" i="9"/>
  <c r="R21" i="9"/>
  <c r="N46" i="9"/>
  <c r="AD58" i="9"/>
  <c r="S58" i="9"/>
  <c r="K126" i="7"/>
  <c r="L74" i="7"/>
  <c r="D188" i="4"/>
  <c r="AS45" i="9"/>
  <c r="E196" i="7"/>
  <c r="AE50" i="9"/>
  <c r="S66" i="7"/>
  <c r="AE42" i="9"/>
  <c r="T28" i="2"/>
  <c r="D50" i="4"/>
  <c r="L32" i="9"/>
  <c r="N65" i="9"/>
  <c r="AH43" i="9"/>
  <c r="L247" i="7"/>
  <c r="O174" i="4"/>
  <c r="F75" i="7"/>
  <c r="L222" i="4"/>
  <c r="AC73" i="9"/>
  <c r="F71" i="2"/>
  <c r="U78" i="2"/>
  <c r="B91" i="2"/>
  <c r="O45" i="9"/>
  <c r="N213" i="4"/>
  <c r="N30" i="9"/>
  <c r="E56" i="9"/>
  <c r="F202" i="7"/>
  <c r="M49" i="2"/>
  <c r="L208" i="4"/>
  <c r="H88" i="7"/>
  <c r="K204" i="7"/>
  <c r="G90" i="2"/>
  <c r="D50" i="9"/>
  <c r="AP20" i="9"/>
  <c r="AU55" i="9"/>
  <c r="AT22" i="9"/>
  <c r="N29" i="2"/>
  <c r="L66" i="2"/>
  <c r="C76" i="7"/>
  <c r="G96" i="4"/>
  <c r="R43" i="2"/>
  <c r="B228" i="7"/>
  <c r="H147" i="7"/>
  <c r="E46" i="7"/>
  <c r="G57" i="4"/>
  <c r="P52" i="9"/>
  <c r="B134" i="7"/>
  <c r="S42" i="2"/>
  <c r="E28" i="7"/>
  <c r="D80" i="4"/>
  <c r="C115" i="7"/>
  <c r="AN42" i="9"/>
  <c r="B45" i="9"/>
  <c r="D31" i="9"/>
  <c r="O78" i="9"/>
  <c r="L78" i="9"/>
  <c r="H115" i="7"/>
  <c r="F11" i="2"/>
  <c r="Q16" i="2"/>
  <c r="N15" i="2"/>
  <c r="AX17" i="9"/>
  <c r="V13" i="9"/>
  <c r="L12" i="2"/>
  <c r="S12" i="4"/>
  <c r="J18" i="2"/>
  <c r="AF36" i="9"/>
  <c r="D13" i="9"/>
  <c r="AH52" i="9"/>
  <c r="L24" i="2"/>
  <c r="J11" i="2"/>
  <c r="D22" i="7"/>
  <c r="B13" i="7"/>
  <c r="AS52" i="9"/>
  <c r="O24" i="7"/>
  <c r="S34" i="9"/>
  <c r="M25" i="2"/>
  <c r="M62" i="2"/>
  <c r="F25" i="4"/>
  <c r="S26" i="7"/>
  <c r="AU41" i="9"/>
  <c r="G64" i="7"/>
  <c r="U35" i="7"/>
  <c r="AS43" i="9"/>
  <c r="G21" i="2"/>
  <c r="AJ75" i="9"/>
  <c r="L80" i="9"/>
  <c r="AM20" i="9"/>
  <c r="AJ60" i="9"/>
  <c r="D26" i="4"/>
  <c r="F47" i="9"/>
  <c r="Q20" i="9"/>
  <c r="C61" i="9"/>
  <c r="AG59" i="9"/>
  <c r="T51" i="9"/>
  <c r="P25" i="7"/>
  <c r="P29" i="7"/>
  <c r="Q85" i="4"/>
  <c r="AH36" i="9"/>
  <c r="AE68" i="9"/>
  <c r="C46" i="4"/>
  <c r="AN20" i="9"/>
  <c r="N76" i="9"/>
  <c r="C79" i="7"/>
  <c r="Q34" i="2"/>
  <c r="C230" i="4"/>
  <c r="C110" i="7"/>
  <c r="AD67" i="9"/>
  <c r="K207" i="7"/>
  <c r="N61" i="9"/>
  <c r="R56" i="7"/>
  <c r="L22" i="4"/>
  <c r="AI19" i="9"/>
  <c r="I71" i="9"/>
  <c r="H170" i="7"/>
  <c r="AI26" i="9"/>
  <c r="K118" i="4"/>
  <c r="M25" i="9"/>
  <c r="C116" i="7"/>
  <c r="M83" i="9"/>
  <c r="C87" i="4"/>
  <c r="AO67" i="9"/>
  <c r="L26" i="2"/>
  <c r="F76" i="4"/>
  <c r="L57" i="7"/>
  <c r="B35" i="4"/>
  <c r="D208" i="7"/>
  <c r="T54" i="7"/>
  <c r="L30" i="4"/>
  <c r="S19" i="2"/>
  <c r="AR36" i="9"/>
  <c r="E76" i="2"/>
  <c r="U46" i="7"/>
  <c r="J90" i="2"/>
  <c r="E52" i="2"/>
  <c r="D59" i="4"/>
  <c r="R37" i="2"/>
  <c r="O144" i="4"/>
  <c r="B123" i="7"/>
  <c r="AF87" i="9"/>
  <c r="D67" i="2"/>
  <c r="N50" i="7"/>
  <c r="K229" i="4"/>
  <c r="E28" i="2"/>
  <c r="M42" i="9"/>
  <c r="L78" i="2"/>
  <c r="D27" i="7"/>
  <c r="D168" i="4"/>
  <c r="O151" i="4"/>
  <c r="B23" i="7"/>
  <c r="M37" i="2"/>
  <c r="D240" i="7"/>
  <c r="P69" i="9"/>
  <c r="I76" i="2"/>
  <c r="I27" i="2"/>
  <c r="N49" i="7"/>
  <c r="F66" i="9"/>
  <c r="F69" i="4"/>
  <c r="U73" i="2"/>
  <c r="M179" i="7"/>
  <c r="N236" i="7"/>
  <c r="H162" i="4"/>
  <c r="D76" i="9"/>
  <c r="K49" i="2"/>
  <c r="I59" i="2"/>
  <c r="O31" i="2"/>
  <c r="K38" i="2"/>
  <c r="I50" i="9"/>
  <c r="N69" i="7"/>
  <c r="B26" i="2"/>
  <c r="AO71" i="9"/>
  <c r="B59" i="7"/>
  <c r="U57" i="4"/>
  <c r="E111" i="7"/>
  <c r="D163" i="7"/>
  <c r="AD75" i="9"/>
  <c r="O199" i="4"/>
  <c r="H45" i="7"/>
  <c r="I31" i="4"/>
  <c r="B168" i="7"/>
  <c r="J60" i="4"/>
  <c r="F75" i="9"/>
  <c r="B73" i="7"/>
  <c r="F54" i="2"/>
  <c r="O85" i="9"/>
  <c r="L70" i="2"/>
  <c r="N163" i="7"/>
  <c r="D80" i="7"/>
  <c r="D71" i="9"/>
  <c r="N27" i="2"/>
  <c r="U55" i="4"/>
  <c r="Q69" i="7"/>
  <c r="G59" i="9"/>
  <c r="AK32" i="9"/>
  <c r="Q23" i="2"/>
  <c r="I26" i="2"/>
  <c r="D38" i="7"/>
  <c r="H31" i="9"/>
  <c r="U34" i="4"/>
  <c r="B159" i="7"/>
  <c r="N111" i="7"/>
  <c r="F74" i="4"/>
  <c r="F169" i="7"/>
  <c r="C234" i="7"/>
  <c r="B83" i="4"/>
  <c r="G155" i="4"/>
  <c r="D113" i="4"/>
  <c r="U45" i="2"/>
  <c r="U54" i="2"/>
  <c r="P58" i="4"/>
  <c r="J71" i="2"/>
  <c r="E84" i="7"/>
  <c r="N54" i="2"/>
  <c r="M242" i="4"/>
  <c r="N101" i="4"/>
  <c r="L250" i="7"/>
  <c r="G78" i="4"/>
  <c r="S73" i="9"/>
  <c r="D144" i="4"/>
  <c r="D61" i="9"/>
  <c r="N173" i="4"/>
  <c r="C54" i="9"/>
  <c r="E25" i="9"/>
  <c r="AQ71" i="9"/>
  <c r="N63" i="4"/>
  <c r="G243" i="4"/>
  <c r="B44" i="7"/>
  <c r="H155" i="7"/>
  <c r="B43" i="4"/>
  <c r="AV35" i="9"/>
  <c r="AF74" i="9"/>
  <c r="K188" i="4"/>
  <c r="O121" i="4"/>
  <c r="D98" i="4"/>
  <c r="L119" i="7"/>
  <c r="O89" i="2"/>
  <c r="I50" i="7"/>
  <c r="K63" i="2"/>
  <c r="G165" i="4"/>
  <c r="M240" i="7"/>
  <c r="AG33" i="9"/>
  <c r="C118" i="4"/>
  <c r="I64" i="9"/>
  <c r="H77" i="7"/>
  <c r="K249" i="7"/>
  <c r="I82" i="4"/>
  <c r="E140" i="7"/>
  <c r="J67" i="7"/>
  <c r="P53" i="9"/>
  <c r="L61" i="7"/>
  <c r="H114" i="7"/>
  <c r="AO75" i="9"/>
  <c r="O61" i="4"/>
  <c r="K20" i="2"/>
  <c r="N243" i="7"/>
  <c r="AF59" i="9"/>
  <c r="E247" i="4"/>
  <c r="M224" i="7"/>
  <c r="B171" i="7"/>
  <c r="O236" i="4"/>
  <c r="B109" i="7"/>
  <c r="G51" i="9"/>
  <c r="E174" i="4"/>
  <c r="C173" i="7"/>
  <c r="S34" i="7"/>
  <c r="K69" i="2"/>
  <c r="AL45" i="9"/>
  <c r="K173" i="7"/>
  <c r="AJ49" i="9"/>
  <c r="B39" i="2"/>
  <c r="O87" i="9"/>
  <c r="J30" i="9"/>
  <c r="M253" i="4"/>
  <c r="F244" i="7"/>
  <c r="H28" i="2"/>
  <c r="Q70" i="4"/>
  <c r="D30" i="4"/>
  <c r="C38" i="2"/>
  <c r="B227" i="7"/>
  <c r="O162" i="4"/>
  <c r="O124" i="4"/>
  <c r="AP72" i="9"/>
  <c r="D109" i="7"/>
  <c r="F151" i="7"/>
  <c r="AH87" i="9"/>
  <c r="B118" i="7"/>
  <c r="M63" i="9"/>
  <c r="K163" i="4"/>
  <c r="F80" i="7"/>
  <c r="C61" i="2"/>
  <c r="O49" i="7"/>
  <c r="E96" i="4"/>
  <c r="G75" i="4"/>
  <c r="E26" i="9"/>
  <c r="E142" i="7"/>
  <c r="T56" i="4"/>
  <c r="C30" i="9"/>
  <c r="F48" i="9"/>
  <c r="O45" i="7"/>
  <c r="E109" i="7"/>
  <c r="AS23" i="9"/>
  <c r="C41" i="7"/>
  <c r="L33" i="4"/>
  <c r="G217" i="7"/>
  <c r="M59" i="7"/>
  <c r="AN69" i="9"/>
  <c r="P88" i="2"/>
  <c r="L107" i="7"/>
  <c r="I58" i="7"/>
  <c r="M138" i="4"/>
  <c r="F222" i="7"/>
  <c r="H58" i="4"/>
  <c r="N58" i="4"/>
  <c r="E54" i="4"/>
  <c r="B128" i="7"/>
  <c r="K149" i="7"/>
  <c r="AR53" i="9"/>
  <c r="M174" i="4"/>
  <c r="C88" i="9"/>
  <c r="J50" i="9"/>
  <c r="AK57" i="9"/>
  <c r="H184" i="7"/>
  <c r="P81" i="4"/>
  <c r="F170" i="7"/>
  <c r="Q51" i="4"/>
  <c r="F41" i="7"/>
  <c r="J40" i="7"/>
  <c r="AH84" i="9"/>
  <c r="K193" i="4"/>
  <c r="K25" i="7"/>
  <c r="F174" i="4"/>
  <c r="M107" i="7"/>
  <c r="N173" i="7"/>
  <c r="H216" i="4"/>
  <c r="AC43" i="9"/>
  <c r="K96" i="7"/>
  <c r="B176" i="7"/>
  <c r="D111" i="4"/>
  <c r="K252" i="4"/>
  <c r="N27" i="4"/>
  <c r="N230" i="4"/>
  <c r="B20" i="2"/>
  <c r="N3" i="4"/>
  <c r="R59" i="7"/>
  <c r="L64" i="2"/>
  <c r="B70" i="4"/>
  <c r="M226" i="7"/>
  <c r="H66" i="7"/>
  <c r="K124" i="4"/>
  <c r="P84" i="2"/>
  <c r="C111" i="4"/>
  <c r="D247" i="7"/>
  <c r="N42" i="4"/>
  <c r="N140" i="7"/>
  <c r="C223" i="4"/>
  <c r="I88" i="2"/>
  <c r="M136" i="7"/>
  <c r="N119" i="7"/>
  <c r="O201" i="4"/>
  <c r="O73" i="9"/>
  <c r="S47" i="4"/>
  <c r="G33" i="9"/>
  <c r="H118" i="7"/>
  <c r="K156" i="4"/>
  <c r="F208" i="7"/>
  <c r="N245" i="4"/>
  <c r="D147" i="7"/>
  <c r="S33" i="2"/>
  <c r="O111" i="4"/>
  <c r="K56" i="4"/>
  <c r="Q30" i="4"/>
  <c r="E82" i="7"/>
  <c r="H126" i="4"/>
  <c r="F117" i="4"/>
  <c r="G234" i="7"/>
  <c r="E89" i="2"/>
  <c r="G107" i="4"/>
  <c r="O45" i="4"/>
  <c r="L42" i="2"/>
  <c r="S44" i="7"/>
  <c r="T49" i="2"/>
  <c r="AD84" i="9"/>
  <c r="H175" i="4"/>
  <c r="N127" i="4"/>
  <c r="O60" i="4"/>
  <c r="B106" i="7"/>
  <c r="N47" i="2"/>
  <c r="K69" i="7"/>
  <c r="N78" i="7"/>
  <c r="L94" i="4"/>
  <c r="C78" i="4"/>
  <c r="AQ40" i="9"/>
  <c r="D138" i="7"/>
  <c r="D49" i="2"/>
  <c r="E57" i="4"/>
  <c r="L67" i="7"/>
  <c r="J50" i="4"/>
  <c r="AI65" i="9"/>
  <c r="AU27" i="9"/>
  <c r="AF70" i="9"/>
  <c r="K218" i="4"/>
  <c r="K128" i="7"/>
  <c r="U47" i="7"/>
  <c r="T37" i="4"/>
  <c r="D86" i="9"/>
  <c r="D77" i="2"/>
  <c r="K35" i="7"/>
  <c r="F222" i="4"/>
  <c r="K161" i="4"/>
  <c r="K23" i="9"/>
  <c r="N91" i="7"/>
  <c r="G110" i="4"/>
  <c r="N153" i="4"/>
  <c r="I50" i="4"/>
  <c r="L163" i="7"/>
  <c r="B253" i="7"/>
  <c r="M50" i="9"/>
  <c r="Q31" i="9"/>
  <c r="E145" i="7"/>
  <c r="G73" i="7"/>
  <c r="O84" i="4"/>
  <c r="O54" i="7"/>
  <c r="L39" i="2"/>
  <c r="L189" i="7"/>
  <c r="L160" i="7"/>
  <c r="D44" i="4"/>
  <c r="O46" i="7"/>
  <c r="L132" i="4"/>
  <c r="S20" i="9"/>
  <c r="R41" i="9"/>
  <c r="N77" i="4"/>
  <c r="B13" i="10"/>
  <c r="E168" i="4"/>
  <c r="E30" i="9"/>
  <c r="G247" i="4"/>
  <c r="E107" i="4"/>
  <c r="D191" i="7"/>
  <c r="F70" i="4"/>
  <c r="H74" i="2"/>
  <c r="G60" i="2"/>
  <c r="F142" i="7"/>
  <c r="N196" i="7"/>
  <c r="L37" i="7"/>
  <c r="AM28" i="9"/>
  <c r="C100" i="4"/>
  <c r="N97" i="4"/>
  <c r="N93" i="7"/>
  <c r="E31" i="9"/>
  <c r="N248" i="7"/>
  <c r="Q71" i="7"/>
  <c r="K117" i="4"/>
  <c r="C180" i="7"/>
  <c r="AQ36" i="9"/>
  <c r="S57" i="9"/>
  <c r="E19" i="9"/>
  <c r="P31" i="9"/>
  <c r="K122" i="4"/>
  <c r="D169" i="4"/>
  <c r="D199" i="4"/>
  <c r="AC38" i="9"/>
  <c r="S57" i="2"/>
  <c r="K45" i="4"/>
  <c r="M223" i="4"/>
  <c r="M53" i="9"/>
  <c r="B77" i="4"/>
  <c r="D244" i="4"/>
  <c r="F65" i="4"/>
  <c r="B62" i="7"/>
  <c r="J41" i="4"/>
  <c r="K71" i="2"/>
  <c r="H37" i="2"/>
  <c r="L183" i="4"/>
  <c r="K203" i="7"/>
  <c r="H192" i="7"/>
  <c r="C39" i="2"/>
  <c r="L236" i="4"/>
  <c r="K24" i="9"/>
  <c r="H204" i="7"/>
  <c r="M237" i="7"/>
  <c r="AL30" i="9"/>
  <c r="C182" i="4"/>
  <c r="F60" i="4"/>
  <c r="Q87" i="4"/>
  <c r="H38" i="4"/>
  <c r="J39" i="7"/>
  <c r="L44" i="4"/>
  <c r="H169" i="4"/>
  <c r="S52" i="7"/>
  <c r="N143" i="7"/>
  <c r="H97" i="4"/>
  <c r="O66" i="2"/>
  <c r="H57" i="4"/>
  <c r="M154" i="7"/>
  <c r="S75" i="2"/>
  <c r="L123" i="4"/>
  <c r="I87" i="4"/>
  <c r="N101" i="7"/>
  <c r="L221" i="4"/>
  <c r="E210" i="4"/>
  <c r="K28" i="7"/>
  <c r="K86" i="2"/>
  <c r="L76" i="7"/>
  <c r="B66" i="9"/>
  <c r="N27" i="9"/>
  <c r="C160" i="7"/>
  <c r="M216" i="4"/>
  <c r="M43" i="2"/>
  <c r="B202" i="7"/>
  <c r="D19" i="9"/>
  <c r="E244" i="7"/>
  <c r="F249" i="7"/>
  <c r="E155" i="4"/>
  <c r="G39" i="4"/>
  <c r="E112" i="4"/>
  <c r="U72" i="2"/>
  <c r="B49" i="4"/>
  <c r="K101" i="7"/>
  <c r="E52" i="4"/>
  <c r="C237" i="4"/>
  <c r="O44" i="9"/>
  <c r="H28" i="4"/>
  <c r="AF62" i="9"/>
  <c r="G184" i="4"/>
  <c r="H248" i="7"/>
  <c r="M44" i="2"/>
  <c r="S40" i="4"/>
  <c r="D87" i="9"/>
  <c r="L192" i="7"/>
  <c r="K56" i="2"/>
  <c r="AO42" i="9"/>
  <c r="N167" i="4"/>
  <c r="F42" i="7"/>
  <c r="L81" i="2"/>
  <c r="L158" i="7"/>
  <c r="D234" i="4"/>
  <c r="O239" i="4"/>
  <c r="C137" i="7"/>
  <c r="B248" i="7"/>
  <c r="H114" i="4"/>
  <c r="AU53" i="9"/>
  <c r="C129" i="4"/>
  <c r="G140" i="7"/>
  <c r="M170" i="7"/>
  <c r="O102" i="4"/>
  <c r="M209" i="4"/>
  <c r="K186" i="7"/>
  <c r="J77" i="4"/>
  <c r="I85" i="2"/>
  <c r="G158" i="4"/>
  <c r="C154" i="4"/>
  <c r="L80" i="4"/>
  <c r="F247" i="7"/>
  <c r="F145" i="7"/>
  <c r="B51" i="2"/>
  <c r="B74" i="7"/>
  <c r="N199" i="7"/>
  <c r="H56" i="2"/>
  <c r="L172" i="4"/>
  <c r="K250" i="4"/>
  <c r="Q36" i="4"/>
  <c r="L28" i="2"/>
  <c r="M64" i="7"/>
  <c r="G86" i="4"/>
  <c r="D196" i="4"/>
  <c r="M35" i="7"/>
  <c r="J67" i="4"/>
  <c r="G106" i="4"/>
  <c r="S37" i="7"/>
  <c r="B74" i="4"/>
  <c r="M20" i="4"/>
  <c r="G9" i="2"/>
  <c r="AH18" i="9"/>
  <c r="R11" i="2"/>
  <c r="AU12" i="9"/>
  <c r="N13" i="9"/>
  <c r="N16" i="4"/>
  <c r="F14" i="4"/>
  <c r="M11" i="2"/>
  <c r="C64" i="9"/>
  <c r="B11" i="2"/>
  <c r="F80" i="9"/>
  <c r="D13" i="2"/>
  <c r="B9" i="2"/>
  <c r="N14" i="9"/>
  <c r="L12" i="9"/>
  <c r="AO87" i="9"/>
  <c r="AR27" i="9"/>
  <c r="M43" i="9"/>
  <c r="K65" i="4"/>
  <c r="AF54" i="9"/>
  <c r="AD86" i="9"/>
  <c r="AD19" i="9"/>
  <c r="R3" i="4"/>
  <c r="B80" i="7"/>
  <c r="H69" i="4"/>
  <c r="S72" i="7"/>
  <c r="K39" i="7"/>
  <c r="E19" i="2"/>
  <c r="L26" i="7"/>
  <c r="AU68" i="9"/>
  <c r="J31" i="7"/>
  <c r="C69" i="9"/>
  <c r="J32" i="9"/>
  <c r="R24" i="7"/>
  <c r="U69" i="4"/>
  <c r="AO57" i="9"/>
  <c r="O49" i="9"/>
  <c r="F239" i="7"/>
  <c r="AF64" i="9"/>
  <c r="Q46" i="7"/>
  <c r="AF19" i="9"/>
  <c r="O76" i="9"/>
  <c r="AJ81" i="9"/>
  <c r="AJ72" i="9"/>
  <c r="AT46" i="9"/>
  <c r="D46" i="9"/>
  <c r="F58" i="9"/>
  <c r="J23" i="7"/>
  <c r="J45" i="7"/>
  <c r="P44" i="7"/>
  <c r="C27" i="2"/>
  <c r="J39" i="4"/>
  <c r="S52" i="9"/>
  <c r="P47" i="9"/>
  <c r="AR55" i="9"/>
  <c r="O237" i="4"/>
  <c r="B218" i="7"/>
  <c r="M77" i="9"/>
  <c r="AP87" i="9"/>
  <c r="AJ65" i="9"/>
  <c r="C136" i="7"/>
  <c r="I47" i="9"/>
  <c r="Q25" i="7"/>
  <c r="M59" i="4"/>
  <c r="S28" i="7"/>
  <c r="T33" i="7"/>
  <c r="H215" i="4"/>
  <c r="H69" i="9"/>
  <c r="AU40" i="9"/>
  <c r="AO37" i="9"/>
  <c r="C96" i="7"/>
  <c r="S57" i="7"/>
  <c r="AV21" i="9"/>
  <c r="T25" i="4"/>
  <c r="AJ69" i="9"/>
  <c r="AF25" i="9"/>
  <c r="AO21" i="9"/>
  <c r="S33" i="7"/>
  <c r="O26" i="7"/>
  <c r="AD74" i="9"/>
  <c r="O74" i="9"/>
  <c r="J36" i="9"/>
  <c r="F137" i="4"/>
  <c r="U65" i="4"/>
  <c r="AM24" i="9"/>
  <c r="O226" i="4"/>
  <c r="R48" i="7"/>
  <c r="B22" i="4"/>
  <c r="O23" i="4"/>
  <c r="T32" i="4"/>
  <c r="G142" i="4"/>
  <c r="F126" i="7"/>
  <c r="AE28" i="9"/>
  <c r="S68" i="9"/>
  <c r="Q85" i="2"/>
  <c r="Q60" i="7"/>
  <c r="H102" i="4"/>
  <c r="F3" i="2"/>
  <c r="C197" i="7"/>
  <c r="P63" i="2"/>
  <c r="E174" i="7"/>
  <c r="J55" i="4"/>
  <c r="E224" i="7"/>
  <c r="G240" i="7"/>
  <c r="AI25" i="9"/>
  <c r="H45" i="4"/>
  <c r="AM34" i="9"/>
  <c r="E80" i="9"/>
  <c r="O81" i="9"/>
  <c r="AR34" i="9"/>
  <c r="O208" i="4"/>
  <c r="F199" i="4"/>
  <c r="L83" i="2"/>
  <c r="H27" i="7"/>
  <c r="H81" i="9"/>
  <c r="J19" i="7"/>
  <c r="E53" i="9"/>
  <c r="M182" i="4"/>
  <c r="AP75" i="9"/>
  <c r="AN87" i="9"/>
  <c r="U45" i="4"/>
  <c r="AG32" i="9"/>
  <c r="T3" i="4"/>
  <c r="AO46" i="9"/>
  <c r="B37" i="2"/>
  <c r="Q26" i="9"/>
  <c r="AF50" i="9"/>
  <c r="B32" i="7"/>
  <c r="G64" i="4"/>
  <c r="AC20" i="9"/>
  <c r="R26" i="2"/>
  <c r="N49" i="9"/>
  <c r="K219" i="4"/>
  <c r="D106" i="7"/>
  <c r="B191" i="7"/>
  <c r="AO44" i="9"/>
  <c r="L104" i="7"/>
  <c r="O25" i="9"/>
  <c r="AC62" i="9"/>
  <c r="C77" i="9"/>
  <c r="I63" i="2"/>
  <c r="G65" i="9"/>
  <c r="R31" i="7"/>
  <c r="AM27" i="9"/>
  <c r="U38" i="7"/>
  <c r="T37" i="7"/>
  <c r="F30" i="2"/>
  <c r="AO23" i="9"/>
  <c r="AO48" i="9"/>
  <c r="K20" i="9"/>
  <c r="H87" i="2"/>
  <c r="G21" i="9"/>
  <c r="Q86" i="4"/>
  <c r="AD49" i="9"/>
  <c r="K122" i="7"/>
  <c r="T66" i="2"/>
  <c r="E36" i="4"/>
  <c r="F118" i="7"/>
  <c r="AU69" i="9"/>
  <c r="E134" i="7"/>
  <c r="C127" i="7"/>
  <c r="F66" i="2"/>
  <c r="F123" i="4"/>
  <c r="D176" i="4"/>
  <c r="N35" i="7"/>
  <c r="C142" i="4"/>
  <c r="G80" i="9"/>
  <c r="L79" i="7"/>
  <c r="H29" i="7"/>
  <c r="F30" i="4"/>
  <c r="G87" i="9"/>
  <c r="L40" i="4"/>
  <c r="N166" i="4"/>
  <c r="AP84" i="9"/>
  <c r="H49" i="7"/>
  <c r="AK42" i="9"/>
  <c r="P49" i="9"/>
  <c r="Q19" i="7"/>
  <c r="AP64" i="9"/>
  <c r="U3" i="2"/>
  <c r="AC22" i="9"/>
  <c r="M171" i="7"/>
  <c r="C242" i="4"/>
  <c r="N56" i="4"/>
  <c r="H83" i="9"/>
  <c r="Q38" i="9"/>
  <c r="H145" i="4"/>
  <c r="D144" i="7"/>
  <c r="H185" i="4"/>
  <c r="AD34" i="9"/>
  <c r="H60" i="7"/>
  <c r="R30" i="2"/>
  <c r="H199" i="7"/>
  <c r="E210" i="7"/>
  <c r="M184" i="4"/>
  <c r="Q59" i="7"/>
  <c r="F57" i="4"/>
  <c r="M241" i="4"/>
  <c r="N21" i="7"/>
  <c r="N154" i="7"/>
  <c r="B25" i="7"/>
  <c r="C214" i="7"/>
  <c r="AF60" i="9"/>
  <c r="G137" i="4"/>
  <c r="T52" i="2"/>
  <c r="P66" i="4"/>
  <c r="L138" i="4"/>
  <c r="L28" i="4"/>
  <c r="H118" i="4"/>
  <c r="AU21" i="9"/>
  <c r="E31" i="2"/>
  <c r="T28" i="4"/>
  <c r="J45" i="9"/>
  <c r="F239" i="4"/>
  <c r="AL40" i="9"/>
  <c r="K120" i="4"/>
  <c r="N89" i="7"/>
  <c r="C47" i="7"/>
  <c r="G35" i="7"/>
  <c r="G85" i="9"/>
  <c r="O91" i="2"/>
  <c r="B76" i="9"/>
  <c r="AN83" i="9"/>
  <c r="N92" i="4"/>
  <c r="D232" i="7"/>
  <c r="P28" i="9"/>
  <c r="AH63" i="9"/>
  <c r="S64" i="2"/>
  <c r="D152" i="4"/>
  <c r="AJ88" i="9"/>
  <c r="O84" i="9"/>
  <c r="I39" i="7"/>
  <c r="M206" i="4"/>
  <c r="N53" i="9"/>
  <c r="C194" i="7"/>
  <c r="R68" i="2"/>
  <c r="N150" i="4"/>
  <c r="T60" i="7"/>
  <c r="F210" i="7"/>
  <c r="D42" i="2"/>
  <c r="H58" i="7"/>
  <c r="B223" i="7"/>
  <c r="N51" i="9"/>
  <c r="N36" i="4"/>
  <c r="D226" i="7"/>
  <c r="O26" i="9"/>
  <c r="M26" i="2"/>
  <c r="F248" i="4"/>
  <c r="N104" i="4"/>
  <c r="M114" i="7"/>
  <c r="Q51" i="9"/>
  <c r="R29" i="2"/>
  <c r="E220" i="4"/>
  <c r="C213" i="7"/>
  <c r="N122" i="7"/>
  <c r="B237" i="7"/>
  <c r="F245" i="4"/>
  <c r="D107" i="4"/>
  <c r="H122" i="4"/>
  <c r="O145" i="4"/>
  <c r="C207" i="7"/>
  <c r="H139" i="4"/>
  <c r="D122" i="7"/>
  <c r="O46" i="9"/>
  <c r="F194" i="7"/>
  <c r="C243" i="4"/>
  <c r="C27" i="4"/>
  <c r="H244" i="7"/>
  <c r="AF72" i="9"/>
  <c r="N40" i="7"/>
  <c r="M154" i="4"/>
  <c r="L242" i="7"/>
  <c r="P70" i="4"/>
  <c r="H86" i="9"/>
  <c r="AJ20" i="9"/>
  <c r="O87" i="4"/>
  <c r="L142" i="7"/>
  <c r="G122" i="7"/>
  <c r="R79" i="4"/>
  <c r="K47" i="9"/>
  <c r="F52" i="9"/>
  <c r="K187" i="7"/>
  <c r="O20" i="9"/>
  <c r="H24" i="2"/>
  <c r="G46" i="7"/>
  <c r="O90" i="2"/>
  <c r="K32" i="9"/>
  <c r="D70" i="4"/>
  <c r="Q66" i="7"/>
  <c r="T71" i="4"/>
  <c r="M32" i="2"/>
  <c r="K234" i="4"/>
  <c r="G61" i="4"/>
  <c r="F73" i="4"/>
  <c r="AT27" i="9"/>
  <c r="C44" i="2"/>
  <c r="U54" i="7"/>
  <c r="G38" i="7"/>
  <c r="M245" i="4"/>
  <c r="L136" i="4"/>
  <c r="C121" i="4"/>
  <c r="F43" i="2"/>
  <c r="AI60" i="9"/>
  <c r="Q63" i="4"/>
  <c r="H68" i="9"/>
  <c r="D94" i="4"/>
  <c r="F220" i="7"/>
  <c r="U55" i="2"/>
  <c r="P62" i="7"/>
  <c r="L155" i="4"/>
  <c r="E104" i="4"/>
  <c r="K253" i="4"/>
  <c r="E121" i="4"/>
  <c r="C123" i="4"/>
  <c r="O253" i="4"/>
  <c r="AF40" i="9"/>
  <c r="F53" i="4"/>
  <c r="M187" i="4"/>
  <c r="AV29" i="9"/>
  <c r="M54" i="2"/>
  <c r="O87" i="2"/>
  <c r="C39" i="7"/>
  <c r="E40" i="2"/>
  <c r="L42" i="4"/>
  <c r="O50" i="2"/>
  <c r="Q43" i="9"/>
  <c r="E171" i="7"/>
  <c r="H182" i="4"/>
  <c r="C134" i="4"/>
  <c r="J68" i="2"/>
  <c r="AC44" i="9"/>
  <c r="K151" i="4"/>
  <c r="C95" i="7"/>
  <c r="L194" i="4"/>
  <c r="M83" i="7"/>
  <c r="I66" i="2"/>
  <c r="B86" i="9"/>
  <c r="S72" i="9"/>
  <c r="M225" i="4"/>
  <c r="C35" i="9"/>
  <c r="D129" i="7"/>
  <c r="P61" i="7"/>
  <c r="AL52" i="9"/>
  <c r="C107" i="7"/>
  <c r="F83" i="2"/>
  <c r="G111" i="4"/>
  <c r="N71" i="9"/>
  <c r="N30" i="2"/>
  <c r="AG48" i="9"/>
  <c r="P72" i="2"/>
  <c r="F233" i="4"/>
  <c r="G167" i="7"/>
  <c r="U63" i="4"/>
  <c r="E221" i="4"/>
  <c r="L108" i="7"/>
  <c r="N102" i="4"/>
  <c r="F131" i="4"/>
  <c r="F103" i="7"/>
  <c r="B57" i="9"/>
  <c r="AC86" i="9"/>
  <c r="D102" i="4"/>
  <c r="L164" i="7"/>
  <c r="B33" i="7"/>
  <c r="M118" i="4"/>
  <c r="D179" i="7"/>
  <c r="B76" i="4"/>
  <c r="N45" i="4"/>
  <c r="O245" i="4"/>
  <c r="B78" i="9"/>
  <c r="B246" i="7"/>
  <c r="K70" i="4"/>
  <c r="P27" i="9"/>
  <c r="K64" i="4"/>
  <c r="F52" i="4"/>
  <c r="E154" i="7"/>
  <c r="AC33" i="9"/>
  <c r="K197" i="7"/>
  <c r="M245" i="7"/>
  <c r="O27" i="2"/>
  <c r="J54" i="4"/>
  <c r="G189" i="4"/>
  <c r="AM22" i="9"/>
  <c r="Q60" i="2"/>
  <c r="E35" i="7"/>
  <c r="L185" i="4"/>
  <c r="N37" i="4"/>
  <c r="G97" i="7"/>
  <c r="F102" i="7"/>
  <c r="L234" i="4"/>
  <c r="H131" i="7"/>
  <c r="N49" i="4"/>
  <c r="U46" i="4"/>
  <c r="K176" i="7"/>
  <c r="E44" i="7"/>
  <c r="H158" i="4"/>
  <c r="F34" i="9"/>
  <c r="N125" i="4"/>
  <c r="AH56" i="9"/>
  <c r="D180" i="7"/>
  <c r="B62" i="2"/>
  <c r="G246" i="7"/>
  <c r="F42" i="2"/>
  <c r="L166" i="7"/>
  <c r="G85" i="2"/>
  <c r="K243" i="4"/>
  <c r="B77" i="7"/>
  <c r="F44" i="4"/>
  <c r="N129" i="4"/>
  <c r="Q70" i="7"/>
  <c r="Q55" i="2"/>
  <c r="D148" i="7"/>
  <c r="O42" i="9"/>
  <c r="M76" i="2"/>
  <c r="J51" i="9"/>
  <c r="H31" i="7"/>
  <c r="B87" i="4"/>
  <c r="D156" i="7"/>
  <c r="P37" i="2"/>
  <c r="AH57" i="9"/>
  <c r="E170" i="4"/>
  <c r="F68" i="4"/>
  <c r="H235" i="4"/>
  <c r="P67" i="2"/>
  <c r="K82" i="4"/>
  <c r="E176" i="7"/>
  <c r="H101" i="4"/>
  <c r="I21" i="9"/>
  <c r="T69" i="9"/>
  <c r="O207" i="4"/>
  <c r="AU22" i="9"/>
  <c r="H136" i="7"/>
  <c r="L52" i="4"/>
  <c r="E81" i="7"/>
  <c r="F120" i="7"/>
  <c r="B71" i="2"/>
  <c r="B166" i="7"/>
  <c r="M185" i="7"/>
  <c r="K195" i="4"/>
  <c r="L76" i="9"/>
  <c r="AP47" i="9"/>
  <c r="G175" i="7"/>
  <c r="I58" i="4"/>
  <c r="N76" i="4"/>
  <c r="I71" i="4"/>
  <c r="Q32" i="7"/>
  <c r="O67" i="7"/>
  <c r="K200" i="7"/>
  <c r="F253" i="7"/>
  <c r="AK74" i="9"/>
  <c r="F26" i="2"/>
  <c r="L221" i="7"/>
  <c r="T47" i="4"/>
  <c r="H112" i="7"/>
  <c r="C158" i="7"/>
  <c r="AC65" i="9"/>
  <c r="O79" i="4"/>
  <c r="E67" i="7"/>
  <c r="P62" i="4"/>
  <c r="U25" i="4"/>
  <c r="AQ23" i="9"/>
  <c r="AC30" i="9"/>
  <c r="AU39" i="9"/>
  <c r="H231" i="4"/>
  <c r="U48" i="4"/>
  <c r="E65" i="7"/>
  <c r="D80" i="2"/>
  <c r="F29" i="7"/>
  <c r="E107" i="7"/>
  <c r="M143" i="7"/>
  <c r="E228" i="7"/>
  <c r="O21" i="9"/>
  <c r="M77" i="2"/>
  <c r="M172" i="7"/>
  <c r="G57" i="2"/>
  <c r="B58" i="7"/>
  <c r="B186" i="7"/>
  <c r="E22" i="9"/>
  <c r="L67" i="4"/>
  <c r="K31" i="4"/>
  <c r="O177" i="4"/>
  <c r="J37" i="2"/>
  <c r="N42" i="7"/>
  <c r="H110" i="7"/>
  <c r="L95" i="7"/>
  <c r="J39" i="2"/>
  <c r="N235" i="4"/>
  <c r="F91" i="2"/>
  <c r="L69" i="7"/>
  <c r="E172" i="7"/>
  <c r="F207" i="7"/>
  <c r="F35" i="7"/>
  <c r="L153" i="4"/>
  <c r="N133" i="7"/>
  <c r="D33" i="9"/>
  <c r="C240" i="7"/>
  <c r="D205" i="7"/>
  <c r="B145" i="7"/>
  <c r="P41" i="9"/>
  <c r="C148" i="7"/>
  <c r="O69" i="4"/>
  <c r="H94" i="7"/>
  <c r="F65" i="7"/>
  <c r="M233" i="4"/>
  <c r="I32" i="2"/>
  <c r="M95" i="7"/>
  <c r="C208" i="4"/>
  <c r="N87" i="7"/>
  <c r="H198" i="7"/>
  <c r="Q36" i="9"/>
  <c r="N49" i="2"/>
  <c r="L64" i="4"/>
  <c r="AE13" i="9"/>
  <c r="S18" i="9"/>
  <c r="C17" i="9"/>
  <c r="L17" i="7"/>
  <c r="B174" i="7"/>
  <c r="C20" i="9"/>
  <c r="K18" i="4"/>
  <c r="K12" i="4"/>
  <c r="V20" i="2"/>
  <c r="B251" i="7"/>
  <c r="D32" i="7"/>
  <c r="N164" i="4"/>
  <c r="AG49" i="9"/>
  <c r="AI47" i="9"/>
  <c r="P3" i="2"/>
  <c r="AP55" i="9"/>
  <c r="N140" i="4"/>
  <c r="AN76" i="9"/>
  <c r="AH24" i="9"/>
  <c r="N37" i="9"/>
  <c r="D47" i="7"/>
  <c r="AN85" i="9"/>
  <c r="AH67" i="9"/>
  <c r="AE41" i="9"/>
  <c r="N60" i="4"/>
  <c r="L76" i="2"/>
  <c r="D124" i="4"/>
  <c r="I56" i="9"/>
  <c r="K156" i="7"/>
  <c r="N176" i="7"/>
  <c r="G80" i="7"/>
  <c r="B69" i="7"/>
  <c r="K80" i="2"/>
  <c r="Q30" i="7"/>
  <c r="M230" i="7"/>
  <c r="D63" i="9"/>
  <c r="AS49" i="9"/>
  <c r="G140" i="4"/>
  <c r="E37" i="9"/>
  <c r="F233" i="7"/>
  <c r="AH80" i="9"/>
  <c r="C42" i="7"/>
  <c r="AU37" i="9"/>
  <c r="F169" i="4"/>
  <c r="R22" i="4"/>
  <c r="K28" i="4"/>
  <c r="B60" i="7"/>
  <c r="D67" i="7"/>
  <c r="K82" i="2"/>
  <c r="AC24" i="9"/>
  <c r="AI68" i="9"/>
  <c r="K49" i="7"/>
  <c r="N71" i="2"/>
  <c r="R21" i="2"/>
  <c r="AH38" i="9"/>
  <c r="G120" i="4"/>
  <c r="I24" i="9"/>
  <c r="B89" i="7"/>
  <c r="E23" i="9"/>
  <c r="B33" i="4"/>
  <c r="I70" i="9"/>
  <c r="B72" i="2"/>
  <c r="D133" i="4"/>
  <c r="E240" i="7"/>
  <c r="D39" i="9"/>
  <c r="D82" i="2"/>
  <c r="I20" i="9"/>
  <c r="B34" i="4"/>
  <c r="AS34" i="9"/>
  <c r="L54" i="7"/>
  <c r="AH85" i="9"/>
  <c r="F232" i="7"/>
  <c r="F211" i="4"/>
  <c r="N141" i="7"/>
  <c r="AI88" i="9"/>
  <c r="E71" i="9"/>
  <c r="E23" i="4"/>
  <c r="AL42" i="9"/>
  <c r="H123" i="7"/>
  <c r="P55" i="9"/>
  <c r="K197" i="4"/>
  <c r="O48" i="4"/>
  <c r="B68" i="7"/>
  <c r="N67" i="7"/>
  <c r="AO59" i="9"/>
  <c r="Q79" i="2"/>
  <c r="I61" i="7"/>
  <c r="AD83" i="9"/>
  <c r="I69" i="9"/>
  <c r="D66" i="9"/>
  <c r="B187" i="7"/>
  <c r="AK40" i="9"/>
  <c r="K97" i="4"/>
  <c r="S42" i="9"/>
  <c r="E253" i="7"/>
  <c r="G143" i="4"/>
  <c r="G41" i="4"/>
  <c r="F186" i="7"/>
  <c r="H52" i="4"/>
  <c r="B65" i="4"/>
  <c r="E139" i="7"/>
  <c r="P30" i="9"/>
  <c r="E47" i="9"/>
  <c r="H107" i="7"/>
  <c r="L54" i="2"/>
  <c r="E212" i="7"/>
  <c r="L240" i="7"/>
  <c r="L75" i="2"/>
  <c r="F112" i="7"/>
  <c r="G176" i="7"/>
  <c r="G240" i="4"/>
  <c r="T33" i="9"/>
  <c r="AS25" i="9"/>
  <c r="K151" i="7"/>
  <c r="T41" i="4"/>
  <c r="S46" i="9"/>
  <c r="G118" i="4"/>
  <c r="Q45" i="7"/>
  <c r="E90" i="7"/>
  <c r="I25" i="2"/>
  <c r="C26" i="9"/>
  <c r="C70" i="9"/>
  <c r="N239" i="7"/>
  <c r="N56" i="7"/>
  <c r="U53" i="7"/>
  <c r="K232" i="4"/>
  <c r="M72" i="2"/>
  <c r="G237" i="4"/>
  <c r="L86" i="7"/>
  <c r="N120" i="7"/>
  <c r="N165" i="4"/>
  <c r="C205" i="7"/>
  <c r="E26" i="2"/>
  <c r="H149" i="4"/>
  <c r="L201" i="4"/>
  <c r="M221" i="7"/>
  <c r="S31" i="4"/>
  <c r="E41" i="7"/>
  <c r="R41" i="4"/>
  <c r="E69" i="4"/>
  <c r="J65" i="4"/>
  <c r="J29" i="2"/>
  <c r="Q50" i="4"/>
  <c r="J62" i="4"/>
  <c r="N62" i="2"/>
  <c r="M210" i="4"/>
  <c r="O76" i="2"/>
  <c r="D113" i="7"/>
  <c r="J77" i="2"/>
  <c r="H159" i="7"/>
  <c r="Q24" i="7"/>
  <c r="F55" i="2"/>
  <c r="K211" i="7"/>
  <c r="B40" i="9"/>
  <c r="B204" i="7"/>
  <c r="E84" i="2"/>
  <c r="AO83" i="9"/>
  <c r="F158" i="4"/>
  <c r="D253" i="4"/>
  <c r="H28" i="7"/>
  <c r="B117" i="7"/>
  <c r="AR19" i="9"/>
  <c r="K144" i="7"/>
  <c r="G29" i="9"/>
  <c r="M140" i="7"/>
  <c r="R36" i="2"/>
  <c r="I43" i="7"/>
  <c r="K154" i="4"/>
  <c r="E40" i="7"/>
  <c r="E106" i="7"/>
  <c r="N197" i="7"/>
  <c r="K21" i="9"/>
  <c r="L181" i="7"/>
  <c r="K149" i="4"/>
  <c r="O189" i="4"/>
  <c r="B85" i="7"/>
  <c r="F26" i="9"/>
  <c r="N225" i="4"/>
  <c r="AL25" i="9"/>
  <c r="K62" i="7"/>
  <c r="L56" i="9"/>
  <c r="E139" i="4"/>
  <c r="L161" i="7"/>
  <c r="G44" i="7"/>
  <c r="B188" i="7"/>
  <c r="AN66" i="9"/>
  <c r="D76" i="2"/>
  <c r="G221" i="4"/>
  <c r="P37" i="9"/>
  <c r="O53" i="4"/>
  <c r="K83" i="4"/>
  <c r="L123" i="7"/>
  <c r="E165" i="4"/>
  <c r="AG54" i="9"/>
  <c r="C218" i="4"/>
  <c r="P78" i="4"/>
  <c r="AR64" i="9"/>
  <c r="E20" i="4"/>
  <c r="G53" i="9"/>
  <c r="L154" i="4"/>
  <c r="F95" i="4"/>
  <c r="M153" i="7"/>
  <c r="L190" i="7"/>
  <c r="H190" i="7"/>
  <c r="D138" i="4"/>
  <c r="J24" i="9"/>
  <c r="K55" i="7"/>
  <c r="C225" i="4"/>
  <c r="H240" i="7"/>
  <c r="E228" i="4"/>
  <c r="C50" i="7"/>
  <c r="K222" i="7"/>
  <c r="C46" i="9"/>
  <c r="K22" i="9"/>
  <c r="O125" i="4"/>
  <c r="F184" i="7"/>
  <c r="G180" i="7"/>
  <c r="L90" i="2"/>
  <c r="H234" i="7"/>
  <c r="F71" i="4"/>
  <c r="B77" i="9"/>
  <c r="P23" i="4"/>
  <c r="N88" i="9"/>
  <c r="H228" i="4"/>
  <c r="R59" i="2"/>
  <c r="H36" i="2"/>
  <c r="M26" i="7"/>
  <c r="F87" i="2"/>
  <c r="E129" i="4"/>
  <c r="G66" i="9"/>
  <c r="M220" i="7"/>
  <c r="N181" i="7"/>
  <c r="H54" i="9"/>
  <c r="M138" i="7"/>
  <c r="N251" i="7"/>
  <c r="H104" i="4"/>
  <c r="C150" i="4"/>
  <c r="D29" i="9"/>
  <c r="AQ77" i="9"/>
  <c r="AG42" i="9"/>
  <c r="E60" i="4"/>
  <c r="N31" i="2"/>
  <c r="D236" i="4"/>
  <c r="M77" i="7"/>
  <c r="C40" i="2"/>
  <c r="I62" i="2"/>
  <c r="I45" i="7"/>
  <c r="AP41" i="9"/>
  <c r="P24" i="2"/>
  <c r="L43" i="2"/>
  <c r="AL22" i="9"/>
  <c r="J70" i="7"/>
  <c r="J50" i="2"/>
  <c r="H140" i="4"/>
  <c r="S77" i="2"/>
  <c r="E121" i="7"/>
  <c r="H70" i="7"/>
  <c r="AT32" i="9"/>
  <c r="C151" i="7"/>
  <c r="T64" i="2"/>
  <c r="K209" i="7"/>
  <c r="F154" i="4"/>
  <c r="N75" i="7"/>
  <c r="F252" i="7"/>
  <c r="C161" i="7"/>
  <c r="O76" i="7"/>
  <c r="B35" i="9"/>
  <c r="AC60" i="9"/>
  <c r="G241" i="4"/>
  <c r="P78" i="2"/>
  <c r="D110" i="4"/>
  <c r="M228" i="4"/>
  <c r="S25" i="2"/>
  <c r="N136" i="4"/>
  <c r="D59" i="7"/>
  <c r="N232" i="7"/>
  <c r="D149" i="4"/>
  <c r="F100" i="4"/>
  <c r="F230" i="7"/>
  <c r="N248" i="4"/>
  <c r="R60" i="4"/>
  <c r="T23" i="2"/>
  <c r="F99" i="4"/>
  <c r="AR73" i="9"/>
  <c r="K182" i="4"/>
  <c r="I71" i="7"/>
  <c r="AU70" i="9"/>
  <c r="T55" i="4"/>
  <c r="G41" i="2"/>
  <c r="T30" i="4"/>
  <c r="AE48" i="9"/>
  <c r="C61" i="7"/>
  <c r="AP66" i="9"/>
  <c r="D35" i="7"/>
  <c r="H38" i="2"/>
  <c r="B236" i="7"/>
  <c r="B83" i="9"/>
  <c r="K111" i="7"/>
  <c r="Q80" i="4"/>
  <c r="P53" i="4"/>
  <c r="AC36" i="9"/>
  <c r="D75" i="2"/>
  <c r="O235" i="4"/>
  <c r="F171" i="4"/>
  <c r="C179" i="7"/>
  <c r="U44" i="7"/>
  <c r="M194" i="7"/>
  <c r="L73" i="2"/>
  <c r="O204" i="4"/>
  <c r="N34" i="2"/>
  <c r="T58" i="9"/>
  <c r="Q21" i="2"/>
  <c r="P51" i="2"/>
  <c r="G136" i="7"/>
  <c r="L79" i="4"/>
  <c r="F249" i="4"/>
  <c r="B169" i="7"/>
  <c r="S62" i="9"/>
  <c r="E243" i="7"/>
  <c r="E75" i="4"/>
  <c r="AD87" i="9"/>
  <c r="N156" i="7"/>
  <c r="AN63" i="9"/>
  <c r="D214" i="7"/>
  <c r="AL24" i="9"/>
  <c r="H73" i="7"/>
  <c r="F173" i="7"/>
  <c r="N126" i="7"/>
  <c r="AV49" i="9"/>
  <c r="R27" i="2"/>
  <c r="N84" i="4"/>
  <c r="D238" i="4"/>
  <c r="D245" i="7"/>
  <c r="E38" i="4"/>
  <c r="D240" i="4"/>
  <c r="AR63" i="9"/>
  <c r="D37" i="4"/>
  <c r="N84" i="7"/>
  <c r="G213" i="4"/>
  <c r="E52" i="9"/>
  <c r="AS38" i="9"/>
  <c r="J69" i="7"/>
  <c r="AG29" i="9"/>
  <c r="M36" i="2"/>
  <c r="E221" i="7"/>
  <c r="D147" i="4"/>
  <c r="AH31" i="9"/>
  <c r="G173" i="4"/>
  <c r="Q71" i="2"/>
  <c r="O246" i="4"/>
  <c r="AE82" i="9"/>
  <c r="R29" i="4"/>
  <c r="O41" i="7"/>
  <c r="F37" i="4"/>
  <c r="K24" i="4"/>
  <c r="C251" i="4"/>
  <c r="H48" i="4"/>
  <c r="S22" i="2"/>
  <c r="AP40" i="9"/>
  <c r="K157" i="4"/>
  <c r="B182" i="7"/>
  <c r="J67" i="2"/>
  <c r="L91" i="7"/>
  <c r="N54" i="4"/>
  <c r="L82" i="7"/>
  <c r="H223" i="7"/>
  <c r="B97" i="7"/>
  <c r="M148" i="4"/>
  <c r="G87" i="2"/>
  <c r="K202" i="4"/>
  <c r="H115" i="4"/>
  <c r="I60" i="4"/>
  <c r="AF69" i="9"/>
  <c r="L122" i="7"/>
  <c r="D85" i="2"/>
  <c r="K37" i="2"/>
  <c r="Q56" i="7"/>
  <c r="AD56" i="9"/>
  <c r="L156" i="7"/>
  <c r="R30" i="4"/>
  <c r="U62" i="7"/>
  <c r="L170" i="7"/>
  <c r="AE26" i="9"/>
  <c r="I65" i="7"/>
  <c r="P65" i="7"/>
  <c r="T54" i="4"/>
  <c r="F236" i="7"/>
  <c r="C161" i="4"/>
  <c r="AJ48" i="9"/>
  <c r="O46" i="2"/>
  <c r="G215" i="7"/>
  <c r="E122" i="7"/>
  <c r="D62" i="2"/>
  <c r="C159" i="4"/>
  <c r="E232" i="4"/>
  <c r="B61" i="2"/>
  <c r="H150" i="4"/>
  <c r="D79" i="9"/>
  <c r="K60" i="7"/>
  <c r="I45" i="9"/>
  <c r="O88" i="2"/>
  <c r="E31" i="4"/>
  <c r="H108" i="4"/>
  <c r="T31" i="2"/>
  <c r="F200" i="4"/>
  <c r="S30" i="4"/>
  <c r="E148" i="7"/>
  <c r="B34" i="2"/>
  <c r="H163" i="4"/>
  <c r="G128" i="4"/>
  <c r="R42" i="2"/>
  <c r="B15" i="10"/>
  <c r="B36" i="7"/>
  <c r="S70" i="4"/>
  <c r="Q72" i="4"/>
  <c r="AI84" i="9"/>
  <c r="Q86" i="2"/>
  <c r="E124" i="7"/>
  <c r="T65" i="7"/>
  <c r="E32" i="4"/>
  <c r="N44" i="2"/>
  <c r="N109" i="4"/>
  <c r="L149" i="7"/>
  <c r="E21" i="2"/>
  <c r="O153" i="4"/>
  <c r="S37" i="4"/>
  <c r="N44" i="7"/>
  <c r="H202" i="4"/>
  <c r="L51" i="7"/>
  <c r="H211" i="7"/>
  <c r="H181" i="7"/>
  <c r="L70" i="4"/>
  <c r="F204" i="4"/>
  <c r="F85" i="4"/>
  <c r="G188" i="7"/>
  <c r="AC63" i="9"/>
  <c r="C129" i="7"/>
  <c r="F218" i="4"/>
  <c r="U53" i="4"/>
  <c r="E165" i="7"/>
  <c r="B77" i="2"/>
  <c r="O82" i="2"/>
  <c r="D146" i="7"/>
  <c r="D76" i="7"/>
  <c r="M144" i="4"/>
  <c r="G198" i="4"/>
  <c r="L62" i="2"/>
  <c r="D88" i="2"/>
  <c r="M39" i="9"/>
  <c r="J30" i="4"/>
  <c r="E206" i="4"/>
  <c r="F203" i="7"/>
  <c r="N209" i="7"/>
  <c r="F54" i="7"/>
  <c r="D87" i="4"/>
  <c r="N107" i="4"/>
  <c r="P66" i="7"/>
  <c r="L161" i="4"/>
  <c r="L187" i="4"/>
  <c r="M80" i="9"/>
  <c r="N183" i="4"/>
  <c r="C69" i="4"/>
  <c r="O198" i="4"/>
  <c r="AS32" i="9"/>
  <c r="AE84" i="9"/>
  <c r="F64" i="2"/>
  <c r="F139" i="4"/>
  <c r="M191" i="4"/>
  <c r="D119" i="7"/>
  <c r="F56" i="2"/>
  <c r="U48" i="7"/>
  <c r="N152" i="4"/>
  <c r="B60" i="9"/>
  <c r="C55" i="9"/>
  <c r="J82" i="4"/>
  <c r="R82" i="4"/>
  <c r="L55" i="4"/>
  <c r="D155" i="7"/>
  <c r="H101" i="7"/>
  <c r="I53" i="2"/>
  <c r="G36" i="4"/>
  <c r="M149" i="4"/>
  <c r="H77" i="2"/>
  <c r="S37" i="2"/>
  <c r="S44" i="4"/>
  <c r="AT19" i="9"/>
  <c r="M74" i="4"/>
  <c r="H76" i="7"/>
  <c r="E91" i="2"/>
  <c r="K231" i="7"/>
  <c r="F77" i="4"/>
  <c r="K54" i="2"/>
  <c r="H40" i="4"/>
  <c r="O172" i="4"/>
  <c r="H186" i="7"/>
  <c r="F175" i="4"/>
  <c r="M93" i="7"/>
  <c r="F38" i="4"/>
  <c r="K48" i="4"/>
  <c r="P35" i="4"/>
  <c r="Q67" i="4"/>
  <c r="B121" i="7"/>
  <c r="I71" i="2"/>
  <c r="M222" i="4"/>
  <c r="H226" i="4"/>
  <c r="N135" i="4"/>
  <c r="M135" i="7"/>
  <c r="T48" i="4"/>
  <c r="Q46" i="9"/>
  <c r="B85" i="4"/>
  <c r="G150" i="7"/>
  <c r="L82" i="2"/>
  <c r="E137" i="4"/>
  <c r="F155" i="7"/>
  <c r="D220" i="7"/>
  <c r="P39" i="7"/>
  <c r="O51" i="4"/>
  <c r="E214" i="4"/>
  <c r="D253" i="7"/>
  <c r="N175" i="7"/>
  <c r="K74" i="7"/>
  <c r="L141" i="7"/>
  <c r="K167" i="7"/>
  <c r="G67" i="4"/>
  <c r="AF42" i="9"/>
  <c r="H249" i="4"/>
  <c r="H78" i="2"/>
  <c r="R51" i="7"/>
  <c r="G101" i="7"/>
  <c r="F220" i="4"/>
  <c r="M161" i="4"/>
  <c r="T49" i="4"/>
  <c r="H212" i="4"/>
  <c r="G80" i="2"/>
  <c r="AC35" i="9"/>
  <c r="C77" i="7"/>
  <c r="L212" i="4"/>
  <c r="D192" i="4"/>
  <c r="O159" i="4"/>
  <c r="M87" i="9"/>
  <c r="AP69" i="9"/>
  <c r="K131" i="7"/>
  <c r="D32" i="9"/>
  <c r="C148" i="4"/>
  <c r="T21" i="2"/>
  <c r="G138" i="7"/>
  <c r="T41" i="2"/>
  <c r="G190" i="7"/>
  <c r="G109" i="7"/>
  <c r="N113" i="4"/>
  <c r="K205" i="7"/>
  <c r="C44" i="4"/>
  <c r="U52" i="2"/>
  <c r="U21" i="9"/>
  <c r="F82" i="4"/>
  <c r="K211" i="4"/>
  <c r="D93" i="4"/>
  <c r="G149" i="7"/>
  <c r="AN54" i="9"/>
  <c r="Q44" i="7"/>
  <c r="C158" i="4"/>
  <c r="C115" i="4"/>
  <c r="K131" i="4"/>
  <c r="K62" i="2"/>
  <c r="F69" i="7"/>
  <c r="T33" i="4"/>
  <c r="F223" i="4"/>
  <c r="D96" i="7"/>
  <c r="B195" i="7"/>
  <c r="O84" i="2"/>
  <c r="N240" i="4"/>
  <c r="N80" i="9"/>
  <c r="C39" i="9"/>
  <c r="H40" i="9"/>
  <c r="E50" i="9"/>
  <c r="F97" i="7"/>
  <c r="L129" i="4"/>
  <c r="R59" i="4"/>
  <c r="M85" i="2"/>
  <c r="F193" i="7"/>
  <c r="C86" i="2"/>
  <c r="F247" i="4"/>
  <c r="G249" i="7"/>
  <c r="J49" i="4"/>
  <c r="P87" i="2"/>
  <c r="D242" i="4"/>
  <c r="N29" i="4"/>
  <c r="S78" i="2"/>
  <c r="B57" i="2"/>
  <c r="N73" i="2"/>
  <c r="J45" i="2"/>
  <c r="M137" i="7"/>
  <c r="L88" i="2"/>
  <c r="J33" i="7"/>
  <c r="J38" i="9"/>
  <c r="F23" i="9"/>
  <c r="M22" i="2"/>
  <c r="J63" i="2"/>
  <c r="E20" i="9"/>
  <c r="AJ54" i="9"/>
  <c r="N55" i="7"/>
  <c r="K135" i="4"/>
  <c r="B58" i="4"/>
  <c r="O134" i="4"/>
  <c r="M248" i="7"/>
  <c r="G60" i="4"/>
  <c r="H55" i="4"/>
  <c r="B137" i="7"/>
  <c r="F80" i="2"/>
  <c r="AE88" i="9"/>
  <c r="M207" i="4"/>
  <c r="G75" i="9"/>
  <c r="R46" i="2"/>
  <c r="N234" i="4"/>
  <c r="Q54" i="7"/>
  <c r="D206" i="7"/>
  <c r="C208" i="7"/>
  <c r="J24" i="2"/>
  <c r="G187" i="4"/>
  <c r="F232" i="4"/>
  <c r="J34" i="4"/>
  <c r="G207" i="7"/>
  <c r="M60" i="4"/>
  <c r="S68" i="4"/>
  <c r="R34" i="2"/>
  <c r="D153" i="4"/>
  <c r="O113" i="4"/>
  <c r="H80" i="4"/>
  <c r="R33" i="7"/>
  <c r="F139" i="7"/>
  <c r="C65" i="4"/>
  <c r="C36" i="2"/>
  <c r="C146" i="4"/>
  <c r="T33" i="2"/>
  <c r="D64" i="2"/>
  <c r="F158" i="7"/>
  <c r="F60" i="9"/>
  <c r="K191" i="7"/>
  <c r="I81" i="2"/>
  <c r="Q67" i="2"/>
  <c r="O56" i="2"/>
  <c r="B238" i="7"/>
  <c r="D85" i="4"/>
  <c r="K107" i="4"/>
  <c r="D173" i="7"/>
  <c r="AJ51" i="9"/>
  <c r="Q29" i="4"/>
  <c r="H211" i="4"/>
  <c r="F70" i="2"/>
  <c r="G162" i="7"/>
  <c r="AJ37" i="9"/>
  <c r="E61" i="7"/>
  <c r="O132" i="4"/>
  <c r="N169" i="4"/>
  <c r="I73" i="7"/>
  <c r="C40" i="4"/>
  <c r="N159" i="7"/>
  <c r="S51" i="4"/>
  <c r="E135" i="4"/>
  <c r="P60" i="7"/>
  <c r="J35" i="9"/>
  <c r="F149" i="7"/>
  <c r="N245" i="7"/>
  <c r="T69" i="4"/>
  <c r="F241" i="7"/>
  <c r="G223" i="7"/>
  <c r="F56" i="4"/>
  <c r="B28" i="2"/>
  <c r="R68" i="7"/>
  <c r="M207" i="7"/>
  <c r="T73" i="2"/>
  <c r="K3" i="4"/>
  <c r="K207" i="4"/>
  <c r="C160" i="4"/>
  <c r="N158" i="4"/>
  <c r="Q65" i="4"/>
  <c r="O46" i="4"/>
  <c r="M47" i="4"/>
  <c r="L246" i="7"/>
  <c r="L210" i="7"/>
  <c r="P70" i="9"/>
  <c r="H148" i="4"/>
  <c r="R28" i="9"/>
  <c r="N32" i="4"/>
  <c r="N96" i="7"/>
  <c r="AE80" i="9"/>
  <c r="N61" i="4"/>
  <c r="N123" i="4"/>
  <c r="E26" i="7"/>
  <c r="N187" i="7"/>
  <c r="M229" i="4"/>
  <c r="J22" i="2"/>
  <c r="K119" i="7"/>
  <c r="E188" i="4"/>
  <c r="L188" i="7"/>
  <c r="D20" i="9"/>
  <c r="C170" i="4"/>
  <c r="B249" i="7"/>
  <c r="F190" i="4"/>
  <c r="M222" i="7"/>
  <c r="G141" i="7"/>
  <c r="J71" i="4"/>
  <c r="H131" i="4"/>
  <c r="I51" i="4"/>
  <c r="AC39" i="9"/>
  <c r="L65" i="7"/>
  <c r="B31" i="2"/>
  <c r="L242" i="4"/>
  <c r="E44" i="2"/>
  <c r="AV33" i="9"/>
  <c r="S51" i="7"/>
  <c r="L68" i="2"/>
  <c r="D216" i="4"/>
  <c r="AL29" i="9"/>
  <c r="F94" i="4"/>
  <c r="H43" i="7"/>
  <c r="R67" i="7"/>
  <c r="AR20" i="9"/>
  <c r="K42" i="2"/>
  <c r="H155" i="4"/>
  <c r="G223" i="4"/>
  <c r="K52" i="7"/>
  <c r="K184" i="7"/>
  <c r="F217" i="7"/>
  <c r="E44" i="9"/>
  <c r="H187" i="4"/>
  <c r="N26" i="2"/>
  <c r="L85" i="2"/>
  <c r="L77" i="2"/>
  <c r="M249" i="4"/>
  <c r="M197" i="7"/>
  <c r="AG52" i="9"/>
  <c r="O75" i="4"/>
  <c r="AD25" i="9"/>
  <c r="L223" i="4"/>
  <c r="H59" i="4"/>
  <c r="AP21" i="9"/>
  <c r="N71" i="7"/>
  <c r="L168" i="4"/>
  <c r="C56" i="2"/>
  <c r="N242" i="4"/>
  <c r="B64" i="9"/>
  <c r="F129" i="4"/>
  <c r="C63" i="2"/>
  <c r="M60" i="7"/>
  <c r="AC71" i="9"/>
  <c r="K53" i="2"/>
  <c r="M78" i="4"/>
  <c r="I46" i="2"/>
  <c r="C168" i="4"/>
  <c r="H201" i="7"/>
  <c r="G166" i="7"/>
  <c r="G76" i="4"/>
  <c r="D34" i="2"/>
  <c r="C32" i="9"/>
  <c r="AO54" i="9"/>
  <c r="M166" i="4"/>
  <c r="K136" i="4"/>
  <c r="P41" i="4"/>
  <c r="AN30" i="9"/>
  <c r="L66" i="9"/>
  <c r="R71" i="4"/>
  <c r="I91" i="2"/>
  <c r="J56" i="2"/>
  <c r="I78" i="4"/>
  <c r="L63" i="7"/>
  <c r="AQ24" i="9"/>
  <c r="H36" i="4"/>
  <c r="O73" i="4"/>
  <c r="AR35" i="9"/>
  <c r="K240" i="4"/>
  <c r="M181" i="7"/>
  <c r="B48" i="2"/>
  <c r="Q48" i="4"/>
  <c r="D168" i="7"/>
  <c r="H41" i="2"/>
  <c r="C244" i="7"/>
  <c r="G77" i="2"/>
  <c r="AC52" i="9"/>
  <c r="E231" i="4"/>
  <c r="L231" i="4"/>
  <c r="B177" i="7"/>
  <c r="M54" i="9"/>
  <c r="M140" i="4"/>
  <c r="F180" i="7"/>
  <c r="B139" i="7"/>
  <c r="B52" i="7"/>
  <c r="K65" i="2"/>
  <c r="B110" i="7"/>
  <c r="L74" i="2"/>
  <c r="AD60" i="9"/>
  <c r="U68" i="2"/>
  <c r="M233" i="7"/>
  <c r="F140" i="7"/>
  <c r="F193" i="4"/>
  <c r="E155" i="7"/>
  <c r="AK63" i="9"/>
  <c r="G62" i="7"/>
  <c r="F166" i="4"/>
  <c r="C166" i="4"/>
  <c r="S63" i="2"/>
  <c r="M212" i="7"/>
  <c r="O217" i="4"/>
  <c r="B241" i="7"/>
  <c r="N41" i="7"/>
  <c r="F206" i="7"/>
  <c r="L84" i="7"/>
  <c r="L100" i="4"/>
  <c r="L30" i="2"/>
  <c r="E49" i="7"/>
  <c r="N197" i="4"/>
  <c r="I69" i="7"/>
  <c r="C74" i="7"/>
  <c r="N80" i="7"/>
  <c r="D118" i="7"/>
  <c r="Q60" i="4"/>
  <c r="H217" i="4"/>
  <c r="K63" i="7"/>
  <c r="G42" i="2"/>
  <c r="C118" i="7"/>
  <c r="P90" i="2"/>
  <c r="K44" i="7"/>
  <c r="K212" i="7"/>
  <c r="N81" i="2"/>
  <c r="AW20" i="9"/>
  <c r="C84" i="4"/>
  <c r="N194" i="4"/>
  <c r="F85" i="9"/>
  <c r="B54" i="9"/>
  <c r="M71" i="4"/>
  <c r="T31" i="4"/>
  <c r="D24" i="9"/>
  <c r="R44" i="9"/>
  <c r="S29" i="2"/>
  <c r="AV55" i="9"/>
  <c r="C81" i="2"/>
  <c r="T57" i="9"/>
  <c r="M89" i="2"/>
  <c r="R87" i="4"/>
  <c r="G61" i="7"/>
  <c r="J31" i="4"/>
  <c r="AM23" i="9"/>
  <c r="L160" i="4"/>
  <c r="AJ24" i="9"/>
  <c r="N41" i="2"/>
  <c r="S29" i="9"/>
  <c r="S51" i="2"/>
  <c r="B59" i="2"/>
  <c r="H214" i="7"/>
  <c r="D79" i="4"/>
  <c r="F61" i="7"/>
  <c r="F184" i="4"/>
  <c r="F228" i="4"/>
  <c r="K75" i="4"/>
  <c r="F176" i="4"/>
  <c r="D145" i="7"/>
  <c r="C222" i="4"/>
  <c r="F29" i="2"/>
  <c r="C31" i="4"/>
  <c r="E148" i="4"/>
  <c r="B47" i="7"/>
  <c r="K209" i="4"/>
  <c r="N198" i="4"/>
  <c r="H127" i="7"/>
  <c r="R50" i="2"/>
  <c r="Q71" i="4"/>
  <c r="R55" i="4"/>
  <c r="M88" i="7"/>
  <c r="K70" i="2"/>
  <c r="E110" i="7"/>
  <c r="J57" i="4"/>
  <c r="C82" i="2"/>
  <c r="M241" i="7"/>
  <c r="M221" i="4"/>
  <c r="G244" i="4"/>
  <c r="B41" i="2"/>
  <c r="N53" i="4"/>
  <c r="K100" i="7"/>
  <c r="C130" i="4"/>
  <c r="H209" i="7"/>
  <c r="R53" i="4"/>
  <c r="AK35" i="9"/>
  <c r="AC68" i="9"/>
  <c r="B146" i="7"/>
  <c r="AN74" i="9"/>
  <c r="P32" i="7"/>
  <c r="Q77" i="2"/>
  <c r="D166" i="7"/>
  <c r="C237" i="7"/>
  <c r="S46" i="4"/>
  <c r="L244" i="7"/>
  <c r="L227" i="4"/>
  <c r="F108" i="4"/>
  <c r="P38" i="7"/>
  <c r="D24" i="4"/>
  <c r="B198" i="7"/>
  <c r="I55" i="9"/>
  <c r="F230" i="4"/>
  <c r="R44" i="7"/>
  <c r="I29" i="9"/>
  <c r="B83" i="7"/>
  <c r="O219" i="4"/>
  <c r="D125" i="7"/>
  <c r="M190" i="7"/>
  <c r="K80" i="4"/>
  <c r="L125" i="7"/>
  <c r="J68" i="7"/>
  <c r="R41" i="2"/>
  <c r="S39" i="2"/>
  <c r="J32" i="2"/>
  <c r="H137" i="4"/>
  <c r="G204" i="4"/>
  <c r="L102" i="4"/>
  <c r="B229" i="7"/>
  <c r="J61" i="7"/>
  <c r="U62" i="2"/>
  <c r="D183" i="7"/>
  <c r="G90" i="7"/>
  <c r="G67" i="7"/>
  <c r="N59" i="7"/>
  <c r="L133" i="7"/>
  <c r="B233" i="7"/>
  <c r="P47" i="7"/>
  <c r="H179" i="7"/>
  <c r="B245" i="7"/>
  <c r="S21" i="9"/>
  <c r="G185" i="4"/>
  <c r="O96" i="4"/>
  <c r="M104" i="7"/>
  <c r="E146" i="4"/>
  <c r="T59" i="2"/>
  <c r="D55" i="7"/>
  <c r="M210" i="7"/>
  <c r="M37" i="4"/>
  <c r="M109" i="4"/>
  <c r="F107" i="4"/>
  <c r="E102" i="4"/>
  <c r="E68" i="9"/>
  <c r="F135" i="7"/>
  <c r="C147" i="7"/>
  <c r="I68" i="2"/>
  <c r="Q44" i="2"/>
  <c r="H93" i="4"/>
  <c r="I80" i="4"/>
  <c r="H253" i="7"/>
  <c r="E26" i="4"/>
  <c r="I61" i="9"/>
  <c r="E240" i="4"/>
  <c r="N28" i="4"/>
  <c r="AF44" i="9"/>
  <c r="D36" i="7"/>
  <c r="D221" i="4"/>
  <c r="H104" i="7"/>
  <c r="K196" i="4"/>
  <c r="I51" i="9"/>
  <c r="H209" i="4"/>
  <c r="N246" i="4"/>
  <c r="F146" i="4"/>
  <c r="L188" i="4"/>
  <c r="AU48" i="9"/>
  <c r="L66" i="4"/>
  <c r="L36" i="2"/>
  <c r="F70" i="9"/>
  <c r="C249" i="4"/>
  <c r="AE38" i="9"/>
  <c r="D154" i="7"/>
  <c r="H246" i="7"/>
  <c r="L200" i="7"/>
  <c r="M71" i="9"/>
  <c r="U76" i="2"/>
  <c r="C150" i="7"/>
  <c r="I56" i="2"/>
  <c r="K165" i="4"/>
  <c r="H45" i="2"/>
  <c r="K228" i="4"/>
  <c r="E191" i="4"/>
  <c r="E138" i="7"/>
  <c r="M169" i="7"/>
  <c r="Q47" i="2"/>
  <c r="C33" i="4"/>
  <c r="O251" i="4"/>
  <c r="L148" i="7"/>
  <c r="E57" i="2"/>
  <c r="M122" i="7"/>
  <c r="H169" i="7"/>
  <c r="C209" i="4"/>
  <c r="M55" i="4"/>
  <c r="G173" i="7"/>
  <c r="F93" i="7"/>
  <c r="L219" i="7"/>
  <c r="P81" i="2"/>
  <c r="N36" i="7"/>
  <c r="R73" i="4"/>
  <c r="L222" i="7"/>
  <c r="G92" i="4"/>
  <c r="N63" i="2"/>
  <c r="D55" i="9"/>
  <c r="L213" i="7"/>
  <c r="I41" i="9"/>
  <c r="M33" i="4"/>
  <c r="L140" i="4"/>
  <c r="M243" i="4"/>
  <c r="G172" i="4"/>
  <c r="AL23" i="9"/>
  <c r="AN52" i="9"/>
  <c r="L19" i="9"/>
  <c r="L170" i="4"/>
  <c r="O36" i="7"/>
  <c r="N106" i="4"/>
  <c r="C80" i="4"/>
  <c r="L23" i="2"/>
  <c r="M139" i="4"/>
  <c r="M68" i="9"/>
  <c r="D204" i="4"/>
  <c r="D131" i="4"/>
  <c r="Q51" i="7"/>
  <c r="N131" i="7"/>
  <c r="H82" i="2"/>
  <c r="M231" i="7"/>
  <c r="C147" i="4"/>
  <c r="H64" i="4"/>
  <c r="C167" i="4"/>
  <c r="E118" i="7"/>
  <c r="AX15" i="9"/>
  <c r="J17" i="9"/>
  <c r="T18" i="2"/>
  <c r="J17" i="2"/>
  <c r="E16" i="9"/>
  <c r="I48" i="9"/>
  <c r="E14" i="9"/>
  <c r="T26" i="7"/>
  <c r="D64" i="9"/>
  <c r="AH19" i="9"/>
  <c r="AN45" i="9"/>
  <c r="R20" i="4"/>
  <c r="L73" i="9"/>
  <c r="O178" i="4"/>
  <c r="AG79" i="9"/>
  <c r="H230" i="7"/>
  <c r="I3" i="4"/>
  <c r="C41" i="9"/>
  <c r="AU35" i="9"/>
  <c r="T39" i="7"/>
  <c r="AF82" i="9"/>
  <c r="AO34" i="9"/>
  <c r="C23" i="7"/>
  <c r="H92" i="7"/>
  <c r="H218" i="7"/>
  <c r="B25" i="9"/>
  <c r="AE79" i="9"/>
  <c r="N77" i="9"/>
  <c r="S26" i="9"/>
  <c r="C185" i="4"/>
  <c r="B67" i="9"/>
  <c r="S62" i="2"/>
  <c r="AK54" i="9"/>
  <c r="AH46" i="9"/>
  <c r="P26" i="4"/>
  <c r="D239" i="7"/>
  <c r="E114" i="7"/>
  <c r="B26" i="9"/>
  <c r="AR67" i="9"/>
  <c r="L67" i="9"/>
  <c r="B68" i="4"/>
  <c r="AL46" i="9"/>
  <c r="U30" i="2"/>
  <c r="N84" i="9"/>
  <c r="N127" i="7"/>
  <c r="O19" i="9"/>
  <c r="C216" i="7"/>
  <c r="AE34" i="9"/>
  <c r="O171" i="4"/>
  <c r="V20" i="4"/>
  <c r="C38" i="9"/>
  <c r="F84" i="2"/>
  <c r="C141" i="7"/>
  <c r="L64" i="9"/>
  <c r="D100" i="7"/>
  <c r="I23" i="7"/>
  <c r="E93" i="7"/>
  <c r="F87" i="7"/>
  <c r="M150" i="4"/>
  <c r="AC27" i="9"/>
  <c r="F164" i="4"/>
  <c r="H34" i="4"/>
  <c r="AH88" i="9"/>
  <c r="M234" i="7"/>
  <c r="P51" i="7"/>
  <c r="L28" i="9"/>
  <c r="H40" i="7"/>
  <c r="O139" i="4"/>
  <c r="H212" i="7"/>
  <c r="F134" i="7"/>
  <c r="G44" i="2"/>
  <c r="U26" i="2"/>
  <c r="M35" i="4"/>
  <c r="AV28" i="9"/>
  <c r="S41" i="2"/>
  <c r="AG37" i="9"/>
  <c r="F79" i="4"/>
  <c r="C35" i="2"/>
  <c r="L49" i="7"/>
  <c r="T25" i="7"/>
  <c r="R28" i="2"/>
  <c r="AH61" i="9"/>
  <c r="F35" i="9"/>
  <c r="AV44" i="9"/>
  <c r="L46" i="9"/>
  <c r="AD80" i="9"/>
  <c r="AF24" i="9"/>
  <c r="B11" i="10"/>
  <c r="D25" i="7"/>
  <c r="AG23" i="9"/>
  <c r="D74" i="4"/>
  <c r="AI61" i="9"/>
  <c r="AX20" i="9"/>
  <c r="I26" i="4"/>
  <c r="H30" i="9"/>
  <c r="AS24" i="9"/>
  <c r="D69" i="7"/>
  <c r="M225" i="7"/>
  <c r="B225" i="7"/>
  <c r="J27" i="7"/>
  <c r="N78" i="9"/>
  <c r="G54" i="2"/>
  <c r="L24" i="7"/>
  <c r="G24" i="2"/>
  <c r="AU47" i="9"/>
  <c r="J74" i="2"/>
  <c r="Q84" i="4"/>
  <c r="T20" i="4"/>
  <c r="D248" i="7"/>
  <c r="S73" i="4"/>
  <c r="R61" i="7"/>
  <c r="T24" i="2"/>
  <c r="N110" i="4"/>
  <c r="F82" i="9"/>
  <c r="R49" i="2"/>
  <c r="L127" i="4"/>
  <c r="I36" i="9"/>
  <c r="B84" i="9"/>
  <c r="N36" i="9"/>
  <c r="C196" i="7"/>
  <c r="I81" i="4"/>
  <c r="G70" i="2"/>
  <c r="E204" i="4"/>
  <c r="D61" i="2"/>
  <c r="O141" i="4"/>
  <c r="M155" i="4"/>
  <c r="O50" i="9"/>
  <c r="J85" i="2"/>
  <c r="F52" i="2"/>
  <c r="L182" i="7"/>
  <c r="F191" i="4"/>
  <c r="O59" i="2"/>
  <c r="E216" i="7"/>
  <c r="O35" i="4"/>
  <c r="G38" i="9"/>
  <c r="U42" i="2"/>
  <c r="H56" i="4"/>
  <c r="F45" i="9"/>
  <c r="I66" i="4"/>
  <c r="H75" i="7"/>
  <c r="Q42" i="7"/>
  <c r="AR57" i="9"/>
  <c r="H47" i="4"/>
  <c r="H35" i="9"/>
  <c r="T40" i="2"/>
  <c r="C79" i="4"/>
  <c r="K98" i="7"/>
  <c r="D112" i="7"/>
  <c r="D197" i="4"/>
  <c r="AE31" i="9"/>
  <c r="R56" i="4"/>
  <c r="K40" i="9"/>
  <c r="Q48" i="7"/>
  <c r="F79" i="2"/>
  <c r="K220" i="4"/>
  <c r="N150" i="7"/>
  <c r="H241" i="4"/>
  <c r="N97" i="7"/>
  <c r="H210" i="4"/>
  <c r="S23" i="9"/>
  <c r="J65" i="7"/>
  <c r="AI53" i="9"/>
  <c r="G99" i="4"/>
  <c r="G82" i="2"/>
  <c r="L22" i="2"/>
  <c r="R37" i="4"/>
  <c r="K142" i="7"/>
  <c r="O38" i="7"/>
  <c r="C224" i="4"/>
  <c r="N81" i="9"/>
  <c r="O212" i="4"/>
  <c r="H236" i="7"/>
  <c r="D111" i="7"/>
  <c r="E75" i="7"/>
  <c r="E58" i="4"/>
  <c r="K79" i="4"/>
  <c r="S36" i="2"/>
  <c r="K23" i="7"/>
  <c r="H81" i="4"/>
  <c r="M165" i="4"/>
  <c r="R68" i="4"/>
  <c r="G84" i="9"/>
  <c r="E144" i="7"/>
  <c r="L241" i="7"/>
  <c r="G93" i="7"/>
  <c r="T32" i="7"/>
  <c r="G104" i="4"/>
  <c r="J49" i="2"/>
  <c r="E143" i="7"/>
  <c r="M229" i="7"/>
  <c r="AQ76" i="9"/>
  <c r="C189" i="7"/>
  <c r="B42" i="7"/>
  <c r="H251" i="4"/>
  <c r="C60" i="9"/>
  <c r="O196" i="4"/>
  <c r="L234" i="7"/>
  <c r="O29" i="7"/>
  <c r="C156" i="4"/>
  <c r="D35" i="9"/>
  <c r="L72" i="2"/>
  <c r="E179" i="7"/>
  <c r="E131" i="4"/>
  <c r="I86" i="2"/>
  <c r="B155" i="7"/>
  <c r="C117" i="4"/>
  <c r="N230" i="7"/>
  <c r="AH86" i="9"/>
  <c r="O222" i="4"/>
  <c r="H83" i="2"/>
  <c r="R42" i="7"/>
  <c r="H232" i="7"/>
  <c r="G146" i="7"/>
  <c r="G22" i="2"/>
  <c r="H36" i="9"/>
  <c r="C34" i="4"/>
  <c r="O216" i="4"/>
  <c r="L124" i="4"/>
  <c r="S60" i="7"/>
  <c r="H88" i="9"/>
  <c r="M46" i="4"/>
  <c r="N47" i="7"/>
  <c r="G172" i="7"/>
  <c r="E98" i="7"/>
  <c r="S34" i="4"/>
  <c r="G159" i="4"/>
  <c r="M65" i="4"/>
  <c r="M157" i="7"/>
  <c r="G40" i="2"/>
  <c r="G238" i="7"/>
  <c r="B60" i="4"/>
  <c r="C131" i="4"/>
  <c r="N79" i="2"/>
  <c r="F173" i="4"/>
  <c r="G201" i="4"/>
  <c r="N78" i="2"/>
  <c r="B23" i="9"/>
  <c r="D197" i="7"/>
  <c r="Q81" i="2"/>
  <c r="D64" i="4"/>
  <c r="H60" i="2"/>
  <c r="F92" i="4"/>
  <c r="T60" i="9"/>
  <c r="H70" i="4"/>
  <c r="E156" i="4"/>
  <c r="G163" i="4"/>
  <c r="Q40" i="9"/>
  <c r="C211" i="7"/>
  <c r="F215" i="7"/>
  <c r="H84" i="4"/>
  <c r="S49" i="9"/>
  <c r="G239" i="7"/>
  <c r="B80" i="2"/>
  <c r="J22" i="9"/>
  <c r="S3" i="4"/>
  <c r="O175" i="4"/>
  <c r="M127" i="4"/>
  <c r="G138" i="4"/>
  <c r="C121" i="7"/>
  <c r="G196" i="7"/>
  <c r="B46" i="2"/>
  <c r="K147" i="7"/>
  <c r="K144" i="4"/>
  <c r="E173" i="4"/>
  <c r="D83" i="9"/>
  <c r="B82" i="9"/>
  <c r="P85" i="4"/>
  <c r="AF21" i="9"/>
  <c r="H58" i="2"/>
  <c r="O37" i="7"/>
  <c r="H106" i="4"/>
  <c r="I24" i="4"/>
  <c r="L31" i="9"/>
  <c r="L131" i="4"/>
  <c r="K71" i="7"/>
  <c r="E42" i="9"/>
  <c r="D53" i="2"/>
  <c r="D120" i="7"/>
  <c r="L41" i="9"/>
  <c r="E203" i="7"/>
  <c r="G23" i="2"/>
  <c r="E39" i="7"/>
  <c r="O49" i="2"/>
  <c r="N208" i="7"/>
  <c r="J35" i="4"/>
  <c r="U57" i="7"/>
  <c r="S58" i="2"/>
  <c r="H144" i="4"/>
  <c r="N184" i="7"/>
  <c r="F19" i="7"/>
  <c r="F88" i="7"/>
  <c r="Q27" i="4"/>
  <c r="H229" i="7"/>
  <c r="M127" i="7"/>
  <c r="N67" i="4"/>
  <c r="AP24" i="9"/>
  <c r="H32" i="4"/>
  <c r="O37" i="4"/>
  <c r="F81" i="4"/>
  <c r="S47" i="9"/>
  <c r="Q76" i="2"/>
  <c r="H183" i="7"/>
  <c r="L187" i="7"/>
  <c r="AG87" i="9"/>
  <c r="M58" i="9"/>
  <c r="N189" i="7"/>
  <c r="B22" i="2"/>
  <c r="C176" i="4"/>
  <c r="M27" i="9"/>
  <c r="P69" i="2"/>
  <c r="L86" i="2"/>
  <c r="L80" i="2"/>
  <c r="O183" i="4"/>
  <c r="D40" i="4"/>
  <c r="J32" i="7"/>
  <c r="M54" i="7"/>
  <c r="M158" i="4"/>
  <c r="E22" i="4"/>
  <c r="L244" i="4"/>
  <c r="R76" i="2"/>
  <c r="G123" i="4"/>
  <c r="M31" i="9"/>
  <c r="U28" i="4"/>
  <c r="S67" i="7"/>
  <c r="O213" i="4"/>
  <c r="C62" i="4"/>
  <c r="B179" i="7"/>
  <c r="U66" i="2"/>
  <c r="C168" i="7"/>
  <c r="H250" i="7"/>
  <c r="H138" i="7"/>
  <c r="AE25" i="9"/>
  <c r="R66" i="2"/>
  <c r="L71" i="7"/>
  <c r="C84" i="7"/>
  <c r="B180" i="7"/>
  <c r="H74" i="7"/>
  <c r="N229" i="7"/>
  <c r="F135" i="4"/>
  <c r="G229" i="4"/>
  <c r="E130" i="7"/>
  <c r="J26" i="4"/>
  <c r="C127" i="4"/>
  <c r="N75" i="2"/>
  <c r="H39" i="4"/>
  <c r="T38" i="7"/>
  <c r="G27" i="4"/>
  <c r="I32" i="4"/>
  <c r="Q35" i="7"/>
  <c r="P79" i="4"/>
  <c r="O137" i="4"/>
  <c r="M93" i="4"/>
  <c r="J36" i="4"/>
  <c r="D40" i="9"/>
  <c r="C229" i="4"/>
  <c r="G227" i="7"/>
  <c r="D217" i="4"/>
  <c r="H57" i="2"/>
  <c r="D184" i="7"/>
  <c r="P32" i="2"/>
  <c r="I73" i="4"/>
  <c r="C48" i="4"/>
  <c r="C67" i="9"/>
  <c r="O94" i="4"/>
  <c r="L105" i="4"/>
  <c r="F63" i="9"/>
  <c r="C171" i="7"/>
  <c r="AQ55" i="9"/>
  <c r="U59" i="2"/>
  <c r="D73" i="7"/>
  <c r="M124" i="4"/>
  <c r="G164" i="7"/>
  <c r="AD23" i="9"/>
  <c r="M219" i="7"/>
  <c r="D121" i="7"/>
  <c r="F162" i="7"/>
  <c r="E56" i="2"/>
  <c r="L88" i="7"/>
  <c r="S58" i="4"/>
  <c r="E104" i="7"/>
  <c r="H249" i="7"/>
  <c r="F78" i="4"/>
  <c r="M152" i="7"/>
  <c r="N117" i="7"/>
  <c r="C63" i="7"/>
  <c r="K140" i="7"/>
  <c r="C56" i="7"/>
  <c r="AF55" i="9"/>
  <c r="I30" i="2"/>
  <c r="T45" i="4"/>
  <c r="B88" i="7"/>
  <c r="AI67" i="9"/>
  <c r="M160" i="4"/>
  <c r="H207" i="7"/>
  <c r="S59" i="4"/>
  <c r="E28" i="9"/>
  <c r="L98" i="4"/>
  <c r="M157" i="4"/>
  <c r="L103" i="4"/>
  <c r="AD64" i="9"/>
  <c r="L176" i="7"/>
  <c r="F60" i="7"/>
  <c r="D199" i="7"/>
  <c r="H51" i="4"/>
  <c r="N86" i="2"/>
  <c r="K175" i="4"/>
  <c r="C214" i="4"/>
  <c r="L139" i="4"/>
  <c r="H227" i="7"/>
  <c r="B209" i="7"/>
  <c r="E201" i="4"/>
  <c r="D142" i="4"/>
  <c r="O68" i="2"/>
  <c r="D42" i="4"/>
  <c r="C202" i="7"/>
  <c r="D52" i="9"/>
  <c r="K43" i="2"/>
  <c r="O34" i="2"/>
  <c r="B190" i="7"/>
  <c r="F66" i="7"/>
  <c r="M142" i="7"/>
  <c r="F205" i="7"/>
  <c r="C245" i="4"/>
  <c r="E27" i="9"/>
  <c r="K120" i="7"/>
  <c r="H52" i="9"/>
  <c r="T58" i="7"/>
  <c r="K34" i="4"/>
  <c r="G205" i="7"/>
  <c r="Q73" i="4"/>
  <c r="M68" i="7"/>
  <c r="U66" i="4"/>
  <c r="N204" i="7"/>
  <c r="M99" i="4"/>
  <c r="C157" i="7"/>
  <c r="O39" i="2"/>
  <c r="AH64" i="9"/>
  <c r="R69" i="4"/>
  <c r="Q61" i="2"/>
  <c r="P57" i="7"/>
  <c r="H83" i="7"/>
  <c r="K26" i="2"/>
  <c r="H178" i="7"/>
  <c r="AC75" i="9"/>
  <c r="R47" i="7"/>
  <c r="H117" i="4"/>
  <c r="C212" i="7"/>
  <c r="AE85" i="9"/>
  <c r="H206" i="4"/>
  <c r="K72" i="4"/>
  <c r="E133" i="4"/>
  <c r="L217" i="4"/>
  <c r="G40" i="4"/>
  <c r="K75" i="2"/>
  <c r="C53" i="4"/>
  <c r="I38" i="4"/>
  <c r="E47" i="4"/>
  <c r="F209" i="7"/>
  <c r="R73" i="7"/>
  <c r="O54" i="4"/>
  <c r="J91" i="2"/>
  <c r="E85" i="7"/>
  <c r="AG63" i="9"/>
  <c r="L183" i="7"/>
  <c r="H233" i="4"/>
  <c r="G58" i="2"/>
  <c r="C44" i="9"/>
  <c r="U64" i="4"/>
  <c r="B76" i="2"/>
  <c r="P34" i="7"/>
  <c r="E81" i="2"/>
  <c r="J58" i="7"/>
  <c r="AH79" i="9"/>
  <c r="F129" i="7"/>
  <c r="O62" i="2"/>
  <c r="K146" i="4"/>
  <c r="F33" i="2"/>
  <c r="E141" i="7"/>
  <c r="H26" i="7"/>
  <c r="M161" i="7"/>
  <c r="O200" i="4"/>
  <c r="M188" i="7"/>
  <c r="AO38" i="9"/>
  <c r="H117" i="7"/>
  <c r="AP73" i="9"/>
  <c r="C88" i="2"/>
  <c r="K77" i="2"/>
  <c r="K115" i="7"/>
  <c r="G65" i="2"/>
  <c r="K235" i="4"/>
  <c r="H73" i="9"/>
  <c r="N80" i="4"/>
  <c r="P28" i="2"/>
  <c r="R48" i="2"/>
  <c r="R50" i="7"/>
  <c r="E225" i="4"/>
  <c r="E37" i="4"/>
  <c r="F130" i="7"/>
  <c r="Q20" i="4"/>
  <c r="F42" i="4"/>
  <c r="G58" i="9"/>
  <c r="I84" i="2"/>
  <c r="G161" i="4"/>
  <c r="L113" i="7"/>
  <c r="G53" i="2"/>
  <c r="M132" i="7"/>
  <c r="F120" i="4"/>
  <c r="K50" i="7"/>
  <c r="H76" i="4"/>
  <c r="O34" i="4"/>
  <c r="D105" i="4"/>
  <c r="M144" i="7"/>
  <c r="P31" i="2"/>
  <c r="F154" i="7"/>
  <c r="J47" i="4"/>
  <c r="M41" i="7"/>
  <c r="O22" i="9"/>
  <c r="AF57" i="9"/>
  <c r="AH78" i="9"/>
  <c r="AH82" i="9"/>
  <c r="K89" i="7"/>
  <c r="U70" i="4"/>
  <c r="D64" i="7"/>
  <c r="O66" i="4"/>
  <c r="I34" i="7"/>
  <c r="AU29" i="9"/>
  <c r="Q59" i="4"/>
  <c r="AM25" i="9"/>
  <c r="M202" i="7"/>
  <c r="P42" i="4"/>
  <c r="K37" i="7"/>
  <c r="N190" i="7"/>
  <c r="L87" i="7"/>
  <c r="T51" i="2"/>
  <c r="E242" i="7"/>
  <c r="C94" i="4"/>
  <c r="D118" i="4"/>
  <c r="R71" i="2"/>
  <c r="H65" i="4"/>
  <c r="L138" i="7"/>
  <c r="O33" i="9"/>
  <c r="H33" i="4"/>
  <c r="B32" i="9"/>
  <c r="C102" i="7"/>
  <c r="D187" i="7"/>
  <c r="N81" i="7"/>
  <c r="U63" i="7"/>
  <c r="I45" i="2"/>
  <c r="P70" i="2"/>
  <c r="D246" i="7"/>
  <c r="D79" i="7"/>
  <c r="F234" i="4"/>
  <c r="M38" i="4"/>
  <c r="N112" i="7"/>
  <c r="I33" i="7"/>
  <c r="S27" i="7"/>
  <c r="O59" i="4"/>
  <c r="T53" i="2"/>
  <c r="E112" i="7"/>
  <c r="B235" i="7"/>
  <c r="O58" i="7"/>
  <c r="B213" i="7"/>
  <c r="AQ28" i="9"/>
  <c r="B3" i="2"/>
  <c r="C210" i="4"/>
  <c r="E159" i="7"/>
  <c r="T56" i="2"/>
  <c r="B92" i="7"/>
  <c r="C155" i="4"/>
  <c r="D251" i="7"/>
  <c r="K152" i="7"/>
  <c r="N43" i="4"/>
  <c r="AP35" i="9"/>
  <c r="F20" i="9"/>
  <c r="B38" i="7"/>
  <c r="H178" i="4"/>
  <c r="P73" i="4"/>
  <c r="M191" i="7"/>
  <c r="O165" i="4"/>
  <c r="N212" i="4"/>
  <c r="D78" i="4"/>
  <c r="G222" i="4"/>
  <c r="E118" i="4"/>
  <c r="L75" i="9"/>
  <c r="S32" i="2"/>
  <c r="L61" i="4"/>
  <c r="D38" i="2"/>
  <c r="U22" i="9"/>
  <c r="O22" i="4"/>
  <c r="E169" i="4"/>
  <c r="C55" i="7"/>
  <c r="L148" i="4"/>
  <c r="H231" i="7"/>
  <c r="T66" i="7"/>
  <c r="D65" i="9"/>
  <c r="U69" i="2"/>
  <c r="N146" i="4"/>
  <c r="L45" i="2"/>
  <c r="B29" i="4"/>
  <c r="O225" i="4"/>
  <c r="C43" i="7"/>
  <c r="F23" i="4"/>
  <c r="C145" i="7"/>
  <c r="E229" i="7"/>
  <c r="D225" i="7"/>
  <c r="AG71" i="9"/>
  <c r="G229" i="7"/>
  <c r="K106" i="4"/>
  <c r="K157" i="7"/>
  <c r="F63" i="2"/>
  <c r="C144" i="7"/>
  <c r="N32" i="2"/>
  <c r="N103" i="7"/>
  <c r="J85" i="4"/>
  <c r="L106" i="7"/>
  <c r="K133" i="7"/>
  <c r="M56" i="7"/>
  <c r="D166" i="4"/>
  <c r="M167" i="7"/>
  <c r="E160" i="4"/>
  <c r="D84" i="7"/>
  <c r="K59" i="2"/>
  <c r="F116" i="7"/>
  <c r="E150" i="4"/>
  <c r="Q90" i="2"/>
  <c r="I52" i="2"/>
  <c r="N117" i="4"/>
  <c r="S50" i="9"/>
  <c r="C251" i="7"/>
  <c r="D62" i="4"/>
  <c r="N240" i="7"/>
  <c r="C233" i="7"/>
  <c r="H69" i="7"/>
  <c r="E230" i="4"/>
  <c r="N210" i="7"/>
  <c r="U43" i="4"/>
  <c r="F113" i="7"/>
  <c r="E74" i="7"/>
  <c r="S56" i="4"/>
  <c r="L27" i="2"/>
  <c r="D209" i="7"/>
  <c r="AC83" i="9"/>
  <c r="K167" i="4"/>
  <c r="E233" i="7"/>
  <c r="P69" i="4"/>
  <c r="F51" i="7"/>
  <c r="I87" i="2"/>
  <c r="L29" i="4"/>
  <c r="B150" i="7"/>
  <c r="S41" i="7"/>
  <c r="P68" i="7"/>
  <c r="K60" i="4"/>
  <c r="F122" i="4"/>
  <c r="G103" i="4"/>
  <c r="F71" i="7"/>
  <c r="B47" i="9"/>
  <c r="L201" i="7"/>
  <c r="I60" i="7"/>
  <c r="F122" i="7"/>
  <c r="M26" i="4"/>
  <c r="F147" i="4"/>
  <c r="AH73" i="9"/>
  <c r="H193" i="4"/>
  <c r="AN33" i="9"/>
  <c r="P27" i="7"/>
  <c r="M70" i="7"/>
  <c r="B86" i="7"/>
  <c r="O224" i="4"/>
  <c r="K137" i="4"/>
  <c r="O192" i="4"/>
  <c r="T27" i="7"/>
  <c r="AV19" i="9"/>
  <c r="G189" i="7"/>
  <c r="M19" i="2"/>
  <c r="C36" i="7"/>
  <c r="K158" i="4"/>
  <c r="G83" i="7"/>
  <c r="AI22" i="9"/>
  <c r="E71" i="7"/>
  <c r="T37" i="2"/>
  <c r="F235" i="7"/>
  <c r="E61" i="9"/>
  <c r="G150" i="4"/>
  <c r="D51" i="7"/>
  <c r="M103" i="7"/>
  <c r="N53" i="2"/>
  <c r="D178" i="7"/>
  <c r="D135" i="7"/>
  <c r="N72" i="7"/>
  <c r="AU31" i="9"/>
  <c r="K126" i="4"/>
  <c r="C190" i="4"/>
  <c r="E81" i="9"/>
  <c r="C184" i="4"/>
  <c r="G152" i="4"/>
  <c r="E152" i="4"/>
  <c r="U41" i="4"/>
  <c r="P22" i="2"/>
  <c r="C71" i="7"/>
  <c r="I62" i="4"/>
  <c r="N88" i="7"/>
  <c r="K214" i="7"/>
  <c r="AV30" i="9"/>
  <c r="M52" i="9"/>
  <c r="C94" i="7"/>
  <c r="M117" i="7"/>
  <c r="G24" i="4"/>
  <c r="S60" i="4"/>
  <c r="F73" i="2"/>
  <c r="E126" i="7"/>
  <c r="M114" i="4"/>
  <c r="M47" i="9"/>
  <c r="K105" i="4"/>
  <c r="N61" i="2"/>
  <c r="N212" i="7"/>
  <c r="K243" i="7"/>
  <c r="E194" i="4"/>
  <c r="H52" i="7"/>
  <c r="C201" i="4"/>
  <c r="N102" i="7"/>
  <c r="AO63" i="9"/>
  <c r="F49" i="7"/>
  <c r="T67" i="2"/>
  <c r="D153" i="7"/>
  <c r="C25" i="2"/>
  <c r="G69" i="9"/>
  <c r="AQ46" i="9"/>
  <c r="G130" i="7"/>
  <c r="K128" i="4"/>
  <c r="H184" i="4"/>
  <c r="G64" i="2"/>
  <c r="D73" i="2"/>
  <c r="M48" i="7"/>
  <c r="E125" i="4"/>
  <c r="F124" i="4"/>
  <c r="M38" i="2"/>
  <c r="B207" i="7"/>
  <c r="L96" i="7"/>
  <c r="C151" i="4"/>
  <c r="N65" i="2"/>
  <c r="L37" i="4"/>
  <c r="Q68" i="2"/>
  <c r="L47" i="7"/>
  <c r="H190" i="4"/>
  <c r="R69" i="7"/>
  <c r="L207" i="4"/>
  <c r="AK26" i="9"/>
  <c r="N120" i="4"/>
  <c r="M89" i="7"/>
  <c r="D66" i="2"/>
  <c r="O86" i="4"/>
  <c r="J73" i="4"/>
  <c r="L66" i="7"/>
  <c r="K118" i="7"/>
  <c r="P52" i="2"/>
  <c r="I34" i="4"/>
  <c r="M112" i="4"/>
  <c r="G59" i="7"/>
  <c r="C191" i="4"/>
  <c r="O56" i="4"/>
  <c r="T77" i="2"/>
  <c r="G165" i="7"/>
  <c r="D81" i="9"/>
  <c r="N82" i="9"/>
  <c r="E130" i="4"/>
  <c r="O112" i="4"/>
  <c r="C114" i="7"/>
  <c r="R78" i="4"/>
  <c r="S43" i="4"/>
  <c r="F96" i="4"/>
  <c r="T63" i="9"/>
  <c r="H40" i="2"/>
  <c r="H53" i="2"/>
  <c r="K239" i="7"/>
  <c r="K88" i="7"/>
  <c r="L243" i="7"/>
  <c r="L147" i="7"/>
  <c r="R24" i="9"/>
  <c r="K54" i="4"/>
  <c r="B24" i="2"/>
  <c r="L74" i="4"/>
  <c r="F38" i="9"/>
  <c r="F125" i="4"/>
  <c r="L225" i="4"/>
  <c r="E161" i="4"/>
  <c r="C63" i="4"/>
  <c r="G61" i="2"/>
  <c r="E168" i="7"/>
  <c r="N23" i="7"/>
  <c r="G46" i="4"/>
  <c r="B232" i="7"/>
  <c r="H243" i="7"/>
  <c r="B86" i="4"/>
  <c r="L226" i="7"/>
  <c r="O227" i="4"/>
  <c r="B49" i="2"/>
  <c r="O123" i="4"/>
  <c r="U46" i="2"/>
  <c r="E187" i="7"/>
  <c r="K33" i="2"/>
  <c r="P83" i="4"/>
  <c r="K192" i="7"/>
  <c r="K150" i="7"/>
  <c r="C206" i="4"/>
  <c r="P61" i="9"/>
  <c r="C138" i="7"/>
  <c r="H136" i="4"/>
  <c r="B99" i="7"/>
  <c r="G176" i="4"/>
  <c r="K61" i="7"/>
  <c r="H143" i="7"/>
  <c r="S50" i="4"/>
  <c r="C202" i="4"/>
  <c r="P36" i="2"/>
  <c r="M58" i="7"/>
  <c r="C136" i="4"/>
  <c r="C90" i="7"/>
  <c r="F165" i="7"/>
  <c r="J46" i="4"/>
  <c r="L235" i="7"/>
  <c r="N194" i="7"/>
  <c r="C78" i="7"/>
  <c r="C28" i="2"/>
  <c r="D52" i="7"/>
  <c r="C242" i="7"/>
  <c r="N139" i="7"/>
  <c r="G35" i="2"/>
  <c r="AU58" i="9"/>
  <c r="J80" i="2"/>
  <c r="D97" i="4"/>
  <c r="M178" i="4"/>
  <c r="D45" i="2"/>
  <c r="M194" i="4"/>
  <c r="C133" i="4"/>
  <c r="G147" i="7"/>
  <c r="F115" i="7"/>
  <c r="M31" i="2"/>
  <c r="L197" i="4"/>
  <c r="K110" i="4"/>
  <c r="P35" i="7"/>
  <c r="M49" i="9"/>
  <c r="L86" i="4"/>
  <c r="O52" i="4"/>
  <c r="T50" i="2"/>
  <c r="E232" i="7"/>
  <c r="N82" i="4"/>
  <c r="M69" i="4"/>
  <c r="C70" i="7"/>
  <c r="J63" i="7"/>
  <c r="E56" i="4"/>
  <c r="D89" i="2"/>
  <c r="O55" i="2"/>
  <c r="J27" i="2"/>
  <c r="O44" i="2"/>
  <c r="H147" i="4"/>
  <c r="L142" i="4"/>
  <c r="M120" i="7"/>
  <c r="J51" i="7"/>
  <c r="M66" i="2"/>
  <c r="B126" i="7"/>
  <c r="M71" i="7"/>
  <c r="G82" i="7"/>
  <c r="J53" i="4"/>
  <c r="N46" i="7"/>
  <c r="D143" i="4"/>
  <c r="N187" i="4"/>
  <c r="E193" i="4"/>
  <c r="I57" i="7"/>
  <c r="AG28" i="9"/>
  <c r="H90" i="7"/>
  <c r="F144" i="7"/>
  <c r="R35" i="4"/>
  <c r="E108" i="7"/>
  <c r="K116" i="4"/>
  <c r="B73" i="2"/>
  <c r="R62" i="4"/>
  <c r="F229" i="7"/>
  <c r="F58" i="4"/>
  <c r="N82" i="7"/>
  <c r="O228" i="4"/>
  <c r="C51" i="2"/>
  <c r="G49" i="7"/>
  <c r="D123" i="7"/>
  <c r="M98" i="4"/>
  <c r="D167" i="7"/>
  <c r="C112" i="7"/>
  <c r="C43" i="2"/>
  <c r="L78" i="7"/>
  <c r="L191" i="7"/>
  <c r="C145" i="4"/>
  <c r="L51" i="2"/>
  <c r="K59" i="4"/>
  <c r="K108" i="4"/>
  <c r="N191" i="7"/>
  <c r="T53" i="4"/>
  <c r="E203" i="4"/>
  <c r="AU42" i="9"/>
  <c r="J62" i="7"/>
  <c r="G195" i="7"/>
  <c r="C85" i="4"/>
  <c r="B75" i="4"/>
  <c r="C39" i="4"/>
  <c r="K169" i="4"/>
  <c r="D103" i="7"/>
  <c r="K77" i="4"/>
  <c r="P49" i="2"/>
  <c r="E36" i="7"/>
  <c r="G89" i="2"/>
  <c r="G253" i="4"/>
  <c r="B82" i="2"/>
  <c r="F47" i="4"/>
  <c r="Q68" i="7"/>
  <c r="E72" i="7"/>
  <c r="K219" i="7"/>
  <c r="K182" i="7"/>
  <c r="C198" i="7"/>
  <c r="AJ85" i="9"/>
  <c r="O48" i="9"/>
  <c r="B51" i="9"/>
  <c r="F223" i="7"/>
  <c r="F21" i="2"/>
  <c r="D234" i="7"/>
  <c r="F126" i="4"/>
  <c r="M180" i="7"/>
  <c r="K115" i="4"/>
  <c r="G54" i="7"/>
  <c r="I53" i="4"/>
  <c r="K221" i="4"/>
  <c r="M121" i="7"/>
  <c r="M59" i="2"/>
  <c r="P34" i="4"/>
  <c r="E227" i="7"/>
  <c r="L237" i="7"/>
  <c r="L50" i="4"/>
  <c r="H44" i="7"/>
  <c r="K137" i="7"/>
  <c r="N146" i="7"/>
  <c r="G177" i="4"/>
  <c r="AN50" i="9"/>
  <c r="F195" i="4"/>
  <c r="K240" i="7"/>
  <c r="I75" i="2"/>
  <c r="H26" i="4"/>
  <c r="C25" i="9"/>
  <c r="M23" i="2"/>
  <c r="L82" i="4"/>
  <c r="L232" i="4"/>
  <c r="N83" i="2"/>
  <c r="M73" i="2"/>
  <c r="K221" i="7"/>
  <c r="R72" i="4"/>
  <c r="K217" i="4"/>
  <c r="E160" i="7"/>
  <c r="L207" i="7"/>
  <c r="M116" i="7"/>
  <c r="K166" i="7"/>
  <c r="F78" i="2"/>
  <c r="F214" i="4"/>
  <c r="S59" i="9"/>
  <c r="G221" i="7"/>
  <c r="N172" i="7"/>
  <c r="I65" i="4"/>
  <c r="D164" i="4"/>
  <c r="N192" i="7"/>
  <c r="AP54" i="9"/>
  <c r="H137" i="7"/>
  <c r="B64" i="7"/>
  <c r="N154" i="4"/>
  <c r="G139" i="4"/>
  <c r="H135" i="4"/>
  <c r="B107" i="7"/>
  <c r="H20" i="9"/>
  <c r="M110" i="4"/>
  <c r="H109" i="7"/>
  <c r="D235" i="7"/>
  <c r="M50" i="4"/>
  <c r="S56" i="2"/>
  <c r="L103" i="7"/>
  <c r="E190" i="4"/>
  <c r="O107" i="4"/>
  <c r="N200" i="4"/>
  <c r="S72" i="4"/>
  <c r="D84" i="4"/>
  <c r="P21" i="2"/>
  <c r="D174" i="4"/>
  <c r="AD57" i="9"/>
  <c r="B65" i="2"/>
  <c r="T28" i="7"/>
  <c r="B101" i="7"/>
  <c r="D68" i="2"/>
  <c r="D213" i="4"/>
  <c r="K178" i="4"/>
  <c r="U69" i="7"/>
  <c r="B84" i="2"/>
  <c r="L206" i="7"/>
  <c r="B220" i="7"/>
  <c r="E53" i="7"/>
  <c r="F87" i="4"/>
  <c r="Q26" i="2"/>
  <c r="O68" i="7"/>
  <c r="C135" i="4"/>
  <c r="F98" i="4"/>
  <c r="E93" i="4"/>
  <c r="T26" i="4"/>
  <c r="N84" i="2"/>
  <c r="R64" i="2"/>
  <c r="C124" i="4"/>
  <c r="M34" i="2"/>
  <c r="D32" i="2"/>
  <c r="D44" i="2"/>
  <c r="F111" i="4"/>
  <c r="L41" i="4"/>
  <c r="R46" i="9"/>
  <c r="H171" i="7"/>
  <c r="R42" i="4"/>
  <c r="E94" i="7"/>
  <c r="K194" i="7"/>
  <c r="L29" i="7"/>
  <c r="G111" i="7"/>
  <c r="D239" i="4"/>
  <c r="L125" i="4"/>
  <c r="M130" i="4"/>
  <c r="O250" i="4"/>
  <c r="AS14" i="9"/>
  <c r="C18" i="2"/>
  <c r="AF67" i="9"/>
  <c r="AQ3" i="9"/>
  <c r="O29" i="4"/>
  <c r="AP52" i="9"/>
  <c r="N22" i="7"/>
  <c r="AI55" i="9"/>
  <c r="AE76" i="9"/>
  <c r="C82" i="9"/>
  <c r="C69" i="2"/>
  <c r="C130" i="7"/>
  <c r="O92" i="4"/>
  <c r="C144" i="4"/>
  <c r="AF76" i="9"/>
  <c r="D140" i="7"/>
  <c r="L128" i="7"/>
  <c r="O30" i="7"/>
  <c r="L128" i="4"/>
  <c r="Q49" i="9"/>
  <c r="N24" i="4"/>
  <c r="F83" i="4"/>
  <c r="J41" i="7"/>
  <c r="H44" i="2"/>
  <c r="C19" i="2"/>
  <c r="AQ51" i="9"/>
  <c r="R23" i="4"/>
  <c r="I24" i="7"/>
  <c r="K31" i="9"/>
  <c r="D115" i="7"/>
  <c r="F187" i="4"/>
  <c r="AR71" i="9"/>
  <c r="B71" i="7"/>
  <c r="E50" i="4"/>
  <c r="M230" i="4"/>
  <c r="G212" i="4"/>
  <c r="F97" i="4"/>
  <c r="B56" i="7"/>
  <c r="AN86" i="9"/>
  <c r="AH59" i="9"/>
  <c r="H165" i="4"/>
  <c r="C149" i="7"/>
  <c r="R60" i="2"/>
  <c r="J42" i="4"/>
  <c r="F85" i="7"/>
  <c r="B89" i="2"/>
  <c r="L26" i="4"/>
  <c r="F110" i="4"/>
  <c r="M117" i="4"/>
  <c r="M131" i="7"/>
  <c r="L252" i="7"/>
  <c r="E25" i="7"/>
  <c r="J40" i="9"/>
  <c r="T31" i="9"/>
  <c r="F42" i="9"/>
  <c r="F202" i="4"/>
  <c r="R81" i="4"/>
  <c r="O63" i="9"/>
  <c r="L193" i="4"/>
  <c r="L211" i="4"/>
  <c r="N46" i="4"/>
  <c r="M81" i="9"/>
  <c r="H34" i="2"/>
  <c r="E63" i="9"/>
  <c r="N221" i="7"/>
  <c r="L132" i="7"/>
  <c r="M43" i="4"/>
  <c r="B160" i="7"/>
  <c r="D79" i="2"/>
  <c r="C74" i="2"/>
  <c r="N22" i="2"/>
  <c r="B50" i="2"/>
  <c r="F101" i="4"/>
  <c r="Q55" i="7"/>
  <c r="E212" i="4"/>
  <c r="M107" i="4"/>
  <c r="L58" i="2"/>
  <c r="L146" i="7"/>
  <c r="Q74" i="4"/>
  <c r="L230" i="4"/>
  <c r="M128" i="4"/>
  <c r="O28" i="2"/>
  <c r="L206" i="4"/>
  <c r="H37" i="4"/>
  <c r="AF22" i="9"/>
  <c r="N227" i="4"/>
  <c r="F121" i="7"/>
  <c r="L230" i="7"/>
  <c r="C22" i="2"/>
  <c r="I21" i="7"/>
  <c r="T59" i="9"/>
  <c r="D150" i="7"/>
  <c r="D201" i="7"/>
  <c r="C199" i="7"/>
  <c r="N233" i="4"/>
  <c r="AV56" i="9"/>
  <c r="L101" i="7"/>
  <c r="F67" i="7"/>
  <c r="D45" i="4"/>
  <c r="H251" i="7"/>
  <c r="G199" i="7"/>
  <c r="N130" i="4"/>
  <c r="G236" i="7"/>
  <c r="L79" i="9"/>
  <c r="N115" i="4"/>
  <c r="Q80" i="2"/>
  <c r="G55" i="2"/>
  <c r="R37" i="7"/>
  <c r="M77" i="4"/>
  <c r="AE52" i="9"/>
  <c r="E23" i="2"/>
  <c r="Q45" i="2"/>
  <c r="E215" i="7"/>
  <c r="AU46" i="9"/>
  <c r="C45" i="9"/>
  <c r="K85" i="4"/>
  <c r="F144" i="4"/>
  <c r="D142" i="7"/>
  <c r="L202" i="7"/>
  <c r="AI86" i="9"/>
  <c r="AJ73" i="9"/>
  <c r="AT38" i="9"/>
  <c r="M91" i="2"/>
  <c r="AP62" i="9"/>
  <c r="D86" i="4"/>
  <c r="AE44" i="9"/>
  <c r="I69" i="2"/>
  <c r="D65" i="7"/>
  <c r="D108" i="7"/>
  <c r="K49" i="4"/>
  <c r="C42" i="4"/>
  <c r="N165" i="7"/>
  <c r="AJ29" i="9"/>
  <c r="N58" i="2"/>
  <c r="H35" i="4"/>
  <c r="H64" i="7"/>
  <c r="AF35" i="9"/>
  <c r="G205" i="4"/>
  <c r="K190" i="7"/>
  <c r="C231" i="7"/>
  <c r="Q42" i="2"/>
  <c r="D215" i="7"/>
  <c r="C141" i="4"/>
  <c r="M76" i="9"/>
  <c r="D24" i="7"/>
  <c r="K23" i="2"/>
  <c r="T58" i="2"/>
  <c r="N128" i="4"/>
  <c r="H195" i="7"/>
  <c r="D94" i="7"/>
  <c r="N134" i="4"/>
  <c r="N201" i="4"/>
  <c r="N62" i="4"/>
  <c r="T72" i="4"/>
  <c r="K180" i="7"/>
  <c r="M167" i="4"/>
  <c r="O154" i="4"/>
  <c r="F83" i="7"/>
  <c r="G216" i="4"/>
  <c r="E185" i="4"/>
  <c r="Q32" i="9"/>
  <c r="C163" i="7"/>
  <c r="AR48" i="9"/>
  <c r="O35" i="2"/>
  <c r="B66" i="2"/>
  <c r="E117" i="7"/>
  <c r="C139" i="7"/>
  <c r="S45" i="4"/>
  <c r="M47" i="7"/>
  <c r="K33" i="4"/>
  <c r="D220" i="4"/>
  <c r="I32" i="9"/>
  <c r="D69" i="2"/>
  <c r="N189" i="4"/>
  <c r="N79" i="7"/>
  <c r="C59" i="7"/>
  <c r="R74" i="7"/>
  <c r="L62" i="4"/>
  <c r="R53" i="7"/>
  <c r="AD33" i="9"/>
  <c r="D175" i="4"/>
  <c r="H65" i="2"/>
  <c r="N253" i="4"/>
  <c r="K251" i="7"/>
  <c r="C73" i="2"/>
  <c r="G79" i="7"/>
  <c r="B114" i="7"/>
  <c r="M113" i="7"/>
  <c r="E208" i="7"/>
  <c r="K41" i="4"/>
  <c r="H33" i="7"/>
  <c r="AO25" i="9"/>
  <c r="G177" i="7"/>
  <c r="F63" i="4"/>
  <c r="R66" i="7"/>
  <c r="H55" i="7"/>
  <c r="C245" i="7"/>
  <c r="K73" i="4"/>
  <c r="E111" i="4"/>
  <c r="K25" i="9"/>
  <c r="K253" i="7"/>
  <c r="F47" i="7"/>
  <c r="Q74" i="7"/>
  <c r="G131" i="4"/>
  <c r="H90" i="2"/>
  <c r="P20" i="4"/>
  <c r="C182" i="7"/>
  <c r="R39" i="7"/>
  <c r="R63" i="7"/>
  <c r="G27" i="9"/>
  <c r="F231" i="4"/>
  <c r="L157" i="4"/>
  <c r="L52" i="7"/>
  <c r="M176" i="4"/>
  <c r="N21" i="9"/>
  <c r="R44" i="4"/>
  <c r="O3" i="4"/>
  <c r="G104" i="7"/>
  <c r="S68" i="2"/>
  <c r="N72" i="4"/>
  <c r="K61" i="2"/>
  <c r="M29" i="2"/>
  <c r="AC81" i="9"/>
  <c r="E161" i="7"/>
  <c r="S65" i="9"/>
  <c r="N218" i="7"/>
  <c r="T69" i="2"/>
  <c r="N53" i="7"/>
  <c r="L248" i="4"/>
  <c r="M94" i="7"/>
  <c r="N69" i="4"/>
  <c r="K74" i="2"/>
  <c r="N54" i="9"/>
  <c r="H130" i="7"/>
  <c r="G39" i="2"/>
  <c r="C78" i="9"/>
  <c r="H38" i="7"/>
  <c r="D89" i="7"/>
  <c r="D86" i="2"/>
  <c r="M232" i="4"/>
  <c r="E119" i="7"/>
  <c r="R32" i="2"/>
  <c r="B10" i="10"/>
  <c r="O142" i="4"/>
  <c r="E70" i="2"/>
  <c r="H208" i="4"/>
  <c r="C19" i="9"/>
  <c r="O64" i="4"/>
  <c r="K95" i="7"/>
  <c r="D189" i="4"/>
  <c r="Q43" i="4"/>
  <c r="E96" i="7"/>
  <c r="V21" i="2"/>
  <c r="B75" i="2"/>
  <c r="C83" i="4"/>
  <c r="B175" i="7"/>
  <c r="Q39" i="2"/>
  <c r="F33" i="7"/>
  <c r="E66" i="4"/>
  <c r="N85" i="7"/>
  <c r="E43" i="2"/>
  <c r="Q49" i="7"/>
  <c r="L133" i="4"/>
  <c r="K58" i="4"/>
  <c r="H111" i="4"/>
  <c r="E59" i="2"/>
  <c r="H120" i="4"/>
  <c r="C77" i="2"/>
  <c r="B22" i="9"/>
  <c r="E67" i="2"/>
  <c r="B5" i="10"/>
  <c r="B98" i="7"/>
  <c r="F136" i="4"/>
  <c r="O80" i="9"/>
  <c r="N161" i="7"/>
  <c r="G219" i="7"/>
  <c r="R43" i="7"/>
  <c r="F104" i="7"/>
  <c r="G56" i="7"/>
  <c r="D47" i="2"/>
  <c r="D47" i="9"/>
  <c r="N22" i="9"/>
  <c r="N198" i="7"/>
  <c r="B54" i="7"/>
  <c r="U58" i="4"/>
  <c r="O33" i="2"/>
  <c r="C162" i="4"/>
  <c r="L85" i="7"/>
  <c r="D74" i="9"/>
  <c r="M31" i="4"/>
  <c r="T61" i="2"/>
  <c r="G98" i="4"/>
  <c r="G174" i="7"/>
  <c r="M215" i="4"/>
  <c r="O33" i="4"/>
  <c r="P44" i="4"/>
  <c r="F51" i="4"/>
  <c r="T53" i="7"/>
  <c r="L245" i="7"/>
  <c r="M55" i="9"/>
  <c r="L240" i="4"/>
  <c r="O75" i="9"/>
  <c r="L72" i="7"/>
  <c r="G102" i="4"/>
  <c r="H103" i="7"/>
  <c r="F179" i="7"/>
  <c r="H29" i="9"/>
  <c r="L191" i="4"/>
  <c r="F56" i="7"/>
  <c r="N62" i="7"/>
  <c r="O44" i="7"/>
  <c r="F93" i="4"/>
  <c r="AG34" i="9"/>
  <c r="M105" i="4"/>
  <c r="C78" i="2"/>
  <c r="D146" i="4"/>
  <c r="G185" i="7"/>
  <c r="G103" i="7"/>
  <c r="T51" i="4"/>
  <c r="K52" i="2"/>
  <c r="E217" i="7"/>
  <c r="D211" i="7"/>
  <c r="T57" i="2"/>
  <c r="H197" i="7"/>
  <c r="T45" i="9"/>
  <c r="F103" i="4"/>
  <c r="P47" i="4"/>
  <c r="D119" i="4"/>
  <c r="F82" i="7"/>
  <c r="K134" i="7"/>
  <c r="G245" i="7"/>
  <c r="T68" i="2"/>
  <c r="K169" i="7"/>
  <c r="N36" i="2"/>
  <c r="O99" i="4"/>
  <c r="K170" i="7"/>
  <c r="K245" i="7"/>
  <c r="N190" i="4"/>
  <c r="O98" i="4"/>
  <c r="L252" i="4"/>
  <c r="C74" i="4"/>
  <c r="R77" i="2"/>
  <c r="H148" i="7"/>
  <c r="F39" i="2"/>
  <c r="H21" i="2"/>
  <c r="D81" i="7"/>
  <c r="K153" i="7"/>
  <c r="L97" i="4"/>
  <c r="H226" i="7"/>
  <c r="F128" i="4"/>
  <c r="Q38" i="7"/>
  <c r="C55" i="2"/>
  <c r="C68" i="2"/>
  <c r="O166" i="4"/>
  <c r="Q44" i="4"/>
  <c r="B210" i="7"/>
  <c r="F26" i="7"/>
  <c r="T39" i="2"/>
  <c r="D217" i="7"/>
  <c r="E238" i="4"/>
  <c r="R73" i="2"/>
  <c r="D219" i="4"/>
  <c r="D209" i="4"/>
  <c r="Q69" i="2"/>
  <c r="L173" i="7"/>
  <c r="C81" i="4"/>
  <c r="G207" i="4"/>
  <c r="E229" i="4"/>
  <c r="H85" i="7"/>
  <c r="D124" i="7"/>
  <c r="C253" i="7"/>
  <c r="L205" i="7"/>
  <c r="K188" i="7"/>
  <c r="AN49" i="9"/>
  <c r="P57" i="4"/>
  <c r="H124" i="4"/>
  <c r="G197" i="4"/>
  <c r="H46" i="2"/>
  <c r="R45" i="9"/>
  <c r="O188" i="4"/>
  <c r="AU33" i="9"/>
  <c r="K206" i="4"/>
  <c r="N82" i="2"/>
  <c r="F64" i="4"/>
  <c r="H222" i="4"/>
  <c r="H227" i="4"/>
  <c r="C3" i="4"/>
  <c r="U36" i="4"/>
  <c r="D108" i="4"/>
  <c r="E33" i="9"/>
  <c r="Q27" i="2"/>
  <c r="D233" i="7"/>
  <c r="P73" i="2"/>
  <c r="G218" i="4"/>
  <c r="M146" i="4"/>
  <c r="K237" i="4"/>
  <c r="E3" i="4"/>
  <c r="M48" i="2"/>
  <c r="B163" i="7"/>
  <c r="N77" i="2"/>
  <c r="M204" i="4"/>
  <c r="C52" i="7"/>
  <c r="G127" i="4"/>
  <c r="R38" i="7"/>
  <c r="L127" i="7"/>
  <c r="D49" i="7"/>
  <c r="F53" i="7"/>
  <c r="N19" i="9"/>
  <c r="K212" i="4"/>
  <c r="L164" i="4"/>
  <c r="AC49" i="9"/>
  <c r="M79" i="7"/>
  <c r="F23" i="2"/>
  <c r="H252" i="4"/>
  <c r="I59" i="4"/>
  <c r="E186" i="7"/>
  <c r="K112" i="7"/>
  <c r="M80" i="7"/>
  <c r="O63" i="7"/>
  <c r="K42" i="7"/>
  <c r="L102" i="7"/>
  <c r="F160" i="7"/>
  <c r="Q75" i="4"/>
  <c r="O232" i="4"/>
  <c r="AI38" i="9"/>
  <c r="N182" i="7"/>
  <c r="T36" i="4"/>
  <c r="H77" i="9"/>
  <c r="M208" i="7"/>
  <c r="M90" i="2"/>
  <c r="H160" i="7"/>
  <c r="E99" i="4"/>
  <c r="AC40" i="9"/>
  <c r="D62" i="7"/>
  <c r="E79" i="4"/>
  <c r="F206" i="4"/>
  <c r="F183" i="7"/>
  <c r="C235" i="7"/>
  <c r="J73" i="2"/>
  <c r="H66" i="2"/>
  <c r="I79" i="2"/>
  <c r="K225" i="7"/>
  <c r="I72" i="2"/>
  <c r="P42" i="9"/>
  <c r="G152" i="7"/>
  <c r="E144" i="4"/>
  <c r="L112" i="4"/>
  <c r="E42" i="4"/>
  <c r="G202" i="4"/>
  <c r="N64" i="7"/>
  <c r="E120" i="4"/>
  <c r="D66" i="4"/>
  <c r="M219" i="4"/>
  <c r="E230" i="7"/>
  <c r="N137" i="7"/>
  <c r="C126" i="7"/>
  <c r="B68" i="2"/>
  <c r="E186" i="4"/>
  <c r="F84" i="4"/>
  <c r="P64" i="7"/>
  <c r="P58" i="9"/>
  <c r="B70" i="7"/>
  <c r="L250" i="4"/>
  <c r="I40" i="2"/>
  <c r="I38" i="2"/>
  <c r="E196" i="4"/>
  <c r="R61" i="4"/>
  <c r="M237" i="4"/>
  <c r="F51" i="2"/>
  <c r="T38" i="4"/>
  <c r="H94" i="4"/>
  <c r="N193" i="4"/>
  <c r="O35" i="7"/>
  <c r="L189" i="4"/>
  <c r="F22" i="2"/>
  <c r="D53" i="9"/>
  <c r="E90" i="2"/>
  <c r="E178" i="7"/>
  <c r="E61" i="4"/>
  <c r="AC50" i="9"/>
  <c r="G73" i="4"/>
  <c r="G78" i="2"/>
  <c r="H125" i="4"/>
  <c r="L238" i="7"/>
  <c r="M234" i="4"/>
  <c r="C76" i="4"/>
  <c r="AC82" i="9"/>
  <c r="I22" i="7"/>
  <c r="D56" i="4"/>
  <c r="G166" i="4"/>
  <c r="K183" i="4"/>
  <c r="E76" i="7"/>
  <c r="D81" i="4"/>
  <c r="H100" i="4"/>
  <c r="F40" i="4"/>
  <c r="G193" i="7"/>
  <c r="D224" i="4"/>
  <c r="S45" i="2"/>
  <c r="B244" i="7"/>
  <c r="D250" i="7"/>
  <c r="J51" i="4"/>
  <c r="P60" i="2"/>
  <c r="Q77" i="4"/>
  <c r="N217" i="4"/>
  <c r="G55" i="7"/>
  <c r="K159" i="4"/>
  <c r="M160" i="7"/>
  <c r="C235" i="4"/>
  <c r="B59" i="4"/>
  <c r="R62" i="7"/>
  <c r="L45" i="4"/>
  <c r="N214" i="4"/>
  <c r="N52" i="7"/>
  <c r="C228" i="4"/>
  <c r="I35" i="7"/>
  <c r="B154" i="7"/>
  <c r="G84" i="4"/>
  <c r="M202" i="4"/>
  <c r="O187" i="4"/>
  <c r="D252" i="7"/>
  <c r="B47" i="2"/>
  <c r="L155" i="7"/>
  <c r="I28" i="4"/>
  <c r="E95" i="4"/>
  <c r="M42" i="7"/>
  <c r="E77" i="7"/>
  <c r="G151" i="7"/>
  <c r="S46" i="7"/>
  <c r="N208" i="4"/>
  <c r="AC80" i="9"/>
  <c r="F39" i="7"/>
  <c r="P29" i="2"/>
  <c r="K59" i="7"/>
  <c r="K248" i="7"/>
  <c r="T70" i="4"/>
  <c r="E51" i="4"/>
  <c r="I47" i="7"/>
  <c r="K58" i="2"/>
  <c r="N144" i="4"/>
  <c r="Q78" i="4"/>
  <c r="E35" i="2"/>
  <c r="I34" i="2"/>
  <c r="I30" i="4"/>
  <c r="N164" i="7"/>
  <c r="P63" i="7"/>
  <c r="B69" i="9"/>
  <c r="O21" i="2"/>
  <c r="H160" i="4"/>
  <c r="L71" i="2"/>
  <c r="H243" i="4"/>
  <c r="H95" i="7"/>
  <c r="E129" i="7"/>
  <c r="K239" i="4"/>
  <c r="M121" i="4"/>
  <c r="O40" i="2"/>
  <c r="M147" i="7"/>
  <c r="H103" i="4"/>
  <c r="H26" i="2"/>
  <c r="P69" i="7"/>
  <c r="C135" i="7"/>
  <c r="O53" i="2"/>
  <c r="Q28" i="7"/>
  <c r="M61" i="7"/>
  <c r="R77" i="4"/>
  <c r="K129" i="7"/>
  <c r="K226" i="7"/>
  <c r="C60" i="2"/>
  <c r="F61" i="4"/>
  <c r="T59" i="4"/>
  <c r="K208" i="7"/>
  <c r="N94" i="4"/>
  <c r="G123" i="7"/>
  <c r="C51" i="9"/>
  <c r="Q64" i="2"/>
  <c r="J55" i="2"/>
  <c r="E65" i="4"/>
  <c r="I67" i="7"/>
  <c r="K45" i="9"/>
  <c r="L47" i="2"/>
  <c r="P57" i="2"/>
  <c r="I72" i="7"/>
  <c r="L97" i="7"/>
  <c r="AE22" i="9"/>
  <c r="Q50" i="2"/>
  <c r="I83" i="2"/>
  <c r="E170" i="7"/>
  <c r="N66" i="7"/>
  <c r="F22" i="9"/>
  <c r="T74" i="2"/>
  <c r="O163" i="4"/>
  <c r="H141" i="4"/>
  <c r="F198" i="7"/>
  <c r="Q37" i="7"/>
  <c r="C73" i="7"/>
  <c r="Q48" i="2"/>
  <c r="O197" i="4"/>
  <c r="C224" i="7"/>
  <c r="K94" i="4"/>
  <c r="H225" i="7"/>
  <c r="Q37" i="2"/>
  <c r="E223" i="7"/>
  <c r="M75" i="7"/>
  <c r="O78" i="2"/>
  <c r="AJ57" i="9"/>
  <c r="E152" i="7"/>
  <c r="P54" i="7"/>
  <c r="D101" i="4"/>
  <c r="J65" i="2"/>
  <c r="Q65" i="7"/>
  <c r="F66" i="4"/>
  <c r="I68" i="7"/>
  <c r="H239" i="7"/>
  <c r="Q89" i="2"/>
  <c r="R57" i="7"/>
  <c r="K111" i="4"/>
  <c r="C80" i="7"/>
  <c r="E34" i="2"/>
  <c r="C64" i="4"/>
  <c r="N158" i="7"/>
  <c r="C49" i="2"/>
  <c r="F106" i="7"/>
  <c r="AG67" i="9"/>
  <c r="M134" i="7"/>
  <c r="G178" i="4"/>
  <c r="G71" i="2"/>
  <c r="R54" i="2"/>
  <c r="N68" i="9"/>
  <c r="C48" i="9"/>
  <c r="B205" i="7"/>
  <c r="C31" i="2"/>
  <c r="N87" i="2"/>
  <c r="F28" i="2"/>
  <c r="C175" i="4"/>
  <c r="H49" i="4"/>
  <c r="L152" i="4"/>
  <c r="D243" i="4"/>
  <c r="N20" i="9"/>
  <c r="F79" i="7"/>
  <c r="N52" i="2"/>
  <c r="D170" i="7"/>
  <c r="G81" i="4"/>
  <c r="F200" i="7"/>
  <c r="E211" i="4"/>
  <c r="M83" i="4"/>
  <c r="G155" i="7"/>
  <c r="K160" i="4"/>
  <c r="C71" i="4"/>
  <c r="N37" i="2"/>
  <c r="L115" i="4"/>
  <c r="J72" i="4"/>
  <c r="B32" i="4"/>
  <c r="AC34" i="9"/>
  <c r="AQ38" i="9"/>
  <c r="M60" i="2"/>
  <c r="M113" i="4"/>
  <c r="H192" i="4"/>
  <c r="E74" i="4"/>
  <c r="M252" i="7"/>
  <c r="E57" i="7"/>
  <c r="E172" i="4"/>
  <c r="K174" i="4"/>
  <c r="L216" i="4"/>
  <c r="O41" i="4"/>
  <c r="AF66" i="9"/>
  <c r="E187" i="4"/>
  <c r="M199" i="4"/>
  <c r="C248" i="7"/>
  <c r="K113" i="4"/>
  <c r="M220" i="4"/>
  <c r="J47" i="9"/>
  <c r="E237" i="7"/>
  <c r="L214" i="4"/>
  <c r="R26" i="7"/>
  <c r="C80" i="9"/>
  <c r="L108" i="4"/>
  <c r="G19" i="2"/>
  <c r="AK49" i="9"/>
  <c r="C76" i="2"/>
  <c r="N95" i="7"/>
  <c r="H153" i="7"/>
  <c r="E183" i="4"/>
  <c r="H197" i="4"/>
  <c r="N218" i="4"/>
  <c r="AV64" i="9"/>
  <c r="F44" i="2"/>
  <c r="H51" i="7"/>
  <c r="L119" i="4"/>
  <c r="AG69" i="9"/>
  <c r="F49" i="2"/>
  <c r="B88" i="9"/>
  <c r="L159" i="7"/>
  <c r="N20" i="2"/>
  <c r="K40" i="2"/>
  <c r="F25" i="9"/>
  <c r="C90" i="2"/>
  <c r="E49" i="2"/>
  <c r="O23" i="2"/>
  <c r="O32" i="9"/>
  <c r="G69" i="4"/>
  <c r="R83" i="4"/>
  <c r="J76" i="4"/>
  <c r="G252" i="4"/>
  <c r="N185" i="4"/>
  <c r="U35" i="2"/>
  <c r="B80" i="9"/>
  <c r="N63" i="9"/>
  <c r="O47" i="7"/>
  <c r="M189" i="4"/>
  <c r="E147" i="7"/>
  <c r="G47" i="2"/>
  <c r="F134" i="4"/>
  <c r="M62" i="9"/>
  <c r="F72" i="7"/>
  <c r="AC37" i="9"/>
  <c r="F86" i="7"/>
  <c r="C177" i="4"/>
  <c r="P38" i="4"/>
  <c r="Q63" i="7"/>
  <c r="K153" i="4"/>
  <c r="L200" i="4"/>
  <c r="E65" i="9"/>
  <c r="B129" i="7"/>
  <c r="L44" i="9"/>
  <c r="O47" i="2"/>
  <c r="I78" i="2"/>
  <c r="G100" i="4"/>
  <c r="AO19" i="9"/>
  <c r="R63" i="2"/>
  <c r="AR62" i="9"/>
  <c r="I42" i="9"/>
  <c r="G23" i="9"/>
  <c r="B50" i="7"/>
  <c r="G117" i="4"/>
  <c r="P76" i="2"/>
  <c r="E73" i="4"/>
  <c r="C159" i="7"/>
  <c r="H60" i="4"/>
  <c r="B151" i="7"/>
  <c r="AI49" i="9"/>
  <c r="O120" i="4"/>
  <c r="O156" i="4"/>
  <c r="R31" i="2"/>
  <c r="P77" i="2"/>
  <c r="G213" i="7"/>
  <c r="D129" i="4"/>
  <c r="N224" i="7"/>
  <c r="M186" i="4"/>
  <c r="G197" i="7"/>
  <c r="E189" i="4"/>
  <c r="M214" i="7"/>
  <c r="K228" i="7"/>
  <c r="G29" i="2"/>
  <c r="T62" i="4"/>
  <c r="N142" i="7"/>
  <c r="B79" i="4"/>
  <c r="AR22" i="9"/>
  <c r="P80" i="2"/>
  <c r="B29" i="9"/>
  <c r="H68" i="7"/>
  <c r="AP51" i="9"/>
  <c r="AK28" i="9"/>
  <c r="F219" i="4"/>
  <c r="E163" i="7"/>
  <c r="L122" i="4"/>
  <c r="M246" i="4"/>
  <c r="F78" i="7"/>
  <c r="D212" i="7"/>
  <c r="C42" i="2"/>
  <c r="B82" i="7"/>
  <c r="G143" i="7"/>
  <c r="F118" i="4"/>
  <c r="O28" i="9"/>
  <c r="I54" i="7"/>
  <c r="G114" i="4"/>
  <c r="M145" i="7"/>
  <c r="M240" i="4"/>
  <c r="F70" i="7"/>
  <c r="G216" i="7"/>
  <c r="F86" i="4"/>
  <c r="C101" i="7"/>
  <c r="F44" i="7"/>
  <c r="R61" i="2"/>
  <c r="M75" i="2"/>
  <c r="F216" i="4"/>
  <c r="R72" i="2"/>
  <c r="D210" i="4"/>
  <c r="G43" i="4"/>
  <c r="G233" i="7"/>
  <c r="K34" i="2"/>
  <c r="AC58" i="9"/>
  <c r="L186" i="7"/>
  <c r="M39" i="2"/>
  <c r="G137" i="7"/>
  <c r="AP36" i="9"/>
  <c r="D226" i="4"/>
  <c r="N48" i="4"/>
  <c r="AT35" i="9"/>
  <c r="D41" i="7"/>
  <c r="L50" i="7"/>
  <c r="T32" i="2"/>
  <c r="G97" i="4"/>
  <c r="B32" i="2"/>
  <c r="D83" i="7"/>
  <c r="F74" i="7"/>
  <c r="K87" i="7"/>
  <c r="B27" i="4"/>
  <c r="H176" i="7"/>
  <c r="AN35" i="9"/>
  <c r="S73" i="2"/>
  <c r="N132" i="4"/>
  <c r="M44" i="9"/>
  <c r="H43" i="4"/>
  <c r="K198" i="7"/>
  <c r="N178" i="7"/>
  <c r="D30" i="2"/>
  <c r="B242" i="7"/>
  <c r="N70" i="7"/>
  <c r="Q42" i="4"/>
  <c r="G81" i="2"/>
  <c r="C240" i="4"/>
  <c r="E169" i="7"/>
  <c r="K104" i="7"/>
  <c r="N239" i="4"/>
  <c r="M209" i="7"/>
  <c r="G115" i="7"/>
  <c r="F237" i="4"/>
  <c r="C176" i="7"/>
  <c r="H244" i="4"/>
  <c r="C134" i="7"/>
  <c r="C137" i="4"/>
  <c r="N70" i="2"/>
  <c r="G65" i="4"/>
  <c r="H186" i="4"/>
  <c r="F250" i="7"/>
  <c r="L253" i="4"/>
  <c r="S70" i="2"/>
  <c r="N38" i="2"/>
  <c r="H116" i="4"/>
  <c r="M115" i="4"/>
  <c r="L196" i="4"/>
  <c r="B141" i="7"/>
  <c r="N161" i="4"/>
  <c r="AL44" i="9"/>
  <c r="G218" i="7"/>
  <c r="L117" i="4"/>
  <c r="K247" i="7"/>
  <c r="B215" i="7"/>
  <c r="I52" i="9"/>
  <c r="L41" i="2"/>
  <c r="B78" i="4"/>
  <c r="T26" i="9"/>
  <c r="I59" i="7"/>
  <c r="F153" i="4"/>
  <c r="O51" i="2"/>
  <c r="H158" i="7"/>
  <c r="C149" i="4"/>
  <c r="L193" i="7"/>
  <c r="D63" i="4"/>
  <c r="U77" i="2"/>
  <c r="S60" i="9"/>
  <c r="S27" i="2"/>
  <c r="R42" i="9"/>
  <c r="M86" i="4"/>
  <c r="K177" i="7"/>
  <c r="O86" i="7"/>
  <c r="G95" i="7"/>
  <c r="P62" i="2"/>
  <c r="M156" i="7"/>
  <c r="Q61" i="7"/>
  <c r="G234" i="4"/>
  <c r="G214" i="7"/>
  <c r="B24" i="9"/>
  <c r="M192" i="7"/>
  <c r="E213" i="4"/>
  <c r="E70" i="9"/>
  <c r="E178" i="4"/>
  <c r="P27" i="2"/>
  <c r="B55" i="4"/>
  <c r="N48" i="7"/>
  <c r="K222" i="4"/>
  <c r="L40" i="7"/>
  <c r="I47" i="2"/>
  <c r="M36" i="7"/>
  <c r="B53" i="2"/>
  <c r="L81" i="4"/>
  <c r="AN64" i="9"/>
  <c r="E78" i="4"/>
  <c r="N143" i="4"/>
  <c r="R46" i="4"/>
  <c r="H47" i="2"/>
  <c r="D23" i="2"/>
  <c r="E49" i="4"/>
  <c r="K250" i="7"/>
  <c r="E27" i="2"/>
  <c r="F157" i="4"/>
  <c r="D161" i="7"/>
  <c r="N224" i="4"/>
  <c r="O129" i="4"/>
  <c r="O193" i="4"/>
  <c r="N216" i="4"/>
  <c r="D83" i="2"/>
  <c r="N241" i="4"/>
  <c r="AN81" i="9"/>
  <c r="N206" i="4"/>
  <c r="B81" i="4"/>
  <c r="D50" i="2"/>
  <c r="C106" i="4"/>
  <c r="G148" i="4"/>
  <c r="U58" i="7"/>
  <c r="E48" i="4"/>
  <c r="J44" i="2"/>
  <c r="F177" i="4"/>
  <c r="F243" i="7"/>
  <c r="H42" i="2"/>
  <c r="N66" i="2"/>
  <c r="C104" i="7"/>
  <c r="K229" i="7"/>
  <c r="L38" i="7"/>
  <c r="P56" i="7"/>
  <c r="H81" i="2"/>
  <c r="J86" i="4"/>
  <c r="G62" i="2"/>
  <c r="G39" i="9"/>
  <c r="H146" i="4"/>
  <c r="M88" i="2"/>
  <c r="K170" i="4"/>
  <c r="M103" i="4"/>
  <c r="N132" i="7"/>
  <c r="B211" i="7"/>
  <c r="F119" i="4"/>
  <c r="AH55" i="9"/>
  <c r="K238" i="4"/>
  <c r="H229" i="4"/>
  <c r="V20" i="9"/>
  <c r="C66" i="4"/>
  <c r="J19" i="2"/>
  <c r="M82" i="9"/>
  <c r="N25" i="9"/>
  <c r="Q31" i="2"/>
  <c r="B119" i="7"/>
  <c r="N47" i="4"/>
  <c r="F58" i="2"/>
  <c r="C83" i="7"/>
  <c r="K220" i="7"/>
  <c r="L139" i="7"/>
  <c r="D28" i="2"/>
  <c r="F185" i="7"/>
  <c r="AQ83" i="9"/>
  <c r="N70" i="9"/>
  <c r="E199" i="4"/>
  <c r="L46" i="4"/>
  <c r="H85" i="4"/>
  <c r="R51" i="4"/>
  <c r="H42" i="7"/>
  <c r="P43" i="2"/>
  <c r="B161" i="7"/>
  <c r="AI64" i="9"/>
  <c r="M101" i="7"/>
  <c r="P59" i="7"/>
  <c r="AO47" i="9"/>
  <c r="F204" i="7"/>
  <c r="G163" i="7"/>
  <c r="K238" i="7"/>
  <c r="AR25" i="9"/>
  <c r="T28" i="9"/>
  <c r="D252" i="4"/>
  <c r="N64" i="2"/>
  <c r="R32" i="4"/>
  <c r="E200" i="4"/>
  <c r="O23" i="9"/>
  <c r="AC88" i="9"/>
  <c r="AG57" i="9"/>
  <c r="P72" i="9"/>
  <c r="F76" i="7"/>
  <c r="B22" i="7"/>
  <c r="T51" i="7"/>
  <c r="E39" i="9"/>
  <c r="U50" i="4"/>
  <c r="Q74" i="2"/>
  <c r="L154" i="7"/>
  <c r="I58" i="9"/>
  <c r="N126" i="4"/>
  <c r="F185" i="4"/>
  <c r="N67" i="2"/>
  <c r="T48" i="2"/>
  <c r="E166" i="4"/>
  <c r="M129" i="4"/>
  <c r="N73" i="7"/>
  <c r="R33" i="4"/>
  <c r="D160" i="7"/>
  <c r="P36" i="7"/>
  <c r="Q47" i="7"/>
  <c r="K93" i="4"/>
  <c r="K241" i="7"/>
  <c r="K48" i="7"/>
  <c r="L182" i="4"/>
  <c r="M44" i="7"/>
  <c r="D241" i="7"/>
  <c r="K125" i="4"/>
  <c r="E124" i="4"/>
  <c r="R47" i="9"/>
  <c r="H162" i="7"/>
  <c r="L171" i="4"/>
  <c r="T67" i="7"/>
  <c r="I35" i="9"/>
  <c r="E142" i="4"/>
  <c r="G130" i="4"/>
  <c r="I42" i="2"/>
  <c r="C186" i="4"/>
  <c r="K64" i="7"/>
  <c r="D212" i="4"/>
  <c r="E88" i="2"/>
  <c r="M123" i="7"/>
  <c r="I56" i="7"/>
  <c r="S53" i="4"/>
  <c r="H241" i="7"/>
  <c r="I46" i="7"/>
  <c r="M84" i="4"/>
  <c r="I36" i="4"/>
  <c r="C232" i="4"/>
  <c r="N46" i="2"/>
  <c r="H240" i="4"/>
  <c r="J37" i="4"/>
  <c r="H76" i="9"/>
  <c r="I16" i="4"/>
  <c r="O13" i="7"/>
  <c r="AW18" i="9"/>
  <c r="AO74" i="9"/>
  <c r="Q30" i="2"/>
  <c r="AN28" i="9"/>
  <c r="AS19" i="9"/>
  <c r="AG82" i="9"/>
  <c r="H223" i="4"/>
  <c r="C19" i="7"/>
  <c r="Q27" i="7"/>
  <c r="K30" i="9"/>
  <c r="S49" i="7"/>
  <c r="T36" i="7"/>
  <c r="AL32" i="9"/>
  <c r="O118" i="4"/>
  <c r="M242" i="7"/>
  <c r="L86" i="9"/>
  <c r="K57" i="2"/>
  <c r="C53" i="2"/>
  <c r="F228" i="7"/>
  <c r="J21" i="9"/>
  <c r="F46" i="2"/>
  <c r="S59" i="2"/>
  <c r="B206" i="7"/>
  <c r="E84" i="4"/>
  <c r="P74" i="9"/>
  <c r="AF88" i="9"/>
  <c r="S61" i="7"/>
  <c r="T27" i="9"/>
  <c r="E55" i="4"/>
  <c r="K108" i="7"/>
  <c r="Q37" i="4"/>
  <c r="AC45" i="9"/>
  <c r="AN77" i="9"/>
  <c r="B45" i="4"/>
  <c r="N76" i="2"/>
  <c r="N80" i="2"/>
  <c r="D63" i="7"/>
  <c r="D211" i="4"/>
  <c r="E70" i="7"/>
  <c r="O39" i="4"/>
  <c r="D205" i="4"/>
  <c r="O72" i="2"/>
  <c r="M73" i="4"/>
  <c r="N109" i="7"/>
  <c r="I46" i="4"/>
  <c r="C177" i="7"/>
  <c r="S69" i="9"/>
  <c r="AJ45" i="9"/>
  <c r="G224" i="7"/>
  <c r="U55" i="7"/>
  <c r="D152" i="7"/>
  <c r="M253" i="7"/>
  <c r="E89" i="7"/>
  <c r="F25" i="7"/>
  <c r="M139" i="7"/>
  <c r="AF34" i="9"/>
  <c r="K21" i="2"/>
  <c r="G48" i="7"/>
  <c r="AS37" i="9"/>
  <c r="D38" i="4"/>
  <c r="G78" i="7"/>
  <c r="O214" i="4"/>
  <c r="N30" i="7"/>
  <c r="E67" i="9"/>
  <c r="G135" i="7"/>
  <c r="C155" i="7"/>
  <c r="M67" i="7"/>
  <c r="N222" i="7"/>
  <c r="C239" i="4"/>
  <c r="AJ78" i="9"/>
  <c r="K57" i="4"/>
  <c r="C89" i="7"/>
  <c r="L84" i="4"/>
  <c r="M23" i="7"/>
  <c r="T52" i="4"/>
  <c r="K53" i="4"/>
  <c r="N149" i="4"/>
  <c r="K173" i="4"/>
  <c r="AL38" i="9"/>
  <c r="D237" i="7"/>
  <c r="F124" i="7"/>
  <c r="M92" i="4"/>
  <c r="O64" i="2"/>
  <c r="E197" i="7"/>
  <c r="J87" i="4"/>
  <c r="K217" i="7"/>
  <c r="D159" i="7"/>
  <c r="R23" i="9"/>
  <c r="E159" i="4"/>
  <c r="C215" i="7"/>
  <c r="D155" i="4"/>
  <c r="R24" i="4"/>
  <c r="G81" i="9"/>
  <c r="K38" i="9"/>
  <c r="C41" i="2"/>
  <c r="G50" i="9"/>
  <c r="B142" i="7"/>
  <c r="C76" i="9"/>
  <c r="O32" i="4"/>
  <c r="B219" i="7"/>
  <c r="G35" i="9"/>
  <c r="K196" i="7"/>
  <c r="M80" i="2"/>
  <c r="B33" i="2"/>
  <c r="F218" i="7"/>
  <c r="AG43" i="9"/>
  <c r="D139" i="4"/>
  <c r="AN70" i="9"/>
  <c r="K132" i="4"/>
  <c r="D75" i="4"/>
  <c r="B138" i="7"/>
  <c r="D39" i="4"/>
  <c r="G121" i="7"/>
  <c r="E153" i="7"/>
  <c r="R58" i="7"/>
  <c r="N123" i="7"/>
  <c r="B61" i="7"/>
  <c r="L60" i="9"/>
  <c r="B90" i="7"/>
  <c r="M75" i="4"/>
  <c r="L90" i="7"/>
  <c r="E143" i="4"/>
  <c r="L199" i="7"/>
  <c r="K213" i="7"/>
  <c r="K138" i="7"/>
  <c r="AE83" i="9"/>
  <c r="B56" i="2"/>
  <c r="C30" i="2"/>
  <c r="G59" i="2"/>
  <c r="O39" i="7"/>
  <c r="O147" i="4"/>
  <c r="B39" i="7"/>
  <c r="AR30" i="9"/>
  <c r="P19" i="9"/>
  <c r="B42" i="9"/>
  <c r="F43" i="4"/>
  <c r="H32" i="9"/>
  <c r="E78" i="2"/>
  <c r="T70" i="2"/>
  <c r="U71" i="2"/>
  <c r="T73" i="7"/>
  <c r="Q57" i="2"/>
  <c r="AO32" i="9"/>
  <c r="F24" i="4"/>
  <c r="H238" i="4"/>
  <c r="Q73" i="7"/>
  <c r="L205" i="4"/>
  <c r="AQ72" i="9"/>
  <c r="C253" i="4"/>
  <c r="M68" i="2"/>
  <c r="G76" i="7"/>
  <c r="G242" i="7"/>
  <c r="O126" i="4"/>
  <c r="E58" i="7"/>
  <c r="E162" i="4"/>
  <c r="B59" i="9"/>
  <c r="M69" i="2"/>
  <c r="K53" i="7"/>
  <c r="J22" i="4"/>
  <c r="H219" i="7"/>
  <c r="AG73" i="9"/>
  <c r="O20" i="4"/>
  <c r="AF80" i="9"/>
  <c r="R62" i="2"/>
  <c r="J64" i="4"/>
  <c r="P65" i="2"/>
  <c r="S21" i="2"/>
  <c r="G131" i="7"/>
  <c r="E247" i="7"/>
  <c r="O55" i="9"/>
  <c r="U45" i="7"/>
  <c r="G188" i="4"/>
  <c r="D33" i="7"/>
  <c r="D228" i="7"/>
  <c r="E47" i="2"/>
  <c r="K174" i="7"/>
  <c r="J46" i="7"/>
  <c r="B60" i="2"/>
  <c r="R58" i="2"/>
  <c r="O101" i="4"/>
  <c r="M173" i="7"/>
  <c r="I77" i="2"/>
  <c r="O40" i="4"/>
  <c r="N151" i="7"/>
  <c r="D183" i="4"/>
  <c r="J83" i="4"/>
  <c r="G200" i="4"/>
  <c r="U58" i="2"/>
  <c r="O50" i="4"/>
  <c r="AH27" i="9"/>
  <c r="S69" i="4"/>
  <c r="AK55" i="9"/>
  <c r="K73" i="7"/>
  <c r="G199" i="4"/>
  <c r="S63" i="4"/>
  <c r="B36" i="4"/>
  <c r="B103" i="7"/>
  <c r="M45" i="2"/>
  <c r="L159" i="4"/>
  <c r="I60" i="2"/>
  <c r="AC74" i="9"/>
  <c r="K58" i="7"/>
  <c r="E64" i="9"/>
  <c r="E68" i="2"/>
  <c r="G183" i="4"/>
  <c r="D123" i="4"/>
  <c r="O86" i="9"/>
  <c r="D247" i="4"/>
  <c r="C65" i="7"/>
  <c r="E51" i="7"/>
  <c r="N68" i="4"/>
  <c r="D249" i="4"/>
  <c r="D43" i="9"/>
  <c r="G91" i="7"/>
  <c r="K89" i="2"/>
  <c r="R44" i="2"/>
  <c r="G230" i="7"/>
  <c r="I48" i="7"/>
  <c r="I37" i="2"/>
  <c r="D167" i="4"/>
  <c r="G53" i="7"/>
  <c r="AI46" i="9"/>
  <c r="E219" i="4"/>
  <c r="N106" i="7"/>
  <c r="I31" i="2"/>
  <c r="D149" i="7"/>
  <c r="Q82" i="2"/>
  <c r="Q47" i="4"/>
  <c r="H92" i="4"/>
  <c r="K117" i="7"/>
  <c r="K36" i="7"/>
  <c r="S67" i="2"/>
  <c r="M42" i="4"/>
  <c r="J31" i="2"/>
  <c r="M78" i="7"/>
  <c r="H141" i="7"/>
  <c r="H203" i="4"/>
  <c r="H72" i="7"/>
  <c r="AQ27" i="9"/>
  <c r="R23" i="2"/>
  <c r="R72" i="7"/>
  <c r="L243" i="4"/>
  <c r="N57" i="9"/>
  <c r="B55" i="2"/>
  <c r="F40" i="9"/>
  <c r="F36" i="7"/>
  <c r="L50" i="9"/>
  <c r="E235" i="7"/>
  <c r="D72" i="7"/>
  <c r="Q66" i="2"/>
  <c r="N104" i="7"/>
  <c r="C47" i="9"/>
  <c r="E249" i="7"/>
  <c r="AU64" i="9"/>
  <c r="J46" i="9"/>
  <c r="P51" i="4"/>
  <c r="F141" i="7"/>
  <c r="D104" i="4"/>
  <c r="C221" i="7"/>
  <c r="G63" i="7"/>
  <c r="F88" i="9"/>
  <c r="F64" i="7"/>
  <c r="G47" i="4"/>
  <c r="J39" i="9"/>
  <c r="N51" i="2"/>
  <c r="R27" i="9"/>
  <c r="D40" i="2"/>
  <c r="L209" i="7"/>
  <c r="V22" i="4"/>
  <c r="L87" i="4"/>
  <c r="O234" i="4"/>
  <c r="M68" i="4"/>
  <c r="L25" i="2"/>
  <c r="C140" i="4"/>
  <c r="H125" i="7"/>
  <c r="O36" i="2"/>
  <c r="G232" i="4"/>
  <c r="P29" i="4"/>
  <c r="G58" i="4"/>
  <c r="G71" i="7"/>
  <c r="L73" i="7"/>
  <c r="AR72" i="9"/>
  <c r="E151" i="4"/>
  <c r="G43" i="2"/>
  <c r="P32" i="9"/>
  <c r="Q64" i="7"/>
  <c r="T56" i="9"/>
  <c r="F231" i="7"/>
  <c r="N133" i="4"/>
  <c r="H123" i="4"/>
  <c r="S47" i="2"/>
  <c r="L111" i="7"/>
  <c r="F37" i="7"/>
  <c r="J43" i="2"/>
  <c r="D196" i="7"/>
  <c r="O3" i="2"/>
  <c r="L85" i="4"/>
  <c r="G28" i="9"/>
  <c r="L176" i="4"/>
  <c r="C246" i="7"/>
  <c r="AI27" i="9"/>
  <c r="T25" i="2"/>
  <c r="K202" i="7"/>
  <c r="N177" i="7"/>
  <c r="G88" i="2"/>
  <c r="G243" i="7"/>
  <c r="O65" i="7"/>
  <c r="G57" i="9"/>
  <c r="C196" i="4"/>
  <c r="B64" i="2"/>
  <c r="O109" i="4"/>
  <c r="U61" i="2"/>
  <c r="F46" i="4"/>
  <c r="C75" i="2"/>
  <c r="N118" i="7"/>
  <c r="C64" i="7"/>
  <c r="K231" i="4"/>
  <c r="M82" i="7"/>
  <c r="K186" i="4"/>
  <c r="M52" i="7"/>
  <c r="K249" i="4"/>
  <c r="AT21" i="9"/>
  <c r="AC54" i="9"/>
  <c r="E88" i="7"/>
  <c r="C183" i="7"/>
  <c r="L33" i="9"/>
  <c r="T34" i="4"/>
  <c r="C34" i="2"/>
  <c r="E66" i="2"/>
  <c r="M64" i="4"/>
  <c r="K41" i="2"/>
  <c r="C65" i="2"/>
  <c r="M146" i="7"/>
  <c r="AJ26" i="9"/>
  <c r="G60" i="7"/>
  <c r="D73" i="4"/>
  <c r="J42" i="2"/>
  <c r="AE54" i="9"/>
  <c r="D242" i="7"/>
  <c r="N192" i="4"/>
  <c r="O74" i="7"/>
  <c r="AP31" i="9"/>
  <c r="N64" i="9"/>
  <c r="O110" i="4"/>
  <c r="L211" i="7"/>
  <c r="C28" i="4"/>
  <c r="G235" i="4"/>
  <c r="K218" i="7"/>
  <c r="K232" i="7"/>
  <c r="S20" i="2"/>
  <c r="N129" i="7"/>
  <c r="N40" i="2"/>
  <c r="N112" i="4"/>
  <c r="F241" i="4"/>
  <c r="D87" i="2"/>
  <c r="N50" i="4"/>
  <c r="B199" i="7"/>
  <c r="F236" i="4"/>
  <c r="Q46" i="4"/>
  <c r="P42" i="7"/>
  <c r="AR32" i="9"/>
  <c r="M65" i="7"/>
  <c r="AK50" i="9"/>
  <c r="L85" i="9"/>
  <c r="K184" i="4"/>
  <c r="J51" i="2"/>
  <c r="K168" i="7"/>
  <c r="T55" i="9"/>
  <c r="L46" i="2"/>
  <c r="J86" i="2"/>
  <c r="H61" i="7"/>
  <c r="C108" i="4"/>
  <c r="F27" i="4"/>
  <c r="K55" i="4"/>
  <c r="E135" i="7"/>
  <c r="F136" i="7"/>
  <c r="C227" i="7"/>
  <c r="L55" i="7"/>
  <c r="M208" i="4"/>
  <c r="M62" i="4"/>
  <c r="N51" i="7"/>
  <c r="D71" i="7"/>
  <c r="AO39" i="9"/>
  <c r="E98" i="4"/>
  <c r="M118" i="7"/>
  <c r="O173" i="4"/>
  <c r="K48" i="2"/>
  <c r="I48" i="4"/>
  <c r="C241" i="4"/>
  <c r="L58" i="4"/>
  <c r="J69" i="2"/>
  <c r="K26" i="4"/>
  <c r="K223" i="7"/>
  <c r="L198" i="7"/>
  <c r="S74" i="2"/>
  <c r="M94" i="4"/>
  <c r="H80" i="9"/>
  <c r="D72" i="2"/>
  <c r="Q84" i="2"/>
  <c r="F68" i="7"/>
  <c r="C58" i="7"/>
  <c r="H113" i="4"/>
  <c r="S32" i="7"/>
  <c r="D246" i="4"/>
  <c r="AR59" i="9"/>
  <c r="L204" i="4"/>
  <c r="J72" i="7"/>
  <c r="K29" i="7"/>
  <c r="D48" i="7"/>
  <c r="F57" i="2"/>
  <c r="S66" i="9"/>
  <c r="G238" i="4"/>
  <c r="L224" i="7"/>
  <c r="G170" i="7"/>
  <c r="M66" i="7"/>
  <c r="L118" i="7"/>
  <c r="U22" i="2"/>
  <c r="D84" i="9"/>
  <c r="G34" i="4"/>
  <c r="M227" i="7"/>
  <c r="L215" i="7"/>
  <c r="H121" i="4"/>
  <c r="H74" i="4"/>
  <c r="M109" i="7"/>
  <c r="L46" i="7"/>
  <c r="Q53" i="4"/>
  <c r="AE66" i="9"/>
  <c r="U73" i="7"/>
  <c r="G67" i="2"/>
  <c r="L177" i="4"/>
  <c r="T30" i="2"/>
  <c r="T62" i="9"/>
  <c r="C117" i="7"/>
  <c r="Q83" i="4"/>
  <c r="U36" i="7"/>
  <c r="N185" i="7"/>
  <c r="N94" i="7"/>
  <c r="K158" i="7"/>
  <c r="E167" i="7"/>
  <c r="L36" i="9"/>
  <c r="F229" i="4"/>
  <c r="D81" i="2"/>
  <c r="E37" i="2"/>
  <c r="R64" i="7"/>
  <c r="AU32" i="9"/>
  <c r="H177" i="4"/>
  <c r="L198" i="4"/>
  <c r="F221" i="7"/>
  <c r="D216" i="7"/>
  <c r="AD69" i="9"/>
  <c r="H50" i="4"/>
  <c r="H41" i="4"/>
  <c r="I49" i="7"/>
  <c r="J26" i="7"/>
  <c r="I43" i="9"/>
  <c r="F56" i="9"/>
  <c r="H75" i="2"/>
  <c r="D133" i="7"/>
  <c r="G86" i="7"/>
  <c r="M87" i="4"/>
  <c r="H75" i="9"/>
  <c r="H157" i="4"/>
  <c r="O30" i="2"/>
  <c r="K73" i="2"/>
  <c r="K142" i="4"/>
  <c r="F166" i="7"/>
  <c r="P47" i="2"/>
  <c r="J80" i="4"/>
  <c r="E125" i="7"/>
  <c r="H128" i="4"/>
  <c r="K236" i="4"/>
  <c r="H165" i="7"/>
  <c r="P20" i="2"/>
  <c r="O55" i="4"/>
  <c r="U41" i="2"/>
  <c r="AF58" i="9"/>
  <c r="M201" i="4"/>
  <c r="M162" i="4"/>
  <c r="H65" i="7"/>
  <c r="U49" i="2"/>
  <c r="D175" i="7"/>
  <c r="AS47" i="9"/>
  <c r="Q64" i="4"/>
  <c r="C45" i="2"/>
  <c r="F138" i="7"/>
  <c r="F98" i="7"/>
  <c r="K88" i="2"/>
  <c r="C86" i="7"/>
  <c r="L48" i="2"/>
  <c r="H108" i="7"/>
  <c r="T72" i="2"/>
  <c r="AV32" i="9"/>
  <c r="AH47" i="9"/>
  <c r="D103" i="4"/>
  <c r="E171" i="4"/>
  <c r="N66" i="4"/>
  <c r="AW19" i="9"/>
  <c r="H54" i="7"/>
  <c r="R54" i="4"/>
  <c r="M124" i="7"/>
  <c r="B224" i="7"/>
  <c r="C190" i="7"/>
  <c r="N238" i="4"/>
  <c r="AI42" i="9"/>
  <c r="S69" i="2"/>
  <c r="B72" i="7"/>
  <c r="N51" i="4"/>
  <c r="N121" i="4"/>
  <c r="R78" i="2"/>
  <c r="M156" i="4"/>
  <c r="F121" i="4"/>
  <c r="I54" i="9"/>
  <c r="K216" i="4"/>
  <c r="D91" i="2"/>
  <c r="M70" i="9"/>
  <c r="F81" i="2"/>
  <c r="N204" i="4"/>
  <c r="F190" i="7"/>
  <c r="D35" i="2"/>
  <c r="M66" i="4"/>
  <c r="M111" i="4"/>
  <c r="O75" i="7"/>
  <c r="L149" i="4"/>
  <c r="F253" i="4"/>
  <c r="E181" i="7"/>
  <c r="L54" i="4"/>
  <c r="H144" i="7"/>
  <c r="N191" i="4"/>
  <c r="Q69" i="4"/>
  <c r="L120" i="4"/>
  <c r="Q51" i="2"/>
  <c r="D158" i="7"/>
  <c r="P36" i="9"/>
  <c r="F150" i="7"/>
  <c r="S64" i="4"/>
  <c r="N193" i="7"/>
  <c r="F205" i="4"/>
  <c r="Q43" i="7"/>
  <c r="D70" i="7"/>
  <c r="M159" i="7"/>
  <c r="G30" i="4"/>
  <c r="Q41" i="4"/>
  <c r="B75" i="7"/>
  <c r="R45" i="7"/>
  <c r="B72" i="4"/>
  <c r="M153" i="4"/>
  <c r="C20" i="4"/>
  <c r="C106" i="7"/>
  <c r="M78" i="2"/>
  <c r="F57" i="9"/>
  <c r="F65" i="2"/>
  <c r="H31" i="2"/>
  <c r="AS31" i="9"/>
  <c r="F59" i="4"/>
  <c r="I67" i="4"/>
  <c r="G250" i="7"/>
  <c r="C209" i="7"/>
  <c r="S32" i="9"/>
  <c r="H64" i="2"/>
  <c r="O157" i="4"/>
  <c r="I33" i="4"/>
  <c r="L227" i="7"/>
  <c r="H205" i="7"/>
  <c r="L202" i="4"/>
  <c r="E86" i="2"/>
  <c r="U37" i="4"/>
  <c r="C174" i="4"/>
  <c r="M71" i="2"/>
  <c r="P49" i="7"/>
  <c r="K66" i="4"/>
  <c r="E233" i="4"/>
  <c r="C169" i="4"/>
  <c r="E3" i="2"/>
  <c r="E239" i="4"/>
  <c r="N65" i="4"/>
  <c r="N249" i="4"/>
  <c r="C171" i="4"/>
  <c r="U47" i="4"/>
  <c r="M213" i="4"/>
  <c r="R45" i="4"/>
  <c r="N69" i="2"/>
  <c r="K37" i="4"/>
  <c r="L249" i="7"/>
  <c r="D134" i="7"/>
  <c r="D204" i="7"/>
  <c r="M34" i="4"/>
  <c r="T46" i="9"/>
  <c r="L101" i="4"/>
  <c r="E153" i="4"/>
  <c r="D31" i="2"/>
  <c r="S26" i="2"/>
  <c r="AV59" i="9"/>
  <c r="L235" i="4"/>
  <c r="E39" i="2"/>
  <c r="H253" i="4"/>
  <c r="I38" i="7"/>
  <c r="D250" i="4"/>
  <c r="D26" i="7"/>
  <c r="F197" i="7"/>
  <c r="I69" i="4"/>
  <c r="G82" i="4"/>
  <c r="AJ34" i="9"/>
  <c r="T38" i="2"/>
  <c r="B226" i="7"/>
  <c r="G142" i="7"/>
  <c r="N209" i="4"/>
  <c r="K44" i="2"/>
  <c r="AN22" i="9"/>
  <c r="K51" i="4"/>
  <c r="J43" i="9"/>
  <c r="O22" i="2"/>
  <c r="O67" i="4"/>
  <c r="AO66" i="9"/>
  <c r="H166" i="7"/>
  <c r="H67" i="4"/>
  <c r="F68" i="2"/>
  <c r="M238" i="7"/>
  <c r="T49" i="9"/>
  <c r="O69" i="7"/>
  <c r="F79" i="9"/>
  <c r="G196" i="4"/>
  <c r="J53" i="2"/>
  <c r="G151" i="4"/>
  <c r="C43" i="9"/>
  <c r="O83" i="2"/>
  <c r="I31" i="9"/>
  <c r="N160" i="7"/>
  <c r="K102" i="4"/>
  <c r="L186" i="4"/>
  <c r="E137" i="7"/>
  <c r="H87" i="7"/>
  <c r="S24" i="9"/>
  <c r="Q47" i="9"/>
  <c r="H132" i="7"/>
  <c r="O63" i="4"/>
  <c r="E197" i="4"/>
  <c r="G195" i="4"/>
  <c r="AH81" i="9"/>
  <c r="M126" i="4"/>
  <c r="G251" i="7"/>
  <c r="L80" i="7"/>
  <c r="D228" i="4"/>
  <c r="Q58" i="2"/>
  <c r="F219" i="7"/>
  <c r="L37" i="9"/>
  <c r="M172" i="4"/>
  <c r="F123" i="7"/>
  <c r="N73" i="4"/>
  <c r="G117" i="7"/>
  <c r="M173" i="4"/>
  <c r="G133" i="4"/>
  <c r="G121" i="4"/>
  <c r="O61" i="9"/>
  <c r="AJ87" i="9"/>
  <c r="F164" i="7"/>
  <c r="AF63" i="9"/>
  <c r="K145" i="7"/>
  <c r="P28" i="4"/>
  <c r="B143" i="7"/>
  <c r="O182" i="4"/>
  <c r="H151" i="4"/>
  <c r="M70" i="2"/>
  <c r="N186" i="7"/>
  <c r="L57" i="2"/>
  <c r="E205" i="7"/>
  <c r="E183" i="7"/>
  <c r="G53" i="4"/>
  <c r="C59" i="4"/>
  <c r="G55" i="4"/>
  <c r="T61" i="4"/>
  <c r="B39" i="4"/>
  <c r="S30" i="2"/>
  <c r="G222" i="7"/>
  <c r="E53" i="2"/>
  <c r="G62" i="9"/>
  <c r="H83" i="4"/>
  <c r="J59" i="4"/>
  <c r="H210" i="7"/>
  <c r="N100" i="7"/>
  <c r="L40" i="2"/>
  <c r="E209" i="7"/>
  <c r="O57" i="4"/>
  <c r="E173" i="7"/>
  <c r="H208" i="7"/>
  <c r="AC46" i="9"/>
  <c r="D233" i="4"/>
  <c r="O83" i="4"/>
  <c r="K145" i="4"/>
  <c r="I62" i="9"/>
  <c r="K79" i="2"/>
  <c r="E215" i="4"/>
  <c r="O67" i="2"/>
  <c r="O252" i="4"/>
  <c r="N220" i="7"/>
  <c r="H225" i="4"/>
  <c r="H113" i="7"/>
  <c r="D140" i="4"/>
  <c r="D143" i="7"/>
  <c r="G171" i="7"/>
  <c r="K164" i="7"/>
  <c r="N56" i="9"/>
  <c r="M120" i="4"/>
  <c r="O146" i="4"/>
  <c r="AO79" i="9"/>
  <c r="E127" i="4"/>
  <c r="K136" i="7"/>
  <c r="M20" i="9"/>
  <c r="H44" i="4"/>
  <c r="H65" i="9"/>
  <c r="F131" i="7"/>
  <c r="G145" i="4"/>
  <c r="L233" i="7"/>
  <c r="D165" i="4"/>
  <c r="T44" i="4"/>
  <c r="N155" i="4"/>
  <c r="M205" i="7"/>
  <c r="E136" i="4"/>
  <c r="Q41" i="7"/>
  <c r="AC56" i="9"/>
  <c r="K61" i="4"/>
  <c r="H67" i="7"/>
  <c r="F133" i="4"/>
  <c r="E193" i="7"/>
  <c r="N56" i="2"/>
  <c r="I21" i="2"/>
  <c r="N199" i="4"/>
  <c r="C220" i="4"/>
  <c r="P39" i="2"/>
  <c r="M231" i="4"/>
  <c r="O233" i="4"/>
  <c r="S41" i="4"/>
  <c r="U44" i="4"/>
  <c r="D76" i="4"/>
  <c r="G211" i="7"/>
  <c r="J30" i="2"/>
  <c r="I74" i="4"/>
  <c r="E132" i="7"/>
  <c r="F58" i="7"/>
  <c r="E32" i="2"/>
  <c r="L135" i="7"/>
  <c r="D245" i="4"/>
  <c r="F69" i="9"/>
  <c r="B124" i="7"/>
  <c r="H247" i="4"/>
  <c r="E167" i="4"/>
  <c r="F237" i="7"/>
  <c r="B69" i="4"/>
  <c r="N228" i="7"/>
  <c r="G228" i="7"/>
  <c r="M36" i="4"/>
  <c r="C85" i="7"/>
  <c r="S29" i="7"/>
  <c r="N211" i="4"/>
  <c r="C86" i="4"/>
  <c r="N214" i="7"/>
  <c r="D136" i="4"/>
  <c r="J48" i="4"/>
  <c r="L56" i="7"/>
  <c r="F127" i="4"/>
  <c r="B153" i="7"/>
  <c r="E33" i="7"/>
  <c r="C28" i="7"/>
  <c r="F111" i="7"/>
  <c r="N74" i="2"/>
  <c r="C175" i="7"/>
  <c r="F212" i="4"/>
  <c r="E78" i="9"/>
  <c r="C62" i="7"/>
  <c r="K24" i="2"/>
  <c r="F54" i="4"/>
  <c r="G244" i="7"/>
  <c r="K189" i="4"/>
  <c r="N37" i="7"/>
  <c r="C126" i="4"/>
  <c r="M61" i="2"/>
  <c r="L228" i="4"/>
  <c r="L48" i="7"/>
  <c r="M56" i="9"/>
  <c r="E164" i="7"/>
  <c r="L162" i="7"/>
  <c r="B65" i="9"/>
  <c r="O40" i="7"/>
  <c r="L177" i="7"/>
  <c r="S31" i="9"/>
  <c r="O33" i="7"/>
  <c r="P72" i="7"/>
  <c r="Q81" i="4"/>
  <c r="N205" i="4"/>
  <c r="F211" i="7"/>
  <c r="F191" i="7"/>
  <c r="E76" i="4"/>
  <c r="M27" i="4"/>
  <c r="C172" i="7"/>
  <c r="Q91" i="2"/>
  <c r="J64" i="7"/>
  <c r="C68" i="9"/>
  <c r="AH54" i="9"/>
  <c r="AH45" i="9"/>
  <c r="M128" i="7"/>
  <c r="G51" i="7"/>
  <c r="I82" i="2"/>
  <c r="K60" i="2"/>
  <c r="C116" i="4"/>
  <c r="AR70" i="9"/>
  <c r="M244" i="4"/>
  <c r="E43" i="7"/>
  <c r="E225" i="7"/>
  <c r="K100" i="4"/>
  <c r="C60" i="7"/>
  <c r="G139" i="7"/>
  <c r="F168" i="7"/>
  <c r="R55" i="7"/>
  <c r="O93" i="4"/>
  <c r="AJ66" i="9"/>
  <c r="M177" i="4"/>
  <c r="B52" i="2"/>
  <c r="T63" i="4"/>
  <c r="N176" i="4"/>
  <c r="O38" i="4"/>
  <c r="AG72" i="9"/>
  <c r="I49" i="9"/>
  <c r="O70" i="7"/>
  <c r="K30" i="4"/>
  <c r="F67" i="4"/>
  <c r="R31" i="4"/>
  <c r="O80" i="2"/>
  <c r="M30" i="9"/>
  <c r="S55" i="4"/>
  <c r="M155" i="7"/>
  <c r="S48" i="2"/>
  <c r="D114" i="4"/>
  <c r="K155" i="4"/>
  <c r="K116" i="7"/>
  <c r="M248" i="4"/>
  <c r="E141" i="4"/>
  <c r="D229" i="7"/>
  <c r="P67" i="7"/>
  <c r="N33" i="2"/>
  <c r="F84" i="7"/>
  <c r="C101" i="4"/>
  <c r="E236" i="4"/>
  <c r="M102" i="7"/>
  <c r="E41" i="4"/>
  <c r="Q46" i="2"/>
  <c r="D148" i="4"/>
  <c r="H248" i="4"/>
  <c r="L58" i="7"/>
  <c r="T44" i="9"/>
  <c r="AK31" i="9"/>
  <c r="P74" i="7"/>
  <c r="C75" i="4"/>
  <c r="M57" i="7"/>
  <c r="E103" i="4"/>
  <c r="M52" i="4"/>
  <c r="E251" i="7"/>
  <c r="H139" i="7"/>
  <c r="K204" i="4"/>
  <c r="G65" i="7"/>
  <c r="C132" i="4"/>
  <c r="I70" i="4"/>
  <c r="I33" i="2"/>
  <c r="Q31" i="4"/>
  <c r="K154" i="7"/>
  <c r="E59" i="9"/>
  <c r="T39" i="4"/>
  <c r="F242" i="7"/>
  <c r="F43" i="7"/>
  <c r="K227" i="4"/>
  <c r="H175" i="7"/>
  <c r="G66" i="2"/>
  <c r="K20" i="4"/>
  <c r="N113" i="7"/>
  <c r="E156" i="7"/>
  <c r="G164" i="4"/>
  <c r="E60" i="9"/>
  <c r="O195" i="4"/>
  <c r="M175" i="7"/>
  <c r="L94" i="7"/>
  <c r="M115" i="7"/>
  <c r="F142" i="4"/>
  <c r="F161" i="4"/>
  <c r="M150" i="7"/>
  <c r="N122" i="4"/>
  <c r="H43" i="9"/>
  <c r="K130" i="7"/>
  <c r="L249" i="4"/>
  <c r="F234" i="7"/>
  <c r="M125" i="4"/>
  <c r="O148" i="4"/>
  <c r="G109" i="4"/>
  <c r="L48" i="4"/>
  <c r="G75" i="7"/>
  <c r="AG60" i="9"/>
  <c r="U51" i="4"/>
  <c r="S23" i="2"/>
  <c r="D88" i="7"/>
  <c r="B58" i="9"/>
  <c r="H26" i="9"/>
  <c r="D171" i="7"/>
  <c r="E248" i="7"/>
  <c r="U71" i="7"/>
  <c r="D203" i="7"/>
  <c r="M42" i="2"/>
  <c r="C113" i="4"/>
  <c r="C70" i="4"/>
  <c r="I51" i="7"/>
  <c r="H174" i="4"/>
  <c r="N222" i="4"/>
  <c r="G119" i="7"/>
  <c r="P87" i="4"/>
  <c r="K42" i="9"/>
  <c r="F201" i="4"/>
  <c r="K172" i="7"/>
  <c r="E218" i="7"/>
  <c r="P60" i="4"/>
  <c r="K114" i="7"/>
  <c r="N68" i="7"/>
  <c r="AJ70" i="9"/>
  <c r="R54" i="7"/>
  <c r="D52" i="4"/>
  <c r="O20" i="2"/>
  <c r="K141" i="4"/>
  <c r="K102" i="7"/>
  <c r="K113" i="7"/>
  <c r="E64" i="2"/>
  <c r="M91" i="7"/>
  <c r="C23" i="2"/>
  <c r="K187" i="4"/>
  <c r="L150" i="7"/>
  <c r="H173" i="7"/>
  <c r="G146" i="4"/>
  <c r="E206" i="7"/>
  <c r="AQ45" i="9"/>
  <c r="B39" i="9"/>
  <c r="I62" i="7"/>
  <c r="L89" i="7"/>
  <c r="G134" i="4"/>
  <c r="K68" i="2"/>
  <c r="C119" i="7"/>
  <c r="G57" i="7"/>
  <c r="AI58" i="9"/>
  <c r="I38" i="9"/>
  <c r="D235" i="4"/>
  <c r="M147" i="4"/>
  <c r="Q54" i="4"/>
  <c r="H81" i="7"/>
  <c r="F50" i="9"/>
  <c r="F37" i="2"/>
  <c r="D130" i="4"/>
  <c r="L61" i="2"/>
  <c r="P77" i="4"/>
  <c r="Q28" i="9"/>
  <c r="O164" i="4"/>
  <c r="G86" i="2"/>
  <c r="K127" i="4"/>
  <c r="AS30" i="9"/>
  <c r="O104" i="4"/>
  <c r="L34" i="7"/>
  <c r="E252" i="4"/>
  <c r="K139" i="4"/>
  <c r="N168" i="4"/>
  <c r="C252" i="7"/>
  <c r="L238" i="4"/>
  <c r="C125" i="4"/>
  <c r="G232" i="7"/>
  <c r="D74" i="7"/>
  <c r="K150" i="4"/>
  <c r="O150" i="4"/>
  <c r="L120" i="7"/>
  <c r="D189" i="7"/>
  <c r="E127" i="7"/>
  <c r="K72" i="7"/>
  <c r="N43" i="7"/>
  <c r="H68" i="4"/>
  <c r="D85" i="7"/>
  <c r="M102" i="4"/>
  <c r="K46" i="4"/>
  <c r="G55" i="9"/>
  <c r="L178" i="4"/>
  <c r="N142" i="4"/>
  <c r="O143" i="4"/>
  <c r="S3" i="2"/>
  <c r="F53" i="9"/>
  <c r="C232" i="7"/>
  <c r="AP23" i="9"/>
  <c r="N98" i="4"/>
  <c r="Q36" i="7"/>
  <c r="O62" i="9"/>
  <c r="N74" i="4"/>
  <c r="L151" i="7"/>
  <c r="C73" i="4"/>
  <c r="C199" i="4"/>
  <c r="K84" i="4"/>
  <c r="J61" i="2"/>
  <c r="K129" i="4"/>
  <c r="E177" i="4"/>
  <c r="T76" i="2"/>
  <c r="C195" i="7"/>
  <c r="D99" i="7"/>
  <c r="M193" i="7"/>
  <c r="I80" i="2"/>
  <c r="H171" i="4"/>
  <c r="E245" i="4"/>
  <c r="E119" i="4"/>
  <c r="N108" i="4"/>
  <c r="I54" i="4"/>
  <c r="H219" i="4"/>
  <c r="N124" i="7"/>
  <c r="AP79" i="9"/>
  <c r="L71" i="4"/>
  <c r="C178" i="7"/>
  <c r="E69" i="2"/>
  <c r="M50" i="7"/>
  <c r="E30" i="2"/>
  <c r="O73" i="7"/>
  <c r="T46" i="2"/>
  <c r="E72" i="2"/>
  <c r="G227" i="4"/>
  <c r="M200" i="4"/>
  <c r="I89" i="2"/>
  <c r="H51" i="2"/>
  <c r="I18" i="9"/>
  <c r="AH58" i="9"/>
  <c r="G71" i="9"/>
  <c r="G22" i="7"/>
  <c r="AF52" i="9"/>
  <c r="U67" i="4"/>
  <c r="B203" i="7"/>
  <c r="AI50" i="9"/>
  <c r="L39" i="7"/>
  <c r="E77" i="2"/>
  <c r="G217" i="4"/>
  <c r="AH74" i="9"/>
  <c r="H121" i="7"/>
  <c r="T70" i="7"/>
  <c r="AD62" i="9"/>
  <c r="AU45" i="9"/>
  <c r="P54" i="2"/>
  <c r="D173" i="4"/>
  <c r="P27" i="4"/>
  <c r="C62" i="2"/>
  <c r="G72" i="9"/>
  <c r="K210" i="7"/>
  <c r="AQ44" i="9"/>
  <c r="Q53" i="7"/>
  <c r="H172" i="4"/>
  <c r="AN48" i="9"/>
  <c r="B30" i="9"/>
  <c r="G87" i="4"/>
  <c r="F24" i="2"/>
  <c r="AP29" i="9"/>
  <c r="Q33" i="4"/>
  <c r="G88" i="7"/>
  <c r="H58" i="9"/>
  <c r="L27" i="4"/>
  <c r="K93" i="7"/>
  <c r="D70" i="9"/>
  <c r="F214" i="7"/>
  <c r="E251" i="4"/>
  <c r="P48" i="7"/>
  <c r="G174" i="4"/>
  <c r="M168" i="4"/>
  <c r="Q38" i="4"/>
  <c r="B51" i="7"/>
  <c r="K74" i="4"/>
  <c r="M34" i="7"/>
  <c r="K97" i="7"/>
  <c r="F64" i="9"/>
  <c r="M54" i="4"/>
  <c r="R60" i="7"/>
  <c r="E162" i="7"/>
  <c r="L113" i="4"/>
  <c r="L32" i="2"/>
  <c r="D99" i="4"/>
  <c r="J23" i="2"/>
  <c r="B53" i="7"/>
  <c r="C142" i="7"/>
  <c r="N220" i="4"/>
  <c r="N211" i="7"/>
  <c r="L152" i="7"/>
  <c r="C80" i="2"/>
  <c r="G52" i="7"/>
  <c r="H59" i="7"/>
  <c r="N162" i="7"/>
  <c r="K38" i="4"/>
  <c r="G202" i="7"/>
  <c r="K139" i="7"/>
  <c r="F226" i="7"/>
  <c r="O206" i="4"/>
  <c r="P86" i="4"/>
  <c r="C185" i="7"/>
  <c r="F41" i="9"/>
  <c r="K200" i="4"/>
  <c r="L184" i="7"/>
  <c r="I68" i="4"/>
  <c r="E157" i="4"/>
  <c r="E216" i="4"/>
  <c r="B61" i="4"/>
  <c r="O29" i="9"/>
  <c r="P50" i="2"/>
  <c r="L147" i="4"/>
  <c r="E101" i="4"/>
  <c r="F49" i="9"/>
  <c r="C58" i="2"/>
  <c r="D37" i="2"/>
  <c r="B38" i="2"/>
  <c r="N200" i="7"/>
  <c r="N219" i="4"/>
  <c r="K227" i="7"/>
  <c r="N215" i="4"/>
  <c r="Q25" i="2"/>
  <c r="H25" i="7"/>
  <c r="B63" i="2"/>
  <c r="P40" i="7"/>
  <c r="C83" i="2"/>
  <c r="L137" i="4"/>
  <c r="J66" i="4"/>
  <c r="F240" i="7"/>
  <c r="D207" i="7"/>
  <c r="U24" i="4"/>
  <c r="L209" i="4"/>
  <c r="AM19" i="9"/>
  <c r="B214" i="7"/>
  <c r="D172" i="7"/>
  <c r="K67" i="4"/>
  <c r="L218" i="4"/>
  <c r="G46" i="2"/>
  <c r="I70" i="2"/>
  <c r="I23" i="9"/>
  <c r="G126" i="7"/>
  <c r="M51" i="9"/>
  <c r="B144" i="7"/>
  <c r="H156" i="4"/>
  <c r="B63" i="7"/>
  <c r="H62" i="7"/>
  <c r="S49" i="2"/>
  <c r="L173" i="4"/>
  <c r="AK24" i="9"/>
  <c r="G83" i="4"/>
  <c r="S36" i="9"/>
  <c r="K19" i="2"/>
  <c r="L158" i="4"/>
  <c r="AQ62" i="9"/>
  <c r="B50" i="4"/>
  <c r="G193" i="4"/>
  <c r="L220" i="7"/>
  <c r="R75" i="2"/>
  <c r="G70" i="9"/>
  <c r="H112" i="4"/>
  <c r="O203" i="4"/>
  <c r="G88" i="9"/>
  <c r="C238" i="7"/>
  <c r="H79" i="2"/>
  <c r="B35" i="2"/>
  <c r="B87" i="7"/>
  <c r="K143" i="7"/>
  <c r="I64" i="2"/>
  <c r="P45" i="7"/>
  <c r="F82" i="2"/>
  <c r="M250" i="4"/>
  <c r="F213" i="7"/>
  <c r="E246" i="4"/>
  <c r="B16" i="10"/>
  <c r="F50" i="4"/>
  <c r="O78" i="4"/>
  <c r="AR43" i="9"/>
  <c r="D137" i="7"/>
  <c r="L92" i="4"/>
  <c r="N207" i="4"/>
  <c r="K107" i="7"/>
  <c r="T43" i="9"/>
  <c r="O220" i="4"/>
  <c r="C212" i="4"/>
  <c r="J66" i="2"/>
  <c r="I58" i="2"/>
  <c r="M142" i="4"/>
  <c r="F251" i="4"/>
  <c r="G108" i="7"/>
  <c r="K168" i="4"/>
  <c r="O244" i="4"/>
  <c r="E64" i="4"/>
  <c r="D154" i="4"/>
  <c r="M86" i="2"/>
  <c r="L137" i="7"/>
  <c r="I57" i="4"/>
  <c r="F117" i="7"/>
  <c r="B95" i="7"/>
  <c r="D68" i="7"/>
  <c r="H238" i="7"/>
  <c r="AE78" i="9"/>
  <c r="D35" i="4"/>
  <c r="D33" i="2"/>
  <c r="F130" i="4"/>
  <c r="F33" i="4"/>
  <c r="F245" i="7"/>
  <c r="K176" i="4"/>
  <c r="L70" i="9"/>
  <c r="K164" i="4"/>
  <c r="F197" i="4"/>
  <c r="B67" i="2"/>
  <c r="N249" i="7"/>
  <c r="H71" i="4"/>
  <c r="G209" i="7"/>
  <c r="AP86" i="9"/>
  <c r="H79" i="7"/>
  <c r="J64" i="2"/>
  <c r="M119" i="7"/>
  <c r="N131" i="4"/>
  <c r="M85" i="9"/>
  <c r="H87" i="9"/>
  <c r="P36" i="4"/>
  <c r="C34" i="9"/>
  <c r="C87" i="2"/>
  <c r="R35" i="7"/>
  <c r="N90" i="7"/>
  <c r="C40" i="7"/>
  <c r="E177" i="7"/>
  <c r="P89" i="2"/>
  <c r="D156" i="4"/>
  <c r="AQ85" i="9"/>
  <c r="E126" i="4"/>
  <c r="D54" i="2"/>
  <c r="L69" i="4"/>
  <c r="I68" i="9"/>
  <c r="D202" i="4"/>
  <c r="D63" i="2"/>
  <c r="K233" i="7"/>
  <c r="J52" i="2"/>
  <c r="G186" i="7"/>
  <c r="E201" i="7"/>
  <c r="I41" i="7"/>
  <c r="AS26" i="9"/>
  <c r="Q45" i="4"/>
  <c r="F35" i="2"/>
  <c r="L21" i="9"/>
  <c r="K67" i="2"/>
  <c r="R41" i="7"/>
  <c r="I47" i="4"/>
  <c r="M65" i="9"/>
  <c r="G133" i="7"/>
  <c r="K109" i="4"/>
  <c r="L52" i="2"/>
  <c r="Q29" i="2"/>
  <c r="C207" i="4"/>
  <c r="O249" i="4"/>
  <c r="AF49" i="9"/>
  <c r="AD82" i="9"/>
  <c r="D158" i="4"/>
  <c r="N91" i="2"/>
  <c r="E149" i="4"/>
  <c r="P74" i="2"/>
  <c r="E34" i="4"/>
  <c r="C58" i="4"/>
  <c r="L91" i="2"/>
  <c r="AC66" i="9"/>
  <c r="F196" i="7"/>
  <c r="I40" i="4"/>
  <c r="I61" i="2"/>
  <c r="G100" i="7"/>
  <c r="O66" i="7"/>
  <c r="R24" i="2"/>
  <c r="C170" i="7"/>
  <c r="K178" i="7"/>
  <c r="H105" i="4"/>
  <c r="H152" i="4"/>
  <c r="N124" i="4"/>
  <c r="M212" i="4"/>
  <c r="G127" i="7"/>
  <c r="U64" i="7"/>
  <c r="G87" i="7"/>
  <c r="H52" i="2"/>
  <c r="R43" i="4"/>
  <c r="C226" i="4"/>
  <c r="F50" i="7"/>
  <c r="C252" i="4"/>
  <c r="H245" i="4"/>
  <c r="H220" i="7"/>
  <c r="L246" i="4"/>
  <c r="L174" i="7"/>
  <c r="K92" i="4"/>
  <c r="Q68" i="4"/>
  <c r="L81" i="7"/>
  <c r="E69" i="9"/>
  <c r="H161" i="4"/>
  <c r="B85" i="9"/>
  <c r="E27" i="4"/>
  <c r="G235" i="7"/>
  <c r="K162" i="7"/>
  <c r="H166" i="4"/>
  <c r="H80" i="7"/>
  <c r="D34" i="7"/>
  <c r="H30" i="4"/>
  <c r="M235" i="4"/>
  <c r="G27" i="2"/>
  <c r="E234" i="7"/>
  <c r="M182" i="7"/>
  <c r="C167" i="7"/>
  <c r="C143" i="4"/>
  <c r="M61" i="9"/>
  <c r="N54" i="7"/>
  <c r="H167" i="7"/>
  <c r="D31" i="4"/>
  <c r="G148" i="7"/>
  <c r="F109" i="4"/>
  <c r="M211" i="4"/>
  <c r="H27" i="2"/>
  <c r="D106" i="4"/>
  <c r="C248" i="4"/>
  <c r="F88" i="2"/>
  <c r="O60" i="9"/>
  <c r="H246" i="4"/>
  <c r="AL48" i="9"/>
  <c r="D223" i="7"/>
  <c r="AG19" i="9"/>
  <c r="B71" i="4"/>
  <c r="K241" i="4"/>
  <c r="F215" i="4"/>
  <c r="K76" i="2"/>
  <c r="AK34" i="9"/>
  <c r="P48" i="4"/>
  <c r="O218" i="4"/>
  <c r="U37" i="7"/>
  <c r="C95" i="4"/>
  <c r="U53" i="2"/>
  <c r="N227" i="7"/>
  <c r="O75" i="2"/>
  <c r="M192" i="4"/>
  <c r="K237" i="7"/>
  <c r="K213" i="4"/>
  <c r="C154" i="7"/>
  <c r="U65" i="7"/>
  <c r="K185" i="7"/>
  <c r="L166" i="4"/>
  <c r="E85" i="2"/>
  <c r="L92" i="7"/>
  <c r="E43" i="4"/>
  <c r="G171" i="4"/>
  <c r="P71" i="7"/>
  <c r="F151" i="4"/>
  <c r="N58" i="7"/>
  <c r="K32" i="4"/>
  <c r="E204" i="7"/>
  <c r="O242" i="4"/>
  <c r="T67" i="9"/>
  <c r="M119" i="4"/>
  <c r="P84" i="4"/>
  <c r="F167" i="7"/>
  <c r="L63" i="4"/>
  <c r="C181" i="7"/>
  <c r="I63" i="7"/>
  <c r="C172" i="4"/>
  <c r="E194" i="7"/>
  <c r="AV73" i="9"/>
  <c r="E207" i="4"/>
  <c r="O74" i="4"/>
  <c r="F198" i="4"/>
  <c r="E42" i="7"/>
  <c r="M177" i="7"/>
  <c r="D229" i="4"/>
  <c r="M223" i="7"/>
  <c r="C45" i="4"/>
  <c r="G116" i="4"/>
  <c r="AN44" i="9"/>
  <c r="D107" i="7"/>
  <c r="F252" i="4"/>
  <c r="G204" i="7"/>
  <c r="N137" i="4"/>
  <c r="U32" i="4"/>
  <c r="M63" i="2"/>
  <c r="Q35" i="4"/>
  <c r="I37" i="7"/>
  <c r="F104" i="4"/>
  <c r="O52" i="7"/>
  <c r="S71" i="4"/>
  <c r="M152" i="4"/>
  <c r="H235" i="7"/>
  <c r="U34" i="2"/>
  <c r="G76" i="9"/>
  <c r="J69" i="4"/>
  <c r="T63" i="2"/>
  <c r="B83" i="2"/>
  <c r="K42" i="4"/>
  <c r="N57" i="7"/>
  <c r="E182" i="4"/>
  <c r="F156" i="4"/>
  <c r="Q45" i="9"/>
  <c r="P71" i="2"/>
  <c r="O184" i="4"/>
  <c r="D241" i="4"/>
  <c r="I64" i="7"/>
  <c r="G96" i="7"/>
  <c r="N183" i="7"/>
  <c r="F26" i="4"/>
  <c r="D51" i="4"/>
  <c r="K148" i="4"/>
  <c r="P86" i="2"/>
  <c r="E115" i="7"/>
  <c r="H70" i="2"/>
  <c r="AU65" i="9"/>
  <c r="G59" i="4"/>
  <c r="B165" i="7"/>
  <c r="M170" i="4"/>
  <c r="B23" i="2"/>
  <c r="D60" i="7"/>
  <c r="C44" i="7"/>
  <c r="AH26" i="9"/>
  <c r="N111" i="4"/>
  <c r="U40" i="4"/>
  <c r="G35" i="4"/>
  <c r="N206" i="7"/>
  <c r="AO50" i="9"/>
  <c r="N188" i="4"/>
  <c r="T65" i="9"/>
  <c r="M30" i="4"/>
  <c r="H242" i="7"/>
  <c r="F53" i="2"/>
  <c r="F73" i="7"/>
  <c r="L220" i="4"/>
  <c r="G34" i="9"/>
  <c r="M137" i="4"/>
  <c r="L228" i="7"/>
  <c r="K103" i="4"/>
  <c r="E87" i="4"/>
  <c r="G51" i="2"/>
  <c r="M238" i="4"/>
  <c r="C146" i="7"/>
  <c r="H217" i="7"/>
  <c r="L42" i="9"/>
  <c r="J87" i="2"/>
  <c r="K205" i="4"/>
  <c r="J74" i="7"/>
  <c r="C221" i="4"/>
  <c r="E40" i="4"/>
  <c r="F187" i="7"/>
  <c r="O66" i="9"/>
  <c r="H173" i="4"/>
  <c r="F33" i="9"/>
  <c r="AU26" i="9"/>
  <c r="N55" i="4"/>
  <c r="L143" i="7"/>
  <c r="S43" i="9"/>
  <c r="J47" i="7"/>
  <c r="P72" i="4"/>
  <c r="E250" i="4"/>
  <c r="K123" i="7"/>
  <c r="N244" i="4"/>
  <c r="H109" i="4"/>
  <c r="K190" i="4"/>
  <c r="C188" i="7"/>
  <c r="AJ25" i="9"/>
  <c r="S55" i="2"/>
  <c r="K94" i="7"/>
  <c r="K96" i="4"/>
  <c r="G132" i="7"/>
  <c r="E195" i="4"/>
  <c r="L68" i="9"/>
  <c r="M145" i="4"/>
  <c r="F195" i="7"/>
  <c r="F167" i="4"/>
  <c r="J89" i="2"/>
  <c r="G70" i="4"/>
  <c r="O68" i="4"/>
  <c r="U52" i="7"/>
  <c r="N103" i="4"/>
  <c r="M159" i="4"/>
  <c r="E29" i="2"/>
  <c r="N86" i="4"/>
  <c r="C61" i="4"/>
  <c r="K121" i="4"/>
  <c r="N134" i="7"/>
  <c r="S72" i="2"/>
  <c r="B132" i="7"/>
  <c r="M239" i="4"/>
  <c r="K166" i="4"/>
  <c r="H86" i="2"/>
  <c r="F201" i="7"/>
  <c r="G76" i="2"/>
  <c r="H221" i="4"/>
  <c r="H242" i="4"/>
  <c r="G48" i="4"/>
  <c r="E236" i="7"/>
  <c r="H129" i="7"/>
  <c r="AQ78" i="9"/>
  <c r="C102" i="4"/>
  <c r="P41" i="2"/>
  <c r="I35" i="4"/>
  <c r="F153" i="7"/>
  <c r="C82" i="7"/>
  <c r="M126" i="7"/>
  <c r="F132" i="4"/>
  <c r="J74" i="4"/>
  <c r="K160" i="7"/>
  <c r="L76" i="4"/>
  <c r="H24" i="7"/>
  <c r="C69" i="7"/>
  <c r="N210" i="4"/>
  <c r="G49" i="2"/>
  <c r="H54" i="2"/>
  <c r="F240" i="4"/>
  <c r="J50" i="7"/>
  <c r="O44" i="4"/>
  <c r="B66" i="4"/>
  <c r="N179" i="7"/>
  <c r="C37" i="4"/>
  <c r="Q24" i="2"/>
  <c r="M195" i="4"/>
  <c r="K30" i="7"/>
  <c r="D56" i="2"/>
  <c r="AK60" i="9"/>
  <c r="F186" i="4"/>
  <c r="AG45" i="9"/>
  <c r="G239" i="4"/>
  <c r="M56" i="4"/>
  <c r="G200" i="7"/>
  <c r="E83" i="2"/>
  <c r="N228" i="4"/>
  <c r="N246" i="7"/>
  <c r="C88" i="7"/>
  <c r="N226" i="4"/>
  <c r="E44" i="4"/>
  <c r="T64" i="7"/>
  <c r="O158" i="4"/>
  <c r="G67" i="9"/>
  <c r="M151" i="7"/>
  <c r="N223" i="4"/>
  <c r="B116" i="7"/>
  <c r="R23" i="7"/>
  <c r="H213" i="7"/>
  <c r="J33" i="2"/>
  <c r="I52" i="7"/>
  <c r="N138" i="7"/>
  <c r="F175" i="7"/>
  <c r="F105" i="4"/>
  <c r="D92" i="7"/>
  <c r="K206" i="7"/>
  <c r="AQ75" i="9"/>
  <c r="H79" i="9"/>
  <c r="C79" i="2"/>
  <c r="M86" i="9"/>
  <c r="AN40" i="9"/>
  <c r="L180" i="7"/>
  <c r="L121" i="7"/>
  <c r="N174" i="4"/>
  <c r="G69" i="2"/>
  <c r="G231" i="4"/>
  <c r="AC70" i="9"/>
  <c r="B96" i="7"/>
  <c r="G34" i="2"/>
  <c r="H55" i="2"/>
  <c r="N60" i="7"/>
  <c r="AK56" i="9"/>
  <c r="D27" i="2"/>
  <c r="D116" i="7"/>
  <c r="T22" i="4"/>
  <c r="I34" i="9"/>
  <c r="C38" i="7"/>
  <c r="H247" i="7"/>
  <c r="I40" i="7"/>
  <c r="H189" i="7"/>
  <c r="M53" i="7"/>
  <c r="O58" i="4"/>
  <c r="D51" i="9"/>
  <c r="AG47" i="9"/>
  <c r="R69" i="2"/>
  <c r="P24" i="9"/>
  <c r="N170" i="4"/>
  <c r="J83" i="2"/>
  <c r="U72" i="4"/>
  <c r="M206" i="7"/>
  <c r="D26" i="2"/>
  <c r="N69" i="9"/>
  <c r="O27" i="9"/>
  <c r="M24" i="9"/>
  <c r="J23" i="4"/>
  <c r="N39" i="4"/>
  <c r="N45" i="2"/>
  <c r="B252" i="7"/>
  <c r="K36" i="2"/>
  <c r="C45" i="7"/>
  <c r="N247" i="7"/>
  <c r="D131" i="7"/>
  <c r="L175" i="7"/>
  <c r="C204" i="7"/>
  <c r="G141" i="4"/>
  <c r="D44" i="9"/>
  <c r="L216" i="7"/>
  <c r="I64" i="4"/>
  <c r="AH42" i="9"/>
  <c r="F48" i="2"/>
  <c r="D194" i="4"/>
  <c r="G168" i="7"/>
  <c r="G183" i="7"/>
  <c r="K215" i="4"/>
  <c r="M141" i="7"/>
  <c r="AC48" i="9"/>
  <c r="M227" i="4"/>
  <c r="G84" i="7"/>
  <c r="E241" i="4"/>
  <c r="O135" i="4"/>
  <c r="H27" i="4"/>
  <c r="D227" i="7"/>
  <c r="G153" i="7"/>
  <c r="J45" i="4"/>
  <c r="J44" i="4"/>
  <c r="F81" i="7"/>
  <c r="E48" i="2"/>
  <c r="J84" i="2"/>
  <c r="K181" i="7"/>
  <c r="G70" i="7"/>
  <c r="L65" i="9"/>
  <c r="N130" i="7"/>
  <c r="C29" i="4"/>
  <c r="D218" i="7"/>
  <c r="G78" i="9"/>
  <c r="D243" i="7"/>
  <c r="G159" i="7"/>
  <c r="K69" i="4"/>
  <c r="K54" i="7"/>
  <c r="B158" i="7"/>
  <c r="N231" i="7"/>
  <c r="C37" i="7"/>
  <c r="G63" i="9"/>
  <c r="D162" i="4"/>
  <c r="M125" i="7"/>
  <c r="C40" i="9"/>
  <c r="B41" i="7"/>
  <c r="S43" i="2"/>
  <c r="G37" i="4"/>
  <c r="C165" i="7"/>
  <c r="B69" i="2"/>
  <c r="K39" i="2"/>
  <c r="H29" i="4"/>
  <c r="M104" i="4"/>
  <c r="L153" i="7"/>
  <c r="M49" i="7"/>
  <c r="C217" i="4"/>
  <c r="F41" i="4"/>
  <c r="N153" i="7"/>
  <c r="H31" i="4"/>
  <c r="K194" i="4"/>
  <c r="O211" i="4"/>
  <c r="H61" i="4"/>
  <c r="M14" i="2"/>
  <c r="B162" i="7"/>
  <c r="N235" i="7"/>
  <c r="G73" i="9"/>
  <c r="E113" i="7"/>
  <c r="R34" i="9"/>
  <c r="B30" i="7"/>
  <c r="F59" i="2"/>
  <c r="T71" i="2"/>
  <c r="N45" i="7"/>
  <c r="AP60" i="9"/>
  <c r="H140" i="7"/>
  <c r="E34" i="9"/>
  <c r="E66" i="7"/>
  <c r="P39" i="4"/>
  <c r="M111" i="7"/>
  <c r="H237" i="7"/>
  <c r="B78" i="7"/>
  <c r="M82" i="2"/>
  <c r="G192" i="4"/>
  <c r="D46" i="4"/>
  <c r="M204" i="7"/>
  <c r="O63" i="2"/>
  <c r="D201" i="4"/>
  <c r="B216" i="7"/>
  <c r="G30" i="2"/>
  <c r="O67" i="9"/>
  <c r="H21" i="7"/>
  <c r="AD48" i="9"/>
  <c r="G203" i="7"/>
  <c r="P48" i="9"/>
  <c r="M35" i="9"/>
  <c r="C29" i="9"/>
  <c r="M65" i="2"/>
  <c r="D78" i="7"/>
  <c r="D225" i="4"/>
  <c r="H245" i="7"/>
  <c r="D29" i="4"/>
  <c r="D83" i="4"/>
  <c r="J49" i="7"/>
  <c r="B181" i="7"/>
  <c r="D23" i="7"/>
  <c r="K68" i="7"/>
  <c r="AU19" i="9"/>
  <c r="G106" i="7"/>
  <c r="H41" i="7"/>
  <c r="K230" i="7"/>
  <c r="H72" i="2"/>
  <c r="E150" i="7"/>
  <c r="H78" i="7"/>
  <c r="U25" i="2"/>
  <c r="B41" i="9"/>
  <c r="G95" i="4"/>
  <c r="T42" i="2"/>
  <c r="R29" i="9"/>
  <c r="D87" i="7"/>
  <c r="U75" i="2"/>
  <c r="K199" i="7"/>
  <c r="N19" i="2"/>
  <c r="M164" i="4"/>
  <c r="E182" i="7"/>
  <c r="I25" i="9"/>
  <c r="C191" i="7"/>
  <c r="O190" i="4"/>
  <c r="E101" i="7"/>
  <c r="B79" i="9"/>
  <c r="G74" i="9"/>
  <c r="K40" i="4"/>
  <c r="K26" i="7"/>
  <c r="I31" i="7"/>
  <c r="Q40" i="4"/>
  <c r="D115" i="4"/>
  <c r="D57" i="2"/>
  <c r="D48" i="2"/>
  <c r="M57" i="2"/>
  <c r="S28" i="2"/>
  <c r="S52" i="4"/>
  <c r="O133" i="4"/>
  <c r="M26" i="9"/>
  <c r="S65" i="2"/>
  <c r="I63" i="4"/>
  <c r="Q52" i="9"/>
  <c r="Q22" i="2"/>
  <c r="C30" i="4"/>
  <c r="G191" i="4"/>
  <c r="C246" i="4"/>
  <c r="S69" i="7"/>
  <c r="Q49" i="4"/>
  <c r="U40" i="7"/>
  <c r="B67" i="7"/>
  <c r="AL31" i="9"/>
  <c r="G154" i="7"/>
  <c r="D57" i="4"/>
  <c r="E195" i="7"/>
  <c r="H86" i="4"/>
  <c r="M30" i="7"/>
  <c r="P82" i="2"/>
  <c r="C204" i="4"/>
  <c r="E202" i="7"/>
  <c r="E131" i="7"/>
  <c r="F106" i="4"/>
  <c r="O65" i="4"/>
  <c r="C72" i="9"/>
  <c r="L34" i="9"/>
  <c r="F50" i="2"/>
  <c r="AC53" i="9"/>
  <c r="O88" i="9"/>
  <c r="E69" i="7"/>
  <c r="G45" i="9"/>
  <c r="R47" i="4"/>
  <c r="H180" i="7"/>
  <c r="H133" i="7"/>
  <c r="F30" i="9"/>
  <c r="C139" i="4"/>
  <c r="D49" i="9"/>
  <c r="M57" i="9"/>
  <c r="D207" i="4"/>
  <c r="N219" i="7"/>
  <c r="L114" i="4"/>
  <c r="K171" i="7"/>
  <c r="D21" i="9"/>
  <c r="H185" i="7"/>
  <c r="E198" i="7"/>
  <c r="B58" i="2"/>
  <c r="F62" i="7"/>
  <c r="E106" i="4"/>
  <c r="M183" i="7"/>
  <c r="H154" i="7"/>
  <c r="C153" i="4"/>
  <c r="L34" i="2"/>
  <c r="AC79" i="9"/>
  <c r="N148" i="4"/>
  <c r="O56" i="7"/>
  <c r="L150" i="4"/>
  <c r="M40" i="7"/>
  <c r="F178" i="4"/>
  <c r="N100" i="4"/>
  <c r="E123" i="4"/>
  <c r="B51" i="4"/>
  <c r="G110" i="7"/>
  <c r="N243" i="4"/>
  <c r="B35" i="7"/>
  <c r="E82" i="4"/>
  <c r="AH66" i="9"/>
  <c r="J68" i="4"/>
  <c r="B54" i="4"/>
  <c r="H194" i="7"/>
  <c r="K90" i="2"/>
  <c r="F132" i="7"/>
  <c r="S35" i="4"/>
  <c r="E208" i="4"/>
  <c r="I52" i="4"/>
  <c r="O202" i="4"/>
  <c r="O62" i="4"/>
  <c r="M217" i="7"/>
  <c r="B34" i="9"/>
  <c r="AN29" i="9"/>
  <c r="R36" i="7"/>
  <c r="N188" i="7"/>
  <c r="E235" i="4"/>
  <c r="E55" i="2"/>
  <c r="M97" i="4"/>
  <c r="M218" i="4"/>
  <c r="D193" i="7"/>
  <c r="B61" i="9"/>
  <c r="O65" i="2"/>
  <c r="O185" i="4"/>
  <c r="AU57" i="9"/>
  <c r="G66" i="7"/>
  <c r="AI82" i="9"/>
  <c r="N110" i="7"/>
  <c r="K234" i="7"/>
  <c r="N62" i="9"/>
  <c r="M158" i="7"/>
  <c r="F38" i="7"/>
  <c r="M224" i="4"/>
  <c r="G71" i="4"/>
  <c r="B42" i="4"/>
  <c r="I45" i="4"/>
  <c r="C250" i="7"/>
  <c r="C210" i="7"/>
  <c r="E110" i="4"/>
  <c r="N71" i="4"/>
  <c r="N61" i="7"/>
  <c r="U24" i="7"/>
  <c r="L204" i="7"/>
  <c r="H82" i="7"/>
  <c r="C107" i="4"/>
  <c r="Q33" i="2"/>
  <c r="K63" i="4"/>
  <c r="K72" i="2"/>
  <c r="H224" i="4"/>
  <c r="O243" i="4"/>
  <c r="J34" i="2"/>
  <c r="N182" i="4"/>
  <c r="G39" i="7"/>
  <c r="AK38" i="9"/>
  <c r="B62" i="4"/>
  <c r="G156" i="4"/>
  <c r="L167" i="4"/>
  <c r="B25" i="4"/>
  <c r="C59" i="2"/>
  <c r="B40" i="7"/>
  <c r="AF43" i="9"/>
  <c r="C152" i="4"/>
  <c r="K44" i="9"/>
  <c r="C120" i="4"/>
  <c r="T54" i="9"/>
  <c r="H228" i="7"/>
  <c r="D88" i="9"/>
  <c r="B38" i="4"/>
  <c r="H239" i="4"/>
  <c r="S26" i="4"/>
  <c r="L126" i="4"/>
  <c r="L178" i="7"/>
  <c r="L118" i="4"/>
  <c r="C67" i="7"/>
  <c r="R67" i="2"/>
  <c r="U51" i="7"/>
  <c r="J38" i="7"/>
  <c r="P44" i="2"/>
  <c r="N167" i="7"/>
  <c r="L225" i="7"/>
  <c r="N128" i="7"/>
  <c r="L106" i="4"/>
  <c r="N75" i="4"/>
  <c r="AG22" i="9"/>
  <c r="AI32" i="9"/>
  <c r="J78" i="2"/>
  <c r="B172" i="7"/>
  <c r="D98" i="7"/>
  <c r="F224" i="7"/>
  <c r="G233" i="4"/>
  <c r="E222" i="4"/>
  <c r="M27" i="2"/>
  <c r="H48" i="7"/>
  <c r="K64" i="2"/>
  <c r="B247" i="7"/>
  <c r="J60" i="2"/>
  <c r="G47" i="7"/>
  <c r="B184" i="7"/>
  <c r="Q62" i="2"/>
  <c r="C75" i="9"/>
  <c r="G181" i="7"/>
  <c r="N162" i="4"/>
  <c r="K124" i="7"/>
  <c r="C92" i="7"/>
  <c r="E62" i="9"/>
  <c r="N195" i="4"/>
  <c r="N203" i="7"/>
  <c r="L174" i="4"/>
  <c r="E28" i="4"/>
  <c r="F221" i="4"/>
  <c r="G112" i="4"/>
  <c r="R25" i="2"/>
  <c r="J43" i="4"/>
  <c r="E222" i="7"/>
  <c r="F243" i="4"/>
  <c r="O37" i="2"/>
  <c r="N114" i="7"/>
  <c r="B135" i="7"/>
  <c r="K43" i="7"/>
  <c r="E41" i="2"/>
  <c r="B192" i="7"/>
  <c r="C32" i="2"/>
  <c r="H89" i="2"/>
  <c r="AN61" i="9"/>
  <c r="N85" i="2"/>
  <c r="R27" i="4"/>
  <c r="M228" i="7"/>
  <c r="L38" i="2"/>
  <c r="Q58" i="7"/>
  <c r="G209" i="4"/>
  <c r="N234" i="7"/>
  <c r="T22" i="9"/>
  <c r="K242" i="4"/>
  <c r="G220" i="4"/>
  <c r="E198" i="4"/>
  <c r="B250" i="7"/>
  <c r="H84" i="2"/>
  <c r="C57" i="2"/>
  <c r="T40" i="4"/>
  <c r="L49" i="4"/>
  <c r="D151" i="4"/>
  <c r="F226" i="4"/>
  <c r="P65" i="9"/>
  <c r="C41" i="4"/>
  <c r="G47" i="9"/>
  <c r="H196" i="4"/>
  <c r="G66" i="4"/>
  <c r="M70" i="4"/>
  <c r="M55" i="7"/>
  <c r="H116" i="7"/>
  <c r="AE35" i="9"/>
  <c r="L29" i="2"/>
  <c r="C131" i="7"/>
  <c r="L169" i="4"/>
  <c r="D231" i="7"/>
  <c r="D59" i="2"/>
  <c r="H61" i="2"/>
  <c r="D54" i="4"/>
  <c r="G119" i="4"/>
  <c r="M205" i="4"/>
  <c r="N203" i="4"/>
  <c r="E109" i="4"/>
  <c r="F209" i="4"/>
  <c r="K45" i="2"/>
  <c r="J75" i="2"/>
  <c r="L236" i="7"/>
  <c r="H203" i="7"/>
  <c r="L146" i="4"/>
  <c r="S38" i="4"/>
  <c r="E253" i="4"/>
  <c r="C14" i="9"/>
  <c r="L100" i="7"/>
  <c r="AM43" i="9"/>
  <c r="D181" i="7"/>
  <c r="AK65" i="9"/>
  <c r="AD46" i="9"/>
  <c r="K25" i="4"/>
  <c r="AD35" i="9"/>
  <c r="K148" i="7"/>
  <c r="AD29" i="9"/>
  <c r="G3" i="2"/>
  <c r="J40" i="2"/>
  <c r="O61" i="2"/>
  <c r="L217" i="7"/>
  <c r="I27" i="7"/>
  <c r="R74" i="2"/>
  <c r="Q36" i="2"/>
  <c r="AK25" i="9"/>
  <c r="AC77" i="9"/>
  <c r="AP50" i="9"/>
  <c r="H68" i="2"/>
  <c r="O80" i="4"/>
  <c r="B81" i="2"/>
  <c r="K146" i="7"/>
  <c r="J29" i="4"/>
  <c r="N26" i="7"/>
  <c r="O52" i="2"/>
  <c r="H182" i="7"/>
  <c r="I61" i="4"/>
  <c r="U31" i="2"/>
  <c r="J58" i="4"/>
  <c r="G49" i="4"/>
  <c r="N74" i="7"/>
  <c r="B86" i="2"/>
  <c r="B212" i="7"/>
  <c r="K110" i="7"/>
  <c r="Q52" i="4"/>
  <c r="K28" i="9"/>
  <c r="H204" i="4"/>
  <c r="H84" i="9"/>
  <c r="N244" i="7"/>
  <c r="C122" i="7"/>
  <c r="H67" i="9"/>
  <c r="C25" i="7"/>
  <c r="M244" i="7"/>
  <c r="P45" i="4"/>
  <c r="U39" i="4"/>
  <c r="E41" i="9"/>
  <c r="E252" i="7"/>
  <c r="H110" i="4"/>
  <c r="E205" i="4"/>
  <c r="P30" i="7"/>
  <c r="AM47" i="9"/>
  <c r="O48" i="7"/>
  <c r="AQ50" i="9"/>
  <c r="H188" i="7"/>
  <c r="T64" i="4"/>
  <c r="C22" i="4"/>
  <c r="F24" i="7"/>
  <c r="G64" i="9"/>
  <c r="F75" i="2"/>
  <c r="D125" i="4"/>
  <c r="L65" i="4"/>
  <c r="L67" i="2"/>
  <c r="O76" i="4"/>
  <c r="C157" i="4"/>
  <c r="N241" i="7"/>
  <c r="F113" i="4"/>
  <c r="B127" i="7"/>
  <c r="L55" i="2"/>
  <c r="C236" i="7"/>
  <c r="D60" i="2"/>
  <c r="J57" i="2"/>
  <c r="K134" i="4"/>
  <c r="C132" i="7"/>
  <c r="Q42" i="9"/>
  <c r="G50" i="4"/>
  <c r="N141" i="4"/>
  <c r="N170" i="7"/>
  <c r="C128" i="7"/>
  <c r="O38" i="9"/>
  <c r="H195" i="4"/>
  <c r="E140" i="4"/>
  <c r="V19" i="9"/>
  <c r="O186" i="4"/>
  <c r="G108" i="4"/>
  <c r="H199" i="4"/>
  <c r="C92" i="4"/>
  <c r="U32" i="2"/>
  <c r="M100" i="7"/>
  <c r="U70" i="7"/>
  <c r="F203" i="4"/>
  <c r="C231" i="4"/>
  <c r="G38" i="2"/>
  <c r="K25" i="2"/>
  <c r="G208" i="7"/>
  <c r="AG39" i="9"/>
  <c r="AG38" i="9"/>
  <c r="N221" i="4"/>
  <c r="D90" i="7"/>
  <c r="H200" i="7"/>
  <c r="G129" i="7"/>
  <c r="I76" i="4"/>
  <c r="O78" i="7"/>
  <c r="I42" i="7"/>
  <c r="N139" i="4"/>
  <c r="N105" i="4"/>
  <c r="J41" i="2"/>
  <c r="I57" i="2"/>
  <c r="L208" i="7"/>
  <c r="O84" i="7"/>
  <c r="H193" i="7"/>
  <c r="M96" i="4"/>
  <c r="F41" i="2"/>
  <c r="N238" i="7"/>
  <c r="K47" i="4"/>
  <c r="H134" i="7"/>
  <c r="E245" i="7"/>
  <c r="S49" i="4"/>
  <c r="C195" i="4"/>
  <c r="H76" i="2"/>
  <c r="N136" i="7"/>
  <c r="O80" i="7"/>
  <c r="AO49" i="9"/>
  <c r="AK64" i="9"/>
  <c r="L144" i="4"/>
  <c r="R40" i="9"/>
  <c r="B79" i="2"/>
  <c r="L134" i="7"/>
  <c r="AS39" i="9"/>
  <c r="H50" i="7"/>
  <c r="O73" i="2"/>
  <c r="L213" i="4"/>
  <c r="AQ19" i="9"/>
  <c r="B87" i="2"/>
  <c r="O71" i="7"/>
  <c r="G43" i="9"/>
  <c r="M239" i="7"/>
  <c r="N59" i="2"/>
  <c r="AE56" i="9"/>
  <c r="N250" i="7"/>
  <c r="L83" i="7"/>
  <c r="C91" i="7"/>
  <c r="M61" i="4"/>
  <c r="F149" i="4"/>
  <c r="G43" i="7"/>
  <c r="C105" i="4"/>
  <c r="C124" i="7"/>
  <c r="N59" i="4"/>
  <c r="C187" i="7"/>
  <c r="F89" i="2"/>
  <c r="E113" i="4"/>
  <c r="M132" i="4"/>
  <c r="G32" i="2"/>
  <c r="E24" i="9"/>
  <c r="C74" i="9"/>
  <c r="AC59" i="9"/>
  <c r="H79" i="4"/>
  <c r="G72" i="2"/>
  <c r="Q28" i="2"/>
  <c r="O103" i="4"/>
  <c r="N174" i="7"/>
  <c r="S48" i="4"/>
  <c r="B40" i="4"/>
  <c r="G162" i="4"/>
  <c r="C187" i="4"/>
  <c r="N44" i="9"/>
  <c r="R46" i="7"/>
  <c r="AN59" i="9"/>
  <c r="E63" i="7"/>
  <c r="B54" i="2"/>
  <c r="B70" i="2"/>
  <c r="N87" i="4"/>
  <c r="N83" i="7"/>
  <c r="D121" i="4"/>
  <c r="D58" i="2"/>
  <c r="P91" i="2"/>
  <c r="C234" i="4"/>
  <c r="K70" i="7"/>
  <c r="T63" i="7"/>
  <c r="M28" i="2"/>
  <c r="D222" i="7"/>
  <c r="C186" i="7"/>
  <c r="R38" i="4"/>
  <c r="P66" i="2"/>
  <c r="K47" i="7"/>
  <c r="N85" i="9"/>
  <c r="N28" i="2"/>
  <c r="H143" i="4"/>
  <c r="M76" i="7"/>
  <c r="B193" i="7"/>
  <c r="O49" i="4"/>
  <c r="P42" i="2"/>
  <c r="K130" i="4"/>
  <c r="H120" i="7"/>
  <c r="O176" i="4"/>
  <c r="C66" i="2"/>
  <c r="C99" i="7"/>
  <c r="E136" i="7"/>
  <c r="Q54" i="2"/>
  <c r="E73" i="7"/>
  <c r="D34" i="4"/>
  <c r="B12" i="10"/>
  <c r="O138" i="4"/>
  <c r="H35" i="2"/>
  <c r="D165" i="7"/>
  <c r="O24" i="9"/>
  <c r="K152" i="4"/>
  <c r="Q53" i="2"/>
  <c r="J56" i="7"/>
  <c r="K125" i="7"/>
  <c r="H99" i="7"/>
  <c r="S67" i="9"/>
  <c r="E176" i="4"/>
  <c r="H22" i="4"/>
  <c r="H36" i="7"/>
  <c r="G30" i="9"/>
  <c r="H3" i="4"/>
  <c r="K91" i="7"/>
  <c r="T43" i="4"/>
  <c r="M87" i="7"/>
  <c r="C133" i="7"/>
  <c r="P70" i="7"/>
  <c r="O68" i="9"/>
  <c r="AC47" i="9"/>
  <c r="P61" i="4"/>
  <c r="C32" i="7"/>
  <c r="P24" i="7"/>
  <c r="L115" i="7"/>
  <c r="H164" i="7"/>
  <c r="H157" i="7"/>
  <c r="S61" i="2"/>
  <c r="F199" i="7"/>
  <c r="C24" i="7"/>
  <c r="B94" i="7"/>
  <c r="AO85" i="9"/>
  <c r="M149" i="7"/>
  <c r="I28" i="2"/>
  <c r="P37" i="4"/>
  <c r="R33" i="9"/>
  <c r="B82" i="4"/>
  <c r="D65" i="4"/>
  <c r="E63" i="4"/>
  <c r="G224" i="4"/>
  <c r="H222" i="7"/>
  <c r="I41" i="4"/>
  <c r="G206" i="7"/>
  <c r="K32" i="7"/>
  <c r="O60" i="2"/>
  <c r="AP53" i="9"/>
  <c r="R34" i="4"/>
  <c r="C128" i="4"/>
  <c r="AG20" i="9"/>
  <c r="E239" i="7"/>
  <c r="C108" i="7"/>
  <c r="U33" i="4"/>
  <c r="N169" i="7"/>
  <c r="AR38" i="9"/>
  <c r="Q73" i="2"/>
  <c r="L167" i="7"/>
  <c r="T3" i="2"/>
  <c r="P45" i="2"/>
  <c r="F183" i="4"/>
  <c r="H200" i="4"/>
  <c r="C42" i="9"/>
  <c r="N177" i="4"/>
  <c r="N63" i="7"/>
  <c r="I72" i="9"/>
  <c r="N186" i="4"/>
  <c r="J75" i="4"/>
  <c r="K177" i="4"/>
  <c r="G125" i="7"/>
  <c r="B46" i="4"/>
  <c r="D223" i="4"/>
  <c r="N148" i="7"/>
  <c r="B122" i="7"/>
  <c r="C54" i="4"/>
  <c r="T27" i="2"/>
  <c r="C71" i="2"/>
  <c r="K86" i="4"/>
  <c r="N215" i="7"/>
  <c r="I54" i="2"/>
  <c r="E149" i="7"/>
  <c r="D178" i="4"/>
  <c r="L237" i="4"/>
  <c r="F94" i="7"/>
  <c r="J56" i="4"/>
  <c r="G120" i="7"/>
  <c r="M34" i="9"/>
  <c r="C125" i="7"/>
  <c r="C233" i="4"/>
  <c r="M193" i="4"/>
  <c r="U33" i="7"/>
  <c r="L151" i="4"/>
  <c r="M196" i="4"/>
  <c r="D174" i="7"/>
  <c r="I33" i="9"/>
  <c r="H84" i="7"/>
  <c r="I43" i="4"/>
  <c r="M99" i="7"/>
  <c r="G246" i="4"/>
  <c r="I29" i="4"/>
  <c r="AT41" i="9"/>
  <c r="B194" i="7"/>
  <c r="S25" i="9"/>
  <c r="Q14" i="4"/>
  <c r="AM26" i="9"/>
  <c r="C26" i="4"/>
  <c r="N42" i="9"/>
  <c r="K21" i="7"/>
  <c r="B36" i="2"/>
  <c r="E49" i="9"/>
  <c r="T49" i="7"/>
  <c r="K104" i="4"/>
  <c r="D117" i="4"/>
  <c r="M82" i="4"/>
  <c r="D230" i="4"/>
  <c r="G89" i="7"/>
  <c r="Q50" i="9"/>
  <c r="E199" i="7"/>
  <c r="E62" i="7"/>
  <c r="F37" i="9"/>
  <c r="G61" i="9"/>
  <c r="T36" i="2"/>
  <c r="J33" i="9"/>
  <c r="I22" i="2"/>
  <c r="P23" i="2"/>
  <c r="Q59" i="2"/>
  <c r="H19" i="7"/>
  <c r="B56" i="9"/>
  <c r="K33" i="9"/>
  <c r="D68" i="4"/>
  <c r="AF33" i="9"/>
  <c r="F43" i="9"/>
  <c r="B45" i="7"/>
  <c r="C33" i="2"/>
  <c r="B136" i="7"/>
  <c r="H177" i="7"/>
  <c r="AJ28" i="9"/>
  <c r="I36" i="7"/>
  <c r="H164" i="4"/>
  <c r="AQ25" i="9"/>
  <c r="M39" i="4"/>
  <c r="P75" i="2"/>
  <c r="L35" i="7"/>
  <c r="E75" i="2"/>
  <c r="AN37" i="9"/>
  <c r="Q25" i="9"/>
  <c r="T25" i="9"/>
  <c r="B30" i="2"/>
  <c r="B57" i="4"/>
  <c r="T68" i="4"/>
  <c r="F143" i="4"/>
  <c r="G247" i="7"/>
  <c r="J43" i="7"/>
  <c r="N25" i="7"/>
  <c r="C89" i="2"/>
  <c r="N157" i="7"/>
  <c r="D141" i="7"/>
  <c r="K189" i="7"/>
  <c r="AR31" i="9"/>
  <c r="D187" i="4"/>
  <c r="AP61" i="9"/>
  <c r="O53" i="9"/>
  <c r="E59" i="7"/>
  <c r="F163" i="4"/>
  <c r="I39" i="4"/>
  <c r="G74" i="7"/>
  <c r="D202" i="7"/>
  <c r="C244" i="4"/>
  <c r="H53" i="4"/>
  <c r="B84" i="4"/>
  <c r="N166" i="7"/>
  <c r="D37" i="9"/>
  <c r="AS20" i="9"/>
  <c r="U56" i="7"/>
  <c r="D190" i="4"/>
  <c r="S60" i="2"/>
  <c r="T27" i="4"/>
  <c r="S66" i="4"/>
  <c r="C57" i="7"/>
  <c r="O128" i="4"/>
  <c r="G24" i="9"/>
  <c r="AC57" i="9"/>
  <c r="N147" i="7"/>
  <c r="C46" i="7"/>
  <c r="M203" i="4"/>
  <c r="N68" i="2"/>
  <c r="C184" i="7"/>
  <c r="S22" i="4"/>
  <c r="M51" i="2"/>
  <c r="M246" i="7"/>
  <c r="M112" i="7"/>
  <c r="K19" i="9"/>
  <c r="AD53" i="9"/>
  <c r="E102" i="7"/>
  <c r="F99" i="7"/>
  <c r="G93" i="4"/>
  <c r="E80" i="2"/>
  <c r="F140" i="4"/>
  <c r="F250" i="4"/>
  <c r="N76" i="7"/>
  <c r="M216" i="7"/>
  <c r="B130" i="7"/>
  <c r="J57" i="7"/>
  <c r="T35" i="2"/>
  <c r="R53" i="2"/>
  <c r="H218" i="4"/>
  <c r="N41" i="4"/>
  <c r="B27" i="2"/>
  <c r="G114" i="7"/>
  <c r="K40" i="7"/>
  <c r="L33" i="2"/>
  <c r="H201" i="4"/>
  <c r="H59" i="2"/>
  <c r="G170" i="4"/>
  <c r="E67" i="4"/>
  <c r="L50" i="2"/>
  <c r="D36" i="2"/>
  <c r="Q58" i="4"/>
  <c r="AO65" i="9"/>
  <c r="U50" i="2"/>
  <c r="N89" i="2"/>
  <c r="P64" i="2"/>
  <c r="P52" i="7"/>
  <c r="G41" i="7"/>
  <c r="D30" i="7"/>
  <c r="H53" i="7"/>
  <c r="E211" i="7"/>
  <c r="E22" i="2"/>
  <c r="L247" i="4"/>
  <c r="E68" i="4"/>
  <c r="M217" i="4"/>
  <c r="D190" i="7"/>
  <c r="E238" i="7"/>
  <c r="E73" i="2"/>
  <c r="O55" i="7"/>
  <c r="L36" i="4"/>
  <c r="Q52" i="2"/>
  <c r="R29" i="7"/>
  <c r="D74" i="2"/>
  <c r="H62" i="4"/>
  <c r="M53" i="4"/>
  <c r="T34" i="2"/>
  <c r="C188" i="4"/>
  <c r="P43" i="4"/>
  <c r="L196" i="7"/>
  <c r="O42" i="4"/>
  <c r="E45" i="9"/>
  <c r="D116" i="4"/>
  <c r="H50" i="2"/>
  <c r="E213" i="7"/>
  <c r="P24" i="4"/>
  <c r="J26" i="9"/>
  <c r="F90" i="2"/>
  <c r="F172" i="4"/>
  <c r="M226" i="4"/>
  <c r="AH53" i="9"/>
  <c r="O71" i="4"/>
  <c r="H161" i="7"/>
  <c r="B113" i="7"/>
  <c r="L73" i="4"/>
  <c r="L35" i="4"/>
  <c r="K242" i="7"/>
  <c r="N38" i="4"/>
  <c r="G74" i="4"/>
  <c r="M201" i="7"/>
  <c r="K161" i="7"/>
  <c r="F52" i="7"/>
  <c r="I86" i="4"/>
  <c r="I44" i="4"/>
  <c r="L111" i="4"/>
  <c r="D58" i="4"/>
  <c r="L229" i="4"/>
  <c r="M101" i="4"/>
  <c r="H75" i="4"/>
  <c r="C236" i="4"/>
  <c r="R84" i="4"/>
  <c r="Q50" i="7"/>
  <c r="T46" i="4"/>
  <c r="B239" i="7"/>
  <c r="J37" i="7"/>
  <c r="D28" i="4"/>
  <c r="K165" i="7"/>
  <c r="B27" i="9"/>
  <c r="Q75" i="2"/>
  <c r="N30" i="4"/>
  <c r="D56" i="7"/>
  <c r="G154" i="4"/>
  <c r="D206" i="4"/>
  <c r="M178" i="7"/>
  <c r="D163" i="4"/>
  <c r="C46" i="2"/>
  <c r="L93" i="4"/>
  <c r="F36" i="4"/>
  <c r="L194" i="7"/>
  <c r="E100" i="7"/>
  <c r="G249" i="4"/>
  <c r="D135" i="4"/>
  <c r="L117" i="7"/>
  <c r="B167" i="7"/>
  <c r="M214" i="4"/>
  <c r="F61" i="2"/>
  <c r="J27" i="4"/>
  <c r="AM40" i="9"/>
  <c r="K132" i="7"/>
  <c r="K67" i="7"/>
  <c r="N121" i="7"/>
  <c r="Q3" i="4"/>
  <c r="B76" i="7"/>
  <c r="K51" i="2"/>
  <c r="G32" i="4"/>
  <c r="AV68" i="9"/>
  <c r="N216" i="7"/>
  <c r="U43" i="7"/>
  <c r="D214" i="4"/>
  <c r="H71" i="7"/>
  <c r="H206" i="7"/>
  <c r="K27" i="4"/>
  <c r="O36" i="4"/>
  <c r="Q40" i="2"/>
  <c r="N33" i="4"/>
  <c r="C33" i="7"/>
  <c r="R47" i="2"/>
  <c r="L57" i="4"/>
  <c r="O74" i="2"/>
  <c r="E51" i="9"/>
  <c r="I49" i="2"/>
  <c r="K215" i="7"/>
  <c r="F212" i="7"/>
  <c r="F188" i="4"/>
  <c r="C164" i="4"/>
  <c r="K66" i="2"/>
  <c r="Q56" i="4"/>
  <c r="AF23" i="9"/>
  <c r="B66" i="7"/>
  <c r="P52" i="4"/>
  <c r="AD71" i="9"/>
  <c r="N119" i="4"/>
  <c r="J36" i="2"/>
  <c r="E33" i="4"/>
  <c r="G161" i="7"/>
  <c r="K68" i="4"/>
  <c r="C114" i="4"/>
  <c r="G63" i="4"/>
  <c r="H67" i="2"/>
  <c r="H145" i="7"/>
  <c r="N96" i="4"/>
  <c r="M33" i="2"/>
  <c r="K57" i="7"/>
  <c r="H224" i="7"/>
  <c r="N60" i="2"/>
  <c r="H34" i="7"/>
  <c r="G237" i="7"/>
  <c r="K45" i="7"/>
  <c r="B31" i="4"/>
  <c r="L89" i="2"/>
  <c r="K81" i="4"/>
  <c r="G136" i="4"/>
  <c r="R38" i="9"/>
  <c r="D171" i="4"/>
  <c r="P46" i="4"/>
  <c r="M46" i="2"/>
  <c r="L74" i="9"/>
  <c r="K36" i="4"/>
  <c r="E65" i="2"/>
  <c r="P67" i="9"/>
  <c r="M22" i="9"/>
  <c r="O77" i="4"/>
  <c r="K143" i="4"/>
  <c r="D221" i="7"/>
  <c r="N229" i="4"/>
  <c r="C57" i="4"/>
  <c r="M79" i="2"/>
  <c r="D192" i="7"/>
  <c r="L135" i="4"/>
  <c r="N93" i="4"/>
  <c r="F147" i="7"/>
  <c r="H72" i="4"/>
  <c r="P68" i="2"/>
  <c r="N38" i="9"/>
  <c r="D159" i="4"/>
  <c r="C205" i="4"/>
  <c r="N155" i="7"/>
  <c r="F251" i="7"/>
  <c r="C49" i="7"/>
  <c r="D53" i="4"/>
  <c r="E226" i="4"/>
  <c r="K27" i="2"/>
  <c r="T75" i="2"/>
  <c r="C93" i="7"/>
  <c r="R51" i="2"/>
  <c r="L109" i="4"/>
  <c r="C229" i="7"/>
  <c r="L83" i="4"/>
  <c r="D42" i="7"/>
  <c r="C203" i="4"/>
  <c r="C50" i="4"/>
  <c r="D86" i="7"/>
  <c r="F225" i="4"/>
  <c r="E217" i="4"/>
  <c r="AG55" i="9"/>
  <c r="AS29" i="9"/>
  <c r="C54" i="7"/>
  <c r="T29" i="2"/>
  <c r="E94" i="4"/>
  <c r="G225" i="4"/>
  <c r="K230" i="4"/>
  <c r="T36" i="9"/>
  <c r="D70" i="2"/>
  <c r="J42" i="9"/>
  <c r="H151" i="7"/>
  <c r="E52" i="7"/>
  <c r="L72" i="9"/>
  <c r="D186" i="4"/>
  <c r="E128" i="4"/>
  <c r="E88" i="9"/>
  <c r="R67" i="4"/>
  <c r="C194" i="4"/>
  <c r="E185" i="7"/>
  <c r="B157" i="7"/>
  <c r="G134" i="7"/>
  <c r="E249" i="4"/>
  <c r="P74" i="4"/>
  <c r="E86" i="7"/>
  <c r="AF83" i="9"/>
  <c r="O149" i="4"/>
  <c r="P45" i="9"/>
  <c r="D110" i="7"/>
  <c r="L84" i="2"/>
  <c r="T26" i="2"/>
  <c r="N83" i="9"/>
  <c r="C26" i="2"/>
  <c r="T59" i="7"/>
  <c r="Q87" i="2"/>
  <c r="O160" i="4"/>
  <c r="K195" i="7"/>
  <c r="S36" i="4"/>
  <c r="N64" i="4"/>
  <c r="C201" i="7"/>
  <c r="L212" i="7"/>
  <c r="H56" i="9"/>
  <c r="F137" i="7"/>
  <c r="O122" i="4"/>
  <c r="H22" i="2"/>
  <c r="T60" i="2"/>
  <c r="O79" i="2"/>
  <c r="L224" i="4"/>
  <c r="T50" i="9"/>
  <c r="G24" i="7"/>
  <c r="H189" i="4"/>
  <c r="AR40" i="9"/>
  <c r="J54" i="7"/>
  <c r="D195" i="7"/>
  <c r="D32" i="4"/>
  <c r="O221" i="4"/>
  <c r="D210" i="7"/>
  <c r="N116" i="4"/>
  <c r="P41" i="7"/>
  <c r="G253" i="7"/>
  <c r="E60" i="2"/>
  <c r="N135" i="7"/>
  <c r="D215" i="4"/>
  <c r="Q57" i="4"/>
  <c r="F38" i="2"/>
  <c r="I36" i="2"/>
  <c r="K50" i="2"/>
  <c r="E219" i="7"/>
  <c r="R21" i="7"/>
  <c r="Q56" i="2"/>
  <c r="AS51" i="9"/>
  <c r="AO69" i="9"/>
  <c r="D24" i="2"/>
  <c r="R56" i="2"/>
  <c r="D170" i="4"/>
  <c r="H127" i="4"/>
  <c r="O54" i="9"/>
  <c r="K114" i="4"/>
  <c r="E116" i="4"/>
  <c r="C250" i="4"/>
  <c r="J60" i="7"/>
  <c r="M55" i="2"/>
  <c r="C82" i="4"/>
  <c r="H202" i="7"/>
  <c r="N151" i="4"/>
  <c r="E184" i="4"/>
  <c r="L47" i="9"/>
  <c r="D127" i="4"/>
  <c r="AI79" i="9"/>
  <c r="K247" i="4"/>
  <c r="B65" i="7"/>
  <c r="L219" i="4"/>
  <c r="AC84" i="9"/>
  <c r="F156" i="7"/>
  <c r="U30" i="4"/>
  <c r="K147" i="4"/>
  <c r="B164" i="7"/>
  <c r="E85" i="4"/>
  <c r="I90" i="2"/>
  <c r="L38" i="4"/>
  <c r="O81" i="7"/>
  <c r="L104" i="4"/>
  <c r="M81" i="2"/>
  <c r="G50" i="7"/>
  <c r="AE70" i="9"/>
  <c r="G58" i="7"/>
  <c r="AH68" i="9"/>
  <c r="K92" i="7"/>
  <c r="K87" i="2"/>
  <c r="F125" i="7"/>
  <c r="F40" i="2"/>
  <c r="N236" i="4"/>
  <c r="U35" i="4"/>
  <c r="M213" i="7"/>
  <c r="E200" i="7"/>
  <c r="F86" i="2"/>
  <c r="N237" i="7"/>
  <c r="J42" i="7"/>
  <c r="AE86" i="9"/>
  <c r="L203" i="4"/>
  <c r="H98" i="7"/>
  <c r="H196" i="7"/>
  <c r="F242" i="4"/>
  <c r="E108" i="4"/>
  <c r="D136" i="7"/>
  <c r="K252" i="7"/>
  <c r="F95" i="7"/>
  <c r="L239" i="7"/>
  <c r="M189" i="7"/>
  <c r="L165" i="4"/>
  <c r="E86" i="9"/>
  <c r="Q57" i="7"/>
  <c r="B64" i="4"/>
  <c r="F127" i="7"/>
  <c r="T42" i="4"/>
  <c r="AO73" i="9"/>
  <c r="D128" i="4"/>
  <c r="E39" i="4"/>
  <c r="O167" i="4"/>
  <c r="G192" i="7"/>
  <c r="O247" i="4"/>
  <c r="C84" i="2"/>
  <c r="F27" i="2"/>
  <c r="D112" i="4"/>
  <c r="P3" i="4"/>
  <c r="H93" i="7"/>
  <c r="F77" i="9"/>
  <c r="Q72" i="7"/>
  <c r="M136" i="4"/>
  <c r="L165" i="7"/>
  <c r="E175" i="7"/>
  <c r="I19" i="9"/>
  <c r="G42" i="4"/>
  <c r="AD24" i="9"/>
  <c r="R57" i="4"/>
  <c r="S45" i="9"/>
  <c r="O82" i="7"/>
  <c r="E33" i="2"/>
  <c r="M90" i="7"/>
  <c r="C109" i="7"/>
  <c r="R30" i="9"/>
  <c r="M81" i="7"/>
  <c r="F177" i="7"/>
  <c r="H220" i="4"/>
  <c r="M72" i="4"/>
  <c r="L197" i="7"/>
  <c r="E207" i="7"/>
  <c r="H215" i="7"/>
  <c r="K201" i="4"/>
  <c r="F155" i="4"/>
  <c r="B173" i="7"/>
  <c r="B147" i="7"/>
  <c r="O130" i="4"/>
  <c r="J28" i="2"/>
  <c r="E115" i="4"/>
  <c r="U67" i="7"/>
  <c r="F217" i="4"/>
  <c r="C110" i="4"/>
  <c r="H69" i="2"/>
  <c r="AD26" i="9"/>
  <c r="N92" i="7"/>
  <c r="L53" i="9"/>
  <c r="O83" i="7"/>
  <c r="P50" i="7"/>
  <c r="G99" i="7"/>
  <c r="G68" i="2"/>
  <c r="AD61" i="9"/>
  <c r="N247" i="4"/>
  <c r="G69" i="7"/>
  <c r="L35" i="2"/>
  <c r="Q61" i="4"/>
  <c r="AG77" i="9"/>
  <c r="L96" i="4"/>
  <c r="L134" i="4"/>
  <c r="AI51" i="9"/>
  <c r="G182" i="7"/>
  <c r="J52" i="4"/>
  <c r="G33" i="4"/>
  <c r="F34" i="4"/>
  <c r="G194" i="4"/>
  <c r="N28" i="9"/>
  <c r="C217" i="7"/>
  <c r="O81" i="2"/>
  <c r="E37" i="7"/>
  <c r="E32" i="9"/>
  <c r="B185" i="7"/>
  <c r="G40" i="7"/>
  <c r="H168" i="4"/>
  <c r="M35" i="2"/>
  <c r="L144" i="7"/>
  <c r="D132" i="7"/>
  <c r="Q40" i="7"/>
  <c r="H130" i="4"/>
  <c r="AI34" i="9"/>
  <c r="H213" i="4"/>
  <c r="T30" i="9"/>
  <c r="O32" i="2"/>
  <c r="L203" i="7"/>
  <c r="H134" i="4"/>
  <c r="C103" i="4"/>
  <c r="D109" i="4"/>
  <c r="D58" i="7"/>
  <c r="E123" i="7"/>
  <c r="O140" i="4"/>
  <c r="N85" i="4"/>
  <c r="Q70" i="2"/>
  <c r="N79" i="4"/>
  <c r="I3" i="2"/>
  <c r="M83" i="2"/>
  <c r="Q43" i="2"/>
  <c r="G135" i="4"/>
  <c r="J59" i="2"/>
  <c r="B230" i="7"/>
  <c r="L223" i="7"/>
  <c r="E189" i="7"/>
  <c r="D162" i="7"/>
  <c r="E54" i="7"/>
  <c r="E227" i="4"/>
  <c r="M50" i="2"/>
  <c r="H237" i="4"/>
  <c r="O45" i="2"/>
  <c r="G236" i="4"/>
  <c r="AC64" i="9"/>
  <c r="T35" i="4"/>
  <c r="J81" i="2"/>
  <c r="D117" i="7"/>
  <c r="C163" i="4"/>
  <c r="K112" i="4"/>
  <c r="G160" i="7"/>
  <c r="N145" i="7"/>
  <c r="D77" i="4"/>
  <c r="K22" i="2"/>
  <c r="C62" i="9"/>
  <c r="B68" i="9"/>
  <c r="M86" i="7"/>
  <c r="F36" i="9"/>
  <c r="I42" i="4"/>
  <c r="H85" i="2"/>
  <c r="G248" i="4"/>
  <c r="D51" i="2"/>
  <c r="B111" i="7"/>
  <c r="E202" i="4"/>
  <c r="M243" i="7"/>
  <c r="P53" i="2"/>
  <c r="L131" i="7"/>
  <c r="M110" i="7"/>
  <c r="C200" i="4"/>
  <c r="M129" i="7"/>
  <c r="R40" i="4"/>
  <c r="U72" i="7"/>
  <c r="D176" i="7"/>
  <c r="K109" i="7"/>
  <c r="P31" i="7"/>
  <c r="N114" i="4"/>
  <c r="M52" i="2"/>
  <c r="AQ21" i="9"/>
  <c r="T67" i="4"/>
  <c r="L87" i="2"/>
  <c r="G72" i="4"/>
  <c r="D82" i="4"/>
  <c r="D77" i="7"/>
  <c r="D188" i="7"/>
  <c r="C51" i="4"/>
  <c r="M67" i="4"/>
  <c r="L157" i="7"/>
  <c r="P75" i="4"/>
  <c r="O43" i="2"/>
  <c r="AE69" i="9"/>
  <c r="K26" i="9"/>
  <c r="G94" i="7"/>
  <c r="R79" i="2"/>
  <c r="C200" i="7"/>
  <c r="J84" i="4"/>
  <c r="K251" i="4"/>
  <c r="N226" i="7"/>
  <c r="G77" i="4"/>
  <c r="D60" i="9"/>
  <c r="L190" i="4"/>
  <c r="H174" i="7"/>
  <c r="AG40" i="9"/>
  <c r="C165" i="4"/>
  <c r="K171" i="4"/>
  <c r="N88" i="2"/>
  <c r="E241" i="7"/>
  <c r="G17" i="9"/>
  <c r="H25" i="4"/>
  <c r="F73" i="9"/>
  <c r="AP39" i="9"/>
  <c r="K22" i="7"/>
  <c r="D195" i="4"/>
  <c r="AU24" i="9"/>
  <c r="C219" i="7"/>
  <c r="B84" i="7"/>
  <c r="AN75" i="9"/>
  <c r="J59" i="7"/>
  <c r="R39" i="2"/>
  <c r="L52" i="9"/>
  <c r="M232" i="7"/>
  <c r="E81" i="4"/>
  <c r="B40" i="2"/>
  <c r="B21" i="7"/>
  <c r="N50" i="2"/>
  <c r="C247" i="7"/>
  <c r="L54" i="9"/>
  <c r="I73" i="9"/>
  <c r="I66" i="7"/>
  <c r="AH72" i="9"/>
  <c r="AJ58" i="9"/>
  <c r="M45" i="7"/>
  <c r="AE20" i="9"/>
  <c r="L51" i="4"/>
  <c r="E180" i="7"/>
  <c r="L253" i="7"/>
  <c r="L42" i="7"/>
  <c r="U54" i="4"/>
  <c r="E83" i="9"/>
  <c r="O57" i="7"/>
  <c r="D185" i="7"/>
  <c r="S52" i="2"/>
  <c r="N81" i="4"/>
  <c r="N233" i="7"/>
  <c r="G73" i="2"/>
  <c r="R75" i="4"/>
  <c r="C189" i="4"/>
  <c r="D77" i="9"/>
  <c r="R70" i="2"/>
  <c r="N24" i="2"/>
  <c r="K83" i="2"/>
  <c r="G102" i="7"/>
  <c r="M247" i="7"/>
  <c r="M67" i="2"/>
  <c r="F57" i="7"/>
  <c r="G225" i="7"/>
  <c r="I77" i="4"/>
  <c r="E36" i="2"/>
  <c r="H87" i="4"/>
  <c r="O38" i="2"/>
  <c r="AF79" i="9"/>
  <c r="K203" i="4"/>
  <c r="AI37" i="9"/>
  <c r="K246" i="4"/>
  <c r="C111" i="7"/>
  <c r="B178" i="7"/>
  <c r="M171" i="4"/>
  <c r="H119" i="4"/>
  <c r="AG75" i="9"/>
  <c r="K19" i="7"/>
  <c r="R49" i="7"/>
  <c r="O58" i="2"/>
  <c r="H107" i="4"/>
  <c r="O30" i="9"/>
  <c r="L179" i="7"/>
  <c r="AC42" i="9"/>
  <c r="L43" i="7"/>
  <c r="H153" i="4"/>
  <c r="E45" i="4"/>
  <c r="K193" i="7"/>
  <c r="L44" i="2"/>
  <c r="G62" i="4"/>
  <c r="AT24" i="9"/>
  <c r="P33" i="2"/>
  <c r="J44" i="7"/>
  <c r="G79" i="4"/>
  <c r="I79" i="4"/>
  <c r="K159" i="7"/>
  <c r="AR47" i="9"/>
  <c r="P80" i="4"/>
  <c r="H138" i="4"/>
  <c r="L251" i="4"/>
  <c r="C223" i="7"/>
  <c r="H96" i="4"/>
  <c r="E50" i="7"/>
  <c r="B14" i="10"/>
  <c r="K81" i="2"/>
  <c r="F77" i="2"/>
  <c r="M196" i="7"/>
  <c r="B67" i="4"/>
  <c r="H54" i="4"/>
  <c r="B100" i="7"/>
  <c r="C100" i="7"/>
  <c r="AO84" i="9"/>
  <c r="L60" i="7"/>
  <c r="O117" i="4"/>
  <c r="I75" i="4"/>
  <c r="S57" i="4"/>
  <c r="G230" i="4"/>
  <c r="L130" i="7"/>
  <c r="F128" i="7"/>
  <c r="P85" i="2"/>
  <c r="K127" i="7"/>
  <c r="U31" i="4"/>
  <c r="J66" i="7"/>
  <c r="U68" i="4"/>
  <c r="G178" i="7"/>
  <c r="K119" i="4"/>
  <c r="F40" i="7"/>
  <c r="E87" i="2"/>
  <c r="O85" i="2"/>
  <c r="J53" i="7"/>
  <c r="G149" i="4"/>
  <c r="O209" i="4"/>
  <c r="L143" i="4"/>
  <c r="D122" i="4"/>
  <c r="H170" i="4"/>
  <c r="P71" i="9"/>
  <c r="L43" i="4"/>
  <c r="B49" i="9"/>
  <c r="O72" i="7"/>
  <c r="K233" i="4"/>
  <c r="L34" i="4"/>
  <c r="AS40" i="9"/>
  <c r="N195" i="7"/>
  <c r="K29" i="2"/>
  <c r="D227" i="4"/>
  <c r="N250" i="4"/>
  <c r="F115" i="4"/>
  <c r="D208" i="4"/>
  <c r="N74" i="9"/>
  <c r="P71" i="4"/>
  <c r="M250" i="7"/>
  <c r="F216" i="7"/>
  <c r="G219" i="4"/>
  <c r="O100" i="4"/>
  <c r="U49" i="7"/>
  <c r="F160" i="4"/>
  <c r="I35" i="2"/>
  <c r="G85" i="4"/>
  <c r="T37" i="9"/>
  <c r="O82" i="4"/>
  <c r="C71" i="9"/>
  <c r="AC76" i="9"/>
  <c r="M44" i="4"/>
  <c r="H23" i="7"/>
  <c r="N223" i="7"/>
  <c r="H152" i="7"/>
  <c r="G212" i="7"/>
  <c r="T40" i="9"/>
  <c r="C169" i="7"/>
  <c r="AR45" i="9"/>
  <c r="H73" i="4"/>
  <c r="D39" i="7"/>
  <c r="H149" i="7"/>
  <c r="G175" i="4"/>
  <c r="G214" i="4"/>
  <c r="U19" i="7"/>
  <c r="AC67" i="9"/>
  <c r="C36" i="4"/>
  <c r="L36" i="7"/>
  <c r="H214" i="4"/>
  <c r="G31" i="2"/>
  <c r="F159" i="4"/>
  <c r="O81" i="4"/>
  <c r="G112" i="7"/>
  <c r="AJ68" i="9"/>
  <c r="S39" i="4"/>
  <c r="G25" i="2"/>
  <c r="L78" i="4"/>
  <c r="C228" i="7"/>
  <c r="C206" i="7"/>
  <c r="G29" i="4"/>
  <c r="D194" i="7"/>
  <c r="M203" i="7"/>
  <c r="O77" i="7"/>
  <c r="E163" i="4"/>
  <c r="F62" i="2"/>
  <c r="P34" i="9"/>
  <c r="L99" i="7"/>
  <c r="B53" i="9"/>
  <c r="C60" i="4"/>
  <c r="D28" i="9"/>
  <c r="M130" i="7"/>
  <c r="D95" i="7"/>
  <c r="M28" i="4"/>
  <c r="AH76" i="9"/>
  <c r="H88" i="2"/>
  <c r="S76" i="2"/>
  <c r="H63" i="9"/>
  <c r="G28" i="4"/>
  <c r="M49" i="4"/>
  <c r="B148" i="7"/>
  <c r="D100" i="4"/>
  <c r="Q78" i="2"/>
  <c r="L184" i="4"/>
  <c r="T43" i="2"/>
  <c r="R52" i="2"/>
  <c r="G179" i="7"/>
  <c r="J71" i="7"/>
  <c r="L199" i="4"/>
  <c r="G156" i="7"/>
  <c r="J38" i="2"/>
  <c r="N34" i="4"/>
  <c r="B44" i="4"/>
  <c r="E128" i="7"/>
  <c r="T54" i="2"/>
  <c r="F178" i="7"/>
  <c r="E214" i="7"/>
  <c r="H172" i="7"/>
  <c r="M76" i="4"/>
  <c r="F196" i="4"/>
  <c r="D60" i="4"/>
  <c r="AP63" i="9"/>
  <c r="Q32" i="2"/>
  <c r="H37" i="7"/>
  <c r="C52" i="2"/>
  <c r="H142" i="7"/>
  <c r="T34" i="9"/>
  <c r="N44" i="4"/>
  <c r="U42" i="7"/>
  <c r="E248" i="4"/>
  <c r="C120" i="7"/>
  <c r="N55" i="2"/>
  <c r="G220" i="7"/>
  <c r="I65" i="2"/>
  <c r="G113" i="7"/>
  <c r="AO68" i="9"/>
  <c r="F194" i="4"/>
  <c r="L121" i="4"/>
  <c r="M37" i="7"/>
  <c r="F174" i="7"/>
  <c r="O115" i="4"/>
  <c r="Q72" i="2"/>
  <c r="S36" i="7"/>
  <c r="F168" i="4"/>
  <c r="U61" i="7"/>
  <c r="B49" i="7"/>
  <c r="K98" i="4"/>
  <c r="G48" i="2"/>
  <c r="L124" i="7"/>
  <c r="I83" i="4"/>
  <c r="I39" i="2"/>
  <c r="K201" i="7"/>
  <c r="N207" i="7"/>
  <c r="G26" i="9"/>
  <c r="G158" i="7"/>
  <c r="M198" i="7"/>
  <c r="G105" i="4"/>
  <c r="E31" i="7"/>
  <c r="E244" i="4"/>
  <c r="U50" i="7"/>
  <c r="N35" i="2"/>
  <c r="N152" i="7"/>
  <c r="L130" i="4"/>
  <c r="T57" i="4"/>
  <c r="D126" i="4"/>
  <c r="Q67" i="7"/>
  <c r="N163" i="4"/>
  <c r="N66" i="9"/>
  <c r="M215" i="7"/>
  <c r="H191" i="4"/>
  <c r="AR65" i="9"/>
  <c r="G184" i="7"/>
  <c r="G124" i="4"/>
  <c r="D182" i="4"/>
  <c r="G241" i="7"/>
  <c r="P40" i="2"/>
  <c r="U59" i="7"/>
  <c r="N157" i="4"/>
  <c r="K90" i="7"/>
  <c r="AF32" i="9"/>
  <c r="F148" i="7"/>
  <c r="E105" i="4"/>
  <c r="C225" i="7"/>
  <c r="D177" i="7"/>
  <c r="D251" i="4"/>
  <c r="L229" i="7"/>
  <c r="P68" i="4"/>
  <c r="AC25" i="9"/>
  <c r="F138" i="4"/>
  <c r="G63" i="2"/>
  <c r="S24" i="7"/>
  <c r="H122" i="7"/>
  <c r="M133" i="4"/>
  <c r="G107" i="7"/>
  <c r="K123" i="4"/>
  <c r="D45" i="7"/>
  <c r="H128" i="7"/>
  <c r="L110" i="4"/>
  <c r="E117" i="4"/>
  <c r="AK67" i="9"/>
  <c r="H150" i="7"/>
  <c r="G79" i="9"/>
  <c r="C197" i="4"/>
  <c r="AV39" i="9"/>
  <c r="F34" i="7"/>
  <c r="H216" i="7"/>
  <c r="M195" i="7"/>
  <c r="H159" i="4"/>
  <c r="T29" i="9"/>
  <c r="G51" i="4"/>
  <c r="AP68" i="9"/>
  <c r="Q88" i="2"/>
  <c r="H71" i="9"/>
  <c r="K235" i="7"/>
  <c r="K62" i="4"/>
  <c r="P38" i="2"/>
  <c r="C48" i="7"/>
  <c r="F74" i="2"/>
  <c r="D75" i="7"/>
  <c r="AO86" i="9"/>
  <c r="G72" i="7"/>
  <c r="B43" i="9"/>
  <c r="B25" i="2"/>
  <c r="AD79" i="9"/>
  <c r="E250" i="7"/>
  <c r="AC72" i="9"/>
  <c r="D193" i="4"/>
  <c r="AO29" i="9"/>
  <c r="D22" i="9"/>
  <c r="O26" i="2"/>
  <c r="K99" i="4"/>
  <c r="E134" i="4"/>
  <c r="J32" i="4"/>
  <c r="F176" i="7"/>
  <c r="B29" i="7"/>
  <c r="E46" i="2"/>
  <c r="O48" i="2"/>
  <c r="F76" i="9"/>
  <c r="J79" i="4"/>
  <c r="F246" i="7"/>
  <c r="F182" i="4"/>
  <c r="D30" i="9"/>
  <c r="M40" i="4"/>
  <c r="K226" i="4"/>
  <c r="M29" i="4"/>
  <c r="L87" i="9"/>
  <c r="AO64" i="9"/>
  <c r="J79" i="2"/>
  <c r="V21" i="7"/>
  <c r="J88" i="2"/>
  <c r="E25" i="2"/>
  <c r="AP80" i="9"/>
  <c r="AP27" i="9"/>
  <c r="K192" i="4"/>
  <c r="F80" i="4"/>
  <c r="AQ68" i="9"/>
  <c r="F60" i="2"/>
  <c r="N160" i="4"/>
  <c r="D72" i="4"/>
  <c r="H57" i="7"/>
  <c r="E48" i="7"/>
  <c r="D213" i="7"/>
  <c r="D65" i="2"/>
  <c r="Q55" i="4"/>
  <c r="F107" i="7"/>
  <c r="N98" i="7"/>
  <c r="K35" i="9"/>
  <c r="C249" i="7"/>
  <c r="Q23" i="9"/>
  <c r="E92" i="4"/>
  <c r="E97" i="4"/>
  <c r="L77" i="7"/>
  <c r="U38" i="2"/>
  <c r="K175" i="7"/>
  <c r="M100" i="4"/>
  <c r="O77" i="2"/>
  <c r="N149" i="7"/>
  <c r="D69" i="4"/>
  <c r="D80" i="9"/>
  <c r="J73" i="7"/>
  <c r="F51" i="9"/>
  <c r="R71" i="7"/>
  <c r="M197" i="4"/>
  <c r="S66" i="2"/>
  <c r="H39" i="7"/>
  <c r="H102" i="7"/>
  <c r="E224" i="4"/>
  <c r="C32" i="4"/>
  <c r="F208" i="4"/>
  <c r="H156" i="7"/>
  <c r="M174" i="7"/>
  <c r="C37" i="2"/>
  <c r="C238" i="4"/>
  <c r="M198" i="4"/>
  <c r="F165" i="4"/>
  <c r="G80" i="4"/>
  <c r="S71" i="2"/>
  <c r="S44" i="2"/>
  <c r="F67" i="9"/>
  <c r="D29" i="2"/>
  <c r="AQ66" i="9"/>
  <c r="D36" i="9"/>
  <c r="K78" i="2"/>
  <c r="C123" i="7"/>
  <c r="D150" i="4"/>
  <c r="M188" i="4"/>
  <c r="H96" i="7"/>
  <c r="M141" i="4"/>
  <c r="P59" i="4"/>
  <c r="L169" i="7"/>
  <c r="D78" i="2"/>
  <c r="M175" i="4"/>
  <c r="G231" i="7"/>
  <c r="N32" i="7"/>
  <c r="B28" i="4"/>
  <c r="B48" i="4"/>
  <c r="J52" i="7"/>
  <c r="G208" i="4"/>
  <c r="B87" i="9"/>
  <c r="Q52" i="7"/>
  <c r="F163" i="7"/>
  <c r="F28" i="9"/>
  <c r="F119" i="7"/>
  <c r="M41" i="2"/>
  <c r="M48" i="4"/>
  <c r="L214" i="7"/>
  <c r="U57" i="2"/>
  <c r="E24" i="4"/>
  <c r="L241" i="4"/>
  <c r="B131" i="7"/>
  <c r="AQ31" i="9"/>
  <c r="K246" i="7"/>
  <c r="L126" i="7"/>
  <c r="AQ30" i="9"/>
  <c r="D41" i="4"/>
  <c r="G168" i="4"/>
  <c r="F238" i="4"/>
  <c r="AL43" i="9"/>
  <c r="F55" i="4"/>
  <c r="L93" i="7"/>
  <c r="I39" i="9"/>
  <c r="J61" i="4"/>
  <c r="S62" i="4"/>
  <c r="B90" i="2"/>
  <c r="P83" i="2"/>
  <c r="F248" i="7"/>
  <c r="AK41" i="9"/>
  <c r="G36" i="7"/>
  <c r="O155" i="4"/>
  <c r="Q76" i="4"/>
  <c r="AI41" i="9"/>
  <c r="E133" i="7"/>
  <c r="D53" i="7"/>
  <c r="K41" i="7"/>
  <c r="P59" i="2"/>
  <c r="E64" i="7"/>
  <c r="H66" i="4"/>
  <c r="P48" i="2"/>
  <c r="E79" i="2"/>
  <c r="L233" i="4"/>
  <c r="I43" i="2"/>
  <c r="G56" i="4"/>
  <c r="P56" i="4"/>
  <c r="C24" i="2"/>
  <c r="AE61" i="9"/>
  <c r="L114" i="7"/>
  <c r="M63" i="4"/>
  <c r="N67" i="9"/>
  <c r="D185" i="4"/>
  <c r="F146" i="7"/>
  <c r="O114" i="4"/>
  <c r="B231" i="7"/>
  <c r="N156" i="4"/>
  <c r="G145" i="7"/>
  <c r="AO78" i="9"/>
  <c r="R25" i="9"/>
  <c r="H221" i="7"/>
  <c r="Q63" i="2"/>
  <c r="B29" i="2"/>
  <c r="E68" i="7"/>
  <c r="G203" i="4"/>
  <c r="H146" i="7"/>
  <c r="O26" i="4"/>
  <c r="L77" i="4"/>
  <c r="C138" i="4"/>
  <c r="C119" i="4"/>
  <c r="F31" i="2"/>
  <c r="I44" i="9"/>
  <c r="L192" i="4"/>
  <c r="N145" i="4"/>
  <c r="N180" i="7"/>
  <c r="AJ53" i="9"/>
  <c r="M236" i="4"/>
  <c r="AD88" i="9"/>
  <c r="N83" i="4"/>
  <c r="AC87" i="9"/>
  <c r="R55" i="2"/>
  <c r="L61" i="9"/>
  <c r="D114" i="7"/>
  <c r="B201" i="7"/>
  <c r="L63" i="2"/>
  <c r="D141" i="4"/>
  <c r="K55" i="2"/>
  <c r="K191" i="4"/>
  <c r="L31" i="4"/>
  <c r="D27" i="4"/>
  <c r="D40" i="7"/>
  <c r="F224" i="4"/>
  <c r="G74" i="2"/>
  <c r="AL33" i="9"/>
  <c r="D248" i="4"/>
  <c r="E226" i="7"/>
  <c r="D54" i="9"/>
  <c r="N107" i="7"/>
  <c r="M134" i="4"/>
  <c r="P50" i="4"/>
  <c r="G125" i="4"/>
  <c r="F114" i="4"/>
  <c r="E45" i="2"/>
  <c r="F189" i="7"/>
  <c r="K103" i="7"/>
  <c r="AF86" i="9"/>
  <c r="G36" i="9"/>
  <c r="T60" i="4"/>
  <c r="E209" i="4"/>
  <c r="G113" i="4"/>
  <c r="D219" i="7"/>
  <c r="N213" i="7"/>
  <c r="R50" i="4"/>
  <c r="B102" i="7"/>
  <c r="B115" i="7"/>
  <c r="H86" i="7"/>
  <c r="E86" i="4"/>
  <c r="M199" i="7"/>
  <c r="M74" i="7"/>
  <c r="E103" i="7"/>
  <c r="P37" i="7"/>
  <c r="AC55" i="9"/>
  <c r="C213" i="4"/>
  <c r="M73" i="9"/>
  <c r="K248" i="4"/>
  <c r="N171" i="7"/>
  <c r="M186" i="7"/>
  <c r="D200" i="7"/>
  <c r="B152" i="7"/>
  <c r="G77" i="9"/>
  <c r="K44" i="4"/>
  <c r="M69" i="7"/>
  <c r="F78" i="9"/>
  <c r="S33" i="4"/>
  <c r="D238" i="7"/>
  <c r="I56" i="4"/>
  <c r="R52" i="4"/>
  <c r="B133" i="7"/>
  <c r="F182" i="7"/>
  <c r="K41" i="9"/>
  <c r="T39" i="9"/>
  <c r="O152" i="4"/>
  <c r="N171" i="4"/>
  <c r="E78" i="7"/>
  <c r="M166" i="7"/>
  <c r="K135" i="7"/>
  <c r="L107" i="4"/>
  <c r="AV54" i="9"/>
  <c r="G215" i="4"/>
  <c r="L60" i="2"/>
  <c r="N201" i="7"/>
  <c r="F225" i="7"/>
  <c r="M80" i="4"/>
  <c r="F172" i="7"/>
  <c r="O215" i="4"/>
  <c r="H135" i="7"/>
  <c r="F235" i="4"/>
  <c r="U60" i="4"/>
  <c r="G153" i="4"/>
  <c r="R36" i="4"/>
  <c r="N115" i="7"/>
  <c r="K141" i="7"/>
  <c r="F244" i="4"/>
  <c r="F101" i="7"/>
  <c r="H62" i="2"/>
  <c r="B183" i="7"/>
  <c r="G25" i="9"/>
  <c r="M183" i="4"/>
  <c r="N95" i="4"/>
  <c r="O127" i="4"/>
  <c r="B91" i="7"/>
  <c r="M92" i="7"/>
  <c r="D61" i="4"/>
  <c r="G50" i="2"/>
  <c r="M163" i="4"/>
  <c r="L110" i="7"/>
  <c r="O85" i="7"/>
  <c r="C156" i="7"/>
  <c r="B189" i="7"/>
  <c r="C66" i="7"/>
  <c r="C79" i="9"/>
  <c r="U71" i="4"/>
  <c r="O41" i="2"/>
  <c r="AU72" i="9"/>
  <c r="G190" i="4"/>
  <c r="D54" i="7"/>
  <c r="K52" i="4"/>
  <c r="E56" i="7"/>
  <c r="N202" i="7"/>
  <c r="D39" i="11" l="1"/>
  <c r="D44" i="11"/>
  <c r="BW88" i="9"/>
  <c r="BX87" i="9"/>
  <c r="G31" i="11"/>
  <c r="D35" i="14"/>
  <c r="G26" i="13"/>
  <c r="D29" i="14"/>
  <c r="AL29" i="7"/>
  <c r="B28" i="11"/>
  <c r="D21" i="14"/>
  <c r="BW79" i="9"/>
  <c r="B42" i="14"/>
  <c r="BX43" i="9"/>
  <c r="B47" i="14"/>
  <c r="D49" i="11"/>
  <c r="H23" i="11"/>
  <c r="D31" i="13"/>
  <c r="E30" i="11"/>
  <c r="AL49" i="7"/>
  <c r="H35" i="11"/>
  <c r="D27" i="14"/>
  <c r="BX53" i="9"/>
  <c r="F35" i="11"/>
  <c r="D38" i="11"/>
  <c r="D43" i="11"/>
  <c r="BX49" i="9"/>
  <c r="F42" i="11"/>
  <c r="F47" i="11"/>
  <c r="F46" i="11"/>
  <c r="F41" i="11"/>
  <c r="C19" i="13"/>
  <c r="B20" i="11"/>
  <c r="AL21" i="7"/>
  <c r="AL84" i="7"/>
  <c r="H23" i="13"/>
  <c r="G38" i="13"/>
  <c r="G43" i="13"/>
  <c r="E39" i="13"/>
  <c r="E44" i="13"/>
  <c r="BX68" i="9"/>
  <c r="E31" i="14"/>
  <c r="E36" i="11"/>
  <c r="G27" i="14"/>
  <c r="BW61" i="9"/>
  <c r="BW26" i="9"/>
  <c r="B25" i="13"/>
  <c r="H49" i="14"/>
  <c r="B23" i="13"/>
  <c r="BW24" i="9"/>
  <c r="AL65" i="7"/>
  <c r="F51" i="14"/>
  <c r="D46" i="11"/>
  <c r="D41" i="11"/>
  <c r="G37" i="14"/>
  <c r="BW71" i="9"/>
  <c r="AL66" i="7"/>
  <c r="D22" i="13"/>
  <c r="C32" i="11"/>
  <c r="AL76" i="7"/>
  <c r="B26" i="14"/>
  <c r="BX27" i="9"/>
  <c r="E49" i="14"/>
  <c r="D29" i="11"/>
  <c r="BW53" i="9"/>
  <c r="C50" i="11"/>
  <c r="D36" i="14"/>
  <c r="G24" i="11"/>
  <c r="F36" i="13"/>
  <c r="F34" i="11"/>
  <c r="AL45" i="7"/>
  <c r="B49" i="11"/>
  <c r="D32" i="13"/>
  <c r="BX56" i="9"/>
  <c r="G46" i="14"/>
  <c r="G41" i="14"/>
  <c r="H24" i="14"/>
  <c r="C46" i="14"/>
  <c r="C41" i="14"/>
  <c r="E19" i="13"/>
  <c r="C23" i="11"/>
  <c r="C31" i="11"/>
  <c r="G48" i="14"/>
  <c r="E23" i="14"/>
  <c r="E37" i="13"/>
  <c r="E43" i="13"/>
  <c r="E38" i="13"/>
  <c r="E45" i="14"/>
  <c r="E40" i="14"/>
  <c r="C24" i="11"/>
  <c r="G25" i="11"/>
  <c r="B28" i="13"/>
  <c r="BW29" i="9"/>
  <c r="B34" i="13"/>
  <c r="BW35" i="9"/>
  <c r="B50" i="13"/>
  <c r="BW46" i="9"/>
  <c r="C13" i="14"/>
  <c r="C34" i="13"/>
  <c r="E21" i="13"/>
  <c r="D47" i="13"/>
  <c r="D42" i="13"/>
  <c r="B39" i="11"/>
  <c r="AL40" i="7"/>
  <c r="B44" i="11"/>
  <c r="BX61" i="9"/>
  <c r="F28" i="13"/>
  <c r="BX34" i="9"/>
  <c r="B33" i="14"/>
  <c r="B34" i="11"/>
  <c r="AL35" i="7"/>
  <c r="D20" i="14"/>
  <c r="F33" i="14"/>
  <c r="AL67" i="7"/>
  <c r="BX79" i="9"/>
  <c r="BX41" i="9"/>
  <c r="B40" i="14"/>
  <c r="B45" i="14"/>
  <c r="H18" i="13"/>
  <c r="D22" i="11"/>
  <c r="C28" i="14"/>
  <c r="BW48" i="9"/>
  <c r="AL78" i="7"/>
  <c r="E33" i="14"/>
  <c r="G49" i="11"/>
  <c r="AL30" i="7"/>
  <c r="B29" i="11"/>
  <c r="B45" i="11"/>
  <c r="AL41" i="7"/>
  <c r="B40" i="11"/>
  <c r="C44" i="14"/>
  <c r="C39" i="14"/>
  <c r="C36" i="11"/>
  <c r="D48" i="14"/>
  <c r="C49" i="11"/>
  <c r="E51" i="13"/>
  <c r="C37" i="11"/>
  <c r="F39" i="13"/>
  <c r="F44" i="13"/>
  <c r="E49" i="13"/>
  <c r="H42" i="14"/>
  <c r="H47" i="14"/>
  <c r="H25" i="13"/>
  <c r="F41" i="14"/>
  <c r="F46" i="14"/>
  <c r="C48" i="11"/>
  <c r="F48" i="13"/>
  <c r="E46" i="11"/>
  <c r="E41" i="11"/>
  <c r="E18" i="13"/>
  <c r="D33" i="11"/>
  <c r="BX85" i="9"/>
  <c r="BW82" i="9"/>
  <c r="F20" i="14"/>
  <c r="C44" i="11"/>
  <c r="C39" i="11"/>
  <c r="C33" i="14"/>
  <c r="H35" i="14"/>
  <c r="AL63" i="7"/>
  <c r="AL53" i="7"/>
  <c r="AL51" i="7"/>
  <c r="G28" i="13"/>
  <c r="B29" i="14"/>
  <c r="BX30" i="9"/>
  <c r="H49" i="13"/>
  <c r="BW62" i="9"/>
  <c r="F43" i="11"/>
  <c r="F38" i="11"/>
  <c r="G22" i="13"/>
  <c r="G47" i="11"/>
  <c r="G42" i="11"/>
  <c r="F33" i="11"/>
  <c r="B43" i="14"/>
  <c r="BX39" i="9"/>
  <c r="B38" i="14"/>
  <c r="BX58" i="9"/>
  <c r="E42" i="11"/>
  <c r="E47" i="11"/>
  <c r="H30" i="14"/>
  <c r="BX65" i="9"/>
  <c r="G36" i="11"/>
  <c r="C27" i="11"/>
  <c r="E32" i="11"/>
  <c r="H28" i="11"/>
  <c r="F36" i="14"/>
  <c r="H23" i="14"/>
  <c r="C47" i="14"/>
  <c r="C42" i="14"/>
  <c r="F21" i="13"/>
  <c r="D25" i="11"/>
  <c r="H31" i="14"/>
  <c r="AL75" i="7"/>
  <c r="AM75" i="7" s="1"/>
  <c r="AL72" i="7"/>
  <c r="BW69" i="9"/>
  <c r="H31" i="13"/>
  <c r="F35" i="14"/>
  <c r="F50" i="11"/>
  <c r="H31" i="11"/>
  <c r="G30" i="13"/>
  <c r="F32" i="14"/>
  <c r="C51" i="14"/>
  <c r="D47" i="14"/>
  <c r="D42" i="14"/>
  <c r="D32" i="11"/>
  <c r="BX59" i="9"/>
  <c r="B41" i="14"/>
  <c r="BX42" i="9"/>
  <c r="B46" i="14"/>
  <c r="AL39" i="7"/>
  <c r="B43" i="11"/>
  <c r="B38" i="11"/>
  <c r="AL61" i="7"/>
  <c r="E42" i="13"/>
  <c r="E47" i="13"/>
  <c r="G29" i="11"/>
  <c r="D33" i="13"/>
  <c r="C18" i="11"/>
  <c r="F27" i="13"/>
  <c r="E43" i="14"/>
  <c r="E38" i="14"/>
  <c r="AL22" i="7"/>
  <c r="B21" i="11"/>
  <c r="G24" i="14"/>
  <c r="F37" i="11"/>
  <c r="F44" i="11"/>
  <c r="F39" i="11"/>
  <c r="B23" i="14"/>
  <c r="BX24" i="9"/>
  <c r="F34" i="13"/>
  <c r="D45" i="11"/>
  <c r="D40" i="11"/>
  <c r="G35" i="13"/>
  <c r="AL82" i="7"/>
  <c r="B28" i="14"/>
  <c r="BX29" i="9"/>
  <c r="AL50" i="7"/>
  <c r="F48" i="14"/>
  <c r="BX80" i="9"/>
  <c r="BX88" i="9"/>
  <c r="BZ88" i="9" s="1"/>
  <c r="G19" i="14"/>
  <c r="C21" i="13"/>
  <c r="BX69" i="9"/>
  <c r="BZ69" i="9" s="1"/>
  <c r="H50" i="11"/>
  <c r="AL70" i="7"/>
  <c r="G18" i="14"/>
  <c r="E32" i="14"/>
  <c r="H32" i="13"/>
  <c r="E33" i="13"/>
  <c r="AL54" i="7"/>
  <c r="G21" i="14"/>
  <c r="D51" i="14"/>
  <c r="BX22" i="9"/>
  <c r="B21" i="14"/>
  <c r="C18" i="14"/>
  <c r="G20" i="14"/>
  <c r="BW33" i="9"/>
  <c r="B32" i="13"/>
  <c r="D23" i="11"/>
  <c r="D34" i="13"/>
  <c r="C48" i="13"/>
  <c r="C49" i="14"/>
  <c r="H50" i="13"/>
  <c r="D21" i="13"/>
  <c r="E24" i="11"/>
  <c r="AL56" i="7"/>
  <c r="AL71" i="7"/>
  <c r="G21" i="11"/>
  <c r="F28" i="11"/>
  <c r="BW57" i="9"/>
  <c r="AL64" i="7"/>
  <c r="C24" i="14"/>
  <c r="BX51" i="9"/>
  <c r="E35" i="11"/>
  <c r="H46" i="13"/>
  <c r="H41" i="13"/>
  <c r="E27" i="13"/>
  <c r="G50" i="11"/>
  <c r="G22" i="11"/>
  <c r="F51" i="11"/>
  <c r="H30" i="13"/>
  <c r="C35" i="11"/>
  <c r="AL86" i="7"/>
  <c r="F32" i="13"/>
  <c r="B51" i="14"/>
  <c r="BX47" i="9"/>
  <c r="H45" i="11"/>
  <c r="H40" i="11"/>
  <c r="C42" i="11"/>
  <c r="C47" i="11"/>
  <c r="AL38" i="7"/>
  <c r="B37" i="11"/>
  <c r="G34" i="13"/>
  <c r="H26" i="11"/>
  <c r="BX32" i="9"/>
  <c r="B31" i="14"/>
  <c r="H28" i="13"/>
  <c r="C48" i="14"/>
  <c r="E26" i="14"/>
  <c r="BW64" i="9"/>
  <c r="E27" i="14"/>
  <c r="BW23" i="9"/>
  <c r="B22" i="13"/>
  <c r="D39" i="14"/>
  <c r="D44" i="14"/>
  <c r="C24" i="13"/>
  <c r="H51" i="14"/>
  <c r="G23" i="13"/>
  <c r="E43" i="11"/>
  <c r="E38" i="11"/>
  <c r="F40" i="14"/>
  <c r="F45" i="14"/>
  <c r="E41" i="14"/>
  <c r="E46" i="14"/>
  <c r="F30" i="14"/>
  <c r="D20" i="13"/>
  <c r="BX82" i="9"/>
  <c r="BZ82" i="9" s="1"/>
  <c r="B22" i="14"/>
  <c r="BX23" i="9"/>
  <c r="G51" i="11"/>
  <c r="D34" i="14"/>
  <c r="AL42" i="7"/>
  <c r="B46" i="11"/>
  <c r="B41" i="11"/>
  <c r="H22" i="14"/>
  <c r="C30" i="13"/>
  <c r="G35" i="14"/>
  <c r="BX84" i="9"/>
  <c r="H51" i="13"/>
  <c r="F23" i="11"/>
  <c r="E22" i="13"/>
  <c r="D24" i="11"/>
  <c r="D23" i="13"/>
  <c r="BW80" i="9"/>
  <c r="F50" i="14"/>
  <c r="E36" i="13"/>
  <c r="F27" i="14"/>
  <c r="C37" i="14"/>
  <c r="C33" i="13"/>
  <c r="B25" i="14"/>
  <c r="BX26" i="9"/>
  <c r="BX67" i="9"/>
  <c r="H25" i="14"/>
  <c r="B24" i="14"/>
  <c r="BX25" i="9"/>
  <c r="C22" i="11"/>
  <c r="H34" i="13"/>
  <c r="C40" i="14"/>
  <c r="C45" i="14"/>
  <c r="F49" i="13"/>
  <c r="E13" i="14"/>
  <c r="E15" i="14"/>
  <c r="F18" i="14"/>
  <c r="G35" i="11"/>
  <c r="C37" i="13"/>
  <c r="D35" i="11"/>
  <c r="D48" i="13"/>
  <c r="H20" i="14"/>
  <c r="AL83" i="7"/>
  <c r="AL47" i="7"/>
  <c r="B51" i="11"/>
  <c r="H28" i="14"/>
  <c r="D23" i="14"/>
  <c r="BX54" i="9"/>
  <c r="G40" i="11"/>
  <c r="G45" i="11"/>
  <c r="BW60" i="9"/>
  <c r="AL52" i="7"/>
  <c r="F29" i="13"/>
  <c r="C31" i="14"/>
  <c r="BX64" i="9"/>
  <c r="G20" i="13"/>
  <c r="B24" i="13"/>
  <c r="BW25" i="9"/>
  <c r="E48" i="14"/>
  <c r="D19" i="14"/>
  <c r="E25" i="11"/>
  <c r="E19" i="14"/>
  <c r="C43" i="14"/>
  <c r="C38" i="14"/>
  <c r="D31" i="14"/>
  <c r="D46" i="13"/>
  <c r="D41" i="13"/>
  <c r="BX60" i="9"/>
  <c r="G48" i="11"/>
  <c r="AL36" i="7"/>
  <c r="B35" i="11"/>
  <c r="C25" i="13"/>
  <c r="BW56" i="9"/>
  <c r="G39" i="13"/>
  <c r="G44" i="13"/>
  <c r="E28" i="13"/>
  <c r="BW87" i="9"/>
  <c r="BX83" i="9"/>
  <c r="D34" i="11"/>
  <c r="B34" i="14"/>
  <c r="BX35" i="9"/>
  <c r="G45" i="13"/>
  <c r="G40" i="13"/>
  <c r="E41" i="13"/>
  <c r="E46" i="13"/>
  <c r="D28" i="14"/>
  <c r="BX77" i="9"/>
  <c r="C50" i="14"/>
  <c r="AL85" i="7"/>
  <c r="E44" i="11"/>
  <c r="E39" i="11"/>
  <c r="BX40" i="9"/>
  <c r="B39" i="14"/>
  <c r="B44" i="14"/>
  <c r="E45" i="11"/>
  <c r="E40" i="11"/>
  <c r="C25" i="14"/>
  <c r="H50" i="14"/>
  <c r="E51" i="14"/>
  <c r="H46" i="14"/>
  <c r="H41" i="14"/>
  <c r="BW83" i="9"/>
  <c r="AL68" i="7"/>
  <c r="D38" i="14"/>
  <c r="D43" i="14"/>
  <c r="E22" i="14"/>
  <c r="AL60" i="7"/>
  <c r="H36" i="13"/>
  <c r="C46" i="11"/>
  <c r="C41" i="11"/>
  <c r="E36" i="14"/>
  <c r="AL69" i="7"/>
  <c r="C45" i="13"/>
  <c r="C40" i="13"/>
  <c r="D51" i="11"/>
  <c r="G36" i="14"/>
  <c r="D31" i="11"/>
  <c r="C19" i="14"/>
  <c r="F16" i="11"/>
  <c r="C16" i="14"/>
  <c r="H17" i="14"/>
  <c r="C12" i="13"/>
  <c r="D32" i="14"/>
  <c r="G46" i="11"/>
  <c r="G41" i="11"/>
  <c r="E21" i="14"/>
  <c r="AL58" i="7"/>
  <c r="H43" i="13"/>
  <c r="H38" i="13"/>
  <c r="G51" i="13"/>
  <c r="H21" i="13"/>
  <c r="AL77" i="7"/>
  <c r="AM77" i="7" s="1"/>
  <c r="E48" i="11"/>
  <c r="E34" i="11"/>
  <c r="BX78" i="9"/>
  <c r="AL33" i="7"/>
  <c r="B32" i="11"/>
  <c r="BX57" i="9"/>
  <c r="BZ57" i="9" s="1"/>
  <c r="C34" i="14"/>
  <c r="BX86" i="9"/>
  <c r="C43" i="11"/>
  <c r="C38" i="11"/>
  <c r="D39" i="13"/>
  <c r="D44" i="13"/>
  <c r="G39" i="11"/>
  <c r="G44" i="11"/>
  <c r="BX76" i="9"/>
  <c r="C51" i="11"/>
  <c r="H20" i="13"/>
  <c r="B24" i="11"/>
  <c r="AL25" i="7"/>
  <c r="G20" i="11"/>
  <c r="BW34" i="9"/>
  <c r="BY34" i="9" s="1"/>
  <c r="B33" i="13"/>
  <c r="G34" i="11"/>
  <c r="BW49" i="9"/>
  <c r="B31" i="11"/>
  <c r="AL32" i="7"/>
  <c r="E31" i="13"/>
  <c r="C27" i="13"/>
  <c r="BW74" i="9"/>
  <c r="H32" i="11"/>
  <c r="D24" i="13"/>
  <c r="H39" i="13"/>
  <c r="H44" i="13"/>
  <c r="H27" i="11"/>
  <c r="D50" i="14"/>
  <c r="D18" i="13"/>
  <c r="F25" i="11"/>
  <c r="AL80" i="7"/>
  <c r="BW19" i="9"/>
  <c r="B18" i="13"/>
  <c r="BW86" i="9"/>
  <c r="F11" i="14"/>
  <c r="G13" i="14"/>
  <c r="G12" i="14"/>
  <c r="H11" i="13"/>
  <c r="H36" i="11"/>
  <c r="AL74" i="7"/>
  <c r="D18" i="14"/>
  <c r="G26" i="14"/>
  <c r="BX66" i="9"/>
  <c r="AL62" i="7"/>
  <c r="E18" i="14"/>
  <c r="E30" i="14"/>
  <c r="F36" i="11"/>
  <c r="E29" i="14"/>
  <c r="H19" i="14"/>
  <c r="H26" i="13"/>
  <c r="BW84" i="9"/>
  <c r="H48" i="11"/>
  <c r="C45" i="11"/>
  <c r="C40" i="11"/>
  <c r="C29" i="14"/>
  <c r="E25" i="14"/>
  <c r="H33" i="11"/>
  <c r="E32" i="13"/>
  <c r="B48" i="11"/>
  <c r="AL44" i="7"/>
  <c r="E24" i="14"/>
  <c r="D37" i="11"/>
  <c r="AL73" i="7"/>
  <c r="BW75" i="9"/>
  <c r="AL59" i="7"/>
  <c r="AL23" i="7"/>
  <c r="B22" i="11"/>
  <c r="D26" i="11"/>
  <c r="BW67" i="9"/>
  <c r="F19" i="13"/>
  <c r="H45" i="13"/>
  <c r="H40" i="13"/>
  <c r="H25" i="11"/>
  <c r="H33" i="14"/>
  <c r="B12" i="11"/>
  <c r="AL13" i="7"/>
  <c r="AM13" i="7" s="1"/>
  <c r="D21" i="11"/>
  <c r="D12" i="14"/>
  <c r="D35" i="13"/>
  <c r="D30" i="14"/>
  <c r="BX45" i="9"/>
  <c r="B49" i="14"/>
  <c r="F41" i="13"/>
  <c r="F46" i="13"/>
  <c r="E27" i="11"/>
  <c r="E50" i="11"/>
  <c r="G19" i="13"/>
  <c r="G29" i="14"/>
  <c r="F31" i="14"/>
  <c r="C46" i="13"/>
  <c r="C41" i="13"/>
  <c r="BW58" i="9"/>
  <c r="G50" i="14"/>
  <c r="B36" i="11"/>
  <c r="AL37" i="7"/>
  <c r="BX55" i="9"/>
  <c r="H48" i="14"/>
  <c r="H49" i="11"/>
  <c r="G50" i="13"/>
  <c r="C26" i="11"/>
  <c r="F32" i="11"/>
  <c r="AL79" i="7"/>
  <c r="F18" i="13"/>
  <c r="D36" i="11"/>
  <c r="BX70" i="9"/>
  <c r="F37" i="13"/>
  <c r="G33" i="13"/>
  <c r="BW54" i="9"/>
  <c r="AL48" i="7"/>
  <c r="F33" i="13"/>
  <c r="H32" i="14"/>
  <c r="F26" i="13"/>
  <c r="D51" i="13"/>
  <c r="C27" i="14"/>
  <c r="C35" i="13"/>
  <c r="B19" i="14"/>
  <c r="BX20" i="9"/>
  <c r="BW32" i="9"/>
  <c r="B31" i="13"/>
  <c r="AL81" i="7"/>
  <c r="AM81" i="7" s="1"/>
  <c r="D27" i="11"/>
  <c r="B18" i="14"/>
  <c r="BX19" i="9"/>
  <c r="C20" i="13"/>
  <c r="C35" i="14"/>
  <c r="F42" i="13"/>
  <c r="F47" i="13"/>
  <c r="E40" i="13"/>
  <c r="E45" i="13"/>
  <c r="D22" i="14"/>
  <c r="G34" i="14"/>
  <c r="G29" i="13"/>
  <c r="H44" i="14"/>
  <c r="H39" i="14"/>
  <c r="C31" i="13"/>
  <c r="E28" i="11"/>
  <c r="C50" i="13"/>
  <c r="G36" i="13"/>
  <c r="E50" i="13"/>
  <c r="B48" i="13"/>
  <c r="BW44" i="9"/>
  <c r="H27" i="14"/>
  <c r="E28" i="14"/>
  <c r="D28" i="13"/>
  <c r="F31" i="11"/>
  <c r="E29" i="11"/>
  <c r="BX63" i="9"/>
  <c r="F24" i="11"/>
  <c r="F30" i="11"/>
  <c r="E34" i="13"/>
  <c r="D30" i="13"/>
  <c r="E11" i="14"/>
  <c r="H12" i="13"/>
  <c r="D16" i="14"/>
  <c r="F13" i="14"/>
  <c r="E16" i="13"/>
  <c r="F14" i="11"/>
  <c r="C14" i="13"/>
  <c r="B26" i="11"/>
  <c r="AL27" i="7"/>
  <c r="H21" i="11"/>
  <c r="H29" i="14"/>
  <c r="BW81" i="9"/>
  <c r="E20" i="13"/>
  <c r="E35" i="14"/>
  <c r="E50" i="14"/>
  <c r="C22" i="14"/>
  <c r="D29" i="13"/>
  <c r="BX71" i="9"/>
  <c r="F40" i="11"/>
  <c r="F45" i="11"/>
  <c r="E37" i="14"/>
  <c r="E51" i="11"/>
  <c r="B27" i="14"/>
  <c r="BX28" i="9"/>
  <c r="D18" i="11"/>
  <c r="C32" i="14"/>
  <c r="F51" i="13"/>
  <c r="AL46" i="7"/>
  <c r="B50" i="11"/>
  <c r="C26" i="14"/>
  <c r="B37" i="13"/>
  <c r="BW38" i="9"/>
  <c r="C42" i="13"/>
  <c r="C47" i="13"/>
  <c r="BX36" i="9"/>
  <c r="B35" i="14"/>
  <c r="F40" i="13"/>
  <c r="F45" i="13"/>
  <c r="BX73" i="9"/>
  <c r="BW36" i="9"/>
  <c r="B35" i="13"/>
  <c r="G33" i="14"/>
  <c r="D36" i="13"/>
  <c r="E25" i="13"/>
  <c r="B51" i="13"/>
  <c r="BW47" i="9"/>
  <c r="F34" i="14"/>
  <c r="BX62" i="9"/>
  <c r="F31" i="13"/>
  <c r="E20" i="11"/>
  <c r="BX48" i="9"/>
  <c r="C30" i="11"/>
  <c r="C26" i="13"/>
  <c r="G25" i="13"/>
  <c r="B50" i="14"/>
  <c r="BX46" i="9"/>
  <c r="BZ46" i="9" s="1"/>
  <c r="BW76" i="9"/>
  <c r="G51" i="14"/>
  <c r="G32" i="13"/>
  <c r="F39" i="14"/>
  <c r="F44" i="14"/>
  <c r="B27" i="11"/>
  <c r="AL28" i="7"/>
  <c r="AM28" i="7" s="1"/>
  <c r="E30" i="13"/>
  <c r="F48" i="11"/>
  <c r="G23" i="11"/>
  <c r="H22" i="11"/>
  <c r="B30" i="11"/>
  <c r="AL31" i="7"/>
  <c r="AM31" i="7" s="1"/>
  <c r="D28" i="11"/>
  <c r="H27" i="13"/>
  <c r="B25" i="11"/>
  <c r="AL26" i="7"/>
  <c r="AM26" i="7" s="1"/>
  <c r="BW72" i="9"/>
  <c r="C25" i="11"/>
  <c r="F18" i="11"/>
  <c r="C21" i="14"/>
  <c r="G31" i="13"/>
  <c r="C49" i="13"/>
  <c r="B45" i="13"/>
  <c r="BW41" i="9"/>
  <c r="B40" i="13"/>
  <c r="D12" i="13"/>
  <c r="E15" i="13"/>
  <c r="C12" i="14"/>
  <c r="G14" i="13"/>
  <c r="H48" i="13"/>
  <c r="F43" i="14"/>
  <c r="F38" i="14"/>
  <c r="D42" i="11"/>
  <c r="D47" i="11"/>
  <c r="G39" i="14"/>
  <c r="G44" i="14"/>
  <c r="E44" i="14"/>
  <c r="E39" i="14"/>
  <c r="E34" i="14"/>
  <c r="AL19" i="7"/>
  <c r="AM19" i="7" s="1"/>
  <c r="B18" i="11"/>
  <c r="F43" i="13"/>
  <c r="F38" i="13"/>
  <c r="BX81" i="9"/>
  <c r="F29" i="14"/>
  <c r="BW70" i="9"/>
  <c r="D49" i="14"/>
  <c r="E23" i="11"/>
  <c r="BW77" i="9"/>
  <c r="F26" i="11"/>
  <c r="B43" i="13"/>
  <c r="BW39" i="9"/>
  <c r="BY39" i="9" s="1"/>
  <c r="B38" i="13"/>
  <c r="D26" i="13"/>
  <c r="F29" i="11"/>
  <c r="BX33" i="9"/>
  <c r="B32" i="14"/>
  <c r="H19" i="13"/>
  <c r="H37" i="11"/>
  <c r="C21" i="11"/>
  <c r="D37" i="13"/>
  <c r="AL57" i="7"/>
  <c r="E26" i="11"/>
  <c r="BW37" i="9"/>
  <c r="B36" i="13"/>
  <c r="D50" i="11"/>
  <c r="B33" i="11"/>
  <c r="AL34" i="7"/>
  <c r="F35" i="13"/>
  <c r="H22" i="13"/>
  <c r="C28" i="11"/>
  <c r="C28" i="13"/>
  <c r="H29" i="13"/>
  <c r="G2" i="13"/>
  <c r="H15" i="14"/>
  <c r="G10" i="13"/>
  <c r="G16" i="14"/>
  <c r="G11" i="13"/>
  <c r="C15" i="13"/>
  <c r="D17" i="13"/>
  <c r="G32" i="11"/>
  <c r="D33" i="14"/>
  <c r="BX38" i="9"/>
  <c r="BZ38" i="9" s="1"/>
  <c r="B37" i="14"/>
  <c r="C51" i="13"/>
  <c r="F37" i="14"/>
  <c r="B44" i="13"/>
  <c r="B39" i="13"/>
  <c r="BW40" i="9"/>
  <c r="BY40" i="9" s="1"/>
  <c r="B30" i="14"/>
  <c r="BX31" i="9"/>
  <c r="C22" i="13"/>
  <c r="G43" i="14"/>
  <c r="G38" i="14"/>
  <c r="G25" i="14"/>
  <c r="BW78" i="9"/>
  <c r="B27" i="13"/>
  <c r="BW28" i="9"/>
  <c r="H24" i="13"/>
  <c r="F21" i="14"/>
  <c r="BW66" i="9"/>
  <c r="BW50" i="9"/>
  <c r="E35" i="13"/>
  <c r="G28" i="14"/>
  <c r="BW43" i="9"/>
  <c r="B47" i="13"/>
  <c r="B42" i="13"/>
  <c r="BW27" i="9"/>
  <c r="BY27" i="9" s="1"/>
  <c r="B26" i="13"/>
  <c r="C44" i="13"/>
  <c r="C39" i="13"/>
  <c r="B20" i="14"/>
  <c r="BX21" i="9"/>
  <c r="G18" i="11"/>
  <c r="F21" i="11"/>
  <c r="C38" i="13"/>
  <c r="C43" i="13"/>
  <c r="D11" i="14"/>
  <c r="D13" i="13"/>
  <c r="B46" i="13"/>
  <c r="BW42" i="9"/>
  <c r="BY42" i="9" s="1"/>
  <c r="B41" i="13"/>
  <c r="G16" i="13"/>
  <c r="H12" i="11"/>
  <c r="C17" i="13"/>
  <c r="F2" i="13"/>
  <c r="F12" i="13"/>
  <c r="BW3" i="9"/>
  <c r="B2" i="13"/>
  <c r="F16" i="13"/>
  <c r="B13" i="14"/>
  <c r="BX14" i="9"/>
  <c r="D14" i="11"/>
  <c r="F2" i="14"/>
  <c r="C34" i="11"/>
  <c r="D38" i="13"/>
  <c r="D43" i="13"/>
  <c r="G49" i="14"/>
  <c r="C33" i="11"/>
  <c r="F25" i="13"/>
  <c r="H24" i="11"/>
  <c r="E26" i="13"/>
  <c r="D45" i="14"/>
  <c r="D40" i="14"/>
  <c r="H38" i="14"/>
  <c r="H43" i="14"/>
  <c r="F25" i="14"/>
  <c r="G32" i="14"/>
  <c r="B23" i="11"/>
  <c r="AL24" i="7"/>
  <c r="H33" i="13"/>
  <c r="G45" i="14"/>
  <c r="G40" i="14"/>
  <c r="H29" i="11"/>
  <c r="C36" i="13"/>
  <c r="BW30" i="9"/>
  <c r="B29" i="13"/>
  <c r="H30" i="11"/>
  <c r="G28" i="11"/>
  <c r="BW20" i="9"/>
  <c r="B19" i="13"/>
  <c r="C29" i="11"/>
  <c r="C20" i="14"/>
  <c r="H47" i="13"/>
  <c r="H42" i="13"/>
  <c r="D26" i="14"/>
  <c r="F26" i="14"/>
  <c r="C30" i="14"/>
  <c r="H20" i="11"/>
  <c r="H37" i="14"/>
  <c r="BW68" i="9"/>
  <c r="E24" i="13"/>
  <c r="H35" i="13"/>
  <c r="F22" i="11"/>
  <c r="G31" i="14"/>
  <c r="C23" i="14"/>
  <c r="E49" i="11"/>
  <c r="F49" i="11"/>
  <c r="E42" i="14"/>
  <c r="E47" i="14"/>
  <c r="D25" i="14"/>
  <c r="BX52" i="9"/>
  <c r="E20" i="14"/>
  <c r="F50" i="13"/>
  <c r="H40" i="14"/>
  <c r="H45" i="14"/>
  <c r="BW21" i="9"/>
  <c r="B20" i="13"/>
  <c r="BW55" i="9"/>
  <c r="G26" i="11"/>
  <c r="F27" i="11"/>
  <c r="F24" i="14"/>
  <c r="G27" i="11"/>
  <c r="H46" i="11"/>
  <c r="H41" i="11"/>
  <c r="E48" i="13"/>
  <c r="C16" i="11"/>
  <c r="D17" i="14"/>
  <c r="F28" i="14"/>
  <c r="D14" i="13"/>
  <c r="G24" i="13"/>
  <c r="H2" i="13"/>
  <c r="C14" i="14"/>
  <c r="D40" i="13"/>
  <c r="D45" i="13"/>
  <c r="D10" i="14"/>
  <c r="H16" i="11"/>
  <c r="H16" i="14"/>
  <c r="F16" i="14"/>
  <c r="B14" i="11"/>
  <c r="AL15" i="7"/>
  <c r="AM15" i="7" s="1"/>
  <c r="H11" i="14"/>
  <c r="C10" i="14"/>
  <c r="BX12" i="9"/>
  <c r="B11" i="14"/>
  <c r="B10" i="14"/>
  <c r="BX11" i="9"/>
  <c r="E10" i="14"/>
  <c r="C17" i="14"/>
  <c r="F12" i="11"/>
  <c r="BX15" i="9"/>
  <c r="B14" i="14"/>
  <c r="BW73" i="9"/>
  <c r="E37" i="11"/>
  <c r="C32" i="13"/>
  <c r="G41" i="13"/>
  <c r="G46" i="13"/>
  <c r="BX37" i="9"/>
  <c r="BZ37" i="9" s="1"/>
  <c r="B36" i="14"/>
  <c r="D50" i="13"/>
  <c r="C36" i="14"/>
  <c r="C18" i="13"/>
  <c r="F23" i="13"/>
  <c r="F20" i="13"/>
  <c r="B48" i="14"/>
  <c r="BX44" i="9"/>
  <c r="B47" i="11"/>
  <c r="AL43" i="7"/>
  <c r="B42" i="11"/>
  <c r="G42" i="14"/>
  <c r="G47" i="14"/>
  <c r="G49" i="13"/>
  <c r="G23" i="14"/>
  <c r="D37" i="14"/>
  <c r="H36" i="14"/>
  <c r="H42" i="11"/>
  <c r="H47" i="11"/>
  <c r="D19" i="13"/>
  <c r="G30" i="14"/>
  <c r="F22" i="13"/>
  <c r="G22" i="14"/>
  <c r="H51" i="11"/>
  <c r="H34" i="11"/>
  <c r="BW65" i="9"/>
  <c r="D49" i="13"/>
  <c r="F20" i="11"/>
  <c r="H21" i="14"/>
  <c r="C23" i="13"/>
  <c r="C20" i="11"/>
  <c r="H18" i="14"/>
  <c r="AL55" i="7"/>
  <c r="H38" i="11"/>
  <c r="H43" i="11"/>
  <c r="G37" i="11"/>
  <c r="BX72" i="9"/>
  <c r="BZ72" i="9" s="1"/>
  <c r="BW63" i="9"/>
  <c r="BW52" i="9"/>
  <c r="H26" i="14"/>
  <c r="G33" i="11"/>
  <c r="G38" i="11"/>
  <c r="G43" i="11"/>
  <c r="F30" i="13"/>
  <c r="B49" i="13"/>
  <c r="BW45" i="9"/>
  <c r="G30" i="11"/>
  <c r="F42" i="14"/>
  <c r="F47" i="14"/>
  <c r="E22" i="11"/>
  <c r="BW51" i="9"/>
  <c r="H18" i="11"/>
  <c r="D48" i="11"/>
  <c r="BW22" i="9"/>
  <c r="BY22" i="9" s="1"/>
  <c r="B21" i="13"/>
  <c r="F49" i="14"/>
  <c r="G18" i="13"/>
  <c r="BW85" i="9"/>
  <c r="E14" i="13"/>
  <c r="E14" i="11"/>
  <c r="E2" i="13"/>
  <c r="D27" i="13"/>
  <c r="D15" i="13"/>
  <c r="B17" i="13"/>
  <c r="BW18" i="9"/>
  <c r="D24" i="14"/>
  <c r="E21" i="11"/>
  <c r="F14" i="13"/>
  <c r="D25" i="13"/>
  <c r="BX50" i="9"/>
  <c r="BZ50" i="9" s="1"/>
  <c r="D2" i="13"/>
  <c r="BW17" i="9"/>
  <c r="B16" i="13"/>
  <c r="B10" i="13"/>
  <c r="BW11" i="9"/>
  <c r="G16" i="11"/>
  <c r="C11" i="13"/>
  <c r="D14" i="14"/>
  <c r="D15" i="14"/>
  <c r="B15" i="13"/>
  <c r="BW16" i="9"/>
  <c r="H2" i="14"/>
  <c r="G13" i="13"/>
  <c r="G2" i="14"/>
  <c r="G37" i="13"/>
  <c r="B15" i="14"/>
  <c r="BX16" i="9"/>
  <c r="D11" i="13"/>
  <c r="G48" i="13"/>
  <c r="BX75" i="9"/>
  <c r="D30" i="11"/>
  <c r="H44" i="11"/>
  <c r="H39" i="11"/>
  <c r="E12" i="13"/>
  <c r="E17" i="14"/>
  <c r="H14" i="14"/>
  <c r="E12" i="14"/>
  <c r="F13" i="13"/>
  <c r="F22" i="14"/>
  <c r="B14" i="13"/>
  <c r="BW15" i="9"/>
  <c r="BY15" i="9" s="1"/>
  <c r="H14" i="11"/>
  <c r="D16" i="11"/>
  <c r="F15" i="13"/>
  <c r="F24" i="13"/>
  <c r="G27" i="13"/>
  <c r="C29" i="13"/>
  <c r="E29" i="13"/>
  <c r="C12" i="11"/>
  <c r="E16" i="14"/>
  <c r="E12" i="11"/>
  <c r="BX17" i="9"/>
  <c r="BZ17" i="9" s="1"/>
  <c r="B16" i="14"/>
  <c r="F17" i="13"/>
  <c r="H16" i="13"/>
  <c r="H10" i="14"/>
  <c r="C16" i="13"/>
  <c r="H13" i="13"/>
  <c r="B13" i="13"/>
  <c r="BW14" i="9"/>
  <c r="B17" i="14"/>
  <c r="BX18" i="9"/>
  <c r="H14" i="13"/>
  <c r="B12" i="14"/>
  <c r="BX13" i="9"/>
  <c r="E11" i="13"/>
  <c r="D10" i="13"/>
  <c r="F17" i="14"/>
  <c r="G14" i="11"/>
  <c r="C2" i="14"/>
  <c r="H10" i="13"/>
  <c r="E13" i="13"/>
  <c r="G12" i="13"/>
  <c r="C2" i="13"/>
  <c r="C11" i="14"/>
  <c r="D2" i="14"/>
  <c r="E16" i="11"/>
  <c r="F19" i="14"/>
  <c r="C13" i="13"/>
  <c r="G11" i="14"/>
  <c r="F10" i="13"/>
  <c r="G21" i="13"/>
  <c r="G42" i="13"/>
  <c r="G47" i="13"/>
  <c r="H34" i="14"/>
  <c r="E31" i="11"/>
  <c r="G15" i="13"/>
  <c r="H17" i="13"/>
  <c r="B16" i="11"/>
  <c r="AL17" i="7"/>
  <c r="AM17" i="7" s="1"/>
  <c r="E23" i="13"/>
  <c r="D41" i="14"/>
  <c r="D46" i="14"/>
  <c r="E33" i="11"/>
  <c r="E18" i="11"/>
  <c r="H12" i="14"/>
  <c r="F10" i="14"/>
  <c r="F23" i="14"/>
  <c r="BX74" i="9"/>
  <c r="H37" i="13"/>
  <c r="BW31" i="9"/>
  <c r="B30" i="13"/>
  <c r="BW59" i="9"/>
  <c r="D20" i="11"/>
  <c r="F11" i="13"/>
  <c r="G10" i="14"/>
  <c r="F15" i="14"/>
  <c r="BW13" i="9"/>
  <c r="B12" i="13"/>
  <c r="D16" i="13"/>
  <c r="F12" i="14"/>
  <c r="D12" i="11"/>
  <c r="E14" i="14"/>
  <c r="H13" i="14"/>
  <c r="G15" i="14"/>
  <c r="BW12" i="9"/>
  <c r="B11" i="13"/>
  <c r="F14" i="14"/>
  <c r="C10" i="13"/>
  <c r="E10" i="13"/>
  <c r="E17" i="13"/>
  <c r="C15" i="14"/>
  <c r="E2" i="14"/>
  <c r="H15" i="13"/>
  <c r="G17" i="13"/>
  <c r="G12" i="11"/>
  <c r="G17" i="14"/>
  <c r="D13" i="14"/>
  <c r="C14" i="11"/>
  <c r="G14" i="14"/>
  <c r="B2" i="14"/>
  <c r="BX3" i="9"/>
  <c r="BZ3" i="9" s="1"/>
  <c r="BZ61" i="9" l="1"/>
  <c r="AM55" i="7"/>
  <c r="AM38" i="7"/>
  <c r="AM71" i="7"/>
  <c r="I27" i="14"/>
  <c r="BZ81" i="9"/>
  <c r="BZ23" i="9"/>
  <c r="BZ75" i="9"/>
  <c r="AM43" i="7"/>
  <c r="AM24" i="7"/>
  <c r="BZ48" i="9"/>
  <c r="BY32" i="9"/>
  <c r="BZ26" i="9"/>
  <c r="BZ24" i="9"/>
  <c r="BY47" i="9"/>
  <c r="BZ29" i="9"/>
  <c r="BY31" i="9"/>
  <c r="BY30" i="9"/>
  <c r="I46" i="13"/>
  <c r="BZ33" i="9"/>
  <c r="BY41" i="9"/>
  <c r="AM74" i="7"/>
  <c r="AM60" i="7"/>
  <c r="I30" i="13"/>
  <c r="BZ52" i="9"/>
  <c r="BY28" i="9"/>
  <c r="AM57" i="7"/>
  <c r="BZ73" i="9"/>
  <c r="BZ36" i="9"/>
  <c r="AM79" i="7"/>
  <c r="AM85" i="7"/>
  <c r="BZ25" i="9"/>
  <c r="AM50" i="7"/>
  <c r="BY19" i="9"/>
  <c r="BZ80" i="9"/>
  <c r="BZ11" i="9"/>
  <c r="BZ21" i="9"/>
  <c r="BZ12" i="9"/>
  <c r="I11" i="13"/>
  <c r="I12" i="13"/>
  <c r="I16" i="11"/>
  <c r="J16" i="11" s="1"/>
  <c r="BZ13" i="9"/>
  <c r="I17" i="14"/>
  <c r="J3" i="14" s="1"/>
  <c r="I16" i="14"/>
  <c r="I49" i="13"/>
  <c r="I47" i="11"/>
  <c r="I19" i="13"/>
  <c r="I29" i="13"/>
  <c r="I23" i="11"/>
  <c r="CA24" i="9" s="1"/>
  <c r="CB24" i="9" s="1"/>
  <c r="I26" i="13"/>
  <c r="BY43" i="9"/>
  <c r="I27" i="13"/>
  <c r="I36" i="13"/>
  <c r="I32" i="14"/>
  <c r="I38" i="13"/>
  <c r="I18" i="11"/>
  <c r="J17" i="11" s="1"/>
  <c r="I40" i="13"/>
  <c r="BZ71" i="9"/>
  <c r="BY44" i="9"/>
  <c r="BZ20" i="9"/>
  <c r="AM48" i="7"/>
  <c r="BZ70" i="9"/>
  <c r="BZ45" i="9"/>
  <c r="AM59" i="7"/>
  <c r="BZ86" i="9"/>
  <c r="AM33" i="7"/>
  <c r="AM69" i="7"/>
  <c r="BZ60" i="9"/>
  <c r="AM52" i="7"/>
  <c r="BZ54" i="9"/>
  <c r="BZ84" i="9"/>
  <c r="I41" i="11"/>
  <c r="I37" i="11"/>
  <c r="CA38" i="9" s="1"/>
  <c r="CB38" i="9" s="1"/>
  <c r="AM63" i="7"/>
  <c r="AM78" i="7"/>
  <c r="BZ79" i="9"/>
  <c r="AM35" i="7"/>
  <c r="BY35" i="9"/>
  <c r="AM45" i="7"/>
  <c r="AM65" i="7"/>
  <c r="AM84" i="7"/>
  <c r="BZ53" i="9"/>
  <c r="BZ74" i="9"/>
  <c r="BZ62" i="9"/>
  <c r="AM37" i="7"/>
  <c r="AM39" i="7"/>
  <c r="BZ15" i="9"/>
  <c r="CB66" i="9"/>
  <c r="BY66" i="9"/>
  <c r="BZ18" i="9"/>
  <c r="I15" i="14"/>
  <c r="I10" i="13"/>
  <c r="BY85" i="9"/>
  <c r="CB85" i="9"/>
  <c r="BY45" i="9"/>
  <c r="BY63" i="9"/>
  <c r="CB63" i="9"/>
  <c r="BY65" i="9"/>
  <c r="CB65" i="9"/>
  <c r="I14" i="14"/>
  <c r="I14" i="11"/>
  <c r="I41" i="13"/>
  <c r="I47" i="13"/>
  <c r="J46" i="13" s="1"/>
  <c r="BY50" i="9"/>
  <c r="CB50" i="9"/>
  <c r="I30" i="14"/>
  <c r="CB70" i="9"/>
  <c r="BY70" i="9"/>
  <c r="I50" i="14"/>
  <c r="I37" i="13"/>
  <c r="I18" i="14"/>
  <c r="I36" i="11"/>
  <c r="I49" i="14"/>
  <c r="AM23" i="7"/>
  <c r="BY86" i="9"/>
  <c r="CB86" i="9"/>
  <c r="CB74" i="9"/>
  <c r="BY74" i="9"/>
  <c r="I31" i="11"/>
  <c r="I32" i="11"/>
  <c r="I39" i="14"/>
  <c r="BZ35" i="9"/>
  <c r="BY87" i="9"/>
  <c r="CB87" i="9"/>
  <c r="BY56" i="9"/>
  <c r="CB56" i="9"/>
  <c r="I24" i="13"/>
  <c r="I51" i="11"/>
  <c r="CA47" i="9" s="1"/>
  <c r="CB47" i="9" s="1"/>
  <c r="I51" i="14"/>
  <c r="BZ51" i="9"/>
  <c r="BY33" i="9"/>
  <c r="BZ22" i="9"/>
  <c r="AM70" i="7"/>
  <c r="AM61" i="7"/>
  <c r="I46" i="14"/>
  <c r="BZ65" i="9"/>
  <c r="BZ58" i="9"/>
  <c r="BZ30" i="9"/>
  <c r="AM53" i="7"/>
  <c r="BZ85" i="9"/>
  <c r="I45" i="11"/>
  <c r="BZ41" i="9"/>
  <c r="BZ34" i="9"/>
  <c r="AM40" i="7"/>
  <c r="I50" i="13"/>
  <c r="J49" i="13" s="1"/>
  <c r="I28" i="13"/>
  <c r="I49" i="11"/>
  <c r="AM76" i="7"/>
  <c r="CB71" i="9"/>
  <c r="BY71" i="9"/>
  <c r="AM49" i="7"/>
  <c r="CB79" i="9"/>
  <c r="BY79" i="9"/>
  <c r="BZ87" i="9"/>
  <c r="CB16" i="9"/>
  <c r="BY16" i="9"/>
  <c r="BY77" i="9"/>
  <c r="CB77" i="9"/>
  <c r="I18" i="13"/>
  <c r="CB64" i="9"/>
  <c r="BY64" i="9"/>
  <c r="I38" i="14"/>
  <c r="I39" i="11"/>
  <c r="I25" i="13"/>
  <c r="BY13" i="9"/>
  <c r="BY14" i="9"/>
  <c r="CB14" i="9"/>
  <c r="I15" i="13"/>
  <c r="BY17" i="9"/>
  <c r="BZ44" i="9"/>
  <c r="CB20" i="9"/>
  <c r="BY20" i="9"/>
  <c r="I39" i="13"/>
  <c r="AM34" i="7"/>
  <c r="BY76" i="9"/>
  <c r="CB76" i="9"/>
  <c r="I51" i="13"/>
  <c r="I35" i="13"/>
  <c r="AM27" i="7"/>
  <c r="I48" i="13"/>
  <c r="I19" i="14"/>
  <c r="CB54" i="9"/>
  <c r="BY54" i="9"/>
  <c r="BZ55" i="9"/>
  <c r="BY58" i="9"/>
  <c r="CB58" i="9"/>
  <c r="CB75" i="9"/>
  <c r="BY75" i="9"/>
  <c r="AM44" i="7"/>
  <c r="AM62" i="7"/>
  <c r="AM25" i="7"/>
  <c r="BZ76" i="9"/>
  <c r="BZ78" i="9"/>
  <c r="AM58" i="7"/>
  <c r="AM68" i="7"/>
  <c r="BZ77" i="9"/>
  <c r="I35" i="11"/>
  <c r="BZ64" i="9"/>
  <c r="BY60" i="9"/>
  <c r="CB60" i="9"/>
  <c r="AM83" i="7"/>
  <c r="I46" i="11"/>
  <c r="I22" i="13"/>
  <c r="BZ32" i="9"/>
  <c r="AM64" i="7"/>
  <c r="I28" i="14"/>
  <c r="I21" i="11"/>
  <c r="I43" i="11"/>
  <c r="I41" i="14"/>
  <c r="CB69" i="9"/>
  <c r="BY69" i="9"/>
  <c r="BZ39" i="9"/>
  <c r="BY62" i="9"/>
  <c r="CB62" i="9"/>
  <c r="I40" i="11"/>
  <c r="AM30" i="7"/>
  <c r="BY48" i="9"/>
  <c r="CB48" i="9"/>
  <c r="I45" i="14"/>
  <c r="J45" i="14" s="1"/>
  <c r="AM67" i="7"/>
  <c r="I34" i="11"/>
  <c r="I34" i="13"/>
  <c r="J34" i="13" s="1"/>
  <c r="BZ56" i="9"/>
  <c r="BZ27" i="9"/>
  <c r="BY24" i="9"/>
  <c r="BY26" i="9"/>
  <c r="AM4" i="7"/>
  <c r="AM10" i="7"/>
  <c r="AM7" i="7"/>
  <c r="AM11" i="7"/>
  <c r="AM21" i="7"/>
  <c r="AM6" i="7"/>
  <c r="AM5" i="7"/>
  <c r="AM9" i="7"/>
  <c r="AM8" i="7"/>
  <c r="AM20" i="7"/>
  <c r="AM12" i="7"/>
  <c r="BZ43" i="9"/>
  <c r="I28" i="11"/>
  <c r="I16" i="13"/>
  <c r="BY18" i="9"/>
  <c r="CB18" i="9"/>
  <c r="I36" i="14"/>
  <c r="BY55" i="9"/>
  <c r="CB55" i="9"/>
  <c r="I2" i="13"/>
  <c r="BY72" i="9"/>
  <c r="CB72" i="9"/>
  <c r="I27" i="11"/>
  <c r="CB67" i="9"/>
  <c r="BY67" i="9"/>
  <c r="BY49" i="9"/>
  <c r="CB49" i="9"/>
  <c r="BZ40" i="9"/>
  <c r="I34" i="14"/>
  <c r="AM47" i="7"/>
  <c r="I24" i="14"/>
  <c r="I25" i="14"/>
  <c r="I31" i="14"/>
  <c r="I23" i="14"/>
  <c r="I38" i="11"/>
  <c r="BZ42" i="9"/>
  <c r="I29" i="14"/>
  <c r="I29" i="11"/>
  <c r="BZ49" i="9"/>
  <c r="I47" i="14"/>
  <c r="BY88" i="9"/>
  <c r="CB88" i="9"/>
  <c r="CB12" i="9"/>
  <c r="BY12" i="9"/>
  <c r="I12" i="14"/>
  <c r="I14" i="13"/>
  <c r="I17" i="13"/>
  <c r="I10" i="14"/>
  <c r="I20" i="13"/>
  <c r="BZ14" i="9"/>
  <c r="CB3" i="9"/>
  <c r="BY3" i="9"/>
  <c r="I20" i="14"/>
  <c r="CB78" i="9"/>
  <c r="BY78" i="9"/>
  <c r="I37" i="14"/>
  <c r="BY37" i="9"/>
  <c r="I50" i="11"/>
  <c r="I2" i="14"/>
  <c r="CB59" i="9"/>
  <c r="BY59" i="9"/>
  <c r="I13" i="13"/>
  <c r="BZ16" i="9"/>
  <c r="BY11" i="9"/>
  <c r="CB11" i="9"/>
  <c r="I21" i="13"/>
  <c r="CB51" i="9"/>
  <c r="BY51" i="9"/>
  <c r="CB52" i="9"/>
  <c r="BY52" i="9"/>
  <c r="I42" i="11"/>
  <c r="I48" i="14"/>
  <c r="CB73" i="9"/>
  <c r="BY73" i="9"/>
  <c r="I11" i="14"/>
  <c r="BY21" i="9"/>
  <c r="BY68" i="9"/>
  <c r="CB68" i="9"/>
  <c r="I13" i="14"/>
  <c r="I42" i="13"/>
  <c r="BZ31" i="9"/>
  <c r="I44" i="13"/>
  <c r="I33" i="11"/>
  <c r="I43" i="13"/>
  <c r="I45" i="13"/>
  <c r="J45" i="13" s="1"/>
  <c r="I25" i="11"/>
  <c r="I30" i="11"/>
  <c r="BY36" i="9"/>
  <c r="I35" i="14"/>
  <c r="BY38" i="9"/>
  <c r="AM46" i="7"/>
  <c r="BZ28" i="9"/>
  <c r="BY81" i="9"/>
  <c r="CB81" i="9"/>
  <c r="I26" i="11"/>
  <c r="BZ63" i="9"/>
  <c r="BZ19" i="9"/>
  <c r="I31" i="13"/>
  <c r="I12" i="11"/>
  <c r="I22" i="11"/>
  <c r="AM73" i="7"/>
  <c r="I48" i="11"/>
  <c r="BY84" i="9"/>
  <c r="CB84" i="9"/>
  <c r="BZ66" i="9"/>
  <c r="AM80" i="7"/>
  <c r="AM32" i="7"/>
  <c r="I33" i="13"/>
  <c r="I24" i="11"/>
  <c r="CB83" i="9"/>
  <c r="BY83" i="9"/>
  <c r="I44" i="14"/>
  <c r="BZ83" i="9"/>
  <c r="AM36" i="7"/>
  <c r="BY25" i="9"/>
  <c r="BZ67" i="9"/>
  <c r="BY80" i="9"/>
  <c r="CB80" i="9"/>
  <c r="AM42" i="7"/>
  <c r="I22" i="14"/>
  <c r="BY23" i="9"/>
  <c r="BZ47" i="9"/>
  <c r="CB57" i="9"/>
  <c r="BY57" i="9"/>
  <c r="AM56" i="7"/>
  <c r="I32" i="13"/>
  <c r="I21" i="14"/>
  <c r="AM54" i="7"/>
  <c r="AM82" i="7"/>
  <c r="AM22" i="7"/>
  <c r="BZ59" i="9"/>
  <c r="AM72" i="7"/>
  <c r="I43" i="14"/>
  <c r="AM51" i="7"/>
  <c r="BY82" i="9"/>
  <c r="CB82" i="9"/>
  <c r="AM41" i="7"/>
  <c r="I40" i="14"/>
  <c r="I33" i="14"/>
  <c r="I44" i="11"/>
  <c r="BY46" i="9"/>
  <c r="BY29" i="9"/>
  <c r="CB53" i="9"/>
  <c r="BY53" i="9"/>
  <c r="I26" i="14"/>
  <c r="AM66" i="7"/>
  <c r="I23" i="13"/>
  <c r="CB61" i="9"/>
  <c r="BY61" i="9"/>
  <c r="BZ68" i="9"/>
  <c r="I20" i="11"/>
  <c r="I42" i="14"/>
  <c r="AM29" i="7"/>
  <c r="J26" i="14" l="1"/>
  <c r="J29" i="13"/>
  <c r="J13" i="13"/>
  <c r="J4" i="14"/>
  <c r="J35" i="14"/>
  <c r="J48" i="13"/>
  <c r="J18" i="11"/>
  <c r="J5" i="14"/>
  <c r="J33" i="14"/>
  <c r="J13" i="14"/>
  <c r="J11" i="14"/>
  <c r="J2" i="14"/>
  <c r="J10" i="14"/>
  <c r="CA19" i="9"/>
  <c r="CB19" i="9" s="1"/>
  <c r="CA42" i="9"/>
  <c r="CB42" i="9" s="1"/>
  <c r="J37" i="13"/>
  <c r="J23" i="14"/>
  <c r="J33" i="13"/>
  <c r="J37" i="14"/>
  <c r="J25" i="13"/>
  <c r="J2" i="11"/>
  <c r="J38" i="13"/>
  <c r="J9" i="14"/>
  <c r="J14" i="14"/>
  <c r="J10" i="13"/>
  <c r="J40" i="13"/>
  <c r="J36" i="13"/>
  <c r="J6" i="14"/>
  <c r="J14" i="13"/>
  <c r="J7" i="14"/>
  <c r="J18" i="13"/>
  <c r="J44" i="11"/>
  <c r="J19" i="13"/>
  <c r="J12" i="14"/>
  <c r="J29" i="14"/>
  <c r="J31" i="14"/>
  <c r="J8" i="14"/>
  <c r="J46" i="11"/>
  <c r="J15" i="14"/>
  <c r="J27" i="13"/>
  <c r="J16" i="14"/>
  <c r="J22" i="13"/>
  <c r="CA17" i="9"/>
  <c r="CB17" i="9" s="1"/>
  <c r="J40" i="14"/>
  <c r="J32" i="13"/>
  <c r="J35" i="13"/>
  <c r="J38" i="14"/>
  <c r="J46" i="14"/>
  <c r="J24" i="13"/>
  <c r="J18" i="14"/>
  <c r="J43" i="14"/>
  <c r="J23" i="11"/>
  <c r="J39" i="13"/>
  <c r="J28" i="13"/>
  <c r="J26" i="13"/>
  <c r="J29" i="11"/>
  <c r="CA30" i="9"/>
  <c r="CB30" i="9" s="1"/>
  <c r="J31" i="11"/>
  <c r="CA32" i="9"/>
  <c r="CB32" i="9" s="1"/>
  <c r="J48" i="11"/>
  <c r="CA44" i="9"/>
  <c r="CB44" i="9" s="1"/>
  <c r="J31" i="13"/>
  <c r="J25" i="11"/>
  <c r="CA26" i="9"/>
  <c r="CB26" i="9" s="1"/>
  <c r="J44" i="13"/>
  <c r="J21" i="13"/>
  <c r="J50" i="11"/>
  <c r="CA46" i="9"/>
  <c r="CB46" i="9" s="1"/>
  <c r="J3" i="13"/>
  <c r="J17" i="13"/>
  <c r="J4" i="13"/>
  <c r="J9" i="13"/>
  <c r="J6" i="13"/>
  <c r="J8" i="13"/>
  <c r="J7" i="13"/>
  <c r="J5" i="13"/>
  <c r="J38" i="11"/>
  <c r="CA39" i="9"/>
  <c r="CB39" i="9" s="1"/>
  <c r="J34" i="14"/>
  <c r="J11" i="13"/>
  <c r="J43" i="11"/>
  <c r="J15" i="13"/>
  <c r="J37" i="11"/>
  <c r="J32" i="11"/>
  <c r="CA33" i="9"/>
  <c r="CB33" i="9" s="1"/>
  <c r="CA37" i="9"/>
  <c r="CB37" i="9" s="1"/>
  <c r="J36" i="11"/>
  <c r="CA15" i="9"/>
  <c r="CB15" i="9" s="1"/>
  <c r="J14" i="11"/>
  <c r="J30" i="13"/>
  <c r="J25" i="14"/>
  <c r="CA29" i="9"/>
  <c r="CB29" i="9" s="1"/>
  <c r="J28" i="11"/>
  <c r="CA22" i="9"/>
  <c r="CB22" i="9" s="1"/>
  <c r="J21" i="11"/>
  <c r="J44" i="14"/>
  <c r="J2" i="13"/>
  <c r="J16" i="13"/>
  <c r="J17" i="14"/>
  <c r="J28" i="14"/>
  <c r="J47" i="11"/>
  <c r="J27" i="14"/>
  <c r="J47" i="13"/>
  <c r="CA25" i="9"/>
  <c r="CB25" i="9" s="1"/>
  <c r="J24" i="11"/>
  <c r="J40" i="11"/>
  <c r="CA41" i="9"/>
  <c r="CB41" i="9" s="1"/>
  <c r="CA40" i="9"/>
  <c r="CB40" i="9" s="1"/>
  <c r="J39" i="11"/>
  <c r="J49" i="11"/>
  <c r="CA45" i="9"/>
  <c r="CB45" i="9" s="1"/>
  <c r="J42" i="14"/>
  <c r="J22" i="14"/>
  <c r="CA23" i="9"/>
  <c r="CB23" i="9" s="1"/>
  <c r="J22" i="11"/>
  <c r="J43" i="13"/>
  <c r="J41" i="13"/>
  <c r="J42" i="13"/>
  <c r="J20" i="13"/>
  <c r="J24" i="14"/>
  <c r="J27" i="11"/>
  <c r="CA28" i="9"/>
  <c r="CB28" i="9" s="1"/>
  <c r="J19" i="11"/>
  <c r="CA21" i="9"/>
  <c r="CB21" i="9" s="1"/>
  <c r="J20" i="11"/>
  <c r="J23" i="13"/>
  <c r="J20" i="14"/>
  <c r="J21" i="14"/>
  <c r="J12" i="11"/>
  <c r="CA13" i="9"/>
  <c r="CB13" i="9" s="1"/>
  <c r="CA27" i="9"/>
  <c r="CB27" i="9" s="1"/>
  <c r="J26" i="11"/>
  <c r="J30" i="11"/>
  <c r="CA31" i="9"/>
  <c r="CB31" i="9" s="1"/>
  <c r="CA34" i="9"/>
  <c r="CB34" i="9" s="1"/>
  <c r="J33" i="11"/>
  <c r="J42" i="11"/>
  <c r="CA43" i="9"/>
  <c r="CB43" i="9" s="1"/>
  <c r="J47" i="14"/>
  <c r="J41" i="11"/>
  <c r="J36" i="14"/>
  <c r="J12" i="13"/>
  <c r="J34" i="11"/>
  <c r="CA35" i="9"/>
  <c r="CB35" i="9" s="1"/>
  <c r="J41" i="14"/>
  <c r="CA36" i="9"/>
  <c r="CB36" i="9" s="1"/>
  <c r="J35" i="11"/>
  <c r="J19" i="14"/>
  <c r="J32" i="14"/>
  <c r="J50" i="13"/>
  <c r="J45" i="11"/>
  <c r="J39" i="14"/>
  <c r="J48" i="14"/>
  <c r="J49" i="14"/>
  <c r="J30" i="14"/>
</calcChain>
</file>

<file path=xl/sharedStrings.xml><?xml version="1.0" encoding="utf-8"?>
<sst xmlns="http://schemas.openxmlformats.org/spreadsheetml/2006/main" count="7310" uniqueCount="302">
  <si>
    <t>VMAX</t>
  </si>
  <si>
    <t>Site</t>
  </si>
  <si>
    <t>FDC</t>
  </si>
  <si>
    <t>% full</t>
  </si>
  <si>
    <t>Total GB</t>
  </si>
  <si>
    <t>Used GB</t>
  </si>
  <si>
    <t>Thin Devices</t>
  </si>
  <si>
    <t># Devices</t>
  </si>
  <si>
    <t># Allocated</t>
  </si>
  <si>
    <t>Enabled Pool Devices</t>
  </si>
  <si>
    <t>subscription</t>
  </si>
  <si>
    <t>Virtual Capacity GB</t>
  </si>
  <si>
    <t>CGC</t>
  </si>
  <si>
    <t>RDC</t>
  </si>
  <si>
    <t>CGC Tier 4 VMAX 623</t>
  </si>
  <si>
    <t>RDC Tier 3 VMAX 552</t>
  </si>
  <si>
    <t>RDC Tier 4 VMAX 678</t>
  </si>
  <si>
    <t>on the sanmgt2 servers run the following commands</t>
  </si>
  <si>
    <t>The total Allocated GBs is the number to put in the used field on the table</t>
  </si>
  <si>
    <t>This gives the number of TDEVS available for allocation. Take away from the total number of devices to give the number of allocated thin devices.</t>
  </si>
  <si>
    <t>fdcsan-mgt2</t>
  </si>
  <si>
    <t>CGC Tier 3 VMAX 745</t>
  </si>
  <si>
    <t>FDC Tier 4 VMAX 879</t>
  </si>
  <si>
    <t>symcfg -sid 623 -pool 0623_450_20 show -thin -detail -gb | grep -v Enabled | grep -v Bound</t>
  </si>
  <si>
    <t>symcfg -sid 745 -pool 0745_300_10 show -thin -detail -gb | grep -v Enabled | grep -v Bound</t>
  </si>
  <si>
    <t>symcfg -sid 678 -pool 0678_450_20 show -thin -detail -gb | grep -v Enabled | grep -v Bound</t>
  </si>
  <si>
    <t>symcfg -sid 552 -pool 0552_300_10 show -thin -detail -gb | grep -v Enabled | grep -v Bound</t>
  </si>
  <si>
    <t>Port</t>
  </si>
  <si>
    <t>View</t>
  </si>
  <si>
    <t>Num</t>
  </si>
  <si>
    <t>Mapped</t>
  </si>
  <si>
    <t>Port Group Name</t>
  </si>
  <si>
    <t>Count</t>
  </si>
  <si>
    <t>Logins</t>
  </si>
  <si>
    <t>Devices</t>
  </si>
  <si>
    <t>Capacity (GB)</t>
  </si>
  <si>
    <t>--------------------------------</t>
  </si>
  <si>
    <t>-----</t>
  </si>
  <si>
    <t>------</t>
  </si>
  <si>
    <t>-------</t>
  </si>
  <si>
    <t>------------</t>
  </si>
  <si>
    <t>0879_7F1_10F0</t>
  </si>
  <si>
    <t>0879_8F1_9F0</t>
  </si>
  <si>
    <t>0879_8F0_9F1</t>
  </si>
  <si>
    <t>0879_8G1_9G0</t>
  </si>
  <si>
    <t>0879_8H0_9H1</t>
  </si>
  <si>
    <t>0879_8H1_9H0</t>
  </si>
  <si>
    <t>0879_8E1_9E0</t>
  </si>
  <si>
    <t>0879_8G0_9G1</t>
  </si>
  <si>
    <t>0879_7H1_10H0</t>
  </si>
  <si>
    <t>0879_7H0_10H1</t>
  </si>
  <si>
    <t>0879_7E0_10E1</t>
  </si>
  <si>
    <t>0879_7E1_10E0</t>
  </si>
  <si>
    <t>0879_7G1_10G0</t>
  </si>
  <si>
    <t>0879_8E0_9E1</t>
  </si>
  <si>
    <t>0879_7F0_10F1</t>
  </si>
  <si>
    <t>0879_7G0_10G1</t>
  </si>
  <si>
    <t>0678_7H0_10H1</t>
  </si>
  <si>
    <t>0678_8F1_9F0</t>
  </si>
  <si>
    <t>0678_7E1_10E0</t>
  </si>
  <si>
    <t>0678_8G1_9G0</t>
  </si>
  <si>
    <t>0678_8F0_9F1</t>
  </si>
  <si>
    <t>0678_8H1_9H0</t>
  </si>
  <si>
    <t>0678_8G0_9G1</t>
  </si>
  <si>
    <t>0678_7F0_10F1</t>
  </si>
  <si>
    <t>0678_8E1_9E0</t>
  </si>
  <si>
    <t>0678_7G1_10G0</t>
  </si>
  <si>
    <t>0678_7E0_10E1</t>
  </si>
  <si>
    <t>0678_8E0_9E1</t>
  </si>
  <si>
    <t>0678_7H1_10H0</t>
  </si>
  <si>
    <t>0678_7G0_10G1</t>
  </si>
  <si>
    <t>Limits</t>
  </si>
  <si>
    <t>These limits are somewhat arbitary. Once they have been reached the configuration must be considered. Eg. 32TB of storage is used for a VMWare farm made up of 11 servers. All servers can see all 32TB through several port groups. These port groups will all show greater than 32TB mapped capacity but this is acceptable if there are enough port groups to service the volume of storage.</t>
  </si>
  <si>
    <t>logins</t>
  </si>
  <si>
    <t>Capacity</t>
  </si>
  <si>
    <t>Available</t>
  </si>
  <si>
    <t>Totals</t>
  </si>
  <si>
    <t>GB Allocated</t>
  </si>
  <si>
    <t>export PATH=$PATH:/opt/emc/SYMCLI/V7.1.1/bin</t>
  </si>
  <si>
    <t>capacity threshold</t>
  </si>
  <si>
    <t>Pool-&gt;
Size -&gt;</t>
  </si>
  <si>
    <t>Used -&gt;
GB -&gt;</t>
  </si>
  <si>
    <t>. /export/home/san/.profile</t>
  </si>
  <si>
    <t>symcfg -sid 879 -pool 0879_450_20 show -thin -detail -gb | grep -v Enabled | grep -v Bound</t>
  </si>
  <si>
    <t>symcfg -sid 231 -pool 2231_450_20 show -thin -detail -gb | grep -v Enabled | grep -v Bound</t>
  </si>
  <si>
    <t>symcfg -sid 262 -pool 2262_450_20 show -thin -detail -gb | grep -v Enabled | grep -v Bound</t>
  </si>
  <si>
    <t>FDC Tier 3 VMAX 231</t>
  </si>
  <si>
    <t>edcsan-mgt1</t>
  </si>
  <si>
    <t>/var/opt/san/cm/cap</t>
  </si>
  <si>
    <t>symdev -sid 262 list -noport -tdev -bound | grep 34526 | grep TDEV | wc -l</t>
  </si>
  <si>
    <t>symdev -sid 231 list -noport  -tdev -bound| grep 34526 | grep TDEV | wc -l</t>
  </si>
  <si>
    <t>symdev -sid 879 list -noport  -tdev -bound| grep 34526 | grep TDEV | wc -l</t>
  </si>
  <si>
    <t>symdev -sid 552 list -noport  -tdev -bound| grep 34526 | grep TDEV | wc -l</t>
  </si>
  <si>
    <t>symdev -sid 678 list -noport  -tdev -bound| grep 34526 | grep TDEV | wc -l</t>
  </si>
  <si>
    <t>symdev -sid 745 list -noport  -tdev -bound| grep 34526 | grep TDEV | wc -l</t>
  </si>
  <si>
    <t>symdev -sid 623 list -noport  -tdev -bound| grep 34526 | grep TDEV | wc -l</t>
  </si>
  <si>
    <t>Row</t>
  </si>
  <si>
    <t>3286</t>
  </si>
  <si>
    <t>2804</t>
  </si>
  <si>
    <t>0623</t>
  </si>
  <si>
    <t>0745</t>
  </si>
  <si>
    <t>0552</t>
  </si>
  <si>
    <t>0678</t>
  </si>
  <si>
    <t>2230</t>
  </si>
  <si>
    <t>3073</t>
  </si>
  <si>
    <t>0879</t>
  </si>
  <si>
    <t>2231</t>
  </si>
  <si>
    <t>3004</t>
  </si>
  <si>
    <t>RDC VMAX 3286</t>
  </si>
  <si>
    <t>RDC VMAX 3073</t>
  </si>
  <si>
    <t>RDC VMAX 2230</t>
  </si>
  <si>
    <t>FDC Tier 4 VMAX 3004</t>
  </si>
  <si>
    <t>FDC Tier 4 VMAX 2804</t>
  </si>
  <si>
    <t>Max Column</t>
  </si>
  <si>
    <t>N</t>
  </si>
  <si>
    <t>Full formula</t>
  </si>
  <si>
    <t>INDIRECT("Table!A" &amp; $U3)</t>
  </si>
  <si>
    <t>IF(ISERROR(MATCH(B$1,INDIRECT("Table!A"&amp;$U3):INDIRECT("Table!" &amp; $X$3 &amp; $U3),0)),"",INDIRECT(CONCATENATE("Table!",ADDRESS($Q3,MATCH(B$1,INDIRECT("Table!A" &amp; $U3):INDIRECT("Table!" &amp; $X$3 &amp; $U3),0)))))</t>
  </si>
  <si>
    <t>INDIRECT(CONCATENATE("Table!",ADDRESS($Q3,MATCH(B$1,INDIRECT("Table!A" &amp; $U3):INDIRECT("Table!" &amp; $X$3 &amp; $U3),0))))</t>
  </si>
  <si>
    <t>CONCATENATE("Table!",ADDRESS($Q3,MATCH(B$1,INDIRECT("Table!A" &amp; $U3):INDIRECT("Table!" &amp; $X$3 &amp; $U3),0)))</t>
  </si>
  <si>
    <t>ADDRESS($Q3,MATCH(B$1,INDIRECT("Table!A" &amp; $U3):INDIRECT("Table!" &amp; $X$3 &amp; $U3),0))</t>
  </si>
  <si>
    <t>MATCH(B$1,INDIRECT("Table!A" &amp; $U3):INDIRECT("Table!" &amp; $X$3 &amp; $U3),0)</t>
  </si>
  <si>
    <t>INDIRECT("Table!" &amp; $X$3 &amp; $U3)</t>
  </si>
  <si>
    <t>ISERROR(MATCH(B$1,INDIRECT("Table!A"&amp;$U3):INDIRECT("Table!" &amp; $X$3 &amp; $U3),0))</t>
  </si>
  <si>
    <t>Check to see if it can find a match with the array (FALSDE = match found)</t>
  </si>
  <si>
    <t>Result to display if a match was found (blank if no match found)</t>
  </si>
  <si>
    <t>The cell relating to the matched array, the correct date and the specified field</t>
  </si>
  <si>
    <t>The range list number of the matched array</t>
  </si>
  <si>
    <t>Used to build the row range - start</t>
  </si>
  <si>
    <t>Used to build the row range - end</t>
  </si>
  <si>
    <t>Value</t>
  </si>
  <si>
    <t>Formula segment</t>
  </si>
  <si>
    <t>Column R</t>
  </si>
  <si>
    <t>Column Q</t>
  </si>
  <si>
    <t>Column S</t>
  </si>
  <si>
    <t>Column U</t>
  </si>
  <si>
    <t>Column V</t>
  </si>
  <si>
    <t>Column W</t>
  </si>
  <si>
    <t>Column X</t>
  </si>
  <si>
    <t>Cell R2 specifies the field to find</t>
  </si>
  <si>
    <t>Cell S2 specifies the relative position of the R2 field in the table</t>
  </si>
  <si>
    <t>Cell V2 specifies the field to find - i.e. 'VMAX'</t>
  </si>
  <si>
    <t>Cell W2 specifies the relative position of the V2 field in the table</t>
  </si>
  <si>
    <t>This lists the row in the Table Sheet for the field specified in cell R2 of this sheet. This will be different fo each date</t>
  </si>
  <si>
    <t>This lists the row in the Table Sheet for the field specified in cell V2 of this sheet. This is used to build up an array range. It finds the row with 'VMAX' in it.  This will be different fo each date</t>
  </si>
  <si>
    <t>Cell X3 shows the maximum column used when building up the array range</t>
  </si>
  <si>
    <t>If it finds a match, it will execute the search</t>
  </si>
  <si>
    <t>The search finds the specific Table depending on the date.</t>
  </si>
  <si>
    <t>It will also find the relevant field, depending on what is specified in cell R2. This will vary according to the sheet and charts</t>
  </si>
  <si>
    <t>The formula will initally try to match the array at the top of the column wilh the built up range of arrays. The range of arrays will vary between dates, since old dates may not include new arrays. It uses columns Q to X to build up the arrays range</t>
  </si>
  <si>
    <t>Formula breakdown</t>
  </si>
  <si>
    <t>Sample data</t>
  </si>
  <si>
    <t>Field search information</t>
  </si>
  <si>
    <t>General steps in formula</t>
  </si>
  <si>
    <t>symdev -sid 2230 list -noport  -tdev -bound| grep 34526 | grep TDEV | wc -l</t>
  </si>
  <si>
    <t>symdev -sid 3286 list -noport  -tdev -bound| grep 34526 | grep TDEV | wc -l</t>
  </si>
  <si>
    <t>symcfg -sid 3286 -pool 3286_450GB show -thin -detail -gb | grep -v Enabled | grep -v Bound</t>
  </si>
  <si>
    <t>symcfg -sid 2230 -pool 2230_450GB show -thin -detail -gb | grep -v Enabled | grep -v Bound</t>
  </si>
  <si>
    <t>symdev -sid 3004 list -noport  -tdev -bound| grep 34526 | grep TDEV | wc -l</t>
  </si>
  <si>
    <t>symdev -sid 2804 list -noport -tdev -bound | grep 34526 | grep TDEV | wc -l</t>
  </si>
  <si>
    <t>symcfg -sid 2804 -pool 2804_450GB show -thin -detail -gb | grep -v Enabled | grep -v Bound</t>
  </si>
  <si>
    <t>symcfg -sid 3004 -pool 3004_450GB show -thin -detail -gb | grep -v Enabled | grep -v Bound</t>
  </si>
  <si>
    <t>symcfg -sid 3073 -pool 3073_450GB show -thin -detail -gb | grep -v Enabled | grep -v Bound</t>
  </si>
  <si>
    <t>symdev -sid 3073 list -noport  -tdev -bound| grep 34526 | grep TDEV | wc -l</t>
  </si>
  <si>
    <t>cgcsan-mgt2 (/var/tmp/smstat)</t>
  </si>
  <si>
    <t>rdcsan-mgt2 (/export/home/san/capacity/smstat)</t>
  </si>
  <si>
    <t>CGC T4 V-MAX 0623</t>
  </si>
  <si>
    <t>CGC T3 V-MAX 0745</t>
  </si>
  <si>
    <t>RDC T3 V-MAX 0552</t>
  </si>
  <si>
    <t>RDC T4 V-MAX 0678</t>
  </si>
  <si>
    <t>RDC T3 V-MAX 3286</t>
  </si>
  <si>
    <t>RDC T4 V-MAX 3073</t>
  </si>
  <si>
    <t>RDC T3 V-MAX 2230</t>
  </si>
  <si>
    <t>FDC T4 V-MAX 0879</t>
  </si>
  <si>
    <t>FDC T4 V-MAX 3004</t>
  </si>
  <si>
    <t>FDC T3 V-MAX 2231</t>
  </si>
  <si>
    <t>3073 remaining</t>
  </si>
  <si>
    <t>GB</t>
  </si>
  <si>
    <t>3696</t>
  </si>
  <si>
    <t>3875</t>
  </si>
  <si>
    <t>RDC VMAX 3875</t>
  </si>
  <si>
    <t>FDC VMAX 3696</t>
  </si>
  <si>
    <t>2262</t>
  </si>
  <si>
    <t>ZDC</t>
  </si>
  <si>
    <t>0377</t>
  </si>
  <si>
    <t>ZDC T4 VMAX 2262</t>
  </si>
  <si>
    <t>ZDC T4 VMAX 0377</t>
  </si>
  <si>
    <t>ZDC T4 VMAV 0377</t>
  </si>
  <si>
    <t>FDC Tier 4 VMAX 3875</t>
  </si>
  <si>
    <t>RDC Tier 4 VMAX 3696</t>
  </si>
  <si>
    <t>FDC T3 V-MAX 2804</t>
  </si>
  <si>
    <t>EFD Pool Devices</t>
  </si>
  <si>
    <t>SATA Pool Devices</t>
  </si>
  <si>
    <t>"Virtual Capacity GB" Subscription</t>
  </si>
  <si>
    <t>"GB Allocated" subscription</t>
  </si>
  <si>
    <t>FC Pool Devices</t>
  </si>
  <si>
    <t>Total disk (GB)</t>
  </si>
  <si>
    <t>What's left (TB)</t>
  </si>
  <si>
    <t>2231 - Configured Devices
10027</t>
  </si>
  <si>
    <t>4652</t>
  </si>
  <si>
    <t>4330</t>
  </si>
  <si>
    <t>FDC T3 V-MAX 4652</t>
  </si>
  <si>
    <t>RDC T3 V-MAX 4330</t>
  </si>
  <si>
    <t>RDC VMAX 4330</t>
  </si>
  <si>
    <t>FDC VMAX 4652</t>
  </si>
  <si>
    <t>RDC Tier 4 VMAX 4330</t>
  </si>
  <si>
    <t>FDC Tier 4 VMAX 4652</t>
  </si>
  <si>
    <t>0347</t>
  </si>
  <si>
    <t>0349</t>
  </si>
  <si>
    <t>RDC T4 V-MAX 0347</t>
  </si>
  <si>
    <t>FDC T4 V-MAX 0349</t>
  </si>
  <si>
    <t>RDC VMAX 0347</t>
  </si>
  <si>
    <t>FDC VMAX 0349</t>
  </si>
  <si>
    <t>RDC Tier 4 VMAX 0347</t>
  </si>
  <si>
    <t>FDC Tier 4 VMAX 0349</t>
  </si>
  <si>
    <t>RDC T3 V-MAX 3696</t>
  </si>
  <si>
    <t>FDC T3 V-MAX 3875</t>
  </si>
  <si>
    <t>subscription vs Mapped</t>
  </si>
  <si>
    <t>subscription vs allocated</t>
  </si>
  <si>
    <t>GB Mapped(First Port)</t>
  </si>
  <si>
    <t>Total</t>
  </si>
  <si>
    <t>0677</t>
  </si>
  <si>
    <t>0667</t>
  </si>
  <si>
    <t>0671</t>
  </si>
  <si>
    <t>RDC T3 VMAX 0671</t>
  </si>
  <si>
    <t>FDC T3 VMAX 667</t>
  </si>
  <si>
    <t>SUM</t>
  </si>
  <si>
    <t>Pool Size</t>
  </si>
  <si>
    <t>Used</t>
  </si>
  <si>
    <t>Free</t>
  </si>
  <si>
    <t>% Utilization</t>
  </si>
  <si>
    <t>Diff</t>
  </si>
  <si>
    <t>CGC Tier 4  (TB Pool Size)</t>
  </si>
  <si>
    <t>CGC Tier 3  (TB Pool Size)</t>
  </si>
  <si>
    <t>RDC Tier 3 (TB Pool Size)</t>
  </si>
  <si>
    <t>RDC Tier 4 (TB Pool Size)</t>
  </si>
  <si>
    <t>FDC Tier 4  (TB Pool Size)</t>
  </si>
  <si>
    <t>FDC tier 3  (TB Pool Size)</t>
  </si>
  <si>
    <t>ZDC Tier 4  (TB Pool Size)</t>
  </si>
  <si>
    <t>CGC Tier 4  (TB Used)</t>
  </si>
  <si>
    <t>CGC Tier 3  (TB Used)</t>
  </si>
  <si>
    <t>RDC Tier 3 (TB Used)</t>
  </si>
  <si>
    <t>RDC Tier 4 (TB Used)</t>
  </si>
  <si>
    <t>FDC Tier 4  (TB Used)</t>
  </si>
  <si>
    <t>FDC tier 3  (TB Used)</t>
  </si>
  <si>
    <t>ZDC Tier 4  (TB Used)</t>
  </si>
  <si>
    <t>Date</t>
  </si>
  <si>
    <t>Allocated</t>
  </si>
  <si>
    <t>Alloc %</t>
  </si>
  <si>
    <t>Usable GBs</t>
  </si>
  <si>
    <t>Free GBs</t>
  </si>
  <si>
    <t>Used GBs</t>
  </si>
  <si>
    <t>Configured Devices</t>
  </si>
  <si>
    <t>Available Devices</t>
  </si>
  <si>
    <t>Mapped Storage Total</t>
  </si>
  <si>
    <t>ARRAY</t>
  </si>
  <si>
    <t>0689</t>
  </si>
  <si>
    <t>0710</t>
  </si>
  <si>
    <t>CGC Non-Rep</t>
  </si>
  <si>
    <t>CGC-Rep</t>
  </si>
  <si>
    <t>RDC Non-Rep</t>
  </si>
  <si>
    <t>RDC-Rep</t>
  </si>
  <si>
    <t>FDC Non-Rep</t>
  </si>
  <si>
    <t>FDC-Rep</t>
  </si>
  <si>
    <t>ZDC Non-Rep</t>
  </si>
  <si>
    <t>Total Rep</t>
  </si>
  <si>
    <t>Total Non-Rep</t>
  </si>
  <si>
    <t>0706</t>
  </si>
  <si>
    <t>0712</t>
  </si>
  <si>
    <t>0709</t>
  </si>
  <si>
    <t>0713</t>
  </si>
  <si>
    <t>CGC Tier 3  (TB Alloc)</t>
  </si>
  <si>
    <t>RDC Tier 3 (TB Alloc)</t>
  </si>
  <si>
    <t>RDC Tier 4 (TB Alloc)</t>
  </si>
  <si>
    <t>FDC Tier 4  (TB Alloc)</t>
  </si>
  <si>
    <t>FDC tier 3  (TB Alloc)</t>
  </si>
  <si>
    <t>ZDC Tier 4  (TB Alloc)</t>
  </si>
  <si>
    <t>CGC Tier 4  (TB Alloc)</t>
  </si>
  <si>
    <t>RDC T3 V-Max 0689</t>
  </si>
  <si>
    <t>RDC T3 V-Max 0706</t>
  </si>
  <si>
    <t>FDC T3 V-Max 0710</t>
  </si>
  <si>
    <t>FDC T3 V-Max 0712</t>
  </si>
  <si>
    <t>FDC T4 V-Max 0709</t>
  </si>
  <si>
    <t>FDC T3 V-Max 0713</t>
  </si>
  <si>
    <t>AC</t>
  </si>
  <si>
    <t>AB</t>
  </si>
  <si>
    <t>RDC T3 VMAX 0689</t>
  </si>
  <si>
    <t>FDC T3 VMAX 0710</t>
  </si>
  <si>
    <t>RDC T3 VMAX 0706</t>
  </si>
  <si>
    <t>FDC T3 VMAX 0712</t>
  </si>
  <si>
    <t>FDC T4 VMAX 0709</t>
  </si>
  <si>
    <t>FDC T4 V-Max 0713</t>
  </si>
  <si>
    <t>FDC T4 VMAX 0713</t>
  </si>
  <si>
    <t>Notes</t>
  </si>
  <si>
    <t>Approx number of weeks Available</t>
  </si>
  <si>
    <t>% Available</t>
  </si>
  <si>
    <t xml:space="preserve">Used Capacity </t>
  </si>
  <si>
    <t>Total Storage(Available + Used Capacity)</t>
  </si>
  <si>
    <t>Used per Week</t>
  </si>
  <si>
    <t>'Used per Week</t>
  </si>
  <si>
    <t>''Used per Week</t>
  </si>
  <si>
    <t>Available GB</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</si>
</sst>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409]d\-mmm\-yy;@"/>
    <numFmt numFmtId="165" formatCode="0.0"/>
    <numFmt numFmtId="166" formatCode="[$-F800]dddd\,\ mmmm\ dd\,\ yyyy"/>
    <numFmt numFmtId="167" formatCode="dd/mm/yy;@"/>
  </numFmts>
  <fonts count="39" x14ac:knownFonts="1">
    <font>
      <sz val="11"/>
      <color theme="1"/>
      <name val="Calibri"/>
      <family val="2"/>
      <scheme val="minor"/>
    </font>
    <font>
      <sz val="11"/>
      <color theme="1"/>
      <name val="Times New Roman"/>
      <family val="2"/>
    </font>
    <font>
      <sz val="8"/>
      <name val="Calibri"/>
      <family val="2"/>
    </font>
    <font>
      <b/>
      <sz val="11"/>
      <color theme="1"/>
      <name val="Calibri"/>
      <family val="2"/>
      <scheme val="minor"/>
    </font>
    <font>
      <sz val="11"/>
      <name val="Calibri"/>
      <family val="2"/>
      <scheme val="minor"/>
    </font>
    <font>
      <sz val="11"/>
      <color theme="1"/>
      <name val="Calibri"/>
      <family val="2"/>
      <scheme val="minor"/>
    </font>
    <font>
      <sz val="10"/>
      <name val="MS Sans Serif"/>
      <family val="2"/>
    </font>
    <font>
      <sz val="10"/>
      <name val="Arial"/>
      <family val="2"/>
      <charset val="238"/>
    </font>
    <font>
      <sz val="10"/>
      <name val="Arial"/>
      <family val="2"/>
    </font>
    <font>
      <sz val="10"/>
      <name val="Helv"/>
      <family val="2"/>
    </font>
    <font>
      <sz val="11"/>
      <color rgb="FFFF0000"/>
      <name val="Calibri"/>
      <family val="2"/>
      <scheme val="minor"/>
    </font>
    <font>
      <b/>
      <sz val="11"/>
      <color theme="7"/>
      <name val="Calibri"/>
      <family val="2"/>
      <scheme val="minor"/>
    </font>
    <font>
      <sz val="11"/>
      <color theme="7"/>
      <name val="Calibri"/>
      <family val="2"/>
      <scheme val="minor"/>
    </font>
    <font>
      <b/>
      <sz val="18"/>
      <color indexed="56"/>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9"/>
      <color theme="1"/>
      <name val="Calibri"/>
      <family val="2"/>
      <scheme val="minor"/>
    </font>
    <font>
      <sz val="11"/>
      <color theme="1" tint="0.34998626667073579"/>
      <name val="Calibri"/>
      <family val="2"/>
      <scheme val="minor"/>
    </font>
    <font>
      <sz val="11"/>
      <color indexed="8"/>
      <name val="Times New Roman"/>
      <family val="2"/>
    </font>
    <font>
      <b/>
      <sz val="11"/>
      <color theme="1"/>
      <name val="Times New Roman"/>
      <family val="2"/>
    </font>
    <font>
      <b/>
      <sz val="11"/>
      <name val="Calibri"/>
      <family val="2"/>
      <scheme val="minor"/>
    </font>
    <font>
      <b/>
      <sz val="11"/>
      <color rgb="FFFF0000"/>
      <name val="Calibri"/>
      <family val="2"/>
      <scheme val="minor"/>
    </font>
    <font>
      <b/>
      <sz val="10"/>
      <name val="Arial"/>
      <family val="2"/>
    </font>
    <font>
      <b/>
      <sz val="8"/>
      <name val="Arial"/>
      <family val="2"/>
    </font>
    <font>
      <sz val="11"/>
      <color rgb="FFC00000"/>
      <name val="Calibri"/>
      <family val="2"/>
      <scheme val="minor"/>
    </font>
  </fonts>
  <fills count="33">
    <fill>
      <patternFill patternType="none"/>
    </fill>
    <fill>
      <patternFill patternType="gray125"/>
    </fill>
    <fill>
      <patternFill patternType="solid">
        <fgColor indexed="44"/>
        <bgColor indexed="64"/>
      </patternFill>
    </fill>
    <fill>
      <patternFill patternType="solid">
        <fgColor indexed="11"/>
        <bgColor indexed="64"/>
      </patternFill>
    </fill>
    <fill>
      <patternFill patternType="solid">
        <fgColor rgb="FF00FF0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00000"/>
        <bgColor indexed="64"/>
      </patternFill>
    </fill>
    <fill>
      <patternFill patternType="solid">
        <fgColor rgb="FF969696"/>
        <bgColor indexed="64"/>
      </patternFill>
    </fill>
    <fill>
      <patternFill patternType="solid">
        <fgColor rgb="FF00B0F0"/>
        <bgColor indexed="64"/>
      </patternFill>
    </fill>
    <fill>
      <patternFill patternType="solid">
        <fgColor theme="8" tint="0.39997558519241921"/>
        <bgColor indexed="64"/>
      </patternFill>
    </fill>
    <fill>
      <patternFill patternType="solid">
        <fgColor rgb="FF99CCFF"/>
        <bgColor indexed="64"/>
      </patternFill>
    </fill>
  </fills>
  <borders count="15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medium">
        <color indexed="64"/>
      </bottom>
      <diagonal/>
    </border>
    <border>
      <left style="medium">
        <color indexed="64"/>
      </left>
      <right/>
      <top/>
      <bottom/>
      <diagonal/>
    </border>
    <border>
      <left style="thin">
        <color auto="1"/>
      </left>
      <right style="thin">
        <color auto="1"/>
      </right>
      <top style="thin">
        <color auto="1"/>
      </top>
      <bottom/>
      <diagonal/>
    </border>
    <border>
      <left style="thin">
        <color auto="1"/>
      </left>
      <right style="medium">
        <color indexed="64"/>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auto="1"/>
      </top>
      <bottom/>
      <diagonal/>
    </border>
    <border>
      <left/>
      <right style="thin">
        <color indexed="64"/>
      </right>
      <top style="thin">
        <color indexed="64"/>
      </top>
      <bottom style="medium">
        <color indexed="64"/>
      </bottom>
      <diagonal/>
    </border>
    <border>
      <left style="thin">
        <color auto="1"/>
      </left>
      <right style="medium">
        <color indexed="64"/>
      </right>
      <top style="thin">
        <color auto="1"/>
      </top>
      <bottom style="medium">
        <color auto="1"/>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auto="1"/>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medium">
        <color indexed="64"/>
      </right>
      <top style="thin">
        <color auto="1"/>
      </top>
      <bottom style="medium">
        <color auto="1"/>
      </bottom>
      <diagonal/>
    </border>
    <border>
      <left/>
      <right style="medium">
        <color indexed="64"/>
      </right>
      <top style="thin">
        <color auto="1"/>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style="thin">
        <color auto="1"/>
      </top>
      <bottom style="medium">
        <color auto="1"/>
      </bottom>
      <diagonal/>
    </border>
    <border>
      <left style="medium">
        <color indexed="64"/>
      </left>
      <right style="thin">
        <color indexed="64"/>
      </right>
      <top style="thin">
        <color indexed="64"/>
      </top>
      <bottom/>
      <diagonal/>
    </border>
    <border>
      <left style="thin">
        <color indexed="64"/>
      </left>
      <right style="medium">
        <color indexed="64"/>
      </right>
      <top style="thin">
        <color auto="1"/>
      </top>
      <bottom/>
      <diagonal/>
    </border>
    <border>
      <left style="thin">
        <color auto="1"/>
      </left>
      <right style="thin">
        <color auto="1"/>
      </right>
      <top style="thin">
        <color auto="1"/>
      </top>
      <bottom/>
      <diagonal/>
    </border>
    <border>
      <left style="thin">
        <color indexed="64"/>
      </left>
      <right/>
      <top style="thin">
        <color indexed="64"/>
      </top>
      <bottom/>
      <diagonal/>
    </border>
    <border>
      <left style="medium">
        <color indexed="64"/>
      </left>
      <right/>
      <top style="thin">
        <color auto="1"/>
      </top>
      <bottom/>
      <diagonal/>
    </border>
    <border>
      <left/>
      <right style="thin">
        <color indexed="64"/>
      </right>
      <top style="thin">
        <color indexed="64"/>
      </top>
      <bottom/>
      <diagonal/>
    </border>
    <border>
      <left/>
      <right style="medium">
        <color indexed="64"/>
      </right>
      <top style="thin">
        <color auto="1"/>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4"/>
      </left>
      <right style="medium">
        <color indexed="64"/>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diagonal/>
    </border>
    <border>
      <left style="thin">
        <color indexed="64"/>
      </left>
      <right/>
      <top style="thin">
        <color indexed="64"/>
      </top>
      <bottom style="thin">
        <color indexed="64"/>
      </bottom>
      <diagonal/>
    </border>
    <border>
      <left style="thin">
        <color auto="1"/>
      </left>
      <right/>
      <top style="thin">
        <color auto="1"/>
      </top>
      <bottom style="medium">
        <color auto="1"/>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8661">
    <xf numFmtId="0" fontId="0" fillId="0" borderId="0"/>
    <xf numFmtId="0" fontId="6" fillId="0" borderId="0"/>
    <xf numFmtId="0" fontId="7" fillId="0" borderId="0"/>
    <xf numFmtId="0" fontId="5" fillId="0" borderId="0"/>
    <xf numFmtId="0" fontId="6" fillId="0" borderId="0"/>
    <xf numFmtId="0" fontId="8" fillId="0" borderId="0"/>
    <xf numFmtId="0" fontId="5" fillId="0" borderId="0"/>
    <xf numFmtId="0" fontId="9" fillId="0" borderId="0"/>
    <xf numFmtId="0" fontId="1" fillId="0" borderId="0"/>
    <xf numFmtId="0" fontId="8"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5" fillId="0" borderId="0"/>
    <xf numFmtId="0" fontId="8" fillId="0" borderId="0"/>
    <xf numFmtId="0" fontId="14" fillId="0" borderId="0"/>
    <xf numFmtId="0" fontId="5" fillId="0" borderId="0"/>
    <xf numFmtId="0" fontId="8" fillId="0" borderId="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8" fillId="0" borderId="0"/>
    <xf numFmtId="0" fontId="1"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8" fillId="0" borderId="0"/>
    <xf numFmtId="0" fontId="5" fillId="0" borderId="0"/>
    <xf numFmtId="0" fontId="5" fillId="0" borderId="0"/>
    <xf numFmtId="0" fontId="8" fillId="0" borderId="0"/>
    <xf numFmtId="0" fontId="1" fillId="0" borderId="0"/>
    <xf numFmtId="0" fontId="5" fillId="0" borderId="0"/>
    <xf numFmtId="0" fontId="8"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5" fillId="0" borderId="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 fillId="0" borderId="0"/>
    <xf numFmtId="0" fontId="5" fillId="0" borderId="0"/>
    <xf numFmtId="0" fontId="8" fillId="0" borderId="0"/>
    <xf numFmtId="0" fontId="1"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105" applyNumberFormat="0" applyAlignment="0" applyProtection="0"/>
    <xf numFmtId="0" fontId="24" fillId="11" borderId="84" applyNumberFormat="0" applyAlignment="0" applyProtection="0"/>
    <xf numFmtId="0" fontId="27" fillId="24" borderId="80"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73" applyNumberFormat="0" applyAlignment="0" applyProtection="0"/>
    <xf numFmtId="0" fontId="27" fillId="24" borderId="90" applyNumberFormat="0" applyAlignment="0" applyProtection="0"/>
    <xf numFmtId="0" fontId="28" fillId="0" borderId="81" applyNumberFormat="0" applyFill="0" applyAlignment="0" applyProtection="0"/>
    <xf numFmtId="0" fontId="28" fillId="0" borderId="108" applyNumberFormat="0" applyFill="0" applyAlignment="0" applyProtection="0"/>
    <xf numFmtId="0" fontId="27" fillId="24" borderId="80" applyNumberFormat="0" applyAlignment="0" applyProtection="0"/>
    <xf numFmtId="0" fontId="27" fillId="24" borderId="90" applyNumberFormat="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27" fillId="24" borderId="90" applyNumberFormat="0" applyAlignment="0" applyProtection="0"/>
    <xf numFmtId="0" fontId="24" fillId="11" borderId="78" applyNumberFormat="0" applyAlignment="0" applyProtection="0"/>
    <xf numFmtId="0" fontId="27" fillId="24" borderId="80" applyNumberFormat="0" applyAlignment="0" applyProtection="0"/>
    <xf numFmtId="0" fontId="28" fillId="0" borderId="102"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88" applyNumberFormat="0" applyAlignment="0" applyProtection="0"/>
    <xf numFmtId="0" fontId="24" fillId="11" borderId="88" applyNumberFormat="0" applyAlignment="0" applyProtection="0"/>
    <xf numFmtId="0" fontId="28" fillId="0" borderId="91" applyNumberFormat="0" applyFill="0" applyAlignment="0" applyProtection="0"/>
    <xf numFmtId="0" fontId="27" fillId="24" borderId="80" applyNumberFormat="0" applyAlignment="0" applyProtection="0"/>
    <xf numFmtId="0" fontId="28" fillId="0" borderId="91" applyNumberFormat="0" applyFill="0" applyAlignment="0" applyProtection="0"/>
    <xf numFmtId="0" fontId="24" fillId="11" borderId="99" applyNumberFormat="0" applyAlignment="0" applyProtection="0"/>
    <xf numFmtId="0" fontId="14" fillId="27" borderId="79" applyNumberFormat="0" applyFont="0" applyAlignment="0" applyProtection="0"/>
    <xf numFmtId="0" fontId="27" fillId="24" borderId="80"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8" fillId="0" borderId="91" applyNumberFormat="0" applyFill="0" applyAlignment="0" applyProtection="0"/>
    <xf numFmtId="0" fontId="28" fillId="0" borderId="81" applyNumberFormat="0" applyFill="0" applyAlignment="0" applyProtection="0"/>
    <xf numFmtId="0" fontId="28" fillId="0" borderId="91" applyNumberFormat="0" applyFill="0" applyAlignment="0" applyProtection="0"/>
    <xf numFmtId="0" fontId="24" fillId="11" borderId="78" applyNumberFormat="0" applyAlignment="0" applyProtection="0"/>
    <xf numFmtId="0" fontId="14" fillId="27" borderId="79" applyNumberFormat="0" applyFont="0" applyAlignment="0" applyProtection="0"/>
    <xf numFmtId="0" fontId="28" fillId="0" borderId="91"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88" applyNumberFormat="0" applyAlignment="0" applyProtection="0"/>
    <xf numFmtId="0" fontId="24" fillId="11" borderId="78" applyNumberFormat="0" applyAlignment="0" applyProtection="0"/>
    <xf numFmtId="0" fontId="24" fillId="11" borderId="99" applyNumberFormat="0" applyAlignment="0" applyProtection="0"/>
    <xf numFmtId="0" fontId="27" fillId="24" borderId="80" applyNumberFormat="0" applyAlignment="0" applyProtection="0"/>
    <xf numFmtId="0" fontId="14" fillId="27" borderId="93" applyNumberFormat="0" applyFont="0" applyAlignment="0" applyProtection="0"/>
    <xf numFmtId="0" fontId="28" fillId="0" borderId="81" applyNumberFormat="0" applyFill="0" applyAlignment="0" applyProtection="0"/>
    <xf numFmtId="0" fontId="24" fillId="11" borderId="92" applyNumberFormat="0" applyAlignment="0" applyProtection="0"/>
    <xf numFmtId="0" fontId="24" fillId="11" borderId="92" applyNumberFormat="0" applyAlignment="0" applyProtection="0"/>
    <xf numFmtId="0" fontId="24" fillId="11" borderId="84" applyNumberFormat="0" applyAlignment="0" applyProtection="0"/>
    <xf numFmtId="0" fontId="27" fillId="24" borderId="86" applyNumberFormat="0" applyAlignment="0" applyProtection="0"/>
    <xf numFmtId="0" fontId="27" fillId="24" borderId="86" applyNumberFormat="0" applyAlignment="0" applyProtection="0"/>
    <xf numFmtId="0" fontId="14" fillId="27" borderId="85"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7" fillId="24" borderId="80"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78" applyNumberFormat="0" applyAlignment="0" applyProtection="0"/>
    <xf numFmtId="0" fontId="28" fillId="0" borderId="91" applyNumberFormat="0" applyFill="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99"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105"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17" fillId="24" borderId="99" applyNumberFormat="0" applyAlignment="0" applyProtection="0"/>
    <xf numFmtId="0" fontId="17" fillId="24" borderId="105" applyNumberFormat="0" applyAlignment="0" applyProtection="0"/>
    <xf numFmtId="0" fontId="17" fillId="24" borderId="92"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8" fillId="0" borderId="95" applyNumberFormat="0" applyFill="0" applyAlignment="0" applyProtection="0"/>
    <xf numFmtId="0" fontId="27" fillId="24" borderId="94" applyNumberFormat="0" applyAlignment="0" applyProtection="0"/>
    <xf numFmtId="0" fontId="27" fillId="24" borderId="94"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4" fillId="11"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9" applyNumberFormat="0" applyAlignment="0" applyProtection="0"/>
    <xf numFmtId="0" fontId="17" fillId="24"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7" fillId="24" borderId="92"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92" applyNumberFormat="0" applyAlignment="0" applyProtection="0"/>
    <xf numFmtId="0" fontId="24" fillId="11" borderId="84" applyNumberFormat="0" applyAlignment="0" applyProtection="0"/>
    <xf numFmtId="0" fontId="28" fillId="0" borderId="74" applyNumberFormat="0" applyFill="0" applyAlignment="0" applyProtection="0"/>
    <xf numFmtId="0" fontId="17" fillId="24" borderId="84" applyNumberFormat="0" applyAlignment="0" applyProtection="0"/>
    <xf numFmtId="0" fontId="14" fillId="27" borderId="72" applyNumberFormat="0" applyFont="0" applyAlignment="0" applyProtection="0"/>
    <xf numFmtId="0" fontId="27" fillId="24" borderId="73" applyNumberFormat="0" applyAlignment="0" applyProtection="0"/>
    <xf numFmtId="0" fontId="28" fillId="0" borderId="74" applyNumberFormat="0" applyFill="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8" fillId="0" borderId="74"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17" fillId="24" borderId="92" applyNumberFormat="0" applyAlignment="0" applyProtection="0"/>
    <xf numFmtId="0" fontId="14" fillId="27" borderId="72" applyNumberFormat="0" applyFon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92" applyNumberFormat="0" applyAlignment="0" applyProtection="0"/>
    <xf numFmtId="0" fontId="24" fillId="11" borderId="99" applyNumberFormat="0" applyAlignment="0" applyProtection="0"/>
    <xf numFmtId="0" fontId="17" fillId="24"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4" fillId="27" borderId="72" applyNumberFormat="0" applyFont="0" applyAlignment="0" applyProtection="0"/>
    <xf numFmtId="0" fontId="28" fillId="0" borderId="74" applyNumberFormat="0" applyFill="0" applyAlignment="0" applyProtection="0"/>
    <xf numFmtId="0" fontId="27" fillId="24" borderId="73" applyNumberFormat="0" applyAlignment="0" applyProtection="0"/>
    <xf numFmtId="0" fontId="14" fillId="27" borderId="72" applyNumberFormat="0" applyFont="0" applyAlignment="0" applyProtection="0"/>
    <xf numFmtId="0" fontId="27" fillId="24" borderId="107" applyNumberFormat="0" applyAlignment="0" applyProtection="0"/>
    <xf numFmtId="0" fontId="28" fillId="0" borderId="87" applyNumberFormat="0" applyFill="0" applyAlignment="0" applyProtection="0"/>
    <xf numFmtId="0" fontId="28" fillId="0" borderId="74" applyNumberFormat="0" applyFill="0" applyAlignment="0" applyProtection="0"/>
    <xf numFmtId="0" fontId="24" fillId="11" borderId="71" applyNumberFormat="0" applyAlignment="0" applyProtection="0"/>
    <xf numFmtId="0" fontId="24" fillId="11" borderId="84"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4" fillId="11" borderId="84" applyNumberFormat="0" applyAlignment="0" applyProtection="0"/>
    <xf numFmtId="0" fontId="28" fillId="0" borderId="74" applyNumberFormat="0" applyFill="0" applyAlignment="0" applyProtection="0"/>
    <xf numFmtId="0" fontId="27" fillId="24" borderId="73" applyNumberFormat="0" applyAlignment="0" applyProtection="0"/>
    <xf numFmtId="0" fontId="27" fillId="24" borderId="86" applyNumberFormat="0" applyAlignment="0" applyProtection="0"/>
    <xf numFmtId="0" fontId="28" fillId="0" borderId="74" applyNumberFormat="0" applyFill="0" applyAlignment="0" applyProtection="0"/>
    <xf numFmtId="0" fontId="24" fillId="11" borderId="84" applyNumberFormat="0" applyAlignment="0" applyProtection="0"/>
    <xf numFmtId="0" fontId="28" fillId="0" borderId="74" applyNumberFormat="0" applyFill="0" applyAlignment="0" applyProtection="0"/>
    <xf numFmtId="0" fontId="17" fillId="24" borderId="105" applyNumberFormat="0" applyAlignment="0" applyProtection="0"/>
    <xf numFmtId="0" fontId="14" fillId="27" borderId="100" applyNumberFormat="0" applyFont="0" applyAlignment="0" applyProtection="0"/>
    <xf numFmtId="0" fontId="14" fillId="27" borderId="106" applyNumberFormat="0" applyFon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7" fillId="24" borderId="94"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4" fillId="11" borderId="88"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14" fillId="27" borderId="89" applyNumberFormat="0" applyFon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27" fillId="24" borderId="86" applyNumberFormat="0" applyAlignment="0" applyProtection="0"/>
    <xf numFmtId="0" fontId="24" fillId="11" borderId="84" applyNumberFormat="0" applyAlignment="0" applyProtection="0"/>
    <xf numFmtId="0" fontId="14" fillId="27" borderId="100" applyNumberFormat="0" applyFont="0" applyAlignment="0" applyProtection="0"/>
    <xf numFmtId="0" fontId="27" fillId="24" borderId="107"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4" fillId="11" borderId="84" applyNumberFormat="0" applyAlignment="0" applyProtection="0"/>
    <xf numFmtId="0" fontId="27" fillId="24" borderId="73" applyNumberFormat="0" applyAlignment="0" applyProtection="0"/>
    <xf numFmtId="0" fontId="27" fillId="24" borderId="86"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24" fillId="11" borderId="71" applyNumberFormat="0" applyAlignment="0" applyProtection="0"/>
    <xf numFmtId="0" fontId="27" fillId="24" borderId="94" applyNumberFormat="0" applyAlignment="0" applyProtection="0"/>
    <xf numFmtId="0" fontId="28" fillId="0" borderId="87" applyNumberFormat="0" applyFill="0" applyAlignment="0" applyProtection="0"/>
    <xf numFmtId="0" fontId="27" fillId="24" borderId="73" applyNumberFormat="0" applyAlignment="0" applyProtection="0"/>
    <xf numFmtId="0" fontId="27" fillId="24" borderId="73"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4" fillId="11" borderId="84" applyNumberFormat="0" applyAlignment="0" applyProtection="0"/>
    <xf numFmtId="0" fontId="27" fillId="24" borderId="86" applyNumberFormat="0" applyAlignment="0" applyProtection="0"/>
    <xf numFmtId="0" fontId="24" fillId="11" borderId="84" applyNumberFormat="0" applyAlignment="0" applyProtection="0"/>
    <xf numFmtId="0" fontId="17" fillId="24" borderId="99" applyNumberFormat="0" applyAlignment="0" applyProtection="0"/>
    <xf numFmtId="0" fontId="27" fillId="24" borderId="101" applyNumberFormat="0" applyAlignment="0" applyProtection="0"/>
    <xf numFmtId="0" fontId="27" fillId="24" borderId="107"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24" fillId="11" borderId="92" applyNumberFormat="0" applyAlignment="0" applyProtection="0"/>
    <xf numFmtId="0" fontId="27" fillId="24" borderId="101" applyNumberFormat="0" applyAlignment="0" applyProtection="0"/>
    <xf numFmtId="0" fontId="14" fillId="27" borderId="100" applyNumberFormat="0" applyFont="0" applyAlignment="0" applyProtection="0"/>
    <xf numFmtId="0" fontId="17" fillId="24" borderId="99"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27" fillId="24" borderId="73" applyNumberForma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8" fillId="0" borderId="87" applyNumberFormat="0" applyFill="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91" applyNumberFormat="0" applyFill="0" applyAlignment="0" applyProtection="0"/>
    <xf numFmtId="0" fontId="24" fillId="11" borderId="92"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90" applyNumberFormat="0" applyAlignment="0" applyProtection="0"/>
    <xf numFmtId="0" fontId="17" fillId="24" borderId="88" applyNumberForma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8" fillId="0" borderId="108"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8" fillId="0" borderId="81" applyNumberFormat="0" applyFill="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7" fillId="24" borderId="90"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4" fillId="11" borderId="88"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101" applyNumberFormat="0" applyAlignment="0" applyProtection="0"/>
    <xf numFmtId="0" fontId="28" fillId="0" borderId="91" applyNumberFormat="0" applyFill="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90"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17" fillId="24" borderId="99" applyNumberFormat="0" applyAlignment="0" applyProtection="0"/>
    <xf numFmtId="0" fontId="14" fillId="27" borderId="85" applyNumberFormat="0" applyFont="0" applyAlignment="0" applyProtection="0"/>
    <xf numFmtId="0" fontId="24" fillId="11" borderId="84" applyNumberFormat="0" applyAlignment="0" applyProtection="0"/>
    <xf numFmtId="0" fontId="17" fillId="24" borderId="92"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14" fillId="27" borderId="85" applyNumberFormat="0" applyFont="0" applyAlignment="0" applyProtection="0"/>
    <xf numFmtId="0" fontId="28" fillId="0" borderId="95" applyNumberFormat="0" applyFill="0" applyAlignment="0" applyProtection="0"/>
    <xf numFmtId="0" fontId="27" fillId="24" borderId="86" applyNumberFormat="0" applyAlignment="0" applyProtection="0"/>
    <xf numFmtId="0" fontId="28" fillId="0" borderId="95" applyNumberFormat="0" applyFill="0" applyAlignment="0" applyProtection="0"/>
    <xf numFmtId="0" fontId="24" fillId="11" borderId="92" applyNumberFormat="0" applyAlignment="0" applyProtection="0"/>
    <xf numFmtId="0" fontId="24" fillId="11" borderId="92" applyNumberFormat="0" applyAlignment="0" applyProtection="0"/>
    <xf numFmtId="0" fontId="27" fillId="24" borderId="86" applyNumberFormat="0" applyAlignment="0" applyProtection="0"/>
    <xf numFmtId="0" fontId="28" fillId="0" borderId="95"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4" fillId="11" borderId="105" applyNumberFormat="0" applyAlignment="0" applyProtection="0"/>
    <xf numFmtId="0" fontId="27" fillId="24" borderId="86" applyNumberFormat="0" applyAlignment="0" applyProtection="0"/>
    <xf numFmtId="0" fontId="24" fillId="11"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105" applyNumberFormat="0" applyAlignment="0" applyProtection="0"/>
    <xf numFmtId="0" fontId="17" fillId="24" borderId="92" applyNumberFormat="0" applyAlignment="0" applyProtection="0"/>
    <xf numFmtId="0" fontId="27" fillId="24" borderId="94"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94" applyNumberFormat="0" applyAlignment="0" applyProtection="0"/>
    <xf numFmtId="0" fontId="14" fillId="27" borderId="85" applyNumberFormat="0" applyFont="0" applyAlignment="0" applyProtection="0"/>
    <xf numFmtId="0" fontId="14" fillId="27" borderId="106" applyNumberFormat="0" applyFont="0" applyAlignment="0" applyProtection="0"/>
    <xf numFmtId="0" fontId="17" fillId="24" borderId="92" applyNumberForma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92" applyNumberFormat="0" applyAlignment="0" applyProtection="0"/>
    <xf numFmtId="0" fontId="28" fillId="0" borderId="87" applyNumberFormat="0" applyFill="0" applyAlignment="0" applyProtection="0"/>
    <xf numFmtId="0" fontId="27" fillId="24" borderId="101" applyNumberFormat="0" applyAlignment="0" applyProtection="0"/>
    <xf numFmtId="0" fontId="17" fillId="24" borderId="84" applyNumberFormat="0" applyAlignment="0" applyProtection="0"/>
    <xf numFmtId="0" fontId="17" fillId="24" borderId="92"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93" applyNumberFormat="0" applyFon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7" fillId="24" borderId="94" applyNumberFormat="0" applyAlignment="0" applyProtection="0"/>
    <xf numFmtId="0" fontId="14" fillId="27" borderId="85" applyNumberFormat="0" applyFon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28" fillId="0" borderId="87" applyNumberFormat="0" applyFill="0" applyAlignment="0" applyProtection="0"/>
    <xf numFmtId="0" fontId="17" fillId="24" borderId="92"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24" fillId="11" borderId="88" applyNumberFormat="0" applyAlignment="0" applyProtection="0"/>
    <xf numFmtId="0" fontId="28" fillId="0" borderId="91" applyNumberFormat="0" applyFill="0" applyAlignment="0" applyProtection="0"/>
    <xf numFmtId="0" fontId="24" fillId="11" borderId="92" applyNumberFormat="0" applyAlignment="0" applyProtection="0"/>
    <xf numFmtId="0" fontId="17" fillId="24" borderId="88"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14" fillId="27" borderId="89" applyNumberFormat="0" applyFont="0" applyAlignment="0" applyProtection="0"/>
    <xf numFmtId="0" fontId="24" fillId="11" borderId="92" applyNumberFormat="0" applyAlignment="0" applyProtection="0"/>
    <xf numFmtId="0" fontId="27" fillId="24" borderId="90" applyNumberFormat="0" applyAlignment="0" applyProtection="0"/>
    <xf numFmtId="0" fontId="24" fillId="11" borderId="92"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7" fillId="24" borderId="90" applyNumberFormat="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7" fillId="24"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24" fillId="11"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7" fillId="24" borderId="105" applyNumberForma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94" applyNumberFormat="0" applyAlignment="0" applyProtection="0"/>
    <xf numFmtId="0" fontId="14" fillId="27" borderId="89" applyNumberFormat="0" applyFont="0" applyAlignment="0" applyProtection="0"/>
    <xf numFmtId="0" fontId="24" fillId="11" borderId="92" applyNumberFormat="0" applyAlignment="0" applyProtection="0"/>
    <xf numFmtId="0" fontId="14" fillId="27" borderId="93"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1" applyNumberFormat="0" applyFill="0" applyAlignment="0" applyProtection="0"/>
    <xf numFmtId="0" fontId="27" fillId="24" borderId="94"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92"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4" applyNumberFormat="0" applyAlignment="0" applyProtection="0"/>
    <xf numFmtId="0" fontId="14" fillId="27" borderId="89" applyNumberFormat="0" applyFont="0" applyAlignment="0" applyProtection="0"/>
    <xf numFmtId="0" fontId="28" fillId="0" borderId="108" applyNumberFormat="0" applyFill="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5" applyNumberFormat="0" applyFill="0" applyAlignment="0" applyProtection="0"/>
    <xf numFmtId="0" fontId="28" fillId="0" borderId="91" applyNumberFormat="0" applyFill="0" applyAlignment="0" applyProtection="0"/>
    <xf numFmtId="0" fontId="27" fillId="24" borderId="90" applyNumberFormat="0" applyAlignment="0" applyProtection="0"/>
    <xf numFmtId="0" fontId="27" fillId="24" borderId="94" applyNumberFormat="0" applyAlignment="0" applyProtection="0"/>
    <xf numFmtId="0" fontId="28" fillId="0" borderId="91" applyNumberFormat="0" applyFill="0" applyAlignment="0" applyProtection="0"/>
    <xf numFmtId="0" fontId="28" fillId="0" borderId="108" applyNumberFormat="0" applyFill="0" applyAlignment="0" applyProtection="0"/>
    <xf numFmtId="0" fontId="24" fillId="11" borderId="92"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7" applyNumberFormat="0" applyFill="0" applyAlignment="0" applyProtection="0"/>
    <xf numFmtId="0" fontId="17" fillId="24" borderId="99" applyNumberFormat="0" applyAlignment="0" applyProtection="0"/>
    <xf numFmtId="0" fontId="17" fillId="24" borderId="105" applyNumberFormat="0" applyAlignment="0" applyProtection="0"/>
    <xf numFmtId="0" fontId="28" fillId="0" borderId="102" applyNumberFormat="0" applyFill="0" applyAlignment="0" applyProtection="0"/>
    <xf numFmtId="0" fontId="24" fillId="11" borderId="105" applyNumberFormat="0" applyAlignment="0" applyProtection="0"/>
    <xf numFmtId="0" fontId="27" fillId="24" borderId="94" applyNumberFormat="0" applyAlignment="0" applyProtection="0"/>
    <xf numFmtId="0" fontId="28" fillId="0" borderId="102" applyNumberFormat="0" applyFill="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99"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27" fillId="24" borderId="94" applyNumberFormat="0" applyAlignment="0" applyProtection="0"/>
    <xf numFmtId="0" fontId="17" fillId="24" borderId="99" applyNumberFormat="0" applyAlignment="0" applyProtection="0"/>
    <xf numFmtId="0" fontId="28" fillId="0" borderId="102" applyNumberFormat="0" applyFill="0" applyAlignment="0" applyProtection="0"/>
    <xf numFmtId="0" fontId="17" fillId="24" borderId="105" applyNumberFormat="0" applyAlignment="0" applyProtection="0"/>
    <xf numFmtId="0" fontId="24" fillId="11" borderId="99" applyNumberFormat="0" applyAlignment="0" applyProtection="0"/>
    <xf numFmtId="0" fontId="28" fillId="0" borderId="102" applyNumberFormat="0" applyFill="0" applyAlignment="0" applyProtection="0"/>
    <xf numFmtId="0" fontId="24" fillId="11" borderId="99"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9" applyNumberFormat="0" applyAlignment="0" applyProtection="0"/>
    <xf numFmtId="0" fontId="24" fillId="11" borderId="92"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17" fillId="24" borderId="105" applyNumberFormat="0" applyAlignment="0" applyProtection="0"/>
    <xf numFmtId="0" fontId="24" fillId="11" borderId="99" applyNumberFormat="0" applyAlignment="0" applyProtection="0"/>
    <xf numFmtId="0" fontId="14" fillId="27" borderId="100" applyNumberFormat="0" applyFont="0" applyAlignment="0" applyProtection="0"/>
    <xf numFmtId="0" fontId="24" fillId="11" borderId="92" applyNumberFormat="0" applyAlignment="0" applyProtection="0"/>
    <xf numFmtId="0" fontId="17" fillId="24" borderId="99" applyNumberFormat="0" applyAlignment="0" applyProtection="0"/>
    <xf numFmtId="0" fontId="28" fillId="0" borderId="102" applyNumberFormat="0" applyFill="0" applyAlignment="0" applyProtection="0"/>
    <xf numFmtId="0" fontId="14" fillId="27" borderId="93" applyNumberFormat="0" applyFont="0" applyAlignment="0" applyProtection="0"/>
    <xf numFmtId="0" fontId="24" fillId="11"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102" applyNumberFormat="0" applyFill="0" applyAlignment="0" applyProtection="0"/>
    <xf numFmtId="0" fontId="24" fillId="11" borderId="92" applyNumberFormat="0" applyAlignment="0" applyProtection="0"/>
    <xf numFmtId="0" fontId="17" fillId="24" borderId="99" applyNumberFormat="0" applyAlignment="0" applyProtection="0"/>
    <xf numFmtId="0" fontId="28" fillId="0" borderId="95" applyNumberFormat="0" applyFill="0" applyAlignment="0" applyProtection="0"/>
    <xf numFmtId="0" fontId="17" fillId="24" borderId="99" applyNumberFormat="0" applyAlignment="0" applyProtection="0"/>
    <xf numFmtId="0" fontId="27" fillId="24" borderId="101" applyNumberFormat="0" applyAlignment="0" applyProtection="0"/>
    <xf numFmtId="0" fontId="17" fillId="24" borderId="105" applyNumberFormat="0" applyAlignment="0" applyProtection="0"/>
    <xf numFmtId="0" fontId="17" fillId="24" borderId="92" applyNumberFormat="0" applyAlignment="0" applyProtection="0"/>
    <xf numFmtId="0" fontId="24" fillId="11" borderId="99" applyNumberFormat="0" applyAlignment="0" applyProtection="0"/>
    <xf numFmtId="0" fontId="28" fillId="0" borderId="102"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92" applyNumberFormat="0" applyAlignment="0" applyProtection="0"/>
    <xf numFmtId="0" fontId="27" fillId="24" borderId="107"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24" fillId="11" borderId="92" applyNumberFormat="0" applyAlignment="0" applyProtection="0"/>
    <xf numFmtId="0" fontId="14" fillId="27" borderId="106" applyNumberFormat="0" applyFont="0" applyAlignment="0" applyProtection="0"/>
    <xf numFmtId="0" fontId="24" fillId="11" borderId="92" applyNumberFormat="0" applyAlignment="0" applyProtection="0"/>
    <xf numFmtId="0" fontId="28" fillId="0" borderId="108"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92"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27" fillId="24" borderId="107"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105" applyNumberFormat="0" applyAlignment="0" applyProtection="0"/>
    <xf numFmtId="0" fontId="14" fillId="27" borderId="93" applyNumberFormat="0" applyFont="0" applyAlignment="0" applyProtection="0"/>
    <xf numFmtId="0" fontId="17" fillId="24"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105" applyNumberFormat="0" applyAlignment="0" applyProtection="0"/>
    <xf numFmtId="0" fontId="27" fillId="24" borderId="94" applyNumberFormat="0" applyAlignment="0" applyProtection="0"/>
    <xf numFmtId="0" fontId="17" fillId="24"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7" fillId="24" borderId="107" applyNumberFormat="0" applyAlignment="0" applyProtection="0"/>
    <xf numFmtId="0" fontId="24" fillId="11"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7" fillId="24" borderId="94" applyNumberFormat="0" applyAlignment="0" applyProtection="0"/>
    <xf numFmtId="0" fontId="28" fillId="0" borderId="95" applyNumberFormat="0" applyFill="0" applyAlignment="0" applyProtection="0"/>
    <xf numFmtId="0" fontId="27" fillId="24" borderId="94" applyNumberFormat="0" applyAlignment="0" applyProtection="0"/>
    <xf numFmtId="0" fontId="14" fillId="27" borderId="93" applyNumberFormat="0" applyFont="0" applyAlignment="0" applyProtection="0"/>
    <xf numFmtId="0" fontId="17" fillId="24" borderId="92" applyNumberFormat="0" applyAlignment="0" applyProtection="0"/>
    <xf numFmtId="0" fontId="28" fillId="0" borderId="108" applyNumberFormat="0" applyFill="0" applyAlignment="0" applyProtection="0"/>
    <xf numFmtId="0" fontId="24" fillId="11" borderId="92" applyNumberFormat="0" applyAlignment="0" applyProtection="0"/>
    <xf numFmtId="0" fontId="27" fillId="24" borderId="107" applyNumberFormat="0" applyAlignment="0" applyProtection="0"/>
    <xf numFmtId="0" fontId="24" fillId="11" borderId="92" applyNumberFormat="0" applyAlignment="0" applyProtection="0"/>
    <xf numFmtId="0" fontId="17" fillId="24" borderId="99" applyNumberFormat="0" applyAlignment="0" applyProtection="0"/>
    <xf numFmtId="0" fontId="24" fillId="11" borderId="99" applyNumberFormat="0" applyAlignment="0" applyProtection="0"/>
    <xf numFmtId="0" fontId="17" fillId="24" borderId="92" applyNumberFormat="0" applyAlignment="0" applyProtection="0"/>
    <xf numFmtId="0" fontId="14" fillId="27" borderId="93" applyNumberFormat="0" applyFon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0" applyNumberFormat="0" applyFont="0" applyAlignment="0" applyProtection="0"/>
    <xf numFmtId="0" fontId="17" fillId="24" borderId="99" applyNumberFormat="0" applyAlignment="0" applyProtection="0"/>
    <xf numFmtId="0" fontId="27" fillId="24" borderId="101" applyNumberFormat="0" applyAlignment="0" applyProtection="0"/>
    <xf numFmtId="0" fontId="24" fillId="11" borderId="99" applyNumberFormat="0" applyAlignment="0" applyProtection="0"/>
    <xf numFmtId="0" fontId="24" fillId="11" borderId="92" applyNumberFormat="0" applyAlignment="0" applyProtection="0"/>
    <xf numFmtId="0" fontId="17" fillId="24" borderId="92" applyNumberFormat="0" applyAlignment="0" applyProtection="0"/>
    <xf numFmtId="0" fontId="27" fillId="24" borderId="94"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0" applyNumberFormat="0" applyFont="0" applyAlignment="0" applyProtection="0"/>
    <xf numFmtId="0" fontId="27" fillId="24" borderId="101" applyNumberFormat="0" applyAlignment="0" applyProtection="0"/>
    <xf numFmtId="0" fontId="24" fillId="11" borderId="92" applyNumberFormat="0" applyAlignment="0" applyProtection="0"/>
    <xf numFmtId="0" fontId="24" fillId="11" borderId="92" applyNumberFormat="0" applyAlignment="0" applyProtection="0"/>
    <xf numFmtId="0" fontId="27" fillId="24" borderId="94" applyNumberFormat="0" applyAlignment="0" applyProtection="0"/>
    <xf numFmtId="0" fontId="24" fillId="11" borderId="92" applyNumberFormat="0" applyAlignment="0" applyProtection="0"/>
    <xf numFmtId="0" fontId="24" fillId="11" borderId="105" applyNumberFormat="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8" fillId="0" borderId="108" applyNumberFormat="0" applyFill="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92" applyNumberFormat="0" applyAlignment="0" applyProtection="0"/>
    <xf numFmtId="0" fontId="28" fillId="0" borderId="95" applyNumberFormat="0" applyFill="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107"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17" fillId="24" borderId="105" applyNumberFormat="0" applyAlignment="0" applyProtection="0"/>
    <xf numFmtId="0" fontId="14" fillId="27" borderId="106"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4" fillId="27" borderId="106" applyNumberFormat="0" applyFon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14" fillId="0" borderId="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5" fillId="0" borderId="0"/>
    <xf numFmtId="166" fontId="6" fillId="0" borderId="0"/>
    <xf numFmtId="166" fontId="7" fillId="0" borderId="0"/>
    <xf numFmtId="166" fontId="5" fillId="0" borderId="0"/>
    <xf numFmtId="166" fontId="6" fillId="0" borderId="0"/>
    <xf numFmtId="166" fontId="8" fillId="0" borderId="0"/>
    <xf numFmtId="166" fontId="5" fillId="0" borderId="0"/>
    <xf numFmtId="166" fontId="9" fillId="0" borderId="0"/>
    <xf numFmtId="166" fontId="1" fillId="0" borderId="0"/>
    <xf numFmtId="166" fontId="8" fillId="0" borderId="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5" fillId="0" borderId="0"/>
    <xf numFmtId="166" fontId="8" fillId="0" borderId="0"/>
    <xf numFmtId="166" fontId="14" fillId="0" borderId="0"/>
    <xf numFmtId="166" fontId="5" fillId="0" borderId="0"/>
    <xf numFmtId="166" fontId="8" fillId="0" borderId="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5" fillId="0" borderId="0"/>
    <xf numFmtId="166" fontId="8" fillId="0" borderId="0"/>
    <xf numFmtId="166" fontId="1"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8" fillId="0" borderId="0"/>
    <xf numFmtId="166" fontId="5" fillId="0" borderId="0"/>
    <xf numFmtId="166" fontId="5" fillId="0" borderId="0"/>
    <xf numFmtId="166" fontId="8" fillId="0" borderId="0"/>
    <xf numFmtId="166" fontId="1" fillId="0" borderId="0"/>
    <xf numFmtId="166" fontId="5" fillId="0" borderId="0"/>
    <xf numFmtId="166" fontId="8"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5" fillId="0" borderId="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 fillId="0" borderId="0"/>
    <xf numFmtId="166" fontId="5" fillId="0" borderId="0"/>
    <xf numFmtId="166" fontId="8" fillId="0" borderId="0"/>
    <xf numFmtId="166" fontId="1"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9" fontId="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cellStyleXfs>
  <cellXfs count="975">
    <xf numFmtId="0" fontId="0" fillId="0" borderId="0" xfId="0"/>
    <xf numFmtId="10" fontId="0" fillId="0" borderId="0" xfId="0" applyNumberFormat="1"/>
    <xf numFmtId="0" fontId="0" fillId="2" borderId="1" xfId="0" applyFill="1" applyBorder="1"/>
    <xf numFmtId="10" fontId="0" fillId="2" borderId="3" xfId="0" applyNumberFormat="1" applyFill="1" applyBorder="1"/>
    <xf numFmtId="164" fontId="0" fillId="0" borderId="0" xfId="0" applyNumberFormat="1"/>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0" fillId="0" borderId="0" xfId="0" applyAlignment="1">
      <alignment horizontal="center" vertical="top"/>
    </xf>
    <xf numFmtId="0" fontId="0" fillId="0" borderId="0" xfId="0" applyAlignment="1">
      <alignment horizontal="right"/>
    </xf>
    <xf numFmtId="1" fontId="0" fillId="0" borderId="0" xfId="0" applyNumberFormat="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49" fontId="0" fillId="0" borderId="0" xfId="0" applyNumberFormat="1"/>
    <xf numFmtId="0" fontId="0" fillId="0" borderId="0" xfId="0" applyAlignment="1">
      <alignment wrapText="1"/>
    </xf>
    <xf numFmtId="167" fontId="0" fillId="0" borderId="0" xfId="0" applyNumberFormat="1"/>
    <xf numFmtId="165" fontId="0" fillId="0" borderId="0" xfId="0" applyNumberFormat="1"/>
    <xf numFmtId="164" fontId="0" fillId="0" borderId="0" xfId="0" applyNumberFormat="1" applyAlignment="1">
      <alignment wrapText="1"/>
    </xf>
    <xf numFmtId="0" fontId="0" fillId="2" borderId="5" xfId="0" applyFill="1" applyBorder="1"/>
    <xf numFmtId="0" fontId="0" fillId="2" borderId="6" xfId="0" applyFill="1" applyBorder="1"/>
    <xf numFmtId="0" fontId="0" fillId="2" borderId="7" xfId="0" applyFill="1" applyBorder="1"/>
    <xf numFmtId="1"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0" fontId="0" fillId="0" borderId="0" xfId="0" applyAlignment="1">
      <alignment horizontal="center"/>
    </xf>
    <xf numFmtId="165" fontId="0" fillId="0" borderId="0" xfId="0" applyNumberFormat="1" applyAlignment="1">
      <alignment horizontal="center"/>
    </xf>
    <xf numFmtId="0" fontId="0" fillId="0" borderId="0" xfId="0" applyAlignment="1">
      <alignment horizontal="center"/>
    </xf>
    <xf numFmtId="0" fontId="0" fillId="0" borderId="0" xfId="0" quotePrefix="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wrapText="1"/>
    </xf>
    <xf numFmtId="0" fontId="0" fillId="5" borderId="0" xfId="0" applyFill="1"/>
    <xf numFmtId="0" fontId="0" fillId="0" borderId="0" xfId="0" applyAlignment="1">
      <alignment horizontal="center"/>
    </xf>
    <xf numFmtId="164" fontId="3" fillId="0" borderId="0" xfId="0" applyNumberFormat="1" applyFont="1"/>
    <xf numFmtId="0" fontId="3" fillId="0" borderId="0" xfId="0" applyFo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2" xfId="0" applyFont="1" applyFill="1" applyBorder="1"/>
    <xf numFmtId="0" fontId="10" fillId="0" borderId="0" xfId="0" applyFont="1"/>
    <xf numFmtId="0" fontId="10" fillId="2" borderId="6" xfId="0" applyFont="1" applyFill="1" applyBorder="1"/>
    <xf numFmtId="0" fontId="4" fillId="0" borderId="0" xfId="0" applyFont="1"/>
    <xf numFmtId="0" fontId="4" fillId="3" borderId="1" xfId="0" applyFont="1" applyFill="1" applyBorder="1" applyAlignment="1">
      <alignment horizontal="center" vertical="center"/>
    </xf>
    <xf numFmtId="10" fontId="4" fillId="3" borderId="4" xfId="0" applyNumberFormat="1"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4"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4" fillId="0" borderId="0" xfId="0" applyNumberFormat="1" applyFont="1" applyAlignment="1">
      <alignment horizontal="left"/>
    </xf>
    <xf numFmtId="0" fontId="0" fillId="0" borderId="0" xfId="0" applyAlignment="1">
      <alignment horizontal="center"/>
    </xf>
    <xf numFmtId="1" fontId="10" fillId="0" borderId="0" xfId="0" applyNumberFormat="1" applyFont="1"/>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12" fillId="3" borderId="4" xfId="0" quotePrefix="1" applyFont="1" applyFill="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49" fontId="4" fillId="0" borderId="0" xfId="0" applyNumberFormat="1" applyFont="1" applyAlignment="1"/>
    <xf numFmtId="0" fontId="4" fillId="0" borderId="0" xfId="0" applyFont="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0" fillId="2" borderId="25" xfId="0" applyNumberFormat="1" applyFill="1" applyBorder="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4" fillId="3" borderId="5" xfId="0" applyFont="1" applyFill="1" applyBorder="1" applyAlignment="1">
      <alignment horizontal="center" vertical="center"/>
    </xf>
    <xf numFmtId="0" fontId="12" fillId="3" borderId="7" xfId="0" quotePrefix="1" applyFont="1" applyFill="1" applyBorder="1" applyAlignment="1">
      <alignment horizontal="center" vertical="center"/>
    </xf>
    <xf numFmtId="1" fontId="11" fillId="3" borderId="5" xfId="0" applyNumberFormat="1" applyFont="1" applyFill="1" applyBorder="1" applyAlignment="1">
      <alignment horizontal="center" vertical="center"/>
    </xf>
    <xf numFmtId="165" fontId="12" fillId="3" borderId="6" xfId="0" applyNumberFormat="1" applyFont="1" applyFill="1" applyBorder="1" applyAlignment="1">
      <alignment horizontal="center" vertical="center"/>
    </xf>
    <xf numFmtId="10" fontId="4" fillId="3" borderId="25" xfId="0" applyNumberFormat="1" applyFont="1" applyFill="1" applyBorder="1" applyAlignment="1">
      <alignment horizontal="center" vertical="center"/>
    </xf>
    <xf numFmtId="1" fontId="4" fillId="3" borderId="6" xfId="0" applyNumberFormat="1" applyFont="1" applyFill="1" applyBorder="1" applyAlignment="1">
      <alignment horizontal="center" vertical="center"/>
    </xf>
    <xf numFmtId="0" fontId="12" fillId="3" borderId="6" xfId="0" applyFont="1" applyFill="1" applyBorder="1" applyAlignment="1">
      <alignment horizontal="center" vertical="center"/>
    </xf>
    <xf numFmtId="1" fontId="4" fillId="3" borderId="7" xfId="0" applyNumberFormat="1" applyFont="1" applyFill="1" applyBorder="1" applyAlignment="1">
      <alignment horizontal="center" vertical="center"/>
    </xf>
    <xf numFmtId="0" fontId="0" fillId="0" borderId="26" xfId="0" applyFill="1" applyBorder="1" applyAlignment="1">
      <alignment horizontal="center" vertical="center"/>
    </xf>
    <xf numFmtId="0" fontId="12" fillId="0" borderId="26" xfId="0" quotePrefix="1" applyFont="1" applyFill="1" applyBorder="1" applyAlignment="1">
      <alignment horizontal="center" vertical="center"/>
    </xf>
    <xf numFmtId="1" fontId="11" fillId="0" borderId="26" xfId="0" applyNumberFormat="1" applyFont="1" applyFill="1" applyBorder="1" applyAlignment="1">
      <alignment horizontal="center" vertical="center"/>
    </xf>
    <xf numFmtId="165" fontId="12" fillId="0" borderId="26" xfId="0" applyNumberFormat="1" applyFont="1" applyFill="1" applyBorder="1" applyAlignment="1">
      <alignment horizontal="center" vertical="center"/>
    </xf>
    <xf numFmtId="10" fontId="4" fillId="0" borderId="26" xfId="0" applyNumberFormat="1" applyFont="1" applyFill="1" applyBorder="1" applyAlignment="1">
      <alignment horizontal="center" vertical="center"/>
    </xf>
    <xf numFmtId="0" fontId="4" fillId="0" borderId="26" xfId="0" applyFont="1" applyFill="1" applyBorder="1" applyAlignment="1">
      <alignment horizontal="center" vertical="center"/>
    </xf>
    <xf numFmtId="1" fontId="4" fillId="0" borderId="26" xfId="0" applyNumberFormat="1" applyFont="1" applyFill="1" applyBorder="1" applyAlignment="1">
      <alignment horizontal="center" vertical="center"/>
    </xf>
    <xf numFmtId="0" fontId="12" fillId="0" borderId="26" xfId="0" applyFont="1" applyFill="1" applyBorder="1" applyAlignment="1">
      <alignment horizontal="center" vertical="center"/>
    </xf>
    <xf numFmtId="1" fontId="0" fillId="0" borderId="26" xfId="0" applyNumberForma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3" borderId="2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27"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4" borderId="28"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1" fontId="4" fillId="3" borderId="35"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65"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0" fillId="0" borderId="0" xfId="0" quotePrefix="1" applyAlignment="1">
      <alignment horizontal="center"/>
    </xf>
    <xf numFmtId="0" fontId="4" fillId="0" borderId="0" xfId="0" applyFont="1"/>
    <xf numFmtId="0" fontId="4" fillId="3" borderId="1" xfId="0"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4" fillId="3" borderId="5" xfId="0" applyFont="1" applyFill="1" applyBorder="1" applyAlignment="1">
      <alignment horizontal="center" vertical="center"/>
    </xf>
    <xf numFmtId="10" fontId="4" fillId="3" borderId="25" xfId="0" applyNumberFormat="1" applyFont="1" applyFill="1" applyBorder="1" applyAlignment="1">
      <alignment horizontal="center" vertical="center"/>
    </xf>
    <xf numFmtId="0" fontId="12" fillId="3" borderId="6" xfId="0" applyFont="1" applyFill="1" applyBorder="1" applyAlignment="1">
      <alignment horizontal="center" vertical="center"/>
    </xf>
    <xf numFmtId="0" fontId="12" fillId="0" borderId="26" xfId="0" quotePrefix="1" applyFont="1" applyFill="1" applyBorder="1" applyAlignment="1">
      <alignment horizontal="center" vertical="center"/>
    </xf>
    <xf numFmtId="0" fontId="0" fillId="0" borderId="0" xfId="0" applyAlignment="1">
      <alignment horizontal="center"/>
    </xf>
    <xf numFmtId="0" fontId="12" fillId="3" borderId="35" xfId="0" quotePrefix="1" applyFont="1" applyFill="1" applyBorder="1" applyAlignment="1">
      <alignment horizontal="center" vertical="center"/>
    </xf>
    <xf numFmtId="10" fontId="4" fillId="3" borderId="37" xfId="0" applyNumberFormat="1" applyFont="1" applyFill="1" applyBorder="1" applyAlignment="1">
      <alignment horizontal="center" vertical="center"/>
    </xf>
    <xf numFmtId="0" fontId="10" fillId="2" borderId="41" xfId="0" applyFont="1" applyFill="1" applyBorder="1"/>
    <xf numFmtId="10" fontId="0" fillId="2" borderId="38" xfId="0" applyNumberFormat="1" applyFill="1" applyBorder="1"/>
    <xf numFmtId="0" fontId="0" fillId="2" borderId="41" xfId="0" applyFill="1" applyBorder="1"/>
    <xf numFmtId="0" fontId="0" fillId="2" borderId="42" xfId="0" applyFill="1" applyBorder="1"/>
    <xf numFmtId="0" fontId="4" fillId="3" borderId="43" xfId="0" applyFont="1" applyFill="1" applyBorder="1" applyAlignment="1">
      <alignment horizontal="center" vertical="center"/>
    </xf>
    <xf numFmtId="0" fontId="12" fillId="3" borderId="44" xfId="0" quotePrefix="1" applyFont="1" applyFill="1" applyBorder="1" applyAlignment="1">
      <alignment horizontal="center" vertical="center"/>
    </xf>
    <xf numFmtId="1" fontId="11" fillId="3" borderId="43" xfId="0" applyNumberFormat="1" applyFont="1" applyFill="1" applyBorder="1" applyAlignment="1">
      <alignment horizontal="center" vertical="center"/>
    </xf>
    <xf numFmtId="165" fontId="12" fillId="3" borderId="45" xfId="0" applyNumberFormat="1" applyFont="1" applyFill="1" applyBorder="1" applyAlignment="1">
      <alignment horizontal="center" vertical="center"/>
    </xf>
    <xf numFmtId="10" fontId="4" fillId="3" borderId="44" xfId="0" applyNumberFormat="1" applyFont="1" applyFill="1" applyBorder="1" applyAlignment="1">
      <alignment horizontal="center" vertical="center"/>
    </xf>
    <xf numFmtId="1" fontId="4" fillId="3" borderId="45" xfId="0" applyNumberFormat="1" applyFont="1" applyFill="1" applyBorder="1" applyAlignment="1">
      <alignment horizontal="center" vertical="center"/>
    </xf>
    <xf numFmtId="0" fontId="12" fillId="3" borderId="45" xfId="0" applyFont="1" applyFill="1" applyBorder="1" applyAlignment="1">
      <alignment horizontal="center" vertical="center"/>
    </xf>
    <xf numFmtId="1" fontId="4" fillId="3" borderId="44"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0" fontId="12" fillId="3" borderId="27" xfId="0" quotePrefix="1" applyFont="1" applyFill="1" applyBorder="1" applyAlignment="1">
      <alignment horizontal="center" vertical="center"/>
    </xf>
    <xf numFmtId="165" fontId="12" fillId="3" borderId="47"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0" fontId="12" fillId="3" borderId="47" xfId="0" applyFont="1" applyFill="1" applyBorder="1" applyAlignment="1">
      <alignment horizontal="center" vertical="center"/>
    </xf>
    <xf numFmtId="10" fontId="4" fillId="4" borderId="46"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42" xfId="0" quotePrefix="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0" fontId="12" fillId="3" borderId="41" xfId="0" applyFont="1" applyFill="1" applyBorder="1" applyAlignment="1">
      <alignment horizontal="center" vertical="center"/>
    </xf>
    <xf numFmtId="0" fontId="12" fillId="3" borderId="48" xfId="0" quotePrefix="1" applyFont="1" applyFill="1" applyBorder="1" applyAlignment="1">
      <alignment horizontal="center" vertical="center"/>
    </xf>
    <xf numFmtId="1" fontId="11" fillId="3" borderId="9" xfId="0" applyNumberFormat="1" applyFont="1" applyFill="1" applyBorder="1" applyAlignment="1">
      <alignment horizontal="center" vertical="center"/>
    </xf>
    <xf numFmtId="165" fontId="12" fillId="3" borderId="4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 fontId="4" fillId="3" borderId="49" xfId="0" applyNumberFormat="1" applyFont="1" applyFill="1" applyBorder="1" applyAlignment="1">
      <alignment horizontal="center" vertical="center"/>
    </xf>
    <xf numFmtId="0" fontId="12" fillId="3" borderId="49" xfId="0" applyFont="1" applyFill="1" applyBorder="1" applyAlignment="1">
      <alignment horizontal="center" vertical="center"/>
    </xf>
    <xf numFmtId="1" fontId="0" fillId="3" borderId="48" xfId="0" applyNumberFormat="1" applyFill="1" applyBorder="1" applyAlignment="1">
      <alignment horizontal="center" vertical="center"/>
    </xf>
    <xf numFmtId="1" fontId="0" fillId="3" borderId="34" xfId="0" applyNumberFormat="1" applyFill="1" applyBorder="1" applyAlignment="1">
      <alignment horizontal="center" vertical="center"/>
    </xf>
    <xf numFmtId="0" fontId="4" fillId="0" borderId="0" xfId="0" applyFont="1" applyFill="1" applyBorder="1" applyAlignment="1">
      <alignment horizontal="center" vertical="center"/>
    </xf>
    <xf numFmtId="0" fontId="0" fillId="3" borderId="50" xfId="0" applyFill="1" applyBorder="1" applyAlignment="1">
      <alignment horizontal="center" vertical="center"/>
    </xf>
    <xf numFmtId="0" fontId="0" fillId="3" borderId="43" xfId="0" applyFill="1" applyBorder="1" applyAlignment="1">
      <alignment horizontal="center" vertical="center"/>
    </xf>
    <xf numFmtId="0" fontId="0" fillId="0" borderId="0" xfId="0" applyFill="1" applyBorder="1" applyAlignment="1">
      <alignment horizontal="center" vertical="center"/>
    </xf>
    <xf numFmtId="0" fontId="12" fillId="0" borderId="0" xfId="0" quotePrefix="1" applyFont="1" applyFill="1" applyBorder="1" applyAlignment="1">
      <alignment horizontal="center" vertical="center"/>
    </xf>
    <xf numFmtId="1" fontId="11" fillId="0" borderId="0" xfId="0" applyNumberFormat="1" applyFont="1" applyFill="1" applyBorder="1" applyAlignment="1">
      <alignment horizontal="center" vertical="center"/>
    </xf>
    <xf numFmtId="165" fontId="12" fillId="0" borderId="0" xfId="0" applyNumberFormat="1" applyFont="1" applyFill="1" applyBorder="1" applyAlignment="1">
      <alignment horizontal="center" vertical="center"/>
    </xf>
    <xf numFmtId="10" fontId="4" fillId="0" borderId="0" xfId="0"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1" fontId="0" fillId="0" borderId="0" xfId="0" applyNumberFormat="1" applyFill="1" applyBorder="1" applyAlignment="1">
      <alignment horizontal="center" vertical="center"/>
    </xf>
    <xf numFmtId="0" fontId="0" fillId="0" borderId="0" xfId="0" applyAlignment="1">
      <alignment horizontal="center"/>
    </xf>
    <xf numFmtId="1" fontId="4" fillId="3" borderId="5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47" xfId="0" applyFont="1" applyFill="1" applyBorder="1"/>
    <xf numFmtId="10" fontId="4" fillId="3" borderId="52" xfId="0" applyNumberFormat="1" applyFont="1" applyFill="1" applyBorder="1" applyAlignment="1">
      <alignment horizontal="center" vertical="center"/>
    </xf>
    <xf numFmtId="10" fontId="0" fillId="2" borderId="42" xfId="0" applyNumberFormat="1" applyFill="1" applyBorder="1"/>
    <xf numFmtId="0" fontId="0" fillId="2" borderId="56" xfId="0" applyFill="1" applyBorder="1"/>
    <xf numFmtId="10" fontId="30" fillId="2" borderId="38" xfId="0" applyNumberFormat="1" applyFont="1" applyFill="1" applyBorder="1"/>
    <xf numFmtId="10" fontId="0" fillId="2" borderId="27" xfId="0" applyNumberFormat="1" applyFill="1" applyBorder="1"/>
    <xf numFmtId="10" fontId="4" fillId="3" borderId="53" xfId="0" applyNumberFormat="1" applyFont="1" applyFill="1" applyBorder="1" applyAlignment="1">
      <alignment horizontal="center" vertical="center"/>
    </xf>
    <xf numFmtId="0" fontId="4" fillId="0" borderId="47" xfId="0" applyFont="1" applyBorder="1" applyAlignment="1">
      <alignment horizontal="center"/>
    </xf>
    <xf numFmtId="1" fontId="4" fillId="0" borderId="47" xfId="0" applyNumberFormat="1" applyFont="1" applyBorder="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4" fillId="3" borderId="57" xfId="0" applyNumberFormat="1" applyFont="1" applyFill="1" applyBorder="1" applyAlignment="1">
      <alignment horizontal="center" vertical="center"/>
    </xf>
    <xf numFmtId="1" fontId="4" fillId="3" borderId="58" xfId="0" applyNumberFormat="1" applyFont="1" applyFill="1" applyBorder="1" applyAlignment="1">
      <alignment horizontal="center" vertical="center"/>
    </xf>
    <xf numFmtId="0" fontId="0" fillId="0" borderId="0" xfId="0" applyAlignment="1">
      <alignment horizontal="center"/>
    </xf>
    <xf numFmtId="0" fontId="4" fillId="5" borderId="1" xfId="0" applyFont="1" applyFill="1" applyBorder="1" applyAlignment="1">
      <alignment horizontal="center" vertical="center"/>
    </xf>
    <xf numFmtId="0" fontId="4" fillId="0" borderId="26" xfId="0" applyFont="1" applyBorder="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11" fillId="5" borderId="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10" fontId="4" fillId="28" borderId="3" xfId="0" applyNumberFormat="1"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0" borderId="0" xfId="0" applyAlignment="1">
      <alignment horizontal="center"/>
    </xf>
    <xf numFmtId="165" fontId="12" fillId="3" borderId="41"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12" fillId="3" borderId="53" xfId="0" quotePrefix="1" applyFont="1" applyFill="1" applyBorder="1" applyAlignment="1">
      <alignment horizontal="center" vertical="center"/>
    </xf>
    <xf numFmtId="1" fontId="11" fillId="3" borderId="50" xfId="0" applyNumberFormat="1" applyFont="1" applyFill="1" applyBorder="1" applyAlignment="1">
      <alignment horizontal="center" vertical="center"/>
    </xf>
    <xf numFmtId="165" fontId="12" fillId="3" borderId="60" xfId="0" applyNumberFormat="1" applyFont="1" applyFill="1" applyBorder="1" applyAlignment="1">
      <alignment horizontal="center" vertical="center"/>
    </xf>
    <xf numFmtId="10" fontId="4" fillId="3" borderId="48" xfId="0" applyNumberFormat="1" applyFont="1" applyFill="1" applyBorder="1" applyAlignment="1">
      <alignment horizontal="center" vertical="center"/>
    </xf>
    <xf numFmtId="0" fontId="12" fillId="3" borderId="51" xfId="0" quotePrefix="1" applyFont="1" applyFill="1" applyBorder="1" applyAlignment="1">
      <alignment horizontal="center" vertical="center"/>
    </xf>
    <xf numFmtId="1" fontId="11" fillId="3" borderId="10" xfId="0" applyNumberFormat="1" applyFont="1" applyFill="1" applyBorder="1" applyAlignment="1">
      <alignment horizontal="center" vertical="center"/>
    </xf>
    <xf numFmtId="165" fontId="12" fillId="3" borderId="57" xfId="0" applyNumberFormat="1" applyFont="1" applyFill="1" applyBorder="1" applyAlignment="1">
      <alignment horizontal="center" vertical="center"/>
    </xf>
    <xf numFmtId="10" fontId="4" fillId="3" borderId="36" xfId="0" applyNumberFormat="1" applyFont="1" applyFill="1" applyBorder="1" applyAlignment="1">
      <alignment horizontal="center" vertical="center"/>
    </xf>
    <xf numFmtId="10" fontId="4" fillId="3" borderId="51" xfId="0" applyNumberFormat="1" applyFont="1" applyFill="1" applyBorder="1" applyAlignment="1">
      <alignment horizontal="center" vertical="center"/>
    </xf>
    <xf numFmtId="10" fontId="4" fillId="3" borderId="35" xfId="0" applyNumberFormat="1"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5"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0" fontId="0" fillId="2" borderId="41" xfId="0" applyFill="1" applyBorder="1"/>
    <xf numFmtId="0" fontId="0" fillId="2" borderId="42" xfId="0" applyFill="1" applyBorder="1"/>
    <xf numFmtId="0" fontId="10" fillId="2" borderId="47" xfId="0" applyFont="1" applyFill="1" applyBorder="1"/>
    <xf numFmtId="0" fontId="10" fillId="2" borderId="41" xfId="0" applyFont="1" applyFill="1" applyBorder="1"/>
    <xf numFmtId="10" fontId="4" fillId="3" borderId="3"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3" xfId="0" applyNumberFormat="1" applyFont="1" applyFill="1" applyBorder="1" applyAlignment="1">
      <alignment horizontal="center" vertical="center"/>
    </xf>
    <xf numFmtId="0" fontId="12" fillId="3" borderId="47" xfId="0" applyFont="1" applyFill="1" applyBorder="1" applyAlignment="1">
      <alignment horizontal="center" vertical="center"/>
    </xf>
    <xf numFmtId="0" fontId="12" fillId="3" borderId="27" xfId="0" quotePrefix="1" applyFont="1" applyFill="1" applyBorder="1" applyAlignment="1">
      <alignment horizontal="center" vertical="center"/>
    </xf>
    <xf numFmtId="10" fontId="0" fillId="2" borderId="38" xfId="0" applyNumberFormat="1" applyFill="1" applyBorder="1"/>
    <xf numFmtId="0" fontId="12" fillId="3" borderId="42"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0" fontId="12" fillId="3" borderId="41" xfId="0"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 fontId="0" fillId="3" borderId="34" xfId="0" applyNumberFormat="1" applyFill="1" applyBorder="1" applyAlignment="1">
      <alignment horizontal="center" vertical="center"/>
    </xf>
    <xf numFmtId="10" fontId="4" fillId="28" borderId="3"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10" fontId="4" fillId="3" borderId="36" xfId="0" applyNumberFormat="1" applyFont="1" applyFill="1" applyBorder="1" applyAlignment="1">
      <alignment horizontal="center" vertical="center"/>
    </xf>
    <xf numFmtId="0" fontId="0" fillId="0" borderId="0" xfId="0"/>
    <xf numFmtId="0" fontId="0" fillId="2" borderId="1" xfId="0" applyFill="1" applyBorder="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0" fontId="0" fillId="2" borderId="5" xfId="0" applyFill="1" applyBorder="1"/>
    <xf numFmtId="0" fontId="4" fillId="0" borderId="0" xfId="0" applyFont="1"/>
    <xf numFmtId="0" fontId="4" fillId="3" borderId="1" xfId="0" applyFont="1" applyFill="1" applyBorder="1" applyAlignment="1">
      <alignment horizontal="center" vertical="center"/>
    </xf>
    <xf numFmtId="0" fontId="4" fillId="0" borderId="0" xfId="0" applyNumberFormat="1" applyFont="1" applyAlignment="1">
      <alignment horizontal="left"/>
    </xf>
    <xf numFmtId="1" fontId="4" fillId="0" borderId="0" xfId="0" applyNumberFormat="1" applyFont="1" applyAlignment="1">
      <alignment horizontal="left"/>
    </xf>
    <xf numFmtId="1" fontId="11" fillId="3" borderId="1" xfId="0" applyNumberFormat="1" applyFont="1" applyFill="1" applyBorder="1" applyAlignment="1">
      <alignment horizontal="center" vertical="center"/>
    </xf>
    <xf numFmtId="0" fontId="4" fillId="0" borderId="0" xfId="0" applyFont="1" applyAlignment="1">
      <alignment horizontal="center"/>
    </xf>
    <xf numFmtId="0" fontId="4" fillId="0" borderId="0" xfId="0" applyFont="1" applyAlignment="1"/>
    <xf numFmtId="0" fontId="4" fillId="3" borderId="5" xfId="0" applyFont="1" applyFill="1" applyBorder="1" applyAlignment="1">
      <alignment horizontal="center" vertical="center"/>
    </xf>
    <xf numFmtId="1" fontId="11" fillId="3" borderId="5"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4" fillId="3" borderId="43" xfId="0" applyFont="1" applyFill="1" applyBorder="1" applyAlignment="1">
      <alignment horizontal="center" vertical="center"/>
    </xf>
    <xf numFmtId="1" fontId="11" fillId="3" borderId="43"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11" fillId="3" borderId="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 fontId="11" fillId="3" borderId="50"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165" fontId="12" fillId="3" borderId="70" xfId="0" applyNumberFormat="1" applyFont="1" applyFill="1" applyBorder="1" applyAlignment="1">
      <alignment horizontal="center" vertical="center"/>
    </xf>
    <xf numFmtId="165" fontId="12" fillId="3" borderId="6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97" xfId="0" applyNumberFormat="1" applyFont="1" applyFill="1" applyBorder="1" applyAlignment="1">
      <alignment horizontal="center" vertical="center"/>
    </xf>
    <xf numFmtId="165" fontId="12" fillId="3" borderId="98" xfId="0" applyNumberFormat="1" applyFont="1" applyFill="1" applyBorder="1" applyAlignment="1">
      <alignment horizontal="center" vertical="center"/>
    </xf>
    <xf numFmtId="165" fontId="12" fillId="3" borderId="96" xfId="0" applyNumberFormat="1" applyFont="1" applyFill="1" applyBorder="1" applyAlignment="1">
      <alignment horizontal="center" vertic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8"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0" xfId="0" quotePrefix="1" applyFont="1" applyFill="1" applyBorder="1" applyAlignment="1">
      <alignment horizontal="center" vertical="center"/>
    </xf>
    <xf numFmtId="0" fontId="12" fillId="3" borderId="111" xfId="0" quotePrefix="1" applyFont="1" applyFill="1" applyBorder="1" applyAlignment="1">
      <alignment horizontal="center" vertical="center"/>
    </xf>
    <xf numFmtId="0" fontId="12" fillId="3" borderId="112" xfId="0" quotePrefix="1" applyFont="1" applyFill="1" applyBorder="1" applyAlignment="1">
      <alignment horizontal="center" vertical="center"/>
    </xf>
    <xf numFmtId="0" fontId="12" fillId="3" borderId="113" xfId="0" quotePrefix="1" applyFont="1" applyFill="1" applyBorder="1" applyAlignment="1">
      <alignment horizontal="center" vertical="center"/>
    </xf>
    <xf numFmtId="0" fontId="12" fillId="3" borderId="114" xfId="0" quotePrefix="1" applyFont="1" applyFill="1" applyBorder="1" applyAlignment="1">
      <alignment horizontal="center" vertical="center"/>
    </xf>
    <xf numFmtId="0" fontId="12" fillId="3" borderId="115" xfId="0" quotePrefix="1" applyFont="1" applyFill="1" applyBorder="1" applyAlignment="1">
      <alignment horizontal="center" vertical="center"/>
    </xf>
    <xf numFmtId="0" fontId="12" fillId="3" borderId="116" xfId="0" quotePrefix="1" applyFont="1" applyFill="1" applyBorder="1" applyAlignment="1">
      <alignment horizontal="center" vertical="center"/>
    </xf>
    <xf numFmtId="0" fontId="10" fillId="2" borderId="117" xfId="0" applyFont="1" applyFill="1" applyBorder="1"/>
    <xf numFmtId="165" fontId="12" fillId="3" borderId="118" xfId="0" applyNumberFormat="1" applyFont="1" applyFill="1" applyBorder="1" applyAlignment="1">
      <alignment horizontal="center" vertical="center"/>
    </xf>
    <xf numFmtId="165" fontId="12" fillId="3" borderId="119" xfId="0" applyNumberFormat="1" applyFont="1" applyFill="1" applyBorder="1" applyAlignment="1">
      <alignment horizontal="center" vertical="center"/>
    </xf>
    <xf numFmtId="165" fontId="12" fillId="3" borderId="120" xfId="0" applyNumberFormat="1" applyFont="1" applyFill="1" applyBorder="1" applyAlignment="1">
      <alignment horizontal="center" vertical="center"/>
    </xf>
    <xf numFmtId="165" fontId="12" fillId="3" borderId="117" xfId="0" applyNumberFormat="1" applyFont="1" applyFill="1" applyBorder="1" applyAlignment="1">
      <alignment horizontal="center" vertical="center"/>
    </xf>
    <xf numFmtId="165" fontId="12" fillId="3" borderId="121" xfId="0" applyNumberFormat="1" applyFont="1" applyFill="1" applyBorder="1" applyAlignment="1">
      <alignment horizontal="center" vertical="center"/>
    </xf>
    <xf numFmtId="0" fontId="10" fillId="2" borderId="120" xfId="0" applyFont="1" applyFill="1" applyBorder="1"/>
    <xf numFmtId="165" fontId="12" fillId="3" borderId="122" xfId="0" applyNumberFormat="1" applyFont="1" applyFill="1" applyBorder="1" applyAlignment="1">
      <alignment horizontal="center" vertical="center"/>
    </xf>
    <xf numFmtId="165" fontId="12" fillId="3" borderId="123" xfId="0" applyNumberFormat="1" applyFont="1" applyFill="1" applyBorder="1" applyAlignment="1">
      <alignment horizontal="center" vertical="center"/>
    </xf>
    <xf numFmtId="10" fontId="4" fillId="3" borderId="109" xfId="0" applyNumberFormat="1" applyFont="1" applyFill="1" applyBorder="1" applyAlignment="1">
      <alignment horizontal="center" vertical="center"/>
    </xf>
    <xf numFmtId="10" fontId="0" fillId="2" borderId="112" xfId="0" applyNumberFormat="1" applyFill="1" applyBorder="1"/>
    <xf numFmtId="10" fontId="4" fillId="3" borderId="114" xfId="0" applyNumberFormat="1" applyFont="1" applyFill="1" applyBorder="1" applyAlignment="1">
      <alignment horizontal="center" vertical="center"/>
    </xf>
    <xf numFmtId="10" fontId="4" fillId="3" borderId="124" xfId="0" applyNumberFormat="1" applyFont="1" applyFill="1" applyBorder="1" applyAlignment="1">
      <alignment horizontal="center" vertical="center"/>
    </xf>
    <xf numFmtId="0" fontId="0" fillId="2" borderId="117" xfId="0" applyFill="1" applyBorder="1"/>
    <xf numFmtId="1" fontId="4" fillId="3" borderId="118" xfId="0" applyNumberFormat="1" applyFont="1" applyFill="1" applyBorder="1" applyAlignment="1">
      <alignment horizontal="center" vertical="center"/>
    </xf>
    <xf numFmtId="1" fontId="4" fillId="3" borderId="119" xfId="0" applyNumberFormat="1" applyFont="1" applyFill="1" applyBorder="1" applyAlignment="1">
      <alignment horizontal="center" vertical="center"/>
    </xf>
    <xf numFmtId="1" fontId="4" fillId="3" borderId="125" xfId="0" applyNumberFormat="1" applyFont="1" applyFill="1" applyBorder="1" applyAlignment="1">
      <alignment horizontal="center" vertical="center"/>
    </xf>
    <xf numFmtId="1" fontId="4" fillId="3" borderId="120" xfId="0" applyNumberFormat="1" applyFont="1" applyFill="1" applyBorder="1" applyAlignment="1">
      <alignment horizontal="center" vertical="center"/>
    </xf>
    <xf numFmtId="1" fontId="4" fillId="3" borderId="122" xfId="0" applyNumberFormat="1" applyFont="1" applyFill="1" applyBorder="1" applyAlignment="1">
      <alignment horizontal="center" vertical="center"/>
    </xf>
    <xf numFmtId="1" fontId="4" fillId="3" borderId="117" xfId="0" applyNumberFormat="1" applyFont="1" applyFill="1" applyBorder="1" applyAlignment="1">
      <alignment horizontal="center" vertical="center"/>
    </xf>
    <xf numFmtId="1" fontId="4" fillId="3" borderId="121" xfId="0" applyNumberFormat="1" applyFont="1" applyFill="1" applyBorder="1" applyAlignment="1">
      <alignment horizontal="center" vertical="center"/>
    </xf>
    <xf numFmtId="10" fontId="0" fillId="2" borderId="113" xfId="0" applyNumberFormat="1" applyFill="1" applyBorder="1"/>
    <xf numFmtId="10" fontId="4" fillId="3" borderId="110" xfId="0" applyNumberFormat="1" applyFont="1" applyFill="1" applyBorder="1" applyAlignment="1">
      <alignment horizontal="center" vertical="center"/>
    </xf>
    <xf numFmtId="10" fontId="4" fillId="3" borderId="111" xfId="0" applyNumberFormat="1" applyFont="1" applyFill="1" applyBorder="1" applyAlignment="1">
      <alignment horizontal="center" vertical="center"/>
    </xf>
    <xf numFmtId="10" fontId="4" fillId="3" borderId="115" xfId="0" applyNumberFormat="1" applyFont="1" applyFill="1" applyBorder="1" applyAlignment="1">
      <alignment horizontal="center" vertical="center"/>
    </xf>
    <xf numFmtId="10" fontId="4" fillId="3" borderId="116" xfId="0" applyNumberFormat="1" applyFont="1" applyFill="1" applyBorder="1" applyAlignment="1">
      <alignment horizontal="center" vertical="center"/>
    </xf>
    <xf numFmtId="0" fontId="12" fillId="3" borderId="118" xfId="0" applyFont="1" applyFill="1" applyBorder="1" applyAlignment="1">
      <alignment horizontal="center" vertical="center"/>
    </xf>
    <xf numFmtId="0" fontId="12" fillId="3" borderId="119" xfId="0" applyFont="1" applyFill="1" applyBorder="1" applyAlignment="1">
      <alignment horizontal="center" vertical="center"/>
    </xf>
    <xf numFmtId="0" fontId="12" fillId="3" borderId="120" xfId="0" applyFont="1" applyFill="1" applyBorder="1" applyAlignment="1">
      <alignment horizontal="center" vertical="center"/>
    </xf>
    <xf numFmtId="0" fontId="12" fillId="3" borderId="117" xfId="0" applyFont="1" applyFill="1" applyBorder="1" applyAlignment="1">
      <alignment horizontal="center" vertical="center"/>
    </xf>
    <xf numFmtId="0" fontId="12" fillId="3" borderId="121" xfId="0" applyFont="1" applyFill="1" applyBorder="1" applyAlignment="1">
      <alignment horizontal="center" vertical="center"/>
    </xf>
    <xf numFmtId="0" fontId="0" fillId="2" borderId="113" xfId="0" applyFill="1" applyBorder="1"/>
    <xf numFmtId="1" fontId="4" fillId="3" borderId="115" xfId="0" applyNumberFormat="1" applyFont="1" applyFill="1" applyBorder="1" applyAlignment="1">
      <alignment horizontal="center" vertical="center"/>
    </xf>
    <xf numFmtId="1" fontId="4" fillId="3" borderId="112" xfId="0" applyNumberFormat="1" applyFont="1" applyFill="1" applyBorder="1" applyAlignment="1">
      <alignment horizontal="center" vertical="center"/>
    </xf>
    <xf numFmtId="1" fontId="4" fillId="3" borderId="113" xfId="0" applyNumberFormat="1" applyFont="1" applyFill="1" applyBorder="1" applyAlignment="1">
      <alignment horizontal="center" vertical="center"/>
    </xf>
    <xf numFmtId="1" fontId="4" fillId="3" borderId="111" xfId="0" applyNumberFormat="1" applyFont="1" applyFill="1" applyBorder="1" applyAlignment="1">
      <alignment horizontal="center" vertical="center"/>
    </xf>
    <xf numFmtId="1" fontId="4" fillId="3" borderId="110" xfId="0" applyNumberFormat="1" applyFont="1" applyFill="1" applyBorder="1" applyAlignment="1">
      <alignment horizontal="center" vertical="center"/>
    </xf>
    <xf numFmtId="1" fontId="0" fillId="3" borderId="114" xfId="0" applyNumberFormat="1" applyFill="1" applyBorder="1" applyAlignment="1">
      <alignment horizontal="center" vertical="center"/>
    </xf>
    <xf numFmtId="1" fontId="0" fillId="3" borderId="119" xfId="0" applyNumberFormat="1" applyFill="1" applyBorder="1" applyAlignment="1">
      <alignment horizontal="center" vertical="center"/>
    </xf>
    <xf numFmtId="10" fontId="4" fillId="4" borderId="124"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3" borderId="43"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0" fontId="4" fillId="28" borderId="109"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9" xfId="0" applyFont="1" applyFill="1" applyBorder="1" applyAlignment="1">
      <alignment horizontal="center" vertical="center"/>
    </xf>
    <xf numFmtId="1" fontId="4" fillId="3" borderId="119"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0" fillId="3" borderId="119" xfId="0" applyNumberFormat="1" applyFill="1" applyBorder="1" applyAlignment="1">
      <alignment horizontal="center" vertical="center"/>
    </xf>
    <xf numFmtId="0" fontId="31" fillId="3" borderId="33" xfId="0" applyFont="1" applyFill="1" applyBorder="1" applyAlignment="1">
      <alignment horizontal="center" vertical="center"/>
    </xf>
    <xf numFmtId="0" fontId="10" fillId="3" borderId="50" xfId="0" applyFont="1" applyFill="1" applyBorder="1" applyAlignment="1">
      <alignment horizontal="center" vertical="center"/>
    </xf>
    <xf numFmtId="0" fontId="12" fillId="3" borderId="142" xfId="0" quotePrefix="1" applyFont="1" applyFill="1" applyBorder="1" applyAlignment="1">
      <alignment horizontal="center" vertical="center"/>
    </xf>
    <xf numFmtId="165" fontId="12" fillId="3" borderId="144" xfId="0" applyNumberFormat="1" applyFont="1" applyFill="1" applyBorder="1" applyAlignment="1">
      <alignment horizontal="center" vertical="center"/>
    </xf>
    <xf numFmtId="0" fontId="12" fillId="3" borderId="143"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3" fontId="0" fillId="0" borderId="0" xfId="0" applyNumberFormat="1"/>
    <xf numFmtId="3" fontId="0" fillId="0" borderId="0" xfId="0" applyNumberFormat="1" applyAlignment="1">
      <alignment wrapText="1"/>
    </xf>
    <xf numFmtId="0" fontId="0" fillId="0" borderId="0" xfId="0" applyAlignment="1">
      <alignment wrapText="1"/>
    </xf>
    <xf numFmtId="0" fontId="0" fillId="0" borderId="0" xfId="0" applyAlignment="1">
      <alignment horizontal="center"/>
    </xf>
    <xf numFmtId="164" fontId="0" fillId="0" borderId="120" xfId="0" applyNumberFormat="1" applyBorder="1"/>
    <xf numFmtId="1" fontId="0" fillId="0" borderId="120" xfId="0" applyNumberFormat="1" applyBorder="1"/>
    <xf numFmtId="0" fontId="0" fillId="0" borderId="120" xfId="0" applyBorder="1"/>
    <xf numFmtId="1" fontId="33" fillId="29" borderId="120" xfId="8" applyNumberFormat="1" applyFont="1" applyFill="1" applyBorder="1" applyAlignment="1">
      <alignment wrapText="1"/>
    </xf>
    <xf numFmtId="164" fontId="3" fillId="29" borderId="120" xfId="0" applyNumberFormat="1" applyFont="1" applyFill="1" applyBorder="1" applyAlignment="1">
      <alignment horizontal="center" vertical="center" wrapText="1"/>
    </xf>
    <xf numFmtId="1" fontId="33" fillId="29" borderId="120" xfId="8" applyNumberFormat="1" applyFont="1" applyFill="1" applyBorder="1" applyAlignment="1">
      <alignment horizontal="center" vertical="center" wrapText="1"/>
    </xf>
    <xf numFmtId="165" fontId="0" fillId="0" borderId="120" xfId="0" applyNumberFormat="1" applyBorder="1" applyAlignment="1">
      <alignment horizontal="center"/>
    </xf>
    <xf numFmtId="0" fontId="0" fillId="0" borderId="120" xfId="0" quotePrefix="1" applyBorder="1" applyAlignment="1">
      <alignment horizontal="center"/>
    </xf>
    <xf numFmtId="0" fontId="0" fillId="0" borderId="120" xfId="0" applyBorder="1" applyAlignment="1">
      <alignment horizontal="center"/>
    </xf>
    <xf numFmtId="3" fontId="0" fillId="0" borderId="120" xfId="0" applyNumberFormat="1" applyBorder="1"/>
    <xf numFmtId="49" fontId="0" fillId="0" borderId="120" xfId="0" applyNumberFormat="1" applyBorder="1" applyAlignment="1">
      <alignment horizontal="right" wrapText="1"/>
    </xf>
    <xf numFmtId="0" fontId="0" fillId="0" borderId="120" xfId="0" applyBorder="1" applyAlignment="1">
      <alignment horizontal="right" wrapText="1"/>
    </xf>
    <xf numFmtId="0" fontId="0" fillId="0" borderId="120" xfId="0" applyBorder="1" applyAlignment="1">
      <alignment wrapText="1"/>
    </xf>
    <xf numFmtId="49" fontId="0" fillId="0" borderId="120" xfId="0" applyNumberFormat="1" applyBorder="1"/>
    <xf numFmtId="1" fontId="0" fillId="0" borderId="120" xfId="0" applyNumberFormat="1" applyBorder="1" applyAlignment="1">
      <alignment horizontal="center"/>
    </xf>
    <xf numFmtId="9" fontId="0" fillId="0" borderId="120" xfId="18585" applyFont="1" applyBorder="1"/>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1" fontId="12" fillId="3" borderId="118" xfId="0" applyNumberFormat="1" applyFont="1" applyFill="1" applyBorder="1" applyAlignment="1">
      <alignment horizontal="center" vertical="center"/>
    </xf>
    <xf numFmtId="1" fontId="12" fillId="3" borderId="119" xfId="0" applyNumberFormat="1" applyFont="1" applyFill="1" applyBorder="1" applyAlignment="1">
      <alignment horizontal="center" vertical="center"/>
    </xf>
    <xf numFmtId="1" fontId="12" fillId="3" borderId="120" xfId="0" applyNumberFormat="1" applyFont="1" applyFill="1" applyBorder="1" applyAlignment="1">
      <alignment horizontal="center" vertical="center"/>
    </xf>
    <xf numFmtId="1" fontId="12" fillId="3" borderId="117"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0" borderId="0" xfId="0"/>
    <xf numFmtId="0" fontId="0" fillId="0" borderId="120" xfId="0" applyBorder="1"/>
    <xf numFmtId="0" fontId="35" fillId="3" borderId="50" xfId="0" applyFont="1" applyFill="1" applyBorder="1" applyAlignment="1">
      <alignment horizontal="center" vertical="center"/>
    </xf>
    <xf numFmtId="0" fontId="11" fillId="3" borderId="142" xfId="0" quotePrefix="1" applyFont="1" applyFill="1" applyBorder="1" applyAlignment="1">
      <alignment horizontal="center" vertical="center"/>
    </xf>
    <xf numFmtId="165" fontId="11" fillId="3" borderId="144" xfId="0" applyNumberFormat="1" applyFont="1" applyFill="1" applyBorder="1" applyAlignment="1">
      <alignment horizontal="center" vertical="center"/>
    </xf>
    <xf numFmtId="10" fontId="34" fillId="3" borderId="37" xfId="0" applyNumberFormat="1" applyFont="1" applyFill="1" applyBorder="1" applyAlignment="1">
      <alignment horizontal="center" vertical="center"/>
    </xf>
    <xf numFmtId="1" fontId="34" fillId="3" borderId="122" xfId="0" applyNumberFormat="1" applyFont="1" applyFill="1" applyBorder="1" applyAlignment="1">
      <alignment horizontal="center" vertical="center"/>
    </xf>
    <xf numFmtId="1" fontId="34" fillId="3" borderId="119" xfId="0" applyNumberFormat="1" applyFont="1" applyFill="1" applyBorder="1" applyAlignment="1">
      <alignment horizontal="center" vertical="center"/>
    </xf>
    <xf numFmtId="1" fontId="11" fillId="3" borderId="119" xfId="0" applyNumberFormat="1" applyFont="1" applyFill="1" applyBorder="1" applyAlignment="1">
      <alignment horizontal="center" vertical="center"/>
    </xf>
    <xf numFmtId="1" fontId="3" fillId="3" borderId="119" xfId="0" applyNumberFormat="1" applyFont="1" applyFill="1" applyBorder="1" applyAlignment="1">
      <alignment horizontal="center" vertical="center"/>
    </xf>
    <xf numFmtId="0" fontId="11" fillId="3" borderId="118" xfId="0" applyFont="1" applyFill="1" applyBorder="1" applyAlignment="1">
      <alignment horizontal="center" vertical="center"/>
    </xf>
    <xf numFmtId="10" fontId="34" fillId="4"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0" borderId="0" xfId="0" applyFill="1" applyBorder="1" applyAlignment="1">
      <alignment vertical="center"/>
    </xf>
    <xf numFmtId="0" fontId="0" fillId="0" borderId="120" xfId="0" applyFill="1" applyBorder="1"/>
    <xf numFmtId="0" fontId="12" fillId="3" borderId="145" xfId="0" quotePrefix="1" applyFont="1" applyFill="1" applyBorder="1" applyAlignment="1">
      <alignment horizontal="center" vertical="center"/>
    </xf>
    <xf numFmtId="1" fontId="11" fillId="3" borderId="39" xfId="0" applyNumberFormat="1" applyFont="1" applyFill="1" applyBorder="1" applyAlignment="1">
      <alignment horizontal="center" vertical="center"/>
    </xf>
    <xf numFmtId="165" fontId="12" fillId="3" borderId="146" xfId="0" applyNumberFormat="1" applyFont="1" applyFill="1" applyBorder="1" applyAlignment="1">
      <alignment horizontal="center" vertical="center"/>
    </xf>
    <xf numFmtId="10" fontId="4" fillId="3" borderId="147" xfId="0" applyNumberFormat="1" applyFont="1" applyFill="1" applyBorder="1" applyAlignment="1">
      <alignment horizontal="center" vertical="center"/>
    </xf>
    <xf numFmtId="1" fontId="31" fillId="3" borderId="39" xfId="0" applyNumberFormat="1" applyFont="1" applyFill="1" applyBorder="1" applyAlignment="1">
      <alignment horizontal="center" vertical="center"/>
    </xf>
    <xf numFmtId="10" fontId="4" fillId="3" borderId="145" xfId="0" applyNumberFormat="1" applyFont="1" applyFill="1" applyBorder="1" applyAlignment="1">
      <alignment horizontal="center" vertical="center"/>
    </xf>
    <xf numFmtId="0" fontId="0" fillId="0" borderId="0" xfId="0" applyBorder="1" applyAlignment="1">
      <alignment horizontal="center" vertical="center"/>
    </xf>
    <xf numFmtId="0" fontId="12" fillId="3" borderId="0" xfId="0" quotePrefix="1" applyFont="1" applyFill="1" applyBorder="1" applyAlignment="1">
      <alignment horizontal="center" vertical="center"/>
    </xf>
    <xf numFmtId="1" fontId="11" fillId="3" borderId="0" xfId="0" applyNumberFormat="1" applyFont="1" applyFill="1" applyBorder="1" applyAlignment="1">
      <alignment horizontal="center" vertical="center"/>
    </xf>
    <xf numFmtId="165" fontId="12" fillId="3" borderId="0" xfId="0" applyNumberFormat="1" applyFont="1" applyFill="1" applyBorder="1" applyAlignment="1">
      <alignment horizontal="center" vertical="center"/>
    </xf>
    <xf numFmtId="10" fontId="4" fillId="3" borderId="0" xfId="0" applyNumberFormat="1" applyFont="1" applyFill="1" applyBorder="1" applyAlignment="1">
      <alignment horizontal="center" vertical="center"/>
    </xf>
    <xf numFmtId="1" fontId="31" fillId="3" borderId="0" xfId="0" applyNumberFormat="1" applyFont="1" applyFill="1" applyBorder="1" applyAlignment="1">
      <alignment horizontal="center" vertical="center"/>
    </xf>
    <xf numFmtId="0" fontId="12" fillId="30" borderId="111" xfId="0" quotePrefix="1" applyFont="1" applyFill="1" applyBorder="1" applyAlignment="1">
      <alignment horizontal="center" vertical="center"/>
    </xf>
    <xf numFmtId="0" fontId="12" fillId="30" borderId="110" xfId="0" quotePrefix="1" applyFont="1" applyFill="1" applyBorder="1" applyAlignment="1">
      <alignment horizontal="center" vertical="center"/>
    </xf>
    <xf numFmtId="0" fontId="12" fillId="30" borderId="112" xfId="0" quotePrefix="1" applyFont="1" applyFill="1" applyBorder="1" applyAlignment="1">
      <alignment horizontal="center" vertical="center"/>
    </xf>
    <xf numFmtId="0" fontId="12" fillId="30" borderId="38" xfId="0" quotePrefix="1" applyFont="1" applyFill="1" applyBorder="1" applyAlignment="1">
      <alignment horizontal="center" vertical="center"/>
    </xf>
    <xf numFmtId="0" fontId="12" fillId="30" borderId="113" xfId="0" quotePrefix="1" applyFont="1" applyFill="1" applyBorder="1" applyAlignment="1">
      <alignment horizontal="center" vertical="center"/>
    </xf>
    <xf numFmtId="0" fontId="12" fillId="30" borderId="3" xfId="0" quotePrefix="1" applyFont="1" applyFill="1" applyBorder="1" applyAlignment="1">
      <alignment horizontal="center" vertical="center"/>
    </xf>
    <xf numFmtId="0" fontId="12" fillId="30" borderId="142" xfId="0" quotePrefix="1" applyFont="1" applyFill="1" applyBorder="1" applyAlignment="1">
      <alignment horizontal="center" vertical="center"/>
    </xf>
    <xf numFmtId="0" fontId="35" fillId="3" borderId="39" xfId="0" applyFont="1" applyFill="1" applyBorder="1" applyAlignment="1">
      <alignment horizontal="center" vertical="center"/>
    </xf>
    <xf numFmtId="0" fontId="11" fillId="3" borderId="149" xfId="0" quotePrefix="1" applyFont="1" applyFill="1" applyBorder="1" applyAlignment="1">
      <alignment horizontal="center" vertical="center"/>
    </xf>
    <xf numFmtId="165" fontId="11" fillId="3" borderId="150" xfId="0" applyNumberFormat="1" applyFont="1" applyFill="1" applyBorder="1" applyAlignment="1">
      <alignment horizontal="center" vertical="center"/>
    </xf>
    <xf numFmtId="10" fontId="34" fillId="3" borderId="151" xfId="0" applyNumberFormat="1" applyFont="1" applyFill="1" applyBorder="1" applyAlignment="1">
      <alignment horizontal="center" vertical="center"/>
    </xf>
    <xf numFmtId="1" fontId="34" fillId="3" borderId="146" xfId="0" applyNumberFormat="1" applyFont="1" applyFill="1" applyBorder="1" applyAlignment="1">
      <alignment horizontal="center" vertical="center"/>
    </xf>
    <xf numFmtId="1" fontId="34" fillId="3" borderId="150" xfId="0" applyNumberFormat="1" applyFont="1" applyFill="1" applyBorder="1" applyAlignment="1">
      <alignment horizontal="center" vertical="center"/>
    </xf>
    <xf numFmtId="1" fontId="11" fillId="3" borderId="150" xfId="0" applyNumberFormat="1" applyFont="1" applyFill="1" applyBorder="1" applyAlignment="1">
      <alignment horizontal="center" vertical="center"/>
    </xf>
    <xf numFmtId="1" fontId="3" fillId="3" borderId="150" xfId="0" applyNumberFormat="1" applyFont="1" applyFill="1" applyBorder="1" applyAlignment="1">
      <alignment horizontal="center" vertical="center"/>
    </xf>
    <xf numFmtId="0" fontId="11" fillId="3" borderId="152" xfId="0" applyFont="1" applyFill="1" applyBorder="1" applyAlignment="1">
      <alignment horizontal="center" vertical="center"/>
    </xf>
    <xf numFmtId="10" fontId="34" fillId="4" borderId="11" xfId="0" applyNumberFormat="1" applyFont="1" applyFill="1" applyBorder="1" applyAlignment="1">
      <alignment horizontal="center" vertical="center"/>
    </xf>
    <xf numFmtId="0" fontId="0" fillId="2" borderId="153" xfId="0" applyFill="1" applyBorder="1" applyAlignment="1">
      <alignment horizontal="center" vertical="center" wrapText="1"/>
    </xf>
    <xf numFmtId="0" fontId="0" fillId="2" borderId="154" xfId="0" applyFill="1" applyBorder="1" applyAlignment="1">
      <alignment horizontal="center" vertical="center" wrapText="1"/>
    </xf>
    <xf numFmtId="0" fontId="0" fillId="2" borderId="59" xfId="0" applyFill="1" applyBorder="1" applyAlignment="1">
      <alignment horizontal="center" vertical="center" wrapText="1"/>
    </xf>
    <xf numFmtId="0" fontId="31" fillId="2" borderId="153" xfId="0" applyFont="1" applyFill="1" applyBorder="1" applyAlignment="1">
      <alignment horizontal="center" vertical="center" wrapText="1"/>
    </xf>
    <xf numFmtId="0" fontId="4" fillId="31" borderId="148" xfId="0" applyFont="1" applyFill="1" applyBorder="1" applyAlignment="1">
      <alignment horizontal="center"/>
    </xf>
    <xf numFmtId="0" fontId="4" fillId="31" borderId="148" xfId="0" applyFont="1" applyFill="1" applyBorder="1" applyAlignment="1">
      <alignment horizontal="left"/>
    </xf>
    <xf numFmtId="1" fontId="11" fillId="31" borderId="148" xfId="0" applyNumberFormat="1" applyFont="1" applyFill="1" applyBorder="1" applyAlignment="1">
      <alignment horizontal="center" vertical="center"/>
    </xf>
    <xf numFmtId="165" fontId="12" fillId="31" borderId="148" xfId="0" applyNumberFormat="1" applyFont="1" applyFill="1" applyBorder="1" applyAlignment="1">
      <alignment horizontal="center" vertical="center"/>
    </xf>
    <xf numFmtId="10" fontId="4" fillId="31" borderId="148" xfId="0" applyNumberFormat="1" applyFont="1" applyFill="1" applyBorder="1" applyAlignment="1">
      <alignment horizontal="center" vertical="center"/>
    </xf>
    <xf numFmtId="1" fontId="4" fillId="31" borderId="148" xfId="0" applyNumberFormat="1" applyFont="1" applyFill="1" applyBorder="1" applyAlignment="1">
      <alignment horizontal="center" vertical="center"/>
    </xf>
    <xf numFmtId="1" fontId="12" fillId="31" borderId="148" xfId="0" applyNumberFormat="1" applyFont="1" applyFill="1" applyBorder="1" applyAlignment="1">
      <alignment horizontal="center" vertical="center"/>
    </xf>
    <xf numFmtId="1" fontId="0" fillId="31" borderId="148" xfId="0" applyNumberFormat="1" applyFill="1" applyBorder="1" applyAlignment="1">
      <alignment horizontal="center" vertical="center"/>
    </xf>
    <xf numFmtId="0" fontId="12" fillId="31" borderId="148" xfId="0" applyFont="1" applyFill="1" applyBorder="1" applyAlignment="1">
      <alignment horizontal="center" vertical="center"/>
    </xf>
    <xf numFmtId="0" fontId="35" fillId="32" borderId="54" xfId="0" applyFont="1" applyFill="1" applyBorder="1" applyAlignment="1">
      <alignment horizontal="center" vertical="center"/>
    </xf>
    <xf numFmtId="0" fontId="4" fillId="3" borderId="9" xfId="0" applyFont="1" applyFill="1" applyBorder="1" applyAlignment="1">
      <alignment horizontal="center" vertical="center"/>
    </xf>
    <xf numFmtId="0" fontId="0" fillId="0" borderId="0" xfId="0" applyAlignment="1">
      <alignment horizontal="center"/>
    </xf>
    <xf numFmtId="0" fontId="4" fillId="32" borderId="148" xfId="0" applyFont="1" applyFill="1" applyBorder="1" applyAlignment="1">
      <alignment horizontal="center"/>
    </xf>
    <xf numFmtId="1" fontId="11" fillId="32" borderId="148" xfId="0" applyNumberFormat="1" applyFont="1" applyFill="1" applyBorder="1" applyAlignment="1">
      <alignment horizontal="center" vertical="center"/>
    </xf>
    <xf numFmtId="165" fontId="12" fillId="32" borderId="148" xfId="0" applyNumberFormat="1" applyFont="1" applyFill="1" applyBorder="1" applyAlignment="1">
      <alignment horizontal="center" vertical="center"/>
    </xf>
    <xf numFmtId="10" fontId="4" fillId="32" borderId="148" xfId="0" applyNumberFormat="1" applyFont="1" applyFill="1" applyBorder="1" applyAlignment="1">
      <alignment horizontal="center" vertical="center"/>
    </xf>
    <xf numFmtId="1" fontId="4" fillId="32" borderId="148" xfId="0" applyNumberFormat="1" applyFont="1" applyFill="1" applyBorder="1" applyAlignment="1">
      <alignment horizontal="center" vertical="center"/>
    </xf>
    <xf numFmtId="1" fontId="12" fillId="32" borderId="148" xfId="0" applyNumberFormat="1" applyFont="1" applyFill="1" applyBorder="1" applyAlignment="1">
      <alignment horizontal="center" vertical="center"/>
    </xf>
    <xf numFmtId="1" fontId="0" fillId="32" borderId="148" xfId="0" applyNumberFormat="1" applyFill="1" applyBorder="1" applyAlignment="1">
      <alignment horizontal="center" vertical="center"/>
    </xf>
    <xf numFmtId="0" fontId="12" fillId="32" borderId="148" xfId="0" applyFont="1" applyFill="1" applyBorder="1" applyAlignment="1">
      <alignment horizontal="center" vertical="center"/>
    </xf>
    <xf numFmtId="0" fontId="11" fillId="32" borderId="148" xfId="0" quotePrefix="1" applyFont="1" applyFill="1" applyBorder="1" applyAlignment="1">
      <alignment horizontal="center" vertical="center"/>
    </xf>
    <xf numFmtId="0" fontId="0" fillId="32" borderId="148" xfId="0" applyFill="1" applyBorder="1"/>
    <xf numFmtId="0" fontId="10" fillId="32" borderId="148" xfId="0" applyFont="1" applyFill="1" applyBorder="1"/>
    <xf numFmtId="10" fontId="0" fillId="32" borderId="148" xfId="0" applyNumberFormat="1" applyFill="1" applyBorder="1"/>
    <xf numFmtId="0" fontId="31" fillId="32" borderId="148" xfId="0" applyFont="1" applyFill="1" applyBorder="1"/>
    <xf numFmtId="0" fontId="0" fillId="0" borderId="97" xfId="0" applyBorder="1"/>
    <xf numFmtId="0" fontId="4" fillId="3" borderId="97" xfId="0" applyFont="1" applyFill="1" applyBorder="1" applyAlignment="1">
      <alignment horizontal="center" vertical="center"/>
    </xf>
    <xf numFmtId="0" fontId="0" fillId="3" borderId="97" xfId="0" applyFont="1" applyFill="1" applyBorder="1" applyAlignment="1">
      <alignment horizontal="center" vertical="center"/>
    </xf>
    <xf numFmtId="0" fontId="10" fillId="3" borderId="97" xfId="0" applyFont="1" applyFill="1" applyBorder="1" applyAlignment="1">
      <alignment horizontal="center" vertical="center"/>
    </xf>
    <xf numFmtId="0" fontId="35" fillId="3" borderId="97" xfId="0" applyFont="1" applyFill="1" applyBorder="1" applyAlignment="1">
      <alignment horizontal="center" vertical="center"/>
    </xf>
    <xf numFmtId="0" fontId="35" fillId="32" borderId="97" xfId="0" applyFont="1" applyFill="1" applyBorder="1" applyAlignment="1">
      <alignment horizontal="center" vertical="center"/>
    </xf>
    <xf numFmtId="0" fontId="4" fillId="31" borderId="97" xfId="0" applyFont="1" applyFill="1" applyBorder="1" applyAlignment="1">
      <alignment horizontal="center"/>
    </xf>
    <xf numFmtId="0" fontId="12" fillId="3" borderId="97" xfId="0" quotePrefix="1" applyFont="1" applyFill="1" applyBorder="1" applyAlignment="1">
      <alignment horizontal="center" vertical="center"/>
    </xf>
    <xf numFmtId="0" fontId="12" fillId="30" borderId="97" xfId="0" quotePrefix="1" applyFont="1" applyFill="1" applyBorder="1" applyAlignment="1">
      <alignment horizontal="center" vertical="center"/>
    </xf>
    <xf numFmtId="0" fontId="11" fillId="3" borderId="97" xfId="0" quotePrefix="1" applyFont="1" applyFill="1" applyBorder="1" applyAlignment="1">
      <alignment horizontal="center" vertical="center"/>
    </xf>
    <xf numFmtId="0" fontId="11" fillId="32" borderId="97" xfId="0" quotePrefix="1" applyFont="1" applyFill="1" applyBorder="1" applyAlignment="1">
      <alignment horizontal="center" vertical="center"/>
    </xf>
    <xf numFmtId="0" fontId="4" fillId="32" borderId="97" xfId="0" applyFont="1" applyFill="1" applyBorder="1" applyAlignment="1">
      <alignment horizontal="center"/>
    </xf>
    <xf numFmtId="0" fontId="0" fillId="2" borderId="97" xfId="0" applyFill="1" applyBorder="1"/>
    <xf numFmtId="1" fontId="11" fillId="3" borderId="97" xfId="0" applyNumberFormat="1" applyFont="1" applyFill="1" applyBorder="1" applyAlignment="1">
      <alignment horizontal="center" vertical="center"/>
    </xf>
    <xf numFmtId="0" fontId="0" fillId="32" borderId="97" xfId="0" applyFill="1" applyBorder="1"/>
    <xf numFmtId="1" fontId="11" fillId="32" borderId="97" xfId="0" applyNumberFormat="1" applyFont="1" applyFill="1" applyBorder="1" applyAlignment="1">
      <alignment horizontal="center" vertical="center"/>
    </xf>
    <xf numFmtId="0" fontId="0" fillId="2" borderId="97" xfId="0" applyFill="1" applyBorder="1" applyAlignment="1">
      <alignment horizontal="center" vertical="center" wrapText="1"/>
    </xf>
    <xf numFmtId="0" fontId="10" fillId="2" borderId="97" xfId="0" applyFont="1" applyFill="1" applyBorder="1"/>
    <xf numFmtId="165" fontId="11" fillId="3" borderId="97" xfId="0" applyNumberFormat="1" applyFont="1" applyFill="1" applyBorder="1" applyAlignment="1">
      <alignment horizontal="center" vertical="center"/>
    </xf>
    <xf numFmtId="0" fontId="10" fillId="32" borderId="97" xfId="0" applyFont="1" applyFill="1" applyBorder="1"/>
    <xf numFmtId="165" fontId="12" fillId="32" borderId="97" xfId="0" applyNumberFormat="1" applyFont="1" applyFill="1" applyBorder="1" applyAlignment="1">
      <alignment horizontal="center" vertical="center"/>
    </xf>
    <xf numFmtId="10" fontId="0" fillId="2" borderId="97" xfId="0" applyNumberFormat="1" applyFill="1" applyBorder="1"/>
    <xf numFmtId="10" fontId="4" fillId="3" borderId="97" xfId="0" applyNumberFormat="1" applyFont="1" applyFill="1" applyBorder="1" applyAlignment="1">
      <alignment horizontal="center" vertical="center"/>
    </xf>
    <xf numFmtId="10" fontId="4" fillId="28" borderId="97" xfId="0" applyNumberFormat="1" applyFont="1" applyFill="1" applyBorder="1" applyAlignment="1">
      <alignment horizontal="center" vertical="center"/>
    </xf>
    <xf numFmtId="10" fontId="34" fillId="3" borderId="97" xfId="0" applyNumberFormat="1" applyFont="1" applyFill="1" applyBorder="1" applyAlignment="1">
      <alignment horizontal="center" vertical="center"/>
    </xf>
    <xf numFmtId="10" fontId="0" fillId="32" borderId="97" xfId="0" applyNumberFormat="1" applyFill="1" applyBorder="1"/>
    <xf numFmtId="10" fontId="4" fillId="32" borderId="97" xfId="0" applyNumberFormat="1" applyFont="1" applyFill="1" applyBorder="1" applyAlignment="1">
      <alignment horizontal="center" vertical="center"/>
    </xf>
    <xf numFmtId="0" fontId="31" fillId="2" borderId="97" xfId="0" applyFont="1" applyFill="1" applyBorder="1"/>
    <xf numFmtId="0" fontId="31" fillId="3" borderId="97" xfId="0" applyFont="1" applyFill="1" applyBorder="1" applyAlignment="1">
      <alignment horizontal="center" vertical="center"/>
    </xf>
    <xf numFmtId="0" fontId="31" fillId="32" borderId="97" xfId="0" applyFont="1" applyFill="1" applyBorder="1"/>
    <xf numFmtId="1" fontId="31" fillId="3" borderId="97" xfId="0" applyNumberFormat="1" applyFont="1" applyFill="1" applyBorder="1" applyAlignment="1">
      <alignment horizontal="center" vertical="center"/>
    </xf>
    <xf numFmtId="1" fontId="4" fillId="3" borderId="97" xfId="0" applyNumberFormat="1" applyFont="1" applyFill="1" applyBorder="1" applyAlignment="1">
      <alignment horizontal="center" vertical="center"/>
    </xf>
    <xf numFmtId="1" fontId="34" fillId="3" borderId="97" xfId="0" applyNumberFormat="1" applyFont="1" applyFill="1" applyBorder="1" applyAlignment="1">
      <alignment horizontal="center" vertical="center"/>
    </xf>
    <xf numFmtId="1" fontId="4" fillId="32" borderId="97" xfId="0" applyNumberFormat="1" applyFont="1" applyFill="1" applyBorder="1" applyAlignment="1">
      <alignment horizontal="center" vertical="center"/>
    </xf>
    <xf numFmtId="1" fontId="12" fillId="3" borderId="97" xfId="0" applyNumberFormat="1" applyFont="1" applyFill="1" applyBorder="1" applyAlignment="1">
      <alignment horizontal="center" vertical="center"/>
    </xf>
    <xf numFmtId="1" fontId="12" fillId="32" borderId="97" xfId="0" applyNumberFormat="1" applyFont="1" applyFill="1" applyBorder="1" applyAlignment="1">
      <alignment horizontal="center" vertical="center"/>
    </xf>
    <xf numFmtId="1" fontId="0" fillId="3" borderId="97" xfId="0" applyNumberFormat="1" applyFill="1" applyBorder="1" applyAlignment="1">
      <alignment horizontal="center" vertical="center"/>
    </xf>
    <xf numFmtId="1" fontId="3" fillId="3" borderId="97" xfId="0" applyNumberFormat="1" applyFont="1" applyFill="1" applyBorder="1" applyAlignment="1">
      <alignment horizontal="center" vertical="center"/>
    </xf>
    <xf numFmtId="1" fontId="0" fillId="32" borderId="97" xfId="0" applyNumberFormat="1" applyFill="1" applyBorder="1" applyAlignment="1">
      <alignment horizontal="center" vertical="center"/>
    </xf>
    <xf numFmtId="10" fontId="4" fillId="4" borderId="97" xfId="0" applyNumberFormat="1" applyFont="1" applyFill="1" applyBorder="1" applyAlignment="1">
      <alignment horizontal="center" vertical="center"/>
    </xf>
    <xf numFmtId="0" fontId="11" fillId="3" borderId="97" xfId="0" applyFont="1" applyFill="1" applyBorder="1" applyAlignment="1">
      <alignment horizontal="center" vertical="center"/>
    </xf>
    <xf numFmtId="0" fontId="12" fillId="32" borderId="97" xfId="0" applyFont="1" applyFill="1" applyBorder="1" applyAlignment="1">
      <alignment horizontal="center" vertical="center"/>
    </xf>
    <xf numFmtId="10" fontId="34" fillId="4" borderId="97" xfId="0" applyNumberFormat="1" applyFont="1" applyFill="1" applyBorder="1" applyAlignment="1">
      <alignment horizontal="center" vertical="center"/>
    </xf>
    <xf numFmtId="1" fontId="11" fillId="32" borderId="96" xfId="0" applyNumberFormat="1" applyFont="1" applyFill="1" applyBorder="1" applyAlignment="1">
      <alignment horizontal="center" vertical="center"/>
    </xf>
    <xf numFmtId="10" fontId="4" fillId="32" borderId="96" xfId="0" applyNumberFormat="1" applyFont="1" applyFill="1" applyBorder="1" applyAlignment="1">
      <alignment horizontal="center" vertical="center"/>
    </xf>
    <xf numFmtId="0" fontId="0" fillId="2" borderId="57" xfId="0" applyFill="1" applyBorder="1"/>
    <xf numFmtId="0" fontId="10" fillId="2" borderId="57" xfId="0" applyFont="1" applyFill="1" applyBorder="1"/>
    <xf numFmtId="10" fontId="0" fillId="2" borderId="57" xfId="0" applyNumberFormat="1" applyFill="1" applyBorder="1"/>
    <xf numFmtId="0" fontId="0" fillId="2" borderId="27" xfId="0" applyFill="1" applyBorder="1" applyAlignment="1">
      <alignment horizontal="center" vertical="center" wrapText="1"/>
    </xf>
    <xf numFmtId="0" fontId="0" fillId="2" borderId="156" xfId="0" applyFill="1" applyBorder="1" applyAlignment="1">
      <alignment horizontal="center" vertical="center" wrapText="1"/>
    </xf>
    <xf numFmtId="0" fontId="0" fillId="2" borderId="155" xfId="0" applyFill="1" applyBorder="1" applyAlignment="1">
      <alignment horizontal="center" vertical="center" wrapText="1"/>
    </xf>
    <xf numFmtId="1" fontId="4" fillId="32" borderId="96" xfId="0" applyNumberFormat="1" applyFont="1" applyFill="1" applyBorder="1" applyAlignment="1">
      <alignment horizontal="center" vertical="center"/>
    </xf>
    <xf numFmtId="0" fontId="31" fillId="2" borderId="57" xfId="0" applyFont="1" applyFill="1" applyBorder="1"/>
    <xf numFmtId="0" fontId="31" fillId="2" borderId="27" xfId="0" applyFont="1" applyFill="1" applyBorder="1" applyAlignment="1">
      <alignment horizontal="center" vertical="center" wrapText="1"/>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148" xfId="0" applyBorder="1"/>
    <xf numFmtId="0" fontId="10" fillId="3" borderId="148" xfId="0" applyFont="1" applyFill="1" applyBorder="1" applyAlignment="1">
      <alignment horizontal="center" vertical="center"/>
    </xf>
    <xf numFmtId="0" fontId="12" fillId="4" borderId="148" xfId="0" quotePrefix="1" applyFont="1" applyFill="1" applyBorder="1" applyAlignment="1">
      <alignment horizontal="center" vertical="center"/>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0" fillId="0" borderId="0" xfId="0" applyAlignment="1">
      <alignment horizontal="center"/>
    </xf>
    <xf numFmtId="1" fontId="11" fillId="3" borderId="148" xfId="0" applyNumberFormat="1" applyFont="1" applyFill="1" applyBorder="1" applyAlignment="1">
      <alignment horizontal="center" vertical="center"/>
    </xf>
    <xf numFmtId="0" fontId="0" fillId="0" borderId="0" xfId="0" applyAlignment="1">
      <alignment horizontal="center"/>
    </xf>
    <xf numFmtId="0" fontId="0" fillId="2" borderId="150" xfId="0" applyFill="1" applyBorder="1" applyAlignment="1"/>
    <xf numFmtId="0" fontId="34" fillId="32" borderId="97" xfId="0" applyFont="1" applyFill="1" applyBorder="1" applyAlignment="1">
      <alignment horizontal="center"/>
    </xf>
    <xf numFmtId="165" fontId="0" fillId="0" borderId="148" xfId="0" applyNumberFormat="1" applyBorder="1"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0" fillId="2" borderId="97" xfId="0" applyFill="1" applyBorder="1" applyAlignment="1">
      <alignment horizontal="center" vertical="center" wrapText="1"/>
    </xf>
    <xf numFmtId="166" fontId="0" fillId="0" borderId="0" xfId="0" applyNumberFormat="1" applyBorder="1" applyAlignment="1">
      <alignment horizontal="center"/>
    </xf>
    <xf numFmtId="0" fontId="0" fillId="2" borderId="97" xfId="0" applyFill="1" applyBorder="1" applyAlignment="1">
      <alignment horizontal="center"/>
    </xf>
    <xf numFmtId="0" fontId="0" fillId="0" borderId="97" xfId="0" applyBorder="1" applyAlignment="1">
      <alignment horizontal="center"/>
    </xf>
    <xf numFmtId="0" fontId="4" fillId="3" borderId="97" xfId="0" applyFont="1" applyFill="1" applyBorder="1" applyAlignment="1">
      <alignment horizontal="center" vertical="center"/>
    </xf>
    <xf numFmtId="0" fontId="0" fillId="0" borderId="97" xfId="0" applyBorder="1" applyAlignment="1">
      <alignment horizontal="center" vertical="center"/>
    </xf>
    <xf numFmtId="0" fontId="0" fillId="2" borderId="27" xfId="0" applyFill="1" applyBorder="1" applyAlignment="1">
      <alignment horizontal="center"/>
    </xf>
    <xf numFmtId="0" fontId="0" fillId="2" borderId="97" xfId="0" applyFill="1" applyBorder="1" applyAlignment="1">
      <alignment horizontal="center" wrapText="1"/>
    </xf>
    <xf numFmtId="166" fontId="0" fillId="0" borderId="8" xfId="0" applyNumberFormat="1" applyBorder="1" applyAlignment="1">
      <alignment horizontal="center"/>
    </xf>
    <xf numFmtId="0" fontId="0" fillId="2" borderId="9" xfId="0" applyFill="1" applyBorder="1" applyAlignment="1">
      <alignment horizontal="center"/>
    </xf>
    <xf numFmtId="0" fontId="0" fillId="2" borderId="50" xfId="0" applyFill="1" applyBorder="1" applyAlignment="1">
      <alignment horizontal="center"/>
    </xf>
    <xf numFmtId="0" fontId="0" fillId="2" borderId="39" xfId="0" applyFill="1" applyBorder="1" applyAlignment="1">
      <alignment horizontal="center"/>
    </xf>
    <xf numFmtId="0" fontId="0" fillId="0" borderId="50" xfId="0" applyBorder="1" applyAlignment="1">
      <alignment horizontal="center"/>
    </xf>
    <xf numFmtId="0" fontId="4" fillId="3" borderId="9" xfId="0" applyFont="1" applyFill="1" applyBorder="1" applyAlignment="1">
      <alignment horizontal="center" vertical="center"/>
    </xf>
    <xf numFmtId="0" fontId="0" fillId="0" borderId="50" xfId="0" applyBorder="1" applyAlignment="1">
      <alignment horizontal="center" vertical="center"/>
    </xf>
    <xf numFmtId="0" fontId="0" fillId="2" borderId="11" xfId="0" applyFill="1" applyBorder="1" applyAlignment="1">
      <alignment horizontal="center"/>
    </xf>
    <xf numFmtId="0" fontId="0" fillId="2" borderId="109" xfId="0" applyFill="1" applyBorder="1" applyAlignment="1">
      <alignment horizontal="center"/>
    </xf>
    <xf numFmtId="0" fontId="0" fillId="2" borderId="147" xfId="0" applyFill="1" applyBorder="1" applyAlignment="1">
      <alignment horizontal="center"/>
    </xf>
    <xf numFmtId="0" fontId="0" fillId="0" borderId="109" xfId="0" applyBorder="1" applyAlignment="1">
      <alignment horizontal="center"/>
    </xf>
    <xf numFmtId="0" fontId="0" fillId="2" borderId="13" xfId="0" applyFill="1" applyBorder="1" applyAlignment="1">
      <alignment horizontal="center" wrapText="1"/>
    </xf>
    <xf numFmtId="0" fontId="0" fillId="2" borderId="14" xfId="0" applyFill="1" applyBorder="1" applyAlignment="1">
      <alignment horizontal="center" wrapText="1"/>
    </xf>
    <xf numFmtId="0" fontId="0" fillId="2" borderId="15" xfId="0" applyFill="1" applyBorder="1" applyAlignment="1">
      <alignment horizont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0" borderId="8" xfId="0" applyFont="1" applyBorder="1" applyAlignment="1"/>
    <xf numFmtId="0" fontId="4" fillId="0" borderId="59" xfId="0" applyFont="1" applyBorder="1" applyAlignment="1"/>
    <xf numFmtId="0" fontId="4" fillId="3" borderId="39" xfId="0" applyFont="1" applyFill="1" applyBorder="1" applyAlignment="1">
      <alignment horizontal="center" vertical="center"/>
    </xf>
    <xf numFmtId="0" fontId="0" fillId="2" borderId="52" xfId="0" applyFill="1" applyBorder="1" applyAlignment="1">
      <alignment horizontal="center"/>
    </xf>
    <xf numFmtId="0" fontId="0" fillId="0" borderId="52" xfId="0" applyBorder="1" applyAlignment="1">
      <alignment horizontal="center"/>
    </xf>
    <xf numFmtId="0" fontId="4" fillId="0" borderId="54" xfId="0" applyFont="1" applyBorder="1" applyAlignment="1"/>
    <xf numFmtId="0" fontId="0" fillId="0" borderId="55" xfId="0" applyBorder="1" applyAlignment="1"/>
    <xf numFmtId="0" fontId="0" fillId="2" borderId="10" xfId="0" applyFill="1" applyBorder="1" applyAlignment="1">
      <alignment horizontal="center"/>
    </xf>
    <xf numFmtId="0" fontId="0" fillId="2" borderId="40" xfId="0" applyFill="1" applyBorder="1" applyAlignment="1">
      <alignment horizontal="center"/>
    </xf>
    <xf numFmtId="0" fontId="0" fillId="2" borderId="36" xfId="0" applyFill="1" applyBorder="1" applyAlignment="1">
      <alignment horizontal="center"/>
    </xf>
    <xf numFmtId="0" fontId="0" fillId="2" borderId="43"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12" xfId="0" applyFill="1" applyBorder="1" applyAlignment="1">
      <alignment horizontal="center"/>
    </xf>
    <xf numFmtId="164" fontId="0" fillId="0" borderId="0" xfId="0" applyNumberFormat="1" applyAlignment="1">
      <alignment horizontal="left" wrapText="1"/>
    </xf>
    <xf numFmtId="0" fontId="0" fillId="0" borderId="0" xfId="0" applyAlignment="1">
      <alignment horizontal="left" wrapText="1"/>
    </xf>
    <xf numFmtId="0" fontId="0" fillId="0" borderId="0" xfId="0" applyAlignment="1">
      <alignment wrapText="1"/>
    </xf>
    <xf numFmtId="0" fontId="0" fillId="0" borderId="0" xfId="0" applyAlignment="1">
      <alignment horizontal="center"/>
    </xf>
    <xf numFmtId="0" fontId="4" fillId="3" borderId="148" xfId="0" applyFont="1" applyFill="1" applyBorder="1" applyAlignment="1">
      <alignment horizontal="center" vertical="center"/>
    </xf>
    <xf numFmtId="0" fontId="12" fillId="3" borderId="148" xfId="0" quotePrefix="1" applyFont="1" applyFill="1" applyBorder="1" applyAlignment="1">
      <alignment horizontal="center" vertical="center"/>
    </xf>
    <xf numFmtId="0" fontId="12" fillId="30" borderId="148" xfId="0" quotePrefix="1" applyFont="1" applyFill="1" applyBorder="1" applyAlignment="1">
      <alignment horizontal="center" vertical="center"/>
    </xf>
    <xf numFmtId="0" fontId="0" fillId="3" borderId="148" xfId="0" applyFont="1" applyFill="1" applyBorder="1" applyAlignment="1">
      <alignment horizontal="center" vertical="center"/>
    </xf>
    <xf numFmtId="2" fontId="0" fillId="0" borderId="148" xfId="0" applyNumberFormat="1" applyBorder="1"/>
    <xf numFmtId="0" fontId="36" fillId="0" borderId="148" xfId="389" applyFont="1" applyBorder="1"/>
    <xf numFmtId="1" fontId="37" fillId="0" borderId="148" xfId="389" applyNumberFormat="1" applyFont="1" applyBorder="1" applyAlignment="1">
      <alignment wrapText="1"/>
    </xf>
    <xf numFmtId="2" fontId="36" fillId="0" borderId="148" xfId="389" applyNumberFormat="1" applyFont="1" applyBorder="1"/>
    <xf numFmtId="0" fontId="36" fillId="0" borderId="148" xfId="389" applyFont="1" applyBorder="1" applyAlignment="1">
      <alignment wrapText="1"/>
    </xf>
    <xf numFmtId="14" fontId="0" fillId="0" borderId="148" xfId="0" applyNumberFormat="1" applyBorder="1"/>
    <xf numFmtId="1" fontId="0" fillId="0" borderId="148" xfId="0" applyNumberFormat="1" applyBorder="1"/>
    <xf numFmtId="9" fontId="0" fillId="0" borderId="148" xfId="18585" applyFont="1" applyBorder="1"/>
    <xf numFmtId="0" fontId="3" fillId="0" borderId="148" xfId="0" applyFont="1" applyBorder="1"/>
    <xf numFmtId="1" fontId="3" fillId="0" borderId="148" xfId="0" applyNumberFormat="1" applyFont="1" applyBorder="1"/>
    <xf numFmtId="1" fontId="38" fillId="5" borderId="148" xfId="0" applyNumberFormat="1" applyFont="1" applyFill="1" applyBorder="1"/>
  </cellXfs>
  <cellStyles count="18661">
    <cellStyle name="%" xfId="9"/>
    <cellStyle name="% 2" xfId="9337"/>
    <cellStyle name="0,0_x000d__x000a_NA_x000d__x000a_" xfId="2"/>
    <cellStyle name="0,0_x000d__x000a_NA_x000d__x000a_ 2" xfId="9330"/>
    <cellStyle name="20% - Accent1 10" xfId="10"/>
    <cellStyle name="20% - Accent1 10 2" xfId="9338"/>
    <cellStyle name="20% - Accent1 2" xfId="11"/>
    <cellStyle name="20% - Accent1 2 2" xfId="9339"/>
    <cellStyle name="20% - Accent1 3" xfId="12"/>
    <cellStyle name="20% - Accent1 3 2" xfId="9340"/>
    <cellStyle name="20% - Accent1 4" xfId="13"/>
    <cellStyle name="20% - Accent1 4 2" xfId="9341"/>
    <cellStyle name="20% - Accent1 5" xfId="14"/>
    <cellStyle name="20% - Accent1 5 2" xfId="9342"/>
    <cellStyle name="20% - Accent1 6" xfId="15"/>
    <cellStyle name="20% - Accent1 6 2" xfId="9343"/>
    <cellStyle name="20% - Accent1 7" xfId="16"/>
    <cellStyle name="20% - Accent1 7 2" xfId="9344"/>
    <cellStyle name="20% - Accent1 8" xfId="17"/>
    <cellStyle name="20% - Accent1 8 2" xfId="9345"/>
    <cellStyle name="20% - Accent1 9" xfId="18"/>
    <cellStyle name="20% - Accent1 9 2" xfId="9346"/>
    <cellStyle name="20% - Accent2 10" xfId="19"/>
    <cellStyle name="20% - Accent2 10 2" xfId="9347"/>
    <cellStyle name="20% - Accent2 2" xfId="20"/>
    <cellStyle name="20% - Accent2 2 2" xfId="9348"/>
    <cellStyle name="20% - Accent2 3" xfId="21"/>
    <cellStyle name="20% - Accent2 3 2" xfId="9349"/>
    <cellStyle name="20% - Accent2 4" xfId="22"/>
    <cellStyle name="20% - Accent2 4 2" xfId="9350"/>
    <cellStyle name="20% - Accent2 5" xfId="23"/>
    <cellStyle name="20% - Accent2 5 2" xfId="9351"/>
    <cellStyle name="20% - Accent2 6" xfId="24"/>
    <cellStyle name="20% - Accent2 6 2" xfId="9352"/>
    <cellStyle name="20% - Accent2 7" xfId="25"/>
    <cellStyle name="20% - Accent2 7 2" xfId="9353"/>
    <cellStyle name="20% - Accent2 8" xfId="26"/>
    <cellStyle name="20% - Accent2 8 2" xfId="9354"/>
    <cellStyle name="20% - Accent2 9" xfId="27"/>
    <cellStyle name="20% - Accent2 9 2" xfId="9355"/>
    <cellStyle name="20% - Accent3 10" xfId="28"/>
    <cellStyle name="20% - Accent3 10 2" xfId="9356"/>
    <cellStyle name="20% - Accent3 2" xfId="29"/>
    <cellStyle name="20% - Accent3 2 2" xfId="9357"/>
    <cellStyle name="20% - Accent3 3" xfId="30"/>
    <cellStyle name="20% - Accent3 3 2" xfId="9358"/>
    <cellStyle name="20% - Accent3 4" xfId="31"/>
    <cellStyle name="20% - Accent3 4 2" xfId="9359"/>
    <cellStyle name="20% - Accent3 5" xfId="32"/>
    <cellStyle name="20% - Accent3 5 2" xfId="9360"/>
    <cellStyle name="20% - Accent3 6" xfId="33"/>
    <cellStyle name="20% - Accent3 6 2" xfId="9361"/>
    <cellStyle name="20% - Accent3 7" xfId="34"/>
    <cellStyle name="20% - Accent3 7 2" xfId="9362"/>
    <cellStyle name="20% - Accent3 8" xfId="35"/>
    <cellStyle name="20% - Accent3 8 2" xfId="9363"/>
    <cellStyle name="20% - Accent3 9" xfId="36"/>
    <cellStyle name="20% - Accent3 9 2" xfId="9364"/>
    <cellStyle name="20% - Accent4 10" xfId="37"/>
    <cellStyle name="20% - Accent4 10 2" xfId="9365"/>
    <cellStyle name="20% - Accent4 2" xfId="38"/>
    <cellStyle name="20% - Accent4 2 2" xfId="9366"/>
    <cellStyle name="20% - Accent4 3" xfId="39"/>
    <cellStyle name="20% - Accent4 3 2" xfId="9367"/>
    <cellStyle name="20% - Accent4 4" xfId="40"/>
    <cellStyle name="20% - Accent4 4 2" xfId="9368"/>
    <cellStyle name="20% - Accent4 5" xfId="41"/>
    <cellStyle name="20% - Accent4 5 2" xfId="9369"/>
    <cellStyle name="20% - Accent4 6" xfId="42"/>
    <cellStyle name="20% - Accent4 6 2" xfId="9370"/>
    <cellStyle name="20% - Accent4 7" xfId="43"/>
    <cellStyle name="20% - Accent4 7 2" xfId="9371"/>
    <cellStyle name="20% - Accent4 8" xfId="44"/>
    <cellStyle name="20% - Accent4 8 2" xfId="9372"/>
    <cellStyle name="20% - Accent4 9" xfId="45"/>
    <cellStyle name="20% - Accent4 9 2" xfId="9373"/>
    <cellStyle name="20% - Accent5 10" xfId="46"/>
    <cellStyle name="20% - Accent5 10 2" xfId="9374"/>
    <cellStyle name="20% - Accent5 2" xfId="47"/>
    <cellStyle name="20% - Accent5 2 2" xfId="9375"/>
    <cellStyle name="20% - Accent5 3" xfId="48"/>
    <cellStyle name="20% - Accent5 3 2" xfId="9376"/>
    <cellStyle name="20% - Accent5 4" xfId="49"/>
    <cellStyle name="20% - Accent5 4 2" xfId="9377"/>
    <cellStyle name="20% - Accent5 5" xfId="50"/>
    <cellStyle name="20% - Accent5 5 2" xfId="9378"/>
    <cellStyle name="20% - Accent5 6" xfId="51"/>
    <cellStyle name="20% - Accent5 6 2" xfId="9379"/>
    <cellStyle name="20% - Accent5 7" xfId="52"/>
    <cellStyle name="20% - Accent5 7 2" xfId="9380"/>
    <cellStyle name="20% - Accent5 8" xfId="53"/>
    <cellStyle name="20% - Accent5 8 2" xfId="9381"/>
    <cellStyle name="20% - Accent5 9" xfId="54"/>
    <cellStyle name="20% - Accent5 9 2" xfId="9382"/>
    <cellStyle name="20% - Accent6 10" xfId="55"/>
    <cellStyle name="20% - Accent6 10 2" xfId="9383"/>
    <cellStyle name="20% - Accent6 2" xfId="56"/>
    <cellStyle name="20% - Accent6 2 2" xfId="9384"/>
    <cellStyle name="20% - Accent6 3" xfId="57"/>
    <cellStyle name="20% - Accent6 3 2" xfId="9385"/>
    <cellStyle name="20% - Accent6 4" xfId="58"/>
    <cellStyle name="20% - Accent6 4 2" xfId="9386"/>
    <cellStyle name="20% - Accent6 5" xfId="59"/>
    <cellStyle name="20% - Accent6 5 2" xfId="9387"/>
    <cellStyle name="20% - Accent6 6" xfId="60"/>
    <cellStyle name="20% - Accent6 6 2" xfId="9388"/>
    <cellStyle name="20% - Accent6 7" xfId="61"/>
    <cellStyle name="20% - Accent6 7 2" xfId="9389"/>
    <cellStyle name="20% - Accent6 8" xfId="62"/>
    <cellStyle name="20% - Accent6 8 2" xfId="9390"/>
    <cellStyle name="20% - Accent6 9" xfId="63"/>
    <cellStyle name="20% - Accent6 9 2" xfId="9391"/>
    <cellStyle name="40% - Accent1 10" xfId="64"/>
    <cellStyle name="40% - Accent1 10 2" xfId="9392"/>
    <cellStyle name="40% - Accent1 2" xfId="65"/>
    <cellStyle name="40% - Accent1 2 2" xfId="9393"/>
    <cellStyle name="40% - Accent1 3" xfId="66"/>
    <cellStyle name="40% - Accent1 3 2" xfId="9394"/>
    <cellStyle name="40% - Accent1 4" xfId="67"/>
    <cellStyle name="40% - Accent1 4 2" xfId="9395"/>
    <cellStyle name="40% - Accent1 5" xfId="68"/>
    <cellStyle name="40% - Accent1 5 2" xfId="9396"/>
    <cellStyle name="40% - Accent1 6" xfId="69"/>
    <cellStyle name="40% - Accent1 6 2" xfId="9397"/>
    <cellStyle name="40% - Accent1 7" xfId="70"/>
    <cellStyle name="40% - Accent1 7 2" xfId="9398"/>
    <cellStyle name="40% - Accent1 8" xfId="71"/>
    <cellStyle name="40% - Accent1 8 2" xfId="9399"/>
    <cellStyle name="40% - Accent1 9" xfId="72"/>
    <cellStyle name="40% - Accent1 9 2" xfId="9400"/>
    <cellStyle name="40% - Accent2 10" xfId="73"/>
    <cellStyle name="40% - Accent2 10 2" xfId="9401"/>
    <cellStyle name="40% - Accent2 2" xfId="74"/>
    <cellStyle name="40% - Accent2 2 2" xfId="9402"/>
    <cellStyle name="40% - Accent2 3" xfId="75"/>
    <cellStyle name="40% - Accent2 3 2" xfId="9403"/>
    <cellStyle name="40% - Accent2 4" xfId="76"/>
    <cellStyle name="40% - Accent2 4 2" xfId="9404"/>
    <cellStyle name="40% - Accent2 5" xfId="77"/>
    <cellStyle name="40% - Accent2 5 2" xfId="9405"/>
    <cellStyle name="40% - Accent2 6" xfId="78"/>
    <cellStyle name="40% - Accent2 6 2" xfId="9406"/>
    <cellStyle name="40% - Accent2 7" xfId="79"/>
    <cellStyle name="40% - Accent2 7 2" xfId="9407"/>
    <cellStyle name="40% - Accent2 8" xfId="80"/>
    <cellStyle name="40% - Accent2 8 2" xfId="9408"/>
    <cellStyle name="40% - Accent2 9" xfId="81"/>
    <cellStyle name="40% - Accent2 9 2" xfId="9409"/>
    <cellStyle name="40% - Accent3 10" xfId="82"/>
    <cellStyle name="40% - Accent3 10 2" xfId="9410"/>
    <cellStyle name="40% - Accent3 2" xfId="83"/>
    <cellStyle name="40% - Accent3 2 2" xfId="9411"/>
    <cellStyle name="40% - Accent3 3" xfId="84"/>
    <cellStyle name="40% - Accent3 3 2" xfId="9412"/>
    <cellStyle name="40% - Accent3 4" xfId="85"/>
    <cellStyle name="40% - Accent3 4 2" xfId="9413"/>
    <cellStyle name="40% - Accent3 5" xfId="86"/>
    <cellStyle name="40% - Accent3 5 2" xfId="9414"/>
    <cellStyle name="40% - Accent3 6" xfId="87"/>
    <cellStyle name="40% - Accent3 6 2" xfId="9415"/>
    <cellStyle name="40% - Accent3 7" xfId="88"/>
    <cellStyle name="40% - Accent3 7 2" xfId="9416"/>
    <cellStyle name="40% - Accent3 8" xfId="89"/>
    <cellStyle name="40% - Accent3 8 2" xfId="9417"/>
    <cellStyle name="40% - Accent3 9" xfId="90"/>
    <cellStyle name="40% - Accent3 9 2" xfId="9418"/>
    <cellStyle name="40% - Accent4 10" xfId="91"/>
    <cellStyle name="40% - Accent4 10 2" xfId="9419"/>
    <cellStyle name="40% - Accent4 2" xfId="92"/>
    <cellStyle name="40% - Accent4 2 2" xfId="9420"/>
    <cellStyle name="40% - Accent4 3" xfId="93"/>
    <cellStyle name="40% - Accent4 3 2" xfId="9421"/>
    <cellStyle name="40% - Accent4 4" xfId="94"/>
    <cellStyle name="40% - Accent4 4 2" xfId="9422"/>
    <cellStyle name="40% - Accent4 5" xfId="95"/>
    <cellStyle name="40% - Accent4 5 2" xfId="9423"/>
    <cellStyle name="40% - Accent4 6" xfId="96"/>
    <cellStyle name="40% - Accent4 6 2" xfId="9424"/>
    <cellStyle name="40% - Accent4 7" xfId="97"/>
    <cellStyle name="40% - Accent4 7 2" xfId="9425"/>
    <cellStyle name="40% - Accent4 8" xfId="98"/>
    <cellStyle name="40% - Accent4 8 2" xfId="9426"/>
    <cellStyle name="40% - Accent4 9" xfId="99"/>
    <cellStyle name="40% - Accent4 9 2" xfId="9427"/>
    <cellStyle name="40% - Accent5 10" xfId="100"/>
    <cellStyle name="40% - Accent5 10 2" xfId="9428"/>
    <cellStyle name="40% - Accent5 2" xfId="101"/>
    <cellStyle name="40% - Accent5 2 2" xfId="9429"/>
    <cellStyle name="40% - Accent5 3" xfId="102"/>
    <cellStyle name="40% - Accent5 3 2" xfId="9430"/>
    <cellStyle name="40% - Accent5 4" xfId="103"/>
    <cellStyle name="40% - Accent5 4 2" xfId="9431"/>
    <cellStyle name="40% - Accent5 5" xfId="104"/>
    <cellStyle name="40% - Accent5 5 2" xfId="9432"/>
    <cellStyle name="40% - Accent5 6" xfId="105"/>
    <cellStyle name="40% - Accent5 6 2" xfId="9433"/>
    <cellStyle name="40% - Accent5 7" xfId="106"/>
    <cellStyle name="40% - Accent5 7 2" xfId="9434"/>
    <cellStyle name="40% - Accent5 8" xfId="107"/>
    <cellStyle name="40% - Accent5 8 2" xfId="9435"/>
    <cellStyle name="40% - Accent5 9" xfId="108"/>
    <cellStyle name="40% - Accent5 9 2" xfId="9436"/>
    <cellStyle name="40% - Accent6 10" xfId="109"/>
    <cellStyle name="40% - Accent6 10 2" xfId="9437"/>
    <cellStyle name="40% - Accent6 2" xfId="110"/>
    <cellStyle name="40% - Accent6 2 2" xfId="9438"/>
    <cellStyle name="40% - Accent6 3" xfId="111"/>
    <cellStyle name="40% - Accent6 3 2" xfId="9439"/>
    <cellStyle name="40% - Accent6 4" xfId="112"/>
    <cellStyle name="40% - Accent6 4 2" xfId="9440"/>
    <cellStyle name="40% - Accent6 5" xfId="113"/>
    <cellStyle name="40% - Accent6 5 2" xfId="9441"/>
    <cellStyle name="40% - Accent6 6" xfId="114"/>
    <cellStyle name="40% - Accent6 6 2" xfId="9442"/>
    <cellStyle name="40% - Accent6 7" xfId="115"/>
    <cellStyle name="40% - Accent6 7 2" xfId="9443"/>
    <cellStyle name="40% - Accent6 8" xfId="116"/>
    <cellStyle name="40% - Accent6 8 2" xfId="9444"/>
    <cellStyle name="40% - Accent6 9" xfId="117"/>
    <cellStyle name="40% - Accent6 9 2" xfId="9445"/>
    <cellStyle name="60% - Accent1 10" xfId="118"/>
    <cellStyle name="60% - Accent1 10 2" xfId="9446"/>
    <cellStyle name="60% - Accent1 2" xfId="119"/>
    <cellStyle name="60% - Accent1 2 2" xfId="9447"/>
    <cellStyle name="60% - Accent1 3" xfId="120"/>
    <cellStyle name="60% - Accent1 3 2" xfId="9448"/>
    <cellStyle name="60% - Accent1 4" xfId="121"/>
    <cellStyle name="60% - Accent1 4 2" xfId="9449"/>
    <cellStyle name="60% - Accent1 5" xfId="122"/>
    <cellStyle name="60% - Accent1 5 2" xfId="9450"/>
    <cellStyle name="60% - Accent1 6" xfId="123"/>
    <cellStyle name="60% - Accent1 6 2" xfId="9451"/>
    <cellStyle name="60% - Accent1 7" xfId="124"/>
    <cellStyle name="60% - Accent1 7 2" xfId="9452"/>
    <cellStyle name="60% - Accent1 8" xfId="125"/>
    <cellStyle name="60% - Accent1 8 2" xfId="9453"/>
    <cellStyle name="60% - Accent1 9" xfId="126"/>
    <cellStyle name="60% - Accent1 9 2" xfId="9454"/>
    <cellStyle name="60% - Accent2 10" xfId="127"/>
    <cellStyle name="60% - Accent2 10 2" xfId="9455"/>
    <cellStyle name="60% - Accent2 2" xfId="128"/>
    <cellStyle name="60% - Accent2 2 2" xfId="9456"/>
    <cellStyle name="60% - Accent2 3" xfId="129"/>
    <cellStyle name="60% - Accent2 3 2" xfId="9457"/>
    <cellStyle name="60% - Accent2 4" xfId="130"/>
    <cellStyle name="60% - Accent2 4 2" xfId="9458"/>
    <cellStyle name="60% - Accent2 5" xfId="131"/>
    <cellStyle name="60% - Accent2 5 2" xfId="9459"/>
    <cellStyle name="60% - Accent2 6" xfId="132"/>
    <cellStyle name="60% - Accent2 6 2" xfId="9460"/>
    <cellStyle name="60% - Accent2 7" xfId="133"/>
    <cellStyle name="60% - Accent2 7 2" xfId="9461"/>
    <cellStyle name="60% - Accent2 8" xfId="134"/>
    <cellStyle name="60% - Accent2 8 2" xfId="9462"/>
    <cellStyle name="60% - Accent2 9" xfId="135"/>
    <cellStyle name="60% - Accent2 9 2" xfId="9463"/>
    <cellStyle name="60% - Accent3 10" xfId="136"/>
    <cellStyle name="60% - Accent3 10 2" xfId="9464"/>
    <cellStyle name="60% - Accent3 2" xfId="137"/>
    <cellStyle name="60% - Accent3 2 2" xfId="9465"/>
    <cellStyle name="60% - Accent3 3" xfId="138"/>
    <cellStyle name="60% - Accent3 3 2" xfId="9466"/>
    <cellStyle name="60% - Accent3 4" xfId="139"/>
    <cellStyle name="60% - Accent3 4 2" xfId="9467"/>
    <cellStyle name="60% - Accent3 5" xfId="140"/>
    <cellStyle name="60% - Accent3 5 2" xfId="9468"/>
    <cellStyle name="60% - Accent3 6" xfId="141"/>
    <cellStyle name="60% - Accent3 6 2" xfId="9469"/>
    <cellStyle name="60% - Accent3 7" xfId="142"/>
    <cellStyle name="60% - Accent3 7 2" xfId="9470"/>
    <cellStyle name="60% - Accent3 8" xfId="143"/>
    <cellStyle name="60% - Accent3 8 2" xfId="9471"/>
    <cellStyle name="60% - Accent3 9" xfId="144"/>
    <cellStyle name="60% - Accent3 9 2" xfId="9472"/>
    <cellStyle name="60% - Accent4 10" xfId="145"/>
    <cellStyle name="60% - Accent4 10 2" xfId="9473"/>
    <cellStyle name="60% - Accent4 2" xfId="146"/>
    <cellStyle name="60% - Accent4 2 2" xfId="9474"/>
    <cellStyle name="60% - Accent4 3" xfId="147"/>
    <cellStyle name="60% - Accent4 3 2" xfId="9475"/>
    <cellStyle name="60% - Accent4 4" xfId="148"/>
    <cellStyle name="60% - Accent4 4 2" xfId="9476"/>
    <cellStyle name="60% - Accent4 5" xfId="149"/>
    <cellStyle name="60% - Accent4 5 2" xfId="9477"/>
    <cellStyle name="60% - Accent4 6" xfId="150"/>
    <cellStyle name="60% - Accent4 6 2" xfId="9478"/>
    <cellStyle name="60% - Accent4 7" xfId="151"/>
    <cellStyle name="60% - Accent4 7 2" xfId="9479"/>
    <cellStyle name="60% - Accent4 8" xfId="152"/>
    <cellStyle name="60% - Accent4 8 2" xfId="9480"/>
    <cellStyle name="60% - Accent4 9" xfId="153"/>
    <cellStyle name="60% - Accent4 9 2" xfId="9481"/>
    <cellStyle name="60% - Accent5 10" xfId="154"/>
    <cellStyle name="60% - Accent5 10 2" xfId="9482"/>
    <cellStyle name="60% - Accent5 2" xfId="155"/>
    <cellStyle name="60% - Accent5 2 2" xfId="9483"/>
    <cellStyle name="60% - Accent5 3" xfId="156"/>
    <cellStyle name="60% - Accent5 3 2" xfId="9484"/>
    <cellStyle name="60% - Accent5 4" xfId="157"/>
    <cellStyle name="60% - Accent5 4 2" xfId="9485"/>
    <cellStyle name="60% - Accent5 5" xfId="158"/>
    <cellStyle name="60% - Accent5 5 2" xfId="9486"/>
    <cellStyle name="60% - Accent5 6" xfId="159"/>
    <cellStyle name="60% - Accent5 6 2" xfId="9487"/>
    <cellStyle name="60% - Accent5 7" xfId="160"/>
    <cellStyle name="60% - Accent5 7 2" xfId="9488"/>
    <cellStyle name="60% - Accent5 8" xfId="161"/>
    <cellStyle name="60% - Accent5 8 2" xfId="9489"/>
    <cellStyle name="60% - Accent5 9" xfId="162"/>
    <cellStyle name="60% - Accent5 9 2" xfId="9490"/>
    <cellStyle name="60% - Accent6 10" xfId="163"/>
    <cellStyle name="60% - Accent6 10 2" xfId="9491"/>
    <cellStyle name="60% - Accent6 2" xfId="164"/>
    <cellStyle name="60% - Accent6 2 2" xfId="9492"/>
    <cellStyle name="60% - Accent6 3" xfId="165"/>
    <cellStyle name="60% - Accent6 3 2" xfId="9493"/>
    <cellStyle name="60% - Accent6 4" xfId="166"/>
    <cellStyle name="60% - Accent6 4 2" xfId="9494"/>
    <cellStyle name="60% - Accent6 5" xfId="167"/>
    <cellStyle name="60% - Accent6 5 2" xfId="9495"/>
    <cellStyle name="60% - Accent6 6" xfId="168"/>
    <cellStyle name="60% - Accent6 6 2" xfId="9496"/>
    <cellStyle name="60% - Accent6 7" xfId="169"/>
    <cellStyle name="60% - Accent6 7 2" xfId="9497"/>
    <cellStyle name="60% - Accent6 8" xfId="170"/>
    <cellStyle name="60% - Accent6 8 2" xfId="9498"/>
    <cellStyle name="60% - Accent6 9" xfId="171"/>
    <cellStyle name="60% - Accent6 9 2" xfId="9499"/>
    <cellStyle name="Accent1 10" xfId="172"/>
    <cellStyle name="Accent1 10 2" xfId="9500"/>
    <cellStyle name="Accent1 2" xfId="173"/>
    <cellStyle name="Accent1 2 2" xfId="9501"/>
    <cellStyle name="Accent1 3" xfId="174"/>
    <cellStyle name="Accent1 3 2" xfId="9502"/>
    <cellStyle name="Accent1 4" xfId="175"/>
    <cellStyle name="Accent1 4 2" xfId="9503"/>
    <cellStyle name="Accent1 5" xfId="176"/>
    <cellStyle name="Accent1 5 2" xfId="9504"/>
    <cellStyle name="Accent1 6" xfId="177"/>
    <cellStyle name="Accent1 6 2" xfId="9505"/>
    <cellStyle name="Accent1 7" xfId="178"/>
    <cellStyle name="Accent1 7 2" xfId="9506"/>
    <cellStyle name="Accent1 8" xfId="179"/>
    <cellStyle name="Accent1 8 2" xfId="9507"/>
    <cellStyle name="Accent1 9" xfId="180"/>
    <cellStyle name="Accent1 9 2" xfId="9508"/>
    <cellStyle name="Accent2 10" xfId="181"/>
    <cellStyle name="Accent2 10 2" xfId="9509"/>
    <cellStyle name="Accent2 2" xfId="182"/>
    <cellStyle name="Accent2 2 2" xfId="9510"/>
    <cellStyle name="Accent2 3" xfId="183"/>
    <cellStyle name="Accent2 3 2" xfId="9511"/>
    <cellStyle name="Accent2 4" xfId="184"/>
    <cellStyle name="Accent2 4 2" xfId="9512"/>
    <cellStyle name="Accent2 5" xfId="185"/>
    <cellStyle name="Accent2 5 2" xfId="9513"/>
    <cellStyle name="Accent2 6" xfId="186"/>
    <cellStyle name="Accent2 6 2" xfId="9514"/>
    <cellStyle name="Accent2 7" xfId="187"/>
    <cellStyle name="Accent2 7 2" xfId="9515"/>
    <cellStyle name="Accent2 8" xfId="188"/>
    <cellStyle name="Accent2 8 2" xfId="9516"/>
    <cellStyle name="Accent2 9" xfId="189"/>
    <cellStyle name="Accent2 9 2" xfId="9517"/>
    <cellStyle name="Accent3 10" xfId="190"/>
    <cellStyle name="Accent3 10 2" xfId="9518"/>
    <cellStyle name="Accent3 2" xfId="191"/>
    <cellStyle name="Accent3 2 2" xfId="9519"/>
    <cellStyle name="Accent3 3" xfId="192"/>
    <cellStyle name="Accent3 3 2" xfId="9520"/>
    <cellStyle name="Accent3 4" xfId="193"/>
    <cellStyle name="Accent3 4 2" xfId="9521"/>
    <cellStyle name="Accent3 5" xfId="194"/>
    <cellStyle name="Accent3 5 2" xfId="9522"/>
    <cellStyle name="Accent3 6" xfId="195"/>
    <cellStyle name="Accent3 6 2" xfId="9523"/>
    <cellStyle name="Accent3 7" xfId="196"/>
    <cellStyle name="Accent3 7 2" xfId="9524"/>
    <cellStyle name="Accent3 8" xfId="197"/>
    <cellStyle name="Accent3 8 2" xfId="9525"/>
    <cellStyle name="Accent3 9" xfId="198"/>
    <cellStyle name="Accent3 9 2" xfId="9526"/>
    <cellStyle name="Accent4 10" xfId="199"/>
    <cellStyle name="Accent4 10 2" xfId="9527"/>
    <cellStyle name="Accent4 2" xfId="200"/>
    <cellStyle name="Accent4 2 2" xfId="9528"/>
    <cellStyle name="Accent4 3" xfId="201"/>
    <cellStyle name="Accent4 3 2" xfId="9529"/>
    <cellStyle name="Accent4 4" xfId="202"/>
    <cellStyle name="Accent4 4 2" xfId="9530"/>
    <cellStyle name="Accent4 5" xfId="203"/>
    <cellStyle name="Accent4 5 2" xfId="9531"/>
    <cellStyle name="Accent4 6" xfId="204"/>
    <cellStyle name="Accent4 6 2" xfId="9532"/>
    <cellStyle name="Accent4 7" xfId="205"/>
    <cellStyle name="Accent4 7 2" xfId="9533"/>
    <cellStyle name="Accent4 8" xfId="206"/>
    <cellStyle name="Accent4 8 2" xfId="9534"/>
    <cellStyle name="Accent4 9" xfId="207"/>
    <cellStyle name="Accent4 9 2" xfId="9535"/>
    <cellStyle name="Accent5 10" xfId="208"/>
    <cellStyle name="Accent5 10 2" xfId="9536"/>
    <cellStyle name="Accent5 2" xfId="209"/>
    <cellStyle name="Accent5 2 2" xfId="9537"/>
    <cellStyle name="Accent5 3" xfId="210"/>
    <cellStyle name="Accent5 3 2" xfId="9538"/>
    <cellStyle name="Accent5 4" xfId="211"/>
    <cellStyle name="Accent5 4 2" xfId="9539"/>
    <cellStyle name="Accent5 5" xfId="212"/>
    <cellStyle name="Accent5 5 2" xfId="9540"/>
    <cellStyle name="Accent5 6" xfId="213"/>
    <cellStyle name="Accent5 6 2" xfId="9541"/>
    <cellStyle name="Accent5 7" xfId="214"/>
    <cellStyle name="Accent5 7 2" xfId="9542"/>
    <cellStyle name="Accent5 8" xfId="215"/>
    <cellStyle name="Accent5 8 2" xfId="9543"/>
    <cellStyle name="Accent5 9" xfId="216"/>
    <cellStyle name="Accent5 9 2" xfId="9544"/>
    <cellStyle name="Accent6 10" xfId="217"/>
    <cellStyle name="Accent6 10 2" xfId="9545"/>
    <cellStyle name="Accent6 2" xfId="218"/>
    <cellStyle name="Accent6 2 2" xfId="9546"/>
    <cellStyle name="Accent6 3" xfId="219"/>
    <cellStyle name="Accent6 3 2" xfId="9547"/>
    <cellStyle name="Accent6 4" xfId="220"/>
    <cellStyle name="Accent6 4 2" xfId="9548"/>
    <cellStyle name="Accent6 5" xfId="221"/>
    <cellStyle name="Accent6 5 2" xfId="9549"/>
    <cellStyle name="Accent6 6" xfId="222"/>
    <cellStyle name="Accent6 6 2" xfId="9550"/>
    <cellStyle name="Accent6 7" xfId="223"/>
    <cellStyle name="Accent6 7 2" xfId="9551"/>
    <cellStyle name="Accent6 8" xfId="224"/>
    <cellStyle name="Accent6 8 2" xfId="9552"/>
    <cellStyle name="Accent6 9" xfId="225"/>
    <cellStyle name="Accent6 9 2" xfId="9553"/>
    <cellStyle name="Bad 10" xfId="226"/>
    <cellStyle name="Bad 10 2" xfId="9554"/>
    <cellStyle name="Bad 2" xfId="227"/>
    <cellStyle name="Bad 2 2" xfId="9555"/>
    <cellStyle name="Bad 3" xfId="228"/>
    <cellStyle name="Bad 3 2" xfId="9556"/>
    <cellStyle name="Bad 4" xfId="229"/>
    <cellStyle name="Bad 4 2" xfId="9557"/>
    <cellStyle name="Bad 5" xfId="230"/>
    <cellStyle name="Bad 5 2" xfId="9558"/>
    <cellStyle name="Bad 6" xfId="231"/>
    <cellStyle name="Bad 6 2" xfId="9559"/>
    <cellStyle name="Bad 7" xfId="232"/>
    <cellStyle name="Bad 7 2" xfId="9560"/>
    <cellStyle name="Bad 8" xfId="233"/>
    <cellStyle name="Bad 8 2" xfId="9561"/>
    <cellStyle name="Bad 9" xfId="234"/>
    <cellStyle name="Bad 9 2" xfId="9562"/>
    <cellStyle name="Calculation 10" xfId="235"/>
    <cellStyle name="Calculation 10 10" xfId="1135"/>
    <cellStyle name="Calculation 10 10 2" xfId="10463"/>
    <cellStyle name="Calculation 10 10 3" xfId="14873"/>
    <cellStyle name="Calculation 10 10_Table" xfId="4848"/>
    <cellStyle name="Calculation 10 11" xfId="1398"/>
    <cellStyle name="Calculation 10 11 2" xfId="10726"/>
    <cellStyle name="Calculation 10 11 3" xfId="15136"/>
    <cellStyle name="Calculation 10 11_Table" xfId="4849"/>
    <cellStyle name="Calculation 10 12" xfId="1157"/>
    <cellStyle name="Calculation 10 12 2" xfId="10485"/>
    <cellStyle name="Calculation 10 12 3" xfId="14895"/>
    <cellStyle name="Calculation 10 12_Table" xfId="4850"/>
    <cellStyle name="Calculation 10 13" xfId="2959"/>
    <cellStyle name="Calculation 10 13 2" xfId="12287"/>
    <cellStyle name="Calculation 10 13 3" xfId="16697"/>
    <cellStyle name="Calculation 10 13_Table" xfId="4851"/>
    <cellStyle name="Calculation 10 14" xfId="887"/>
    <cellStyle name="Calculation 10 14 2" xfId="10215"/>
    <cellStyle name="Calculation 10 14 3" xfId="14625"/>
    <cellStyle name="Calculation 10 14_Table" xfId="4852"/>
    <cellStyle name="Calculation 10 15" xfId="9563"/>
    <cellStyle name="Calculation 10 16" xfId="14175"/>
    <cellStyle name="Calculation 10 2" xfId="392"/>
    <cellStyle name="Calculation 10 2 10" xfId="3533"/>
    <cellStyle name="Calculation 10 2 10 2" xfId="12861"/>
    <cellStyle name="Calculation 10 2 10 3" xfId="17271"/>
    <cellStyle name="Calculation 10 2 10_Table" xfId="4854"/>
    <cellStyle name="Calculation 10 2 11" xfId="9720"/>
    <cellStyle name="Calculation 10 2 12" xfId="14220"/>
    <cellStyle name="Calculation 10 2 2" xfId="707"/>
    <cellStyle name="Calculation 10 2 2 10" xfId="4667"/>
    <cellStyle name="Calculation 10 2 2 10 2" xfId="13995"/>
    <cellStyle name="Calculation 10 2 2 10 3" xfId="18405"/>
    <cellStyle name="Calculation 10 2 2 10_Table" xfId="4856"/>
    <cellStyle name="Calculation 10 2 2 11" xfId="10035"/>
    <cellStyle name="Calculation 10 2 2 12" xfId="14445"/>
    <cellStyle name="Calculation 10 2 2 2" xfId="1493"/>
    <cellStyle name="Calculation 10 2 2 2 2" xfId="10821"/>
    <cellStyle name="Calculation 10 2 2 2 3" xfId="15231"/>
    <cellStyle name="Calculation 10 2 2 2_Table" xfId="4857"/>
    <cellStyle name="Calculation 10 2 2 3" xfId="1853"/>
    <cellStyle name="Calculation 10 2 2 3 2" xfId="11181"/>
    <cellStyle name="Calculation 10 2 2 3 3" xfId="15591"/>
    <cellStyle name="Calculation 10 2 2 3_Table" xfId="4858"/>
    <cellStyle name="Calculation 10 2 2 4" xfId="2283"/>
    <cellStyle name="Calculation 10 2 2 4 2" xfId="11611"/>
    <cellStyle name="Calculation 10 2 2 4 3" xfId="16021"/>
    <cellStyle name="Calculation 10 2 2 4_Table" xfId="4859"/>
    <cellStyle name="Calculation 10 2 2 5" xfId="2721"/>
    <cellStyle name="Calculation 10 2 2 5 2" xfId="12049"/>
    <cellStyle name="Calculation 10 2 2 5 3" xfId="16459"/>
    <cellStyle name="Calculation 10 2 2 5_Table" xfId="4860"/>
    <cellStyle name="Calculation 10 2 2 6" xfId="3128"/>
    <cellStyle name="Calculation 10 2 2 6 2" xfId="12456"/>
    <cellStyle name="Calculation 10 2 2 6 3" xfId="16866"/>
    <cellStyle name="Calculation 10 2 2 6_Table" xfId="4861"/>
    <cellStyle name="Calculation 10 2 2 7" xfId="3720"/>
    <cellStyle name="Calculation 10 2 2 7 2" xfId="13048"/>
    <cellStyle name="Calculation 10 2 2 7 3" xfId="17458"/>
    <cellStyle name="Calculation 10 2 2 7_Table" xfId="4862"/>
    <cellStyle name="Calculation 10 2 2 8" xfId="3945"/>
    <cellStyle name="Calculation 10 2 2 8 2" xfId="13273"/>
    <cellStyle name="Calculation 10 2 2 8 3" xfId="17683"/>
    <cellStyle name="Calculation 10 2 2 8_Table" xfId="4863"/>
    <cellStyle name="Calculation 10 2 2 9" xfId="4306"/>
    <cellStyle name="Calculation 10 2 2 9 2" xfId="13634"/>
    <cellStyle name="Calculation 10 2 2 9 3" xfId="18044"/>
    <cellStyle name="Calculation 10 2 2 9_Table" xfId="4864"/>
    <cellStyle name="Calculation 10 2 2_Table" xfId="4855"/>
    <cellStyle name="Calculation 10 2 3" xfId="1020"/>
    <cellStyle name="Calculation 10 2 3 2" xfId="10348"/>
    <cellStyle name="Calculation 10 2 3 3" xfId="14758"/>
    <cellStyle name="Calculation 10 2 3_Table" xfId="4865"/>
    <cellStyle name="Calculation 10 2 4" xfId="1322"/>
    <cellStyle name="Calculation 10 2 4 2" xfId="10650"/>
    <cellStyle name="Calculation 10 2 4 3" xfId="15060"/>
    <cellStyle name="Calculation 10 2 4_Table" xfId="4866"/>
    <cellStyle name="Calculation 10 2 5" xfId="1725"/>
    <cellStyle name="Calculation 10 2 5 2" xfId="11053"/>
    <cellStyle name="Calculation 10 2 5 3" xfId="15463"/>
    <cellStyle name="Calculation 10 2 5_Table" xfId="4867"/>
    <cellStyle name="Calculation 10 2 6" xfId="2160"/>
    <cellStyle name="Calculation 10 2 6 2" xfId="11488"/>
    <cellStyle name="Calculation 10 2 6 3" xfId="15898"/>
    <cellStyle name="Calculation 10 2 6_Table" xfId="4868"/>
    <cellStyle name="Calculation 10 2 7" xfId="2592"/>
    <cellStyle name="Calculation 10 2 7 2" xfId="11920"/>
    <cellStyle name="Calculation 10 2 7 3" xfId="16330"/>
    <cellStyle name="Calculation 10 2 7_Table" xfId="4869"/>
    <cellStyle name="Calculation 10 2 8" xfId="1220"/>
    <cellStyle name="Calculation 10 2 8 2" xfId="10548"/>
    <cellStyle name="Calculation 10 2 8 3" xfId="14958"/>
    <cellStyle name="Calculation 10 2 8_Table" xfId="4870"/>
    <cellStyle name="Calculation 10 2 9" xfId="3547"/>
    <cellStyle name="Calculation 10 2 9 2" xfId="12875"/>
    <cellStyle name="Calculation 10 2 9 3" xfId="17285"/>
    <cellStyle name="Calculation 10 2 9_Table" xfId="4871"/>
    <cellStyle name="Calculation 10 2_Table" xfId="4853"/>
    <cellStyle name="Calculation 10 3" xfId="460"/>
    <cellStyle name="Calculation 10 3 10" xfId="4487"/>
    <cellStyle name="Calculation 10 3 10 2" xfId="13815"/>
    <cellStyle name="Calculation 10 3 10 3" xfId="18225"/>
    <cellStyle name="Calculation 10 3 10_Table" xfId="4873"/>
    <cellStyle name="Calculation 10 3 11" xfId="9788"/>
    <cellStyle name="Calculation 10 3 12" xfId="14265"/>
    <cellStyle name="Calculation 10 3 2" xfId="752"/>
    <cellStyle name="Calculation 10 3 2 10" xfId="4712"/>
    <cellStyle name="Calculation 10 3 2 10 2" xfId="14040"/>
    <cellStyle name="Calculation 10 3 2 10 3" xfId="18450"/>
    <cellStyle name="Calculation 10 3 2 10_Table" xfId="4875"/>
    <cellStyle name="Calculation 10 3 2 11" xfId="10080"/>
    <cellStyle name="Calculation 10 3 2 12" xfId="14490"/>
    <cellStyle name="Calculation 10 3 2 2" xfId="1538"/>
    <cellStyle name="Calculation 10 3 2 2 2" xfId="10866"/>
    <cellStyle name="Calculation 10 3 2 2 3" xfId="15276"/>
    <cellStyle name="Calculation 10 3 2 2_Table" xfId="4876"/>
    <cellStyle name="Calculation 10 3 2 3" xfId="1898"/>
    <cellStyle name="Calculation 10 3 2 3 2" xfId="11226"/>
    <cellStyle name="Calculation 10 3 2 3 3" xfId="15636"/>
    <cellStyle name="Calculation 10 3 2 3_Table" xfId="4877"/>
    <cellStyle name="Calculation 10 3 2 4" xfId="2328"/>
    <cellStyle name="Calculation 10 3 2 4 2" xfId="11656"/>
    <cellStyle name="Calculation 10 3 2 4 3" xfId="16066"/>
    <cellStyle name="Calculation 10 3 2 4_Table" xfId="4878"/>
    <cellStyle name="Calculation 10 3 2 5" xfId="2766"/>
    <cellStyle name="Calculation 10 3 2 5 2" xfId="12094"/>
    <cellStyle name="Calculation 10 3 2 5 3" xfId="16504"/>
    <cellStyle name="Calculation 10 3 2 5_Table" xfId="4879"/>
    <cellStyle name="Calculation 10 3 2 6" xfId="3173"/>
    <cellStyle name="Calculation 10 3 2 6 2" xfId="12501"/>
    <cellStyle name="Calculation 10 3 2 6 3" xfId="16911"/>
    <cellStyle name="Calculation 10 3 2 6_Table" xfId="4880"/>
    <cellStyle name="Calculation 10 3 2 7" xfId="3765"/>
    <cellStyle name="Calculation 10 3 2 7 2" xfId="13093"/>
    <cellStyle name="Calculation 10 3 2 7 3" xfId="17503"/>
    <cellStyle name="Calculation 10 3 2 7_Table" xfId="4881"/>
    <cellStyle name="Calculation 10 3 2 8" xfId="3990"/>
    <cellStyle name="Calculation 10 3 2 8 2" xfId="13318"/>
    <cellStyle name="Calculation 10 3 2 8 3" xfId="17728"/>
    <cellStyle name="Calculation 10 3 2 8_Table" xfId="4882"/>
    <cellStyle name="Calculation 10 3 2 9" xfId="4351"/>
    <cellStyle name="Calculation 10 3 2 9 2" xfId="13679"/>
    <cellStyle name="Calculation 10 3 2 9 3" xfId="18089"/>
    <cellStyle name="Calculation 10 3 2 9_Table" xfId="4883"/>
    <cellStyle name="Calculation 10 3 2_Table" xfId="4874"/>
    <cellStyle name="Calculation 10 3 3" xfId="954"/>
    <cellStyle name="Calculation 10 3 3 2" xfId="10282"/>
    <cellStyle name="Calculation 10 3 3 3" xfId="14692"/>
    <cellStyle name="Calculation 10 3 3_Table" xfId="4884"/>
    <cellStyle name="Calculation 10 3 4" xfId="2051"/>
    <cellStyle name="Calculation 10 3 4 2" xfId="11379"/>
    <cellStyle name="Calculation 10 3 4 3" xfId="15789"/>
    <cellStyle name="Calculation 10 3 4_Table" xfId="4885"/>
    <cellStyle name="Calculation 10 3 5" xfId="2483"/>
    <cellStyle name="Calculation 10 3 5 2" xfId="11811"/>
    <cellStyle name="Calculation 10 3 5 3" xfId="16221"/>
    <cellStyle name="Calculation 10 3 5_Table" xfId="4886"/>
    <cellStyle name="Calculation 10 3 6" xfId="2912"/>
    <cellStyle name="Calculation 10 3 6 2" xfId="12240"/>
    <cellStyle name="Calculation 10 3 6 3" xfId="16650"/>
    <cellStyle name="Calculation 10 3 6_Table" xfId="4887"/>
    <cellStyle name="Calculation 10 3 7" xfId="3324"/>
    <cellStyle name="Calculation 10 3 7 2" xfId="12652"/>
    <cellStyle name="Calculation 10 3 7 3" xfId="17062"/>
    <cellStyle name="Calculation 10 3 7_Table" xfId="4888"/>
    <cellStyle name="Calculation 10 3 8" xfId="3439"/>
    <cellStyle name="Calculation 10 3 8 2" xfId="12767"/>
    <cellStyle name="Calculation 10 3 8 3" xfId="17177"/>
    <cellStyle name="Calculation 10 3 8_Table" xfId="4889"/>
    <cellStyle name="Calculation 10 3 9" xfId="4126"/>
    <cellStyle name="Calculation 10 3 9 2" xfId="13454"/>
    <cellStyle name="Calculation 10 3 9 3" xfId="17864"/>
    <cellStyle name="Calculation 10 3 9_Table" xfId="4890"/>
    <cellStyle name="Calculation 10 3_Table" xfId="4872"/>
    <cellStyle name="Calculation 10 4" xfId="524"/>
    <cellStyle name="Calculation 10 4 10" xfId="4532"/>
    <cellStyle name="Calculation 10 4 10 2" xfId="13860"/>
    <cellStyle name="Calculation 10 4 10 3" xfId="18270"/>
    <cellStyle name="Calculation 10 4 10_Table" xfId="4892"/>
    <cellStyle name="Calculation 10 4 11" xfId="9852"/>
    <cellStyle name="Calculation 10 4 12" xfId="14310"/>
    <cellStyle name="Calculation 10 4 2" xfId="797"/>
    <cellStyle name="Calculation 10 4 2 10" xfId="4757"/>
    <cellStyle name="Calculation 10 4 2 10 2" xfId="14085"/>
    <cellStyle name="Calculation 10 4 2 10 3" xfId="18495"/>
    <cellStyle name="Calculation 10 4 2 10_Table" xfId="4894"/>
    <cellStyle name="Calculation 10 4 2 11" xfId="10125"/>
    <cellStyle name="Calculation 10 4 2 12" xfId="14535"/>
    <cellStyle name="Calculation 10 4 2 2" xfId="1583"/>
    <cellStyle name="Calculation 10 4 2 2 2" xfId="10911"/>
    <cellStyle name="Calculation 10 4 2 2 3" xfId="15321"/>
    <cellStyle name="Calculation 10 4 2 2_Table" xfId="4895"/>
    <cellStyle name="Calculation 10 4 2 3" xfId="1943"/>
    <cellStyle name="Calculation 10 4 2 3 2" xfId="11271"/>
    <cellStyle name="Calculation 10 4 2 3 3" xfId="15681"/>
    <cellStyle name="Calculation 10 4 2 3_Table" xfId="4896"/>
    <cellStyle name="Calculation 10 4 2 4" xfId="2373"/>
    <cellStyle name="Calculation 10 4 2 4 2" xfId="11701"/>
    <cellStyle name="Calculation 10 4 2 4 3" xfId="16111"/>
    <cellStyle name="Calculation 10 4 2 4_Table" xfId="4897"/>
    <cellStyle name="Calculation 10 4 2 5" xfId="2811"/>
    <cellStyle name="Calculation 10 4 2 5 2" xfId="12139"/>
    <cellStyle name="Calculation 10 4 2 5 3" xfId="16549"/>
    <cellStyle name="Calculation 10 4 2 5_Table" xfId="4898"/>
    <cellStyle name="Calculation 10 4 2 6" xfId="3218"/>
    <cellStyle name="Calculation 10 4 2 6 2" xfId="12546"/>
    <cellStyle name="Calculation 10 4 2 6 3" xfId="16956"/>
    <cellStyle name="Calculation 10 4 2 6_Table" xfId="4899"/>
    <cellStyle name="Calculation 10 4 2 7" xfId="3810"/>
    <cellStyle name="Calculation 10 4 2 7 2" xfId="13138"/>
    <cellStyle name="Calculation 10 4 2 7 3" xfId="17548"/>
    <cellStyle name="Calculation 10 4 2 7_Table" xfId="4900"/>
    <cellStyle name="Calculation 10 4 2 8" xfId="4035"/>
    <cellStyle name="Calculation 10 4 2 8 2" xfId="13363"/>
    <cellStyle name="Calculation 10 4 2 8 3" xfId="17773"/>
    <cellStyle name="Calculation 10 4 2 8_Table" xfId="4901"/>
    <cellStyle name="Calculation 10 4 2 9" xfId="4396"/>
    <cellStyle name="Calculation 10 4 2 9 2" xfId="13724"/>
    <cellStyle name="Calculation 10 4 2 9 3" xfId="18134"/>
    <cellStyle name="Calculation 10 4 2 9_Table" xfId="4902"/>
    <cellStyle name="Calculation 10 4 2_Table" xfId="4893"/>
    <cellStyle name="Calculation 10 4 3" xfId="1676"/>
    <cellStyle name="Calculation 10 4 3 2" xfId="11004"/>
    <cellStyle name="Calculation 10 4 3 3" xfId="15414"/>
    <cellStyle name="Calculation 10 4 3_Table" xfId="4903"/>
    <cellStyle name="Calculation 10 4 4" xfId="2110"/>
    <cellStyle name="Calculation 10 4 4 2" xfId="11438"/>
    <cellStyle name="Calculation 10 4 4 3" xfId="15848"/>
    <cellStyle name="Calculation 10 4 4_Table" xfId="4904"/>
    <cellStyle name="Calculation 10 4 5" xfId="2542"/>
    <cellStyle name="Calculation 10 4 5 2" xfId="11870"/>
    <cellStyle name="Calculation 10 4 5 3" xfId="16280"/>
    <cellStyle name="Calculation 10 4 5_Table" xfId="4905"/>
    <cellStyle name="Calculation 10 4 6" xfId="2969"/>
    <cellStyle name="Calculation 10 4 6 2" xfId="12297"/>
    <cellStyle name="Calculation 10 4 6 3" xfId="16707"/>
    <cellStyle name="Calculation 10 4 6_Table" xfId="4906"/>
    <cellStyle name="Calculation 10 4 7" xfId="3382"/>
    <cellStyle name="Calculation 10 4 7 2" xfId="12710"/>
    <cellStyle name="Calculation 10 4 7 3" xfId="17120"/>
    <cellStyle name="Calculation 10 4 7_Table" xfId="4907"/>
    <cellStyle name="Calculation 10 4 8" xfId="3653"/>
    <cellStyle name="Calculation 10 4 8 2" xfId="12981"/>
    <cellStyle name="Calculation 10 4 8 3" xfId="17391"/>
    <cellStyle name="Calculation 10 4 8_Table" xfId="4908"/>
    <cellStyle name="Calculation 10 4 9" xfId="4171"/>
    <cellStyle name="Calculation 10 4 9 2" xfId="13499"/>
    <cellStyle name="Calculation 10 4 9 3" xfId="17909"/>
    <cellStyle name="Calculation 10 4 9_Table" xfId="4909"/>
    <cellStyle name="Calculation 10 4_Table" xfId="4891"/>
    <cellStyle name="Calculation 10 5" xfId="599"/>
    <cellStyle name="Calculation 10 5 10" xfId="4577"/>
    <cellStyle name="Calculation 10 5 10 2" xfId="13905"/>
    <cellStyle name="Calculation 10 5 10 3" xfId="18315"/>
    <cellStyle name="Calculation 10 5 10_Table" xfId="4911"/>
    <cellStyle name="Calculation 10 5 11" xfId="9927"/>
    <cellStyle name="Calculation 10 5 12" xfId="14355"/>
    <cellStyle name="Calculation 10 5 2" xfId="842"/>
    <cellStyle name="Calculation 10 5 2 10" xfId="4802"/>
    <cellStyle name="Calculation 10 5 2 10 2" xfId="14130"/>
    <cellStyle name="Calculation 10 5 2 10 3" xfId="18540"/>
    <cellStyle name="Calculation 10 5 2 10_Table" xfId="4913"/>
    <cellStyle name="Calculation 10 5 2 11" xfId="10170"/>
    <cellStyle name="Calculation 10 5 2 12" xfId="14580"/>
    <cellStyle name="Calculation 10 5 2 2" xfId="1628"/>
    <cellStyle name="Calculation 10 5 2 2 2" xfId="10956"/>
    <cellStyle name="Calculation 10 5 2 2 3" xfId="15366"/>
    <cellStyle name="Calculation 10 5 2 2_Table" xfId="4914"/>
    <cellStyle name="Calculation 10 5 2 3" xfId="1988"/>
    <cellStyle name="Calculation 10 5 2 3 2" xfId="11316"/>
    <cellStyle name="Calculation 10 5 2 3 3" xfId="15726"/>
    <cellStyle name="Calculation 10 5 2 3_Table" xfId="4915"/>
    <cellStyle name="Calculation 10 5 2 4" xfId="2418"/>
    <cellStyle name="Calculation 10 5 2 4 2" xfId="11746"/>
    <cellStyle name="Calculation 10 5 2 4 3" xfId="16156"/>
    <cellStyle name="Calculation 10 5 2 4_Table" xfId="4916"/>
    <cellStyle name="Calculation 10 5 2 5" xfId="2856"/>
    <cellStyle name="Calculation 10 5 2 5 2" xfId="12184"/>
    <cellStyle name="Calculation 10 5 2 5 3" xfId="16594"/>
    <cellStyle name="Calculation 10 5 2 5_Table" xfId="4917"/>
    <cellStyle name="Calculation 10 5 2 6" xfId="3263"/>
    <cellStyle name="Calculation 10 5 2 6 2" xfId="12591"/>
    <cellStyle name="Calculation 10 5 2 6 3" xfId="17001"/>
    <cellStyle name="Calculation 10 5 2 6_Table" xfId="4918"/>
    <cellStyle name="Calculation 10 5 2 7" xfId="3855"/>
    <cellStyle name="Calculation 10 5 2 7 2" xfId="13183"/>
    <cellStyle name="Calculation 10 5 2 7 3" xfId="17593"/>
    <cellStyle name="Calculation 10 5 2 7_Table" xfId="4919"/>
    <cellStyle name="Calculation 10 5 2 8" xfId="4080"/>
    <cellStyle name="Calculation 10 5 2 8 2" xfId="13408"/>
    <cellStyle name="Calculation 10 5 2 8 3" xfId="17818"/>
    <cellStyle name="Calculation 10 5 2 8_Table" xfId="4920"/>
    <cellStyle name="Calculation 10 5 2 9" xfId="4441"/>
    <cellStyle name="Calculation 10 5 2 9 2" xfId="13769"/>
    <cellStyle name="Calculation 10 5 2 9 3" xfId="18179"/>
    <cellStyle name="Calculation 10 5 2 9_Table" xfId="4921"/>
    <cellStyle name="Calculation 10 5 2_Table" xfId="4912"/>
    <cellStyle name="Calculation 10 5 3" xfId="1746"/>
    <cellStyle name="Calculation 10 5 3 2" xfId="11074"/>
    <cellStyle name="Calculation 10 5 3 3" xfId="15484"/>
    <cellStyle name="Calculation 10 5 3_Table" xfId="4922"/>
    <cellStyle name="Calculation 10 5 4" xfId="2179"/>
    <cellStyle name="Calculation 10 5 4 2" xfId="11507"/>
    <cellStyle name="Calculation 10 5 4 3" xfId="15917"/>
    <cellStyle name="Calculation 10 5 4_Table" xfId="4923"/>
    <cellStyle name="Calculation 10 5 5" xfId="2614"/>
    <cellStyle name="Calculation 10 5 5 2" xfId="11942"/>
    <cellStyle name="Calculation 10 5 5 3" xfId="16352"/>
    <cellStyle name="Calculation 10 5 5_Table" xfId="4924"/>
    <cellStyle name="Calculation 10 5 6" xfId="3027"/>
    <cellStyle name="Calculation 10 5 6 2" xfId="12355"/>
    <cellStyle name="Calculation 10 5 6 3" xfId="16765"/>
    <cellStyle name="Calculation 10 5 6_Table" xfId="4925"/>
    <cellStyle name="Calculation 10 5 7" xfId="3453"/>
    <cellStyle name="Calculation 10 5 7 2" xfId="12781"/>
    <cellStyle name="Calculation 10 5 7 3" xfId="17191"/>
    <cellStyle name="Calculation 10 5 7_Table" xfId="4926"/>
    <cellStyle name="Calculation 10 5 8" xfId="3664"/>
    <cellStyle name="Calculation 10 5 8 2" xfId="12992"/>
    <cellStyle name="Calculation 10 5 8 3" xfId="17402"/>
    <cellStyle name="Calculation 10 5 8_Table" xfId="4927"/>
    <cellStyle name="Calculation 10 5 9" xfId="4216"/>
    <cellStyle name="Calculation 10 5 9 2" xfId="13544"/>
    <cellStyle name="Calculation 10 5 9 3" xfId="17954"/>
    <cellStyle name="Calculation 10 5 9_Table" xfId="4928"/>
    <cellStyle name="Calculation 10 5_Table" xfId="4910"/>
    <cellStyle name="Calculation 10 6" xfId="662"/>
    <cellStyle name="Calculation 10 6 10" xfId="4622"/>
    <cellStyle name="Calculation 10 6 10 2" xfId="13950"/>
    <cellStyle name="Calculation 10 6 10 3" xfId="18360"/>
    <cellStyle name="Calculation 10 6 10_Table" xfId="4930"/>
    <cellStyle name="Calculation 10 6 11" xfId="9990"/>
    <cellStyle name="Calculation 10 6 12" xfId="14400"/>
    <cellStyle name="Calculation 10 6 2" xfId="1448"/>
    <cellStyle name="Calculation 10 6 2 2" xfId="10776"/>
    <cellStyle name="Calculation 10 6 2 3" xfId="15186"/>
    <cellStyle name="Calculation 10 6 2_Table" xfId="4931"/>
    <cellStyle name="Calculation 10 6 3" xfId="1808"/>
    <cellStyle name="Calculation 10 6 3 2" xfId="11136"/>
    <cellStyle name="Calculation 10 6 3 3" xfId="15546"/>
    <cellStyle name="Calculation 10 6 3_Table" xfId="4932"/>
    <cellStyle name="Calculation 10 6 4" xfId="2238"/>
    <cellStyle name="Calculation 10 6 4 2" xfId="11566"/>
    <cellStyle name="Calculation 10 6 4 3" xfId="15976"/>
    <cellStyle name="Calculation 10 6 4_Table" xfId="4933"/>
    <cellStyle name="Calculation 10 6 5" xfId="2676"/>
    <cellStyle name="Calculation 10 6 5 2" xfId="12004"/>
    <cellStyle name="Calculation 10 6 5 3" xfId="16414"/>
    <cellStyle name="Calculation 10 6 5_Table" xfId="4934"/>
    <cellStyle name="Calculation 10 6 6" xfId="3083"/>
    <cellStyle name="Calculation 10 6 6 2" xfId="12411"/>
    <cellStyle name="Calculation 10 6 6 3" xfId="16821"/>
    <cellStyle name="Calculation 10 6 6_Table" xfId="4935"/>
    <cellStyle name="Calculation 10 6 7" xfId="3675"/>
    <cellStyle name="Calculation 10 6 7 2" xfId="13003"/>
    <cellStyle name="Calculation 10 6 7 3" xfId="17413"/>
    <cellStyle name="Calculation 10 6 7_Table" xfId="4936"/>
    <cellStyle name="Calculation 10 6 8" xfId="3900"/>
    <cellStyle name="Calculation 10 6 8 2" xfId="13228"/>
    <cellStyle name="Calculation 10 6 8 3" xfId="17638"/>
    <cellStyle name="Calculation 10 6 8_Table" xfId="4937"/>
    <cellStyle name="Calculation 10 6 9" xfId="4261"/>
    <cellStyle name="Calculation 10 6 9 2" xfId="13589"/>
    <cellStyle name="Calculation 10 6 9 3" xfId="17999"/>
    <cellStyle name="Calculation 10 6 9_Table" xfId="4938"/>
    <cellStyle name="Calculation 10 6_Table" xfId="4929"/>
    <cellStyle name="Calculation 10 7" xfId="1117"/>
    <cellStyle name="Calculation 10 7 2" xfId="10445"/>
    <cellStyle name="Calculation 10 7 3" xfId="14855"/>
    <cellStyle name="Calculation 10 7_Table" xfId="4939"/>
    <cellStyle name="Calculation 10 8" xfId="1126"/>
    <cellStyle name="Calculation 10 8 2" xfId="10454"/>
    <cellStyle name="Calculation 10 8 3" xfId="14864"/>
    <cellStyle name="Calculation 10 8_Table" xfId="4940"/>
    <cellStyle name="Calculation 10 9" xfId="1108"/>
    <cellStyle name="Calculation 10 9 2" xfId="10436"/>
    <cellStyle name="Calculation 10 9 3" xfId="14846"/>
    <cellStyle name="Calculation 10 9_Table" xfId="4941"/>
    <cellStyle name="Calculation 10_Table" xfId="4847"/>
    <cellStyle name="Calculation 2" xfId="236"/>
    <cellStyle name="Calculation 2 10" xfId="1136"/>
    <cellStyle name="Calculation 2 10 2" xfId="10464"/>
    <cellStyle name="Calculation 2 10 3" xfId="14874"/>
    <cellStyle name="Calculation 2 10_Table" xfId="4943"/>
    <cellStyle name="Calculation 2 11" xfId="1331"/>
    <cellStyle name="Calculation 2 11 2" xfId="10659"/>
    <cellStyle name="Calculation 2 11 3" xfId="15069"/>
    <cellStyle name="Calculation 2 11_Table" xfId="4944"/>
    <cellStyle name="Calculation 2 12" xfId="1123"/>
    <cellStyle name="Calculation 2 12 2" xfId="10451"/>
    <cellStyle name="Calculation 2 12 3" xfId="14861"/>
    <cellStyle name="Calculation 2 12_Table" xfId="4945"/>
    <cellStyle name="Calculation 2 13" xfId="2035"/>
    <cellStyle name="Calculation 2 13 2" xfId="11363"/>
    <cellStyle name="Calculation 2 13 3" xfId="15773"/>
    <cellStyle name="Calculation 2 13_Table" xfId="4946"/>
    <cellStyle name="Calculation 2 14" xfId="2107"/>
    <cellStyle name="Calculation 2 14 2" xfId="11435"/>
    <cellStyle name="Calculation 2 14 3" xfId="15845"/>
    <cellStyle name="Calculation 2 14_Table" xfId="4947"/>
    <cellStyle name="Calculation 2 15" xfId="9564"/>
    <cellStyle name="Calculation 2 16" xfId="14176"/>
    <cellStyle name="Calculation 2 2" xfId="393"/>
    <cellStyle name="Calculation 2 2 10" xfId="3672"/>
    <cellStyle name="Calculation 2 2 10 2" xfId="13000"/>
    <cellStyle name="Calculation 2 2 10 3" xfId="17410"/>
    <cellStyle name="Calculation 2 2 10_Table" xfId="4949"/>
    <cellStyle name="Calculation 2 2 11" xfId="9721"/>
    <cellStyle name="Calculation 2 2 12" xfId="14221"/>
    <cellStyle name="Calculation 2 2 2" xfId="708"/>
    <cellStyle name="Calculation 2 2 2 10" xfId="4668"/>
    <cellStyle name="Calculation 2 2 2 10 2" xfId="13996"/>
    <cellStyle name="Calculation 2 2 2 10 3" xfId="18406"/>
    <cellStyle name="Calculation 2 2 2 10_Table" xfId="4951"/>
    <cellStyle name="Calculation 2 2 2 11" xfId="10036"/>
    <cellStyle name="Calculation 2 2 2 12" xfId="14446"/>
    <cellStyle name="Calculation 2 2 2 2" xfId="1494"/>
    <cellStyle name="Calculation 2 2 2 2 2" xfId="10822"/>
    <cellStyle name="Calculation 2 2 2 2 3" xfId="15232"/>
    <cellStyle name="Calculation 2 2 2 2_Table" xfId="4952"/>
    <cellStyle name="Calculation 2 2 2 3" xfId="1854"/>
    <cellStyle name="Calculation 2 2 2 3 2" xfId="11182"/>
    <cellStyle name="Calculation 2 2 2 3 3" xfId="15592"/>
    <cellStyle name="Calculation 2 2 2 3_Table" xfId="4953"/>
    <cellStyle name="Calculation 2 2 2 4" xfId="2284"/>
    <cellStyle name="Calculation 2 2 2 4 2" xfId="11612"/>
    <cellStyle name="Calculation 2 2 2 4 3" xfId="16022"/>
    <cellStyle name="Calculation 2 2 2 4_Table" xfId="4954"/>
    <cellStyle name="Calculation 2 2 2 5" xfId="2722"/>
    <cellStyle name="Calculation 2 2 2 5 2" xfId="12050"/>
    <cellStyle name="Calculation 2 2 2 5 3" xfId="16460"/>
    <cellStyle name="Calculation 2 2 2 5_Table" xfId="4955"/>
    <cellStyle name="Calculation 2 2 2 6" xfId="3129"/>
    <cellStyle name="Calculation 2 2 2 6 2" xfId="12457"/>
    <cellStyle name="Calculation 2 2 2 6 3" xfId="16867"/>
    <cellStyle name="Calculation 2 2 2 6_Table" xfId="4956"/>
    <cellStyle name="Calculation 2 2 2 7" xfId="3721"/>
    <cellStyle name="Calculation 2 2 2 7 2" xfId="13049"/>
    <cellStyle name="Calculation 2 2 2 7 3" xfId="17459"/>
    <cellStyle name="Calculation 2 2 2 7_Table" xfId="4957"/>
    <cellStyle name="Calculation 2 2 2 8" xfId="3946"/>
    <cellStyle name="Calculation 2 2 2 8 2" xfId="13274"/>
    <cellStyle name="Calculation 2 2 2 8 3" xfId="17684"/>
    <cellStyle name="Calculation 2 2 2 8_Table" xfId="4958"/>
    <cellStyle name="Calculation 2 2 2 9" xfId="4307"/>
    <cellStyle name="Calculation 2 2 2 9 2" xfId="13635"/>
    <cellStyle name="Calculation 2 2 2 9 3" xfId="18045"/>
    <cellStyle name="Calculation 2 2 2 9_Table" xfId="4959"/>
    <cellStyle name="Calculation 2 2 2_Table" xfId="4950"/>
    <cellStyle name="Calculation 2 2 3" xfId="1019"/>
    <cellStyle name="Calculation 2 2 3 2" xfId="10347"/>
    <cellStyle name="Calculation 2 2 3 3" xfId="14757"/>
    <cellStyle name="Calculation 2 2 3_Table" xfId="4960"/>
    <cellStyle name="Calculation 2 2 4" xfId="1379"/>
    <cellStyle name="Calculation 2 2 4 2" xfId="10707"/>
    <cellStyle name="Calculation 2 2 4 3" xfId="15117"/>
    <cellStyle name="Calculation 2 2 4_Table" xfId="4961"/>
    <cellStyle name="Calculation 2 2 5" xfId="1796"/>
    <cellStyle name="Calculation 2 2 5 2" xfId="11124"/>
    <cellStyle name="Calculation 2 2 5 3" xfId="15534"/>
    <cellStyle name="Calculation 2 2 5_Table" xfId="4962"/>
    <cellStyle name="Calculation 2 2 6" xfId="2228"/>
    <cellStyle name="Calculation 2 2 6 2" xfId="11556"/>
    <cellStyle name="Calculation 2 2 6 3" xfId="15966"/>
    <cellStyle name="Calculation 2 2 6_Table" xfId="4963"/>
    <cellStyle name="Calculation 2 2 7" xfId="2663"/>
    <cellStyle name="Calculation 2 2 7 2" xfId="11991"/>
    <cellStyle name="Calculation 2 2 7 3" xfId="16401"/>
    <cellStyle name="Calculation 2 2 7_Table" xfId="4964"/>
    <cellStyle name="Calculation 2 2 8" xfId="3516"/>
    <cellStyle name="Calculation 2 2 8 2" xfId="12844"/>
    <cellStyle name="Calculation 2 2 8 3" xfId="17254"/>
    <cellStyle name="Calculation 2 2 8_Table" xfId="4965"/>
    <cellStyle name="Calculation 2 2 9" xfId="1154"/>
    <cellStyle name="Calculation 2 2 9 2" xfId="10482"/>
    <cellStyle name="Calculation 2 2 9 3" xfId="14892"/>
    <cellStyle name="Calculation 2 2 9_Table" xfId="4966"/>
    <cellStyle name="Calculation 2 2_Table" xfId="4948"/>
    <cellStyle name="Calculation 2 3" xfId="461"/>
    <cellStyle name="Calculation 2 3 10" xfId="4488"/>
    <cellStyle name="Calculation 2 3 10 2" xfId="13816"/>
    <cellStyle name="Calculation 2 3 10 3" xfId="18226"/>
    <cellStyle name="Calculation 2 3 10_Table" xfId="4968"/>
    <cellStyle name="Calculation 2 3 11" xfId="9789"/>
    <cellStyle name="Calculation 2 3 12" xfId="14266"/>
    <cellStyle name="Calculation 2 3 2" xfId="753"/>
    <cellStyle name="Calculation 2 3 2 10" xfId="4713"/>
    <cellStyle name="Calculation 2 3 2 10 2" xfId="14041"/>
    <cellStyle name="Calculation 2 3 2 10 3" xfId="18451"/>
    <cellStyle name="Calculation 2 3 2 10_Table" xfId="4970"/>
    <cellStyle name="Calculation 2 3 2 11" xfId="10081"/>
    <cellStyle name="Calculation 2 3 2 12" xfId="14491"/>
    <cellStyle name="Calculation 2 3 2 2" xfId="1539"/>
    <cellStyle name="Calculation 2 3 2 2 2" xfId="10867"/>
    <cellStyle name="Calculation 2 3 2 2 3" xfId="15277"/>
    <cellStyle name="Calculation 2 3 2 2_Table" xfId="4971"/>
    <cellStyle name="Calculation 2 3 2 3" xfId="1899"/>
    <cellStyle name="Calculation 2 3 2 3 2" xfId="11227"/>
    <cellStyle name="Calculation 2 3 2 3 3" xfId="15637"/>
    <cellStyle name="Calculation 2 3 2 3_Table" xfId="4972"/>
    <cellStyle name="Calculation 2 3 2 4" xfId="2329"/>
    <cellStyle name="Calculation 2 3 2 4 2" xfId="11657"/>
    <cellStyle name="Calculation 2 3 2 4 3" xfId="16067"/>
    <cellStyle name="Calculation 2 3 2 4_Table" xfId="4973"/>
    <cellStyle name="Calculation 2 3 2 5" xfId="2767"/>
    <cellStyle name="Calculation 2 3 2 5 2" xfId="12095"/>
    <cellStyle name="Calculation 2 3 2 5 3" xfId="16505"/>
    <cellStyle name="Calculation 2 3 2 5_Table" xfId="4974"/>
    <cellStyle name="Calculation 2 3 2 6" xfId="3174"/>
    <cellStyle name="Calculation 2 3 2 6 2" xfId="12502"/>
    <cellStyle name="Calculation 2 3 2 6 3" xfId="16912"/>
    <cellStyle name="Calculation 2 3 2 6_Table" xfId="4975"/>
    <cellStyle name="Calculation 2 3 2 7" xfId="3766"/>
    <cellStyle name="Calculation 2 3 2 7 2" xfId="13094"/>
    <cellStyle name="Calculation 2 3 2 7 3" xfId="17504"/>
    <cellStyle name="Calculation 2 3 2 7_Table" xfId="4976"/>
    <cellStyle name="Calculation 2 3 2 8" xfId="3991"/>
    <cellStyle name="Calculation 2 3 2 8 2" xfId="13319"/>
    <cellStyle name="Calculation 2 3 2 8 3" xfId="17729"/>
    <cellStyle name="Calculation 2 3 2 8_Table" xfId="4977"/>
    <cellStyle name="Calculation 2 3 2 9" xfId="4352"/>
    <cellStyle name="Calculation 2 3 2 9 2" xfId="13680"/>
    <cellStyle name="Calculation 2 3 2 9 3" xfId="18090"/>
    <cellStyle name="Calculation 2 3 2 9_Table" xfId="4978"/>
    <cellStyle name="Calculation 2 3 2_Table" xfId="4969"/>
    <cellStyle name="Calculation 2 3 3" xfId="953"/>
    <cellStyle name="Calculation 2 3 3 2" xfId="10281"/>
    <cellStyle name="Calculation 2 3 3 3" xfId="14691"/>
    <cellStyle name="Calculation 2 3 3_Table" xfId="4979"/>
    <cellStyle name="Calculation 2 3 4" xfId="2052"/>
    <cellStyle name="Calculation 2 3 4 2" xfId="11380"/>
    <cellStyle name="Calculation 2 3 4 3" xfId="15790"/>
    <cellStyle name="Calculation 2 3 4_Table" xfId="4980"/>
    <cellStyle name="Calculation 2 3 5" xfId="2484"/>
    <cellStyle name="Calculation 2 3 5 2" xfId="11812"/>
    <cellStyle name="Calculation 2 3 5 3" xfId="16222"/>
    <cellStyle name="Calculation 2 3 5_Table" xfId="4981"/>
    <cellStyle name="Calculation 2 3 6" xfId="2913"/>
    <cellStyle name="Calculation 2 3 6 2" xfId="12241"/>
    <cellStyle name="Calculation 2 3 6 3" xfId="16651"/>
    <cellStyle name="Calculation 2 3 6_Table" xfId="4982"/>
    <cellStyle name="Calculation 2 3 7" xfId="3325"/>
    <cellStyle name="Calculation 2 3 7 2" xfId="12653"/>
    <cellStyle name="Calculation 2 3 7 3" xfId="17063"/>
    <cellStyle name="Calculation 2 3 7_Table" xfId="4983"/>
    <cellStyle name="Calculation 2 3 8" xfId="3509"/>
    <cellStyle name="Calculation 2 3 8 2" xfId="12837"/>
    <cellStyle name="Calculation 2 3 8 3" xfId="17247"/>
    <cellStyle name="Calculation 2 3 8_Table" xfId="4984"/>
    <cellStyle name="Calculation 2 3 9" xfId="4127"/>
    <cellStyle name="Calculation 2 3 9 2" xfId="13455"/>
    <cellStyle name="Calculation 2 3 9 3" xfId="17865"/>
    <cellStyle name="Calculation 2 3 9_Table" xfId="4985"/>
    <cellStyle name="Calculation 2 3_Table" xfId="4967"/>
    <cellStyle name="Calculation 2 4" xfId="525"/>
    <cellStyle name="Calculation 2 4 10" xfId="4533"/>
    <cellStyle name="Calculation 2 4 10 2" xfId="13861"/>
    <cellStyle name="Calculation 2 4 10 3" xfId="18271"/>
    <cellStyle name="Calculation 2 4 10_Table" xfId="4987"/>
    <cellStyle name="Calculation 2 4 11" xfId="9853"/>
    <cellStyle name="Calculation 2 4 12" xfId="14311"/>
    <cellStyle name="Calculation 2 4 2" xfId="798"/>
    <cellStyle name="Calculation 2 4 2 10" xfId="4758"/>
    <cellStyle name="Calculation 2 4 2 10 2" xfId="14086"/>
    <cellStyle name="Calculation 2 4 2 10 3" xfId="18496"/>
    <cellStyle name="Calculation 2 4 2 10_Table" xfId="4989"/>
    <cellStyle name="Calculation 2 4 2 11" xfId="10126"/>
    <cellStyle name="Calculation 2 4 2 12" xfId="14536"/>
    <cellStyle name="Calculation 2 4 2 2" xfId="1584"/>
    <cellStyle name="Calculation 2 4 2 2 2" xfId="10912"/>
    <cellStyle name="Calculation 2 4 2 2 3" xfId="15322"/>
    <cellStyle name="Calculation 2 4 2 2_Table" xfId="4990"/>
    <cellStyle name="Calculation 2 4 2 3" xfId="1944"/>
    <cellStyle name="Calculation 2 4 2 3 2" xfId="11272"/>
    <cellStyle name="Calculation 2 4 2 3 3" xfId="15682"/>
    <cellStyle name="Calculation 2 4 2 3_Table" xfId="4991"/>
    <cellStyle name="Calculation 2 4 2 4" xfId="2374"/>
    <cellStyle name="Calculation 2 4 2 4 2" xfId="11702"/>
    <cellStyle name="Calculation 2 4 2 4 3" xfId="16112"/>
    <cellStyle name="Calculation 2 4 2 4_Table" xfId="4992"/>
    <cellStyle name="Calculation 2 4 2 5" xfId="2812"/>
    <cellStyle name="Calculation 2 4 2 5 2" xfId="12140"/>
    <cellStyle name="Calculation 2 4 2 5 3" xfId="16550"/>
    <cellStyle name="Calculation 2 4 2 5_Table" xfId="4993"/>
    <cellStyle name="Calculation 2 4 2 6" xfId="3219"/>
    <cellStyle name="Calculation 2 4 2 6 2" xfId="12547"/>
    <cellStyle name="Calculation 2 4 2 6 3" xfId="16957"/>
    <cellStyle name="Calculation 2 4 2 6_Table" xfId="4994"/>
    <cellStyle name="Calculation 2 4 2 7" xfId="3811"/>
    <cellStyle name="Calculation 2 4 2 7 2" xfId="13139"/>
    <cellStyle name="Calculation 2 4 2 7 3" xfId="17549"/>
    <cellStyle name="Calculation 2 4 2 7_Table" xfId="4995"/>
    <cellStyle name="Calculation 2 4 2 8" xfId="4036"/>
    <cellStyle name="Calculation 2 4 2 8 2" xfId="13364"/>
    <cellStyle name="Calculation 2 4 2 8 3" xfId="17774"/>
    <cellStyle name="Calculation 2 4 2 8_Table" xfId="4996"/>
    <cellStyle name="Calculation 2 4 2 9" xfId="4397"/>
    <cellStyle name="Calculation 2 4 2 9 2" xfId="13725"/>
    <cellStyle name="Calculation 2 4 2 9 3" xfId="18135"/>
    <cellStyle name="Calculation 2 4 2 9_Table" xfId="4997"/>
    <cellStyle name="Calculation 2 4 2_Table" xfId="4988"/>
    <cellStyle name="Calculation 2 4 3" xfId="1677"/>
    <cellStyle name="Calculation 2 4 3 2" xfId="11005"/>
    <cellStyle name="Calculation 2 4 3 3" xfId="15415"/>
    <cellStyle name="Calculation 2 4 3_Table" xfId="4998"/>
    <cellStyle name="Calculation 2 4 4" xfId="2111"/>
    <cellStyle name="Calculation 2 4 4 2" xfId="11439"/>
    <cellStyle name="Calculation 2 4 4 3" xfId="15849"/>
    <cellStyle name="Calculation 2 4 4_Table" xfId="4999"/>
    <cellStyle name="Calculation 2 4 5" xfId="2543"/>
    <cellStyle name="Calculation 2 4 5 2" xfId="11871"/>
    <cellStyle name="Calculation 2 4 5 3" xfId="16281"/>
    <cellStyle name="Calculation 2 4 5_Table" xfId="5000"/>
    <cellStyle name="Calculation 2 4 6" xfId="2970"/>
    <cellStyle name="Calculation 2 4 6 2" xfId="12298"/>
    <cellStyle name="Calculation 2 4 6 3" xfId="16708"/>
    <cellStyle name="Calculation 2 4 6_Table" xfId="5001"/>
    <cellStyle name="Calculation 2 4 7" xfId="3383"/>
    <cellStyle name="Calculation 2 4 7 2" xfId="12711"/>
    <cellStyle name="Calculation 2 4 7 3" xfId="17121"/>
    <cellStyle name="Calculation 2 4 7_Table" xfId="5002"/>
    <cellStyle name="Calculation 2 4 8" xfId="3524"/>
    <cellStyle name="Calculation 2 4 8 2" xfId="12852"/>
    <cellStyle name="Calculation 2 4 8 3" xfId="17262"/>
    <cellStyle name="Calculation 2 4 8_Table" xfId="5003"/>
    <cellStyle name="Calculation 2 4 9" xfId="4172"/>
    <cellStyle name="Calculation 2 4 9 2" xfId="13500"/>
    <cellStyle name="Calculation 2 4 9 3" xfId="17910"/>
    <cellStyle name="Calculation 2 4 9_Table" xfId="5004"/>
    <cellStyle name="Calculation 2 4_Table" xfId="4986"/>
    <cellStyle name="Calculation 2 5" xfId="600"/>
    <cellStyle name="Calculation 2 5 10" xfId="4578"/>
    <cellStyle name="Calculation 2 5 10 2" xfId="13906"/>
    <cellStyle name="Calculation 2 5 10 3" xfId="18316"/>
    <cellStyle name="Calculation 2 5 10_Table" xfId="5006"/>
    <cellStyle name="Calculation 2 5 11" xfId="9928"/>
    <cellStyle name="Calculation 2 5 12" xfId="14356"/>
    <cellStyle name="Calculation 2 5 2" xfId="843"/>
    <cellStyle name="Calculation 2 5 2 10" xfId="4803"/>
    <cellStyle name="Calculation 2 5 2 10 2" xfId="14131"/>
    <cellStyle name="Calculation 2 5 2 10 3" xfId="18541"/>
    <cellStyle name="Calculation 2 5 2 10_Table" xfId="5008"/>
    <cellStyle name="Calculation 2 5 2 11" xfId="10171"/>
    <cellStyle name="Calculation 2 5 2 12" xfId="14581"/>
    <cellStyle name="Calculation 2 5 2 2" xfId="1629"/>
    <cellStyle name="Calculation 2 5 2 2 2" xfId="10957"/>
    <cellStyle name="Calculation 2 5 2 2 3" xfId="15367"/>
    <cellStyle name="Calculation 2 5 2 2_Table" xfId="5009"/>
    <cellStyle name="Calculation 2 5 2 3" xfId="1989"/>
    <cellStyle name="Calculation 2 5 2 3 2" xfId="11317"/>
    <cellStyle name="Calculation 2 5 2 3 3" xfId="15727"/>
    <cellStyle name="Calculation 2 5 2 3_Table" xfId="5010"/>
    <cellStyle name="Calculation 2 5 2 4" xfId="2419"/>
    <cellStyle name="Calculation 2 5 2 4 2" xfId="11747"/>
    <cellStyle name="Calculation 2 5 2 4 3" xfId="16157"/>
    <cellStyle name="Calculation 2 5 2 4_Table" xfId="5011"/>
    <cellStyle name="Calculation 2 5 2 5" xfId="2857"/>
    <cellStyle name="Calculation 2 5 2 5 2" xfId="12185"/>
    <cellStyle name="Calculation 2 5 2 5 3" xfId="16595"/>
    <cellStyle name="Calculation 2 5 2 5_Table" xfId="5012"/>
    <cellStyle name="Calculation 2 5 2 6" xfId="3264"/>
    <cellStyle name="Calculation 2 5 2 6 2" xfId="12592"/>
    <cellStyle name="Calculation 2 5 2 6 3" xfId="17002"/>
    <cellStyle name="Calculation 2 5 2 6_Table" xfId="5013"/>
    <cellStyle name="Calculation 2 5 2 7" xfId="3856"/>
    <cellStyle name="Calculation 2 5 2 7 2" xfId="13184"/>
    <cellStyle name="Calculation 2 5 2 7 3" xfId="17594"/>
    <cellStyle name="Calculation 2 5 2 7_Table" xfId="5014"/>
    <cellStyle name="Calculation 2 5 2 8" xfId="4081"/>
    <cellStyle name="Calculation 2 5 2 8 2" xfId="13409"/>
    <cellStyle name="Calculation 2 5 2 8 3" xfId="17819"/>
    <cellStyle name="Calculation 2 5 2 8_Table" xfId="5015"/>
    <cellStyle name="Calculation 2 5 2 9" xfId="4442"/>
    <cellStyle name="Calculation 2 5 2 9 2" xfId="13770"/>
    <cellStyle name="Calculation 2 5 2 9 3" xfId="18180"/>
    <cellStyle name="Calculation 2 5 2 9_Table" xfId="5016"/>
    <cellStyle name="Calculation 2 5 2_Table" xfId="5007"/>
    <cellStyle name="Calculation 2 5 3" xfId="1747"/>
    <cellStyle name="Calculation 2 5 3 2" xfId="11075"/>
    <cellStyle name="Calculation 2 5 3 3" xfId="15485"/>
    <cellStyle name="Calculation 2 5 3_Table" xfId="5017"/>
    <cellStyle name="Calculation 2 5 4" xfId="2180"/>
    <cellStyle name="Calculation 2 5 4 2" xfId="11508"/>
    <cellStyle name="Calculation 2 5 4 3" xfId="15918"/>
    <cellStyle name="Calculation 2 5 4_Table" xfId="5018"/>
    <cellStyle name="Calculation 2 5 5" xfId="2615"/>
    <cellStyle name="Calculation 2 5 5 2" xfId="11943"/>
    <cellStyle name="Calculation 2 5 5 3" xfId="16353"/>
    <cellStyle name="Calculation 2 5 5_Table" xfId="5019"/>
    <cellStyle name="Calculation 2 5 6" xfId="3028"/>
    <cellStyle name="Calculation 2 5 6 2" xfId="12356"/>
    <cellStyle name="Calculation 2 5 6 3" xfId="16766"/>
    <cellStyle name="Calculation 2 5 6_Table" xfId="5020"/>
    <cellStyle name="Calculation 2 5 7" xfId="3454"/>
    <cellStyle name="Calculation 2 5 7 2" xfId="12782"/>
    <cellStyle name="Calculation 2 5 7 3" xfId="17192"/>
    <cellStyle name="Calculation 2 5 7_Table" xfId="5021"/>
    <cellStyle name="Calculation 2 5 8" xfId="3537"/>
    <cellStyle name="Calculation 2 5 8 2" xfId="12865"/>
    <cellStyle name="Calculation 2 5 8 3" xfId="17275"/>
    <cellStyle name="Calculation 2 5 8_Table" xfId="5022"/>
    <cellStyle name="Calculation 2 5 9" xfId="4217"/>
    <cellStyle name="Calculation 2 5 9 2" xfId="13545"/>
    <cellStyle name="Calculation 2 5 9 3" xfId="17955"/>
    <cellStyle name="Calculation 2 5 9_Table" xfId="5023"/>
    <cellStyle name="Calculation 2 5_Table" xfId="5005"/>
    <cellStyle name="Calculation 2 6" xfId="663"/>
    <cellStyle name="Calculation 2 6 10" xfId="4623"/>
    <cellStyle name="Calculation 2 6 10 2" xfId="13951"/>
    <cellStyle name="Calculation 2 6 10 3" xfId="18361"/>
    <cellStyle name="Calculation 2 6 10_Table" xfId="5025"/>
    <cellStyle name="Calculation 2 6 11" xfId="9991"/>
    <cellStyle name="Calculation 2 6 12" xfId="14401"/>
    <cellStyle name="Calculation 2 6 2" xfId="1449"/>
    <cellStyle name="Calculation 2 6 2 2" xfId="10777"/>
    <cellStyle name="Calculation 2 6 2 3" xfId="15187"/>
    <cellStyle name="Calculation 2 6 2_Table" xfId="5026"/>
    <cellStyle name="Calculation 2 6 3" xfId="1809"/>
    <cellStyle name="Calculation 2 6 3 2" xfId="11137"/>
    <cellStyle name="Calculation 2 6 3 3" xfId="15547"/>
    <cellStyle name="Calculation 2 6 3_Table" xfId="5027"/>
    <cellStyle name="Calculation 2 6 4" xfId="2239"/>
    <cellStyle name="Calculation 2 6 4 2" xfId="11567"/>
    <cellStyle name="Calculation 2 6 4 3" xfId="15977"/>
    <cellStyle name="Calculation 2 6 4_Table" xfId="5028"/>
    <cellStyle name="Calculation 2 6 5" xfId="2677"/>
    <cellStyle name="Calculation 2 6 5 2" xfId="12005"/>
    <cellStyle name="Calculation 2 6 5 3" xfId="16415"/>
    <cellStyle name="Calculation 2 6 5_Table" xfId="5029"/>
    <cellStyle name="Calculation 2 6 6" xfId="3084"/>
    <cellStyle name="Calculation 2 6 6 2" xfId="12412"/>
    <cellStyle name="Calculation 2 6 6 3" xfId="16822"/>
    <cellStyle name="Calculation 2 6 6_Table" xfId="5030"/>
    <cellStyle name="Calculation 2 6 7" xfId="3676"/>
    <cellStyle name="Calculation 2 6 7 2" xfId="13004"/>
    <cellStyle name="Calculation 2 6 7 3" xfId="17414"/>
    <cellStyle name="Calculation 2 6 7_Table" xfId="5031"/>
    <cellStyle name="Calculation 2 6 8" xfId="3901"/>
    <cellStyle name="Calculation 2 6 8 2" xfId="13229"/>
    <cellStyle name="Calculation 2 6 8 3" xfId="17639"/>
    <cellStyle name="Calculation 2 6 8_Table" xfId="5032"/>
    <cellStyle name="Calculation 2 6 9" xfId="4262"/>
    <cellStyle name="Calculation 2 6 9 2" xfId="13590"/>
    <cellStyle name="Calculation 2 6 9 3" xfId="18000"/>
    <cellStyle name="Calculation 2 6 9_Table" xfId="5033"/>
    <cellStyle name="Calculation 2 6_Table" xfId="5024"/>
    <cellStyle name="Calculation 2 7" xfId="1116"/>
    <cellStyle name="Calculation 2 7 2" xfId="10444"/>
    <cellStyle name="Calculation 2 7 3" xfId="14854"/>
    <cellStyle name="Calculation 2 7_Table" xfId="5034"/>
    <cellStyle name="Calculation 2 8" xfId="1127"/>
    <cellStyle name="Calculation 2 8 2" xfId="10455"/>
    <cellStyle name="Calculation 2 8 3" xfId="14865"/>
    <cellStyle name="Calculation 2 8_Table" xfId="5035"/>
    <cellStyle name="Calculation 2 9" xfId="1107"/>
    <cellStyle name="Calculation 2 9 2" xfId="10435"/>
    <cellStyle name="Calculation 2 9 3" xfId="14845"/>
    <cellStyle name="Calculation 2 9_Table" xfId="5036"/>
    <cellStyle name="Calculation 2_Table" xfId="4942"/>
    <cellStyle name="Calculation 3" xfId="237"/>
    <cellStyle name="Calculation 3 10" xfId="1137"/>
    <cellStyle name="Calculation 3 10 2" xfId="10465"/>
    <cellStyle name="Calculation 3 10 3" xfId="14875"/>
    <cellStyle name="Calculation 3 10_Table" xfId="5038"/>
    <cellStyle name="Calculation 3 11" xfId="1275"/>
    <cellStyle name="Calculation 3 11 2" xfId="10603"/>
    <cellStyle name="Calculation 3 11 3" xfId="15013"/>
    <cellStyle name="Calculation 3 11_Table" xfId="5039"/>
    <cellStyle name="Calculation 3 12" xfId="2159"/>
    <cellStyle name="Calculation 3 12 2" xfId="11487"/>
    <cellStyle name="Calculation 3 12 3" xfId="15897"/>
    <cellStyle name="Calculation 3 12_Table" xfId="5040"/>
    <cellStyle name="Calculation 3 13" xfId="1403"/>
    <cellStyle name="Calculation 3 13 2" xfId="10731"/>
    <cellStyle name="Calculation 3 13 3" xfId="15141"/>
    <cellStyle name="Calculation 3 13_Table" xfId="5041"/>
    <cellStyle name="Calculation 3 14" xfId="2903"/>
    <cellStyle name="Calculation 3 14 2" xfId="12231"/>
    <cellStyle name="Calculation 3 14 3" xfId="16641"/>
    <cellStyle name="Calculation 3 14_Table" xfId="5042"/>
    <cellStyle name="Calculation 3 15" xfId="9565"/>
    <cellStyle name="Calculation 3 16" xfId="14177"/>
    <cellStyle name="Calculation 3 2" xfId="394"/>
    <cellStyle name="Calculation 3 2 10" xfId="3015"/>
    <cellStyle name="Calculation 3 2 10 2" xfId="12343"/>
    <cellStyle name="Calculation 3 2 10 3" xfId="16753"/>
    <cellStyle name="Calculation 3 2 10_Table" xfId="5044"/>
    <cellStyle name="Calculation 3 2 11" xfId="9722"/>
    <cellStyle name="Calculation 3 2 12" xfId="14222"/>
    <cellStyle name="Calculation 3 2 2" xfId="709"/>
    <cellStyle name="Calculation 3 2 2 10" xfId="4669"/>
    <cellStyle name="Calculation 3 2 2 10 2" xfId="13997"/>
    <cellStyle name="Calculation 3 2 2 10 3" xfId="18407"/>
    <cellStyle name="Calculation 3 2 2 10_Table" xfId="5046"/>
    <cellStyle name="Calculation 3 2 2 11" xfId="10037"/>
    <cellStyle name="Calculation 3 2 2 12" xfId="14447"/>
    <cellStyle name="Calculation 3 2 2 2" xfId="1495"/>
    <cellStyle name="Calculation 3 2 2 2 2" xfId="10823"/>
    <cellStyle name="Calculation 3 2 2 2 3" xfId="15233"/>
    <cellStyle name="Calculation 3 2 2 2_Table" xfId="5047"/>
    <cellStyle name="Calculation 3 2 2 3" xfId="1855"/>
    <cellStyle name="Calculation 3 2 2 3 2" xfId="11183"/>
    <cellStyle name="Calculation 3 2 2 3 3" xfId="15593"/>
    <cellStyle name="Calculation 3 2 2 3_Table" xfId="5048"/>
    <cellStyle name="Calculation 3 2 2 4" xfId="2285"/>
    <cellStyle name="Calculation 3 2 2 4 2" xfId="11613"/>
    <cellStyle name="Calculation 3 2 2 4 3" xfId="16023"/>
    <cellStyle name="Calculation 3 2 2 4_Table" xfId="5049"/>
    <cellStyle name="Calculation 3 2 2 5" xfId="2723"/>
    <cellStyle name="Calculation 3 2 2 5 2" xfId="12051"/>
    <cellStyle name="Calculation 3 2 2 5 3" xfId="16461"/>
    <cellStyle name="Calculation 3 2 2 5_Table" xfId="5050"/>
    <cellStyle name="Calculation 3 2 2 6" xfId="3130"/>
    <cellStyle name="Calculation 3 2 2 6 2" xfId="12458"/>
    <cellStyle name="Calculation 3 2 2 6 3" xfId="16868"/>
    <cellStyle name="Calculation 3 2 2 6_Table" xfId="5051"/>
    <cellStyle name="Calculation 3 2 2 7" xfId="3722"/>
    <cellStyle name="Calculation 3 2 2 7 2" xfId="13050"/>
    <cellStyle name="Calculation 3 2 2 7 3" xfId="17460"/>
    <cellStyle name="Calculation 3 2 2 7_Table" xfId="5052"/>
    <cellStyle name="Calculation 3 2 2 8" xfId="3947"/>
    <cellStyle name="Calculation 3 2 2 8 2" xfId="13275"/>
    <cellStyle name="Calculation 3 2 2 8 3" xfId="17685"/>
    <cellStyle name="Calculation 3 2 2 8_Table" xfId="5053"/>
    <cellStyle name="Calculation 3 2 2 9" xfId="4308"/>
    <cellStyle name="Calculation 3 2 2 9 2" xfId="13636"/>
    <cellStyle name="Calculation 3 2 2 9 3" xfId="18046"/>
    <cellStyle name="Calculation 3 2 2 9_Table" xfId="5054"/>
    <cellStyle name="Calculation 3 2 2_Table" xfId="5045"/>
    <cellStyle name="Calculation 3 2 3" xfId="1018"/>
    <cellStyle name="Calculation 3 2 3 2" xfId="10346"/>
    <cellStyle name="Calculation 3 2 3 3" xfId="14756"/>
    <cellStyle name="Calculation 3 2 3_Table" xfId="5055"/>
    <cellStyle name="Calculation 3 2 4" xfId="1444"/>
    <cellStyle name="Calculation 3 2 4 2" xfId="10772"/>
    <cellStyle name="Calculation 3 2 4 3" xfId="15182"/>
    <cellStyle name="Calculation 3 2 4_Table" xfId="5056"/>
    <cellStyle name="Calculation 3 2 5" xfId="1002"/>
    <cellStyle name="Calculation 3 2 5 2" xfId="10330"/>
    <cellStyle name="Calculation 3 2 5 3" xfId="14740"/>
    <cellStyle name="Calculation 3 2 5_Table" xfId="5057"/>
    <cellStyle name="Calculation 3 2 6" xfId="1170"/>
    <cellStyle name="Calculation 3 2 6 2" xfId="10498"/>
    <cellStyle name="Calculation 3 2 6 3" xfId="14908"/>
    <cellStyle name="Calculation 3 2 6_Table" xfId="5058"/>
    <cellStyle name="Calculation 3 2 7" xfId="1724"/>
    <cellStyle name="Calculation 3 2 7 2" xfId="11052"/>
    <cellStyle name="Calculation 3 2 7 3" xfId="15462"/>
    <cellStyle name="Calculation 3 2 7_Table" xfId="5059"/>
    <cellStyle name="Calculation 3 2 8" xfId="3449"/>
    <cellStyle name="Calculation 3 2 8 2" xfId="12777"/>
    <cellStyle name="Calculation 3 2 8 3" xfId="17187"/>
    <cellStyle name="Calculation 3 2 8_Table" xfId="5060"/>
    <cellStyle name="Calculation 3 2 9" xfId="3024"/>
    <cellStyle name="Calculation 3 2 9 2" xfId="12352"/>
    <cellStyle name="Calculation 3 2 9 3" xfId="16762"/>
    <cellStyle name="Calculation 3 2 9_Table" xfId="5061"/>
    <cellStyle name="Calculation 3 2_Table" xfId="5043"/>
    <cellStyle name="Calculation 3 3" xfId="462"/>
    <cellStyle name="Calculation 3 3 10" xfId="4489"/>
    <cellStyle name="Calculation 3 3 10 2" xfId="13817"/>
    <cellStyle name="Calculation 3 3 10 3" xfId="18227"/>
    <cellStyle name="Calculation 3 3 10_Table" xfId="5063"/>
    <cellStyle name="Calculation 3 3 11" xfId="9790"/>
    <cellStyle name="Calculation 3 3 12" xfId="14267"/>
    <cellStyle name="Calculation 3 3 2" xfId="754"/>
    <cellStyle name="Calculation 3 3 2 10" xfId="4714"/>
    <cellStyle name="Calculation 3 3 2 10 2" xfId="14042"/>
    <cellStyle name="Calculation 3 3 2 10 3" xfId="18452"/>
    <cellStyle name="Calculation 3 3 2 10_Table" xfId="5065"/>
    <cellStyle name="Calculation 3 3 2 11" xfId="10082"/>
    <cellStyle name="Calculation 3 3 2 12" xfId="14492"/>
    <cellStyle name="Calculation 3 3 2 2" xfId="1540"/>
    <cellStyle name="Calculation 3 3 2 2 2" xfId="10868"/>
    <cellStyle name="Calculation 3 3 2 2 3" xfId="15278"/>
    <cellStyle name="Calculation 3 3 2 2_Table" xfId="5066"/>
    <cellStyle name="Calculation 3 3 2 3" xfId="1900"/>
    <cellStyle name="Calculation 3 3 2 3 2" xfId="11228"/>
    <cellStyle name="Calculation 3 3 2 3 3" xfId="15638"/>
    <cellStyle name="Calculation 3 3 2 3_Table" xfId="5067"/>
    <cellStyle name="Calculation 3 3 2 4" xfId="2330"/>
    <cellStyle name="Calculation 3 3 2 4 2" xfId="11658"/>
    <cellStyle name="Calculation 3 3 2 4 3" xfId="16068"/>
    <cellStyle name="Calculation 3 3 2 4_Table" xfId="5068"/>
    <cellStyle name="Calculation 3 3 2 5" xfId="2768"/>
    <cellStyle name="Calculation 3 3 2 5 2" xfId="12096"/>
    <cellStyle name="Calculation 3 3 2 5 3" xfId="16506"/>
    <cellStyle name="Calculation 3 3 2 5_Table" xfId="5069"/>
    <cellStyle name="Calculation 3 3 2 6" xfId="3175"/>
    <cellStyle name="Calculation 3 3 2 6 2" xfId="12503"/>
    <cellStyle name="Calculation 3 3 2 6 3" xfId="16913"/>
    <cellStyle name="Calculation 3 3 2 6_Table" xfId="5070"/>
    <cellStyle name="Calculation 3 3 2 7" xfId="3767"/>
    <cellStyle name="Calculation 3 3 2 7 2" xfId="13095"/>
    <cellStyle name="Calculation 3 3 2 7 3" xfId="17505"/>
    <cellStyle name="Calculation 3 3 2 7_Table" xfId="5071"/>
    <cellStyle name="Calculation 3 3 2 8" xfId="3992"/>
    <cellStyle name="Calculation 3 3 2 8 2" xfId="13320"/>
    <cellStyle name="Calculation 3 3 2 8 3" xfId="17730"/>
    <cellStyle name="Calculation 3 3 2 8_Table" xfId="5072"/>
    <cellStyle name="Calculation 3 3 2 9" xfId="4353"/>
    <cellStyle name="Calculation 3 3 2 9 2" xfId="13681"/>
    <cellStyle name="Calculation 3 3 2 9 3" xfId="18091"/>
    <cellStyle name="Calculation 3 3 2 9_Table" xfId="5073"/>
    <cellStyle name="Calculation 3 3 2_Table" xfId="5064"/>
    <cellStyle name="Calculation 3 3 3" xfId="952"/>
    <cellStyle name="Calculation 3 3 3 2" xfId="10280"/>
    <cellStyle name="Calculation 3 3 3 3" xfId="14690"/>
    <cellStyle name="Calculation 3 3 3_Table" xfId="5074"/>
    <cellStyle name="Calculation 3 3 4" xfId="2053"/>
    <cellStyle name="Calculation 3 3 4 2" xfId="11381"/>
    <cellStyle name="Calculation 3 3 4 3" xfId="15791"/>
    <cellStyle name="Calculation 3 3 4_Table" xfId="5075"/>
    <cellStyle name="Calculation 3 3 5" xfId="2485"/>
    <cellStyle name="Calculation 3 3 5 2" xfId="11813"/>
    <cellStyle name="Calculation 3 3 5 3" xfId="16223"/>
    <cellStyle name="Calculation 3 3 5_Table" xfId="5076"/>
    <cellStyle name="Calculation 3 3 6" xfId="2914"/>
    <cellStyle name="Calculation 3 3 6 2" xfId="12242"/>
    <cellStyle name="Calculation 3 3 6 3" xfId="16652"/>
    <cellStyle name="Calculation 3 3 6_Table" xfId="5077"/>
    <cellStyle name="Calculation 3 3 7" xfId="3326"/>
    <cellStyle name="Calculation 3 3 7 2" xfId="12654"/>
    <cellStyle name="Calculation 3 3 7 3" xfId="17064"/>
    <cellStyle name="Calculation 3 3 7_Table" xfId="5078"/>
    <cellStyle name="Calculation 3 3 8" xfId="3374"/>
    <cellStyle name="Calculation 3 3 8 2" xfId="12702"/>
    <cellStyle name="Calculation 3 3 8 3" xfId="17112"/>
    <cellStyle name="Calculation 3 3 8_Table" xfId="5079"/>
    <cellStyle name="Calculation 3 3 9" xfId="4128"/>
    <cellStyle name="Calculation 3 3 9 2" xfId="13456"/>
    <cellStyle name="Calculation 3 3 9 3" xfId="17866"/>
    <cellStyle name="Calculation 3 3 9_Table" xfId="5080"/>
    <cellStyle name="Calculation 3 3_Table" xfId="5062"/>
    <cellStyle name="Calculation 3 4" xfId="526"/>
    <cellStyle name="Calculation 3 4 10" xfId="4534"/>
    <cellStyle name="Calculation 3 4 10 2" xfId="13862"/>
    <cellStyle name="Calculation 3 4 10 3" xfId="18272"/>
    <cellStyle name="Calculation 3 4 10_Table" xfId="5082"/>
    <cellStyle name="Calculation 3 4 11" xfId="9854"/>
    <cellStyle name="Calculation 3 4 12" xfId="14312"/>
    <cellStyle name="Calculation 3 4 2" xfId="799"/>
    <cellStyle name="Calculation 3 4 2 10" xfId="4759"/>
    <cellStyle name="Calculation 3 4 2 10 2" xfId="14087"/>
    <cellStyle name="Calculation 3 4 2 10 3" xfId="18497"/>
    <cellStyle name="Calculation 3 4 2 10_Table" xfId="5084"/>
    <cellStyle name="Calculation 3 4 2 11" xfId="10127"/>
    <cellStyle name="Calculation 3 4 2 12" xfId="14537"/>
    <cellStyle name="Calculation 3 4 2 2" xfId="1585"/>
    <cellStyle name="Calculation 3 4 2 2 2" xfId="10913"/>
    <cellStyle name="Calculation 3 4 2 2 3" xfId="15323"/>
    <cellStyle name="Calculation 3 4 2 2_Table" xfId="5085"/>
    <cellStyle name="Calculation 3 4 2 3" xfId="1945"/>
    <cellStyle name="Calculation 3 4 2 3 2" xfId="11273"/>
    <cellStyle name="Calculation 3 4 2 3 3" xfId="15683"/>
    <cellStyle name="Calculation 3 4 2 3_Table" xfId="5086"/>
    <cellStyle name="Calculation 3 4 2 4" xfId="2375"/>
    <cellStyle name="Calculation 3 4 2 4 2" xfId="11703"/>
    <cellStyle name="Calculation 3 4 2 4 3" xfId="16113"/>
    <cellStyle name="Calculation 3 4 2 4_Table" xfId="5087"/>
    <cellStyle name="Calculation 3 4 2 5" xfId="2813"/>
    <cellStyle name="Calculation 3 4 2 5 2" xfId="12141"/>
    <cellStyle name="Calculation 3 4 2 5 3" xfId="16551"/>
    <cellStyle name="Calculation 3 4 2 5_Table" xfId="5088"/>
    <cellStyle name="Calculation 3 4 2 6" xfId="3220"/>
    <cellStyle name="Calculation 3 4 2 6 2" xfId="12548"/>
    <cellStyle name="Calculation 3 4 2 6 3" xfId="16958"/>
    <cellStyle name="Calculation 3 4 2 6_Table" xfId="5089"/>
    <cellStyle name="Calculation 3 4 2 7" xfId="3812"/>
    <cellStyle name="Calculation 3 4 2 7 2" xfId="13140"/>
    <cellStyle name="Calculation 3 4 2 7 3" xfId="17550"/>
    <cellStyle name="Calculation 3 4 2 7_Table" xfId="5090"/>
    <cellStyle name="Calculation 3 4 2 8" xfId="4037"/>
    <cellStyle name="Calculation 3 4 2 8 2" xfId="13365"/>
    <cellStyle name="Calculation 3 4 2 8 3" xfId="17775"/>
    <cellStyle name="Calculation 3 4 2 8_Table" xfId="5091"/>
    <cellStyle name="Calculation 3 4 2 9" xfId="4398"/>
    <cellStyle name="Calculation 3 4 2 9 2" xfId="13726"/>
    <cellStyle name="Calculation 3 4 2 9 3" xfId="18136"/>
    <cellStyle name="Calculation 3 4 2 9_Table" xfId="5092"/>
    <cellStyle name="Calculation 3 4 2_Table" xfId="5083"/>
    <cellStyle name="Calculation 3 4 3" xfId="1678"/>
    <cellStyle name="Calculation 3 4 3 2" xfId="11006"/>
    <cellStyle name="Calculation 3 4 3 3" xfId="15416"/>
    <cellStyle name="Calculation 3 4 3_Table" xfId="5093"/>
    <cellStyle name="Calculation 3 4 4" xfId="2112"/>
    <cellStyle name="Calculation 3 4 4 2" xfId="11440"/>
    <cellStyle name="Calculation 3 4 4 3" xfId="15850"/>
    <cellStyle name="Calculation 3 4 4_Table" xfId="5094"/>
    <cellStyle name="Calculation 3 4 5" xfId="2544"/>
    <cellStyle name="Calculation 3 4 5 2" xfId="11872"/>
    <cellStyle name="Calculation 3 4 5 3" xfId="16282"/>
    <cellStyle name="Calculation 3 4 5_Table" xfId="5095"/>
    <cellStyle name="Calculation 3 4 6" xfId="2971"/>
    <cellStyle name="Calculation 3 4 6 2" xfId="12299"/>
    <cellStyle name="Calculation 3 4 6 3" xfId="16709"/>
    <cellStyle name="Calculation 3 4 6_Table" xfId="5096"/>
    <cellStyle name="Calculation 3 4 7" xfId="3384"/>
    <cellStyle name="Calculation 3 4 7 2" xfId="12712"/>
    <cellStyle name="Calculation 3 4 7 3" xfId="17122"/>
    <cellStyle name="Calculation 3 4 7_Table" xfId="5097"/>
    <cellStyle name="Calculation 3 4 8" xfId="3558"/>
    <cellStyle name="Calculation 3 4 8 2" xfId="12886"/>
    <cellStyle name="Calculation 3 4 8 3" xfId="17296"/>
    <cellStyle name="Calculation 3 4 8_Table" xfId="5098"/>
    <cellStyle name="Calculation 3 4 9" xfId="4173"/>
    <cellStyle name="Calculation 3 4 9 2" xfId="13501"/>
    <cellStyle name="Calculation 3 4 9 3" xfId="17911"/>
    <cellStyle name="Calculation 3 4 9_Table" xfId="5099"/>
    <cellStyle name="Calculation 3 4_Table" xfId="5081"/>
    <cellStyle name="Calculation 3 5" xfId="601"/>
    <cellStyle name="Calculation 3 5 10" xfId="4579"/>
    <cellStyle name="Calculation 3 5 10 2" xfId="13907"/>
    <cellStyle name="Calculation 3 5 10 3" xfId="18317"/>
    <cellStyle name="Calculation 3 5 10_Table" xfId="5101"/>
    <cellStyle name="Calculation 3 5 11" xfId="9929"/>
    <cellStyle name="Calculation 3 5 12" xfId="14357"/>
    <cellStyle name="Calculation 3 5 2" xfId="844"/>
    <cellStyle name="Calculation 3 5 2 10" xfId="4804"/>
    <cellStyle name="Calculation 3 5 2 10 2" xfId="14132"/>
    <cellStyle name="Calculation 3 5 2 10 3" xfId="18542"/>
    <cellStyle name="Calculation 3 5 2 10_Table" xfId="5103"/>
    <cellStyle name="Calculation 3 5 2 11" xfId="10172"/>
    <cellStyle name="Calculation 3 5 2 12" xfId="14582"/>
    <cellStyle name="Calculation 3 5 2 2" xfId="1630"/>
    <cellStyle name="Calculation 3 5 2 2 2" xfId="10958"/>
    <cellStyle name="Calculation 3 5 2 2 3" xfId="15368"/>
    <cellStyle name="Calculation 3 5 2 2_Table" xfId="5104"/>
    <cellStyle name="Calculation 3 5 2 3" xfId="1990"/>
    <cellStyle name="Calculation 3 5 2 3 2" xfId="11318"/>
    <cellStyle name="Calculation 3 5 2 3 3" xfId="15728"/>
    <cellStyle name="Calculation 3 5 2 3_Table" xfId="5105"/>
    <cellStyle name="Calculation 3 5 2 4" xfId="2420"/>
    <cellStyle name="Calculation 3 5 2 4 2" xfId="11748"/>
    <cellStyle name="Calculation 3 5 2 4 3" xfId="16158"/>
    <cellStyle name="Calculation 3 5 2 4_Table" xfId="5106"/>
    <cellStyle name="Calculation 3 5 2 5" xfId="2858"/>
    <cellStyle name="Calculation 3 5 2 5 2" xfId="12186"/>
    <cellStyle name="Calculation 3 5 2 5 3" xfId="16596"/>
    <cellStyle name="Calculation 3 5 2 5_Table" xfId="5107"/>
    <cellStyle name="Calculation 3 5 2 6" xfId="3265"/>
    <cellStyle name="Calculation 3 5 2 6 2" xfId="12593"/>
    <cellStyle name="Calculation 3 5 2 6 3" xfId="17003"/>
    <cellStyle name="Calculation 3 5 2 6_Table" xfId="5108"/>
    <cellStyle name="Calculation 3 5 2 7" xfId="3857"/>
    <cellStyle name="Calculation 3 5 2 7 2" xfId="13185"/>
    <cellStyle name="Calculation 3 5 2 7 3" xfId="17595"/>
    <cellStyle name="Calculation 3 5 2 7_Table" xfId="5109"/>
    <cellStyle name="Calculation 3 5 2 8" xfId="4082"/>
    <cellStyle name="Calculation 3 5 2 8 2" xfId="13410"/>
    <cellStyle name="Calculation 3 5 2 8 3" xfId="17820"/>
    <cellStyle name="Calculation 3 5 2 8_Table" xfId="5110"/>
    <cellStyle name="Calculation 3 5 2 9" xfId="4443"/>
    <cellStyle name="Calculation 3 5 2 9 2" xfId="13771"/>
    <cellStyle name="Calculation 3 5 2 9 3" xfId="18181"/>
    <cellStyle name="Calculation 3 5 2 9_Table" xfId="5111"/>
    <cellStyle name="Calculation 3 5 2_Table" xfId="5102"/>
    <cellStyle name="Calculation 3 5 3" xfId="1748"/>
    <cellStyle name="Calculation 3 5 3 2" xfId="11076"/>
    <cellStyle name="Calculation 3 5 3 3" xfId="15486"/>
    <cellStyle name="Calculation 3 5 3_Table" xfId="5112"/>
    <cellStyle name="Calculation 3 5 4" xfId="2181"/>
    <cellStyle name="Calculation 3 5 4 2" xfId="11509"/>
    <cellStyle name="Calculation 3 5 4 3" xfId="15919"/>
    <cellStyle name="Calculation 3 5 4_Table" xfId="5113"/>
    <cellStyle name="Calculation 3 5 5" xfId="2616"/>
    <cellStyle name="Calculation 3 5 5 2" xfId="11944"/>
    <cellStyle name="Calculation 3 5 5 3" xfId="16354"/>
    <cellStyle name="Calculation 3 5 5_Table" xfId="5114"/>
    <cellStyle name="Calculation 3 5 6" xfId="3029"/>
    <cellStyle name="Calculation 3 5 6 2" xfId="12357"/>
    <cellStyle name="Calculation 3 5 6 3" xfId="16767"/>
    <cellStyle name="Calculation 3 5 6_Table" xfId="5115"/>
    <cellStyle name="Calculation 3 5 7" xfId="3455"/>
    <cellStyle name="Calculation 3 5 7 2" xfId="12783"/>
    <cellStyle name="Calculation 3 5 7 3" xfId="17193"/>
    <cellStyle name="Calculation 3 5 7_Table" xfId="5116"/>
    <cellStyle name="Calculation 3 5 8" xfId="3570"/>
    <cellStyle name="Calculation 3 5 8 2" xfId="12898"/>
    <cellStyle name="Calculation 3 5 8 3" xfId="17308"/>
    <cellStyle name="Calculation 3 5 8_Table" xfId="5117"/>
    <cellStyle name="Calculation 3 5 9" xfId="4218"/>
    <cellStyle name="Calculation 3 5 9 2" xfId="13546"/>
    <cellStyle name="Calculation 3 5 9 3" xfId="17956"/>
    <cellStyle name="Calculation 3 5 9_Table" xfId="5118"/>
    <cellStyle name="Calculation 3 5_Table" xfId="5100"/>
    <cellStyle name="Calculation 3 6" xfId="664"/>
    <cellStyle name="Calculation 3 6 10" xfId="4624"/>
    <cellStyle name="Calculation 3 6 10 2" xfId="13952"/>
    <cellStyle name="Calculation 3 6 10 3" xfId="18362"/>
    <cellStyle name="Calculation 3 6 10_Table" xfId="5120"/>
    <cellStyle name="Calculation 3 6 11" xfId="9992"/>
    <cellStyle name="Calculation 3 6 12" xfId="14402"/>
    <cellStyle name="Calculation 3 6 2" xfId="1450"/>
    <cellStyle name="Calculation 3 6 2 2" xfId="10778"/>
    <cellStyle name="Calculation 3 6 2 3" xfId="15188"/>
    <cellStyle name="Calculation 3 6 2_Table" xfId="5121"/>
    <cellStyle name="Calculation 3 6 3" xfId="1810"/>
    <cellStyle name="Calculation 3 6 3 2" xfId="11138"/>
    <cellStyle name="Calculation 3 6 3 3" xfId="15548"/>
    <cellStyle name="Calculation 3 6 3_Table" xfId="5122"/>
    <cellStyle name="Calculation 3 6 4" xfId="2240"/>
    <cellStyle name="Calculation 3 6 4 2" xfId="11568"/>
    <cellStyle name="Calculation 3 6 4 3" xfId="15978"/>
    <cellStyle name="Calculation 3 6 4_Table" xfId="5123"/>
    <cellStyle name="Calculation 3 6 5" xfId="2678"/>
    <cellStyle name="Calculation 3 6 5 2" xfId="12006"/>
    <cellStyle name="Calculation 3 6 5 3" xfId="16416"/>
    <cellStyle name="Calculation 3 6 5_Table" xfId="5124"/>
    <cellStyle name="Calculation 3 6 6" xfId="3085"/>
    <cellStyle name="Calculation 3 6 6 2" xfId="12413"/>
    <cellStyle name="Calculation 3 6 6 3" xfId="16823"/>
    <cellStyle name="Calculation 3 6 6_Table" xfId="5125"/>
    <cellStyle name="Calculation 3 6 7" xfId="3677"/>
    <cellStyle name="Calculation 3 6 7 2" xfId="13005"/>
    <cellStyle name="Calculation 3 6 7 3" xfId="17415"/>
    <cellStyle name="Calculation 3 6 7_Table" xfId="5126"/>
    <cellStyle name="Calculation 3 6 8" xfId="3902"/>
    <cellStyle name="Calculation 3 6 8 2" xfId="13230"/>
    <cellStyle name="Calculation 3 6 8 3" xfId="17640"/>
    <cellStyle name="Calculation 3 6 8_Table" xfId="5127"/>
    <cellStyle name="Calculation 3 6 9" xfId="4263"/>
    <cellStyle name="Calculation 3 6 9 2" xfId="13591"/>
    <cellStyle name="Calculation 3 6 9 3" xfId="18001"/>
    <cellStyle name="Calculation 3 6 9_Table" xfId="5128"/>
    <cellStyle name="Calculation 3 6_Table" xfId="5119"/>
    <cellStyle name="Calculation 3 7" xfId="1115"/>
    <cellStyle name="Calculation 3 7 2" xfId="10443"/>
    <cellStyle name="Calculation 3 7 3" xfId="14853"/>
    <cellStyle name="Calculation 3 7_Table" xfId="5129"/>
    <cellStyle name="Calculation 3 8" xfId="1128"/>
    <cellStyle name="Calculation 3 8 2" xfId="10456"/>
    <cellStyle name="Calculation 3 8 3" xfId="14866"/>
    <cellStyle name="Calculation 3 8_Table" xfId="5130"/>
    <cellStyle name="Calculation 3 9" xfId="1106"/>
    <cellStyle name="Calculation 3 9 2" xfId="10434"/>
    <cellStyle name="Calculation 3 9 3" xfId="14844"/>
    <cellStyle name="Calculation 3 9_Table" xfId="5131"/>
    <cellStyle name="Calculation 3_Table" xfId="5037"/>
    <cellStyle name="Calculation 4" xfId="238"/>
    <cellStyle name="Calculation 4 10" xfId="1138"/>
    <cellStyle name="Calculation 4 10 2" xfId="10466"/>
    <cellStyle name="Calculation 4 10 3" xfId="14876"/>
    <cellStyle name="Calculation 4 10_Table" xfId="5133"/>
    <cellStyle name="Calculation 4 11" xfId="1218"/>
    <cellStyle name="Calculation 4 11 2" xfId="10546"/>
    <cellStyle name="Calculation 4 11 3" xfId="14956"/>
    <cellStyle name="Calculation 4 11_Table" xfId="5134"/>
    <cellStyle name="Calculation 4 12" xfId="2965"/>
    <cellStyle name="Calculation 4 12 2" xfId="12293"/>
    <cellStyle name="Calculation 4 12 3" xfId="16703"/>
    <cellStyle name="Calculation 4 12_Table" xfId="5135"/>
    <cellStyle name="Calculation 4 13" xfId="2967"/>
    <cellStyle name="Calculation 4 13 2" xfId="12295"/>
    <cellStyle name="Calculation 4 13 3" xfId="16705"/>
    <cellStyle name="Calculation 4 13_Table" xfId="5136"/>
    <cellStyle name="Calculation 4 14" xfId="1271"/>
    <cellStyle name="Calculation 4 14 2" xfId="10599"/>
    <cellStyle name="Calculation 4 14 3" xfId="15009"/>
    <cellStyle name="Calculation 4 14_Table" xfId="5137"/>
    <cellStyle name="Calculation 4 15" xfId="9566"/>
    <cellStyle name="Calculation 4 16" xfId="14178"/>
    <cellStyle name="Calculation 4 2" xfId="395"/>
    <cellStyle name="Calculation 4 2 10" xfId="3437"/>
    <cellStyle name="Calculation 4 2 10 2" xfId="12765"/>
    <cellStyle name="Calculation 4 2 10 3" xfId="17175"/>
    <cellStyle name="Calculation 4 2 10_Table" xfId="5139"/>
    <cellStyle name="Calculation 4 2 11" xfId="9723"/>
    <cellStyle name="Calculation 4 2 12" xfId="14223"/>
    <cellStyle name="Calculation 4 2 2" xfId="710"/>
    <cellStyle name="Calculation 4 2 2 10" xfId="4670"/>
    <cellStyle name="Calculation 4 2 2 10 2" xfId="13998"/>
    <cellStyle name="Calculation 4 2 2 10 3" xfId="18408"/>
    <cellStyle name="Calculation 4 2 2 10_Table" xfId="5141"/>
    <cellStyle name="Calculation 4 2 2 11" xfId="10038"/>
    <cellStyle name="Calculation 4 2 2 12" xfId="14448"/>
    <cellStyle name="Calculation 4 2 2 2" xfId="1496"/>
    <cellStyle name="Calculation 4 2 2 2 2" xfId="10824"/>
    <cellStyle name="Calculation 4 2 2 2 3" xfId="15234"/>
    <cellStyle name="Calculation 4 2 2 2_Table" xfId="5142"/>
    <cellStyle name="Calculation 4 2 2 3" xfId="1856"/>
    <cellStyle name="Calculation 4 2 2 3 2" xfId="11184"/>
    <cellStyle name="Calculation 4 2 2 3 3" xfId="15594"/>
    <cellStyle name="Calculation 4 2 2 3_Table" xfId="5143"/>
    <cellStyle name="Calculation 4 2 2 4" xfId="2286"/>
    <cellStyle name="Calculation 4 2 2 4 2" xfId="11614"/>
    <cellStyle name="Calculation 4 2 2 4 3" xfId="16024"/>
    <cellStyle name="Calculation 4 2 2 4_Table" xfId="5144"/>
    <cellStyle name="Calculation 4 2 2 5" xfId="2724"/>
    <cellStyle name="Calculation 4 2 2 5 2" xfId="12052"/>
    <cellStyle name="Calculation 4 2 2 5 3" xfId="16462"/>
    <cellStyle name="Calculation 4 2 2 5_Table" xfId="5145"/>
    <cellStyle name="Calculation 4 2 2 6" xfId="3131"/>
    <cellStyle name="Calculation 4 2 2 6 2" xfId="12459"/>
    <cellStyle name="Calculation 4 2 2 6 3" xfId="16869"/>
    <cellStyle name="Calculation 4 2 2 6_Table" xfId="5146"/>
    <cellStyle name="Calculation 4 2 2 7" xfId="3723"/>
    <cellStyle name="Calculation 4 2 2 7 2" xfId="13051"/>
    <cellStyle name="Calculation 4 2 2 7 3" xfId="17461"/>
    <cellStyle name="Calculation 4 2 2 7_Table" xfId="5147"/>
    <cellStyle name="Calculation 4 2 2 8" xfId="3948"/>
    <cellStyle name="Calculation 4 2 2 8 2" xfId="13276"/>
    <cellStyle name="Calculation 4 2 2 8 3" xfId="17686"/>
    <cellStyle name="Calculation 4 2 2 8_Table" xfId="5148"/>
    <cellStyle name="Calculation 4 2 2 9" xfId="4309"/>
    <cellStyle name="Calculation 4 2 2 9 2" xfId="13637"/>
    <cellStyle name="Calculation 4 2 2 9 3" xfId="18047"/>
    <cellStyle name="Calculation 4 2 2 9_Table" xfId="5149"/>
    <cellStyle name="Calculation 4 2 2_Table" xfId="5140"/>
    <cellStyle name="Calculation 4 2 3" xfId="1017"/>
    <cellStyle name="Calculation 4 2 3 2" xfId="10345"/>
    <cellStyle name="Calculation 4 2 3 3" xfId="14755"/>
    <cellStyle name="Calculation 4 2 3_Table" xfId="5150"/>
    <cellStyle name="Calculation 4 2 4" xfId="1319"/>
    <cellStyle name="Calculation 4 2 4 2" xfId="10647"/>
    <cellStyle name="Calculation 4 2 4 3" xfId="15057"/>
    <cellStyle name="Calculation 4 2 4_Table" xfId="5151"/>
    <cellStyle name="Calculation 4 2 5" xfId="967"/>
    <cellStyle name="Calculation 4 2 5 2" xfId="10295"/>
    <cellStyle name="Calculation 4 2 5 3" xfId="14705"/>
    <cellStyle name="Calculation 4 2 5_Table" xfId="5152"/>
    <cellStyle name="Calculation 4 2 6" xfId="2040"/>
    <cellStyle name="Calculation 4 2 6 2" xfId="11368"/>
    <cellStyle name="Calculation 4 2 6 3" xfId="15778"/>
    <cellStyle name="Calculation 4 2 6_Table" xfId="5153"/>
    <cellStyle name="Calculation 4 2 7" xfId="2470"/>
    <cellStyle name="Calculation 4 2 7 2" xfId="11798"/>
    <cellStyle name="Calculation 4 2 7 3" xfId="16208"/>
    <cellStyle name="Calculation 4 2 7_Table" xfId="5154"/>
    <cellStyle name="Calculation 4 2 8" xfId="2168"/>
    <cellStyle name="Calculation 4 2 8 2" xfId="11496"/>
    <cellStyle name="Calculation 4 2 8 3" xfId="15906"/>
    <cellStyle name="Calculation 4 2 8_Table" xfId="5155"/>
    <cellStyle name="Calculation 4 2 9" xfId="3075"/>
    <cellStyle name="Calculation 4 2 9 2" xfId="12403"/>
    <cellStyle name="Calculation 4 2 9 3" xfId="16813"/>
    <cellStyle name="Calculation 4 2 9_Table" xfId="5156"/>
    <cellStyle name="Calculation 4 2_Table" xfId="5138"/>
    <cellStyle name="Calculation 4 3" xfId="463"/>
    <cellStyle name="Calculation 4 3 10" xfId="4490"/>
    <cellStyle name="Calculation 4 3 10 2" xfId="13818"/>
    <cellStyle name="Calculation 4 3 10 3" xfId="18228"/>
    <cellStyle name="Calculation 4 3 10_Table" xfId="5158"/>
    <cellStyle name="Calculation 4 3 11" xfId="9791"/>
    <cellStyle name="Calculation 4 3 12" xfId="14268"/>
    <cellStyle name="Calculation 4 3 2" xfId="755"/>
    <cellStyle name="Calculation 4 3 2 10" xfId="4715"/>
    <cellStyle name="Calculation 4 3 2 10 2" xfId="14043"/>
    <cellStyle name="Calculation 4 3 2 10 3" xfId="18453"/>
    <cellStyle name="Calculation 4 3 2 10_Table" xfId="5160"/>
    <cellStyle name="Calculation 4 3 2 11" xfId="10083"/>
    <cellStyle name="Calculation 4 3 2 12" xfId="14493"/>
    <cellStyle name="Calculation 4 3 2 2" xfId="1541"/>
    <cellStyle name="Calculation 4 3 2 2 2" xfId="10869"/>
    <cellStyle name="Calculation 4 3 2 2 3" xfId="15279"/>
    <cellStyle name="Calculation 4 3 2 2_Table" xfId="5161"/>
    <cellStyle name="Calculation 4 3 2 3" xfId="1901"/>
    <cellStyle name="Calculation 4 3 2 3 2" xfId="11229"/>
    <cellStyle name="Calculation 4 3 2 3 3" xfId="15639"/>
    <cellStyle name="Calculation 4 3 2 3_Table" xfId="5162"/>
    <cellStyle name="Calculation 4 3 2 4" xfId="2331"/>
    <cellStyle name="Calculation 4 3 2 4 2" xfId="11659"/>
    <cellStyle name="Calculation 4 3 2 4 3" xfId="16069"/>
    <cellStyle name="Calculation 4 3 2 4_Table" xfId="5163"/>
    <cellStyle name="Calculation 4 3 2 5" xfId="2769"/>
    <cellStyle name="Calculation 4 3 2 5 2" xfId="12097"/>
    <cellStyle name="Calculation 4 3 2 5 3" xfId="16507"/>
    <cellStyle name="Calculation 4 3 2 5_Table" xfId="5164"/>
    <cellStyle name="Calculation 4 3 2 6" xfId="3176"/>
    <cellStyle name="Calculation 4 3 2 6 2" xfId="12504"/>
    <cellStyle name="Calculation 4 3 2 6 3" xfId="16914"/>
    <cellStyle name="Calculation 4 3 2 6_Table" xfId="5165"/>
    <cellStyle name="Calculation 4 3 2 7" xfId="3768"/>
    <cellStyle name="Calculation 4 3 2 7 2" xfId="13096"/>
    <cellStyle name="Calculation 4 3 2 7 3" xfId="17506"/>
    <cellStyle name="Calculation 4 3 2 7_Table" xfId="5166"/>
    <cellStyle name="Calculation 4 3 2 8" xfId="3993"/>
    <cellStyle name="Calculation 4 3 2 8 2" xfId="13321"/>
    <cellStyle name="Calculation 4 3 2 8 3" xfId="17731"/>
    <cellStyle name="Calculation 4 3 2 8_Table" xfId="5167"/>
    <cellStyle name="Calculation 4 3 2 9" xfId="4354"/>
    <cellStyle name="Calculation 4 3 2 9 2" xfId="13682"/>
    <cellStyle name="Calculation 4 3 2 9 3" xfId="18092"/>
    <cellStyle name="Calculation 4 3 2 9_Table" xfId="5168"/>
    <cellStyle name="Calculation 4 3 2_Table" xfId="5159"/>
    <cellStyle name="Calculation 4 3 3" xfId="951"/>
    <cellStyle name="Calculation 4 3 3 2" xfId="10279"/>
    <cellStyle name="Calculation 4 3 3 3" xfId="14689"/>
    <cellStyle name="Calculation 4 3 3_Table" xfId="5169"/>
    <cellStyle name="Calculation 4 3 4" xfId="2054"/>
    <cellStyle name="Calculation 4 3 4 2" xfId="11382"/>
    <cellStyle name="Calculation 4 3 4 3" xfId="15792"/>
    <cellStyle name="Calculation 4 3 4_Table" xfId="5170"/>
    <cellStyle name="Calculation 4 3 5" xfId="2486"/>
    <cellStyle name="Calculation 4 3 5 2" xfId="11814"/>
    <cellStyle name="Calculation 4 3 5 3" xfId="16224"/>
    <cellStyle name="Calculation 4 3 5_Table" xfId="5171"/>
    <cellStyle name="Calculation 4 3 6" xfId="2915"/>
    <cellStyle name="Calculation 4 3 6 2" xfId="12243"/>
    <cellStyle name="Calculation 4 3 6 3" xfId="16653"/>
    <cellStyle name="Calculation 4 3 6_Table" xfId="5172"/>
    <cellStyle name="Calculation 4 3 7" xfId="3327"/>
    <cellStyle name="Calculation 4 3 7 2" xfId="12655"/>
    <cellStyle name="Calculation 4 3 7 3" xfId="17065"/>
    <cellStyle name="Calculation 4 3 7_Table" xfId="5173"/>
    <cellStyle name="Calculation 4 3 8" xfId="3433"/>
    <cellStyle name="Calculation 4 3 8 2" xfId="12761"/>
    <cellStyle name="Calculation 4 3 8 3" xfId="17171"/>
    <cellStyle name="Calculation 4 3 8_Table" xfId="5174"/>
    <cellStyle name="Calculation 4 3 9" xfId="4129"/>
    <cellStyle name="Calculation 4 3 9 2" xfId="13457"/>
    <cellStyle name="Calculation 4 3 9 3" xfId="17867"/>
    <cellStyle name="Calculation 4 3 9_Table" xfId="5175"/>
    <cellStyle name="Calculation 4 3_Table" xfId="5157"/>
    <cellStyle name="Calculation 4 4" xfId="527"/>
    <cellStyle name="Calculation 4 4 10" xfId="4535"/>
    <cellStyle name="Calculation 4 4 10 2" xfId="13863"/>
    <cellStyle name="Calculation 4 4 10 3" xfId="18273"/>
    <cellStyle name="Calculation 4 4 10_Table" xfId="5177"/>
    <cellStyle name="Calculation 4 4 11" xfId="9855"/>
    <cellStyle name="Calculation 4 4 12" xfId="14313"/>
    <cellStyle name="Calculation 4 4 2" xfId="800"/>
    <cellStyle name="Calculation 4 4 2 10" xfId="4760"/>
    <cellStyle name="Calculation 4 4 2 10 2" xfId="14088"/>
    <cellStyle name="Calculation 4 4 2 10 3" xfId="18498"/>
    <cellStyle name="Calculation 4 4 2 10_Table" xfId="5179"/>
    <cellStyle name="Calculation 4 4 2 11" xfId="10128"/>
    <cellStyle name="Calculation 4 4 2 12" xfId="14538"/>
    <cellStyle name="Calculation 4 4 2 2" xfId="1586"/>
    <cellStyle name="Calculation 4 4 2 2 2" xfId="10914"/>
    <cellStyle name="Calculation 4 4 2 2 3" xfId="15324"/>
    <cellStyle name="Calculation 4 4 2 2_Table" xfId="5180"/>
    <cellStyle name="Calculation 4 4 2 3" xfId="1946"/>
    <cellStyle name="Calculation 4 4 2 3 2" xfId="11274"/>
    <cellStyle name="Calculation 4 4 2 3 3" xfId="15684"/>
    <cellStyle name="Calculation 4 4 2 3_Table" xfId="5181"/>
    <cellStyle name="Calculation 4 4 2 4" xfId="2376"/>
    <cellStyle name="Calculation 4 4 2 4 2" xfId="11704"/>
    <cellStyle name="Calculation 4 4 2 4 3" xfId="16114"/>
    <cellStyle name="Calculation 4 4 2 4_Table" xfId="5182"/>
    <cellStyle name="Calculation 4 4 2 5" xfId="2814"/>
    <cellStyle name="Calculation 4 4 2 5 2" xfId="12142"/>
    <cellStyle name="Calculation 4 4 2 5 3" xfId="16552"/>
    <cellStyle name="Calculation 4 4 2 5_Table" xfId="5183"/>
    <cellStyle name="Calculation 4 4 2 6" xfId="3221"/>
    <cellStyle name="Calculation 4 4 2 6 2" xfId="12549"/>
    <cellStyle name="Calculation 4 4 2 6 3" xfId="16959"/>
    <cellStyle name="Calculation 4 4 2 6_Table" xfId="5184"/>
    <cellStyle name="Calculation 4 4 2 7" xfId="3813"/>
    <cellStyle name="Calculation 4 4 2 7 2" xfId="13141"/>
    <cellStyle name="Calculation 4 4 2 7 3" xfId="17551"/>
    <cellStyle name="Calculation 4 4 2 7_Table" xfId="5185"/>
    <cellStyle name="Calculation 4 4 2 8" xfId="4038"/>
    <cellStyle name="Calculation 4 4 2 8 2" xfId="13366"/>
    <cellStyle name="Calculation 4 4 2 8 3" xfId="17776"/>
    <cellStyle name="Calculation 4 4 2 8_Table" xfId="5186"/>
    <cellStyle name="Calculation 4 4 2 9" xfId="4399"/>
    <cellStyle name="Calculation 4 4 2 9 2" xfId="13727"/>
    <cellStyle name="Calculation 4 4 2 9 3" xfId="18137"/>
    <cellStyle name="Calculation 4 4 2 9_Table" xfId="5187"/>
    <cellStyle name="Calculation 4 4 2_Table" xfId="5178"/>
    <cellStyle name="Calculation 4 4 3" xfId="1679"/>
    <cellStyle name="Calculation 4 4 3 2" xfId="11007"/>
    <cellStyle name="Calculation 4 4 3 3" xfId="15417"/>
    <cellStyle name="Calculation 4 4 3_Table" xfId="5188"/>
    <cellStyle name="Calculation 4 4 4" xfId="2113"/>
    <cellStyle name="Calculation 4 4 4 2" xfId="11441"/>
    <cellStyle name="Calculation 4 4 4 3" xfId="15851"/>
    <cellStyle name="Calculation 4 4 4_Table" xfId="5189"/>
    <cellStyle name="Calculation 4 4 5" xfId="2545"/>
    <cellStyle name="Calculation 4 4 5 2" xfId="11873"/>
    <cellStyle name="Calculation 4 4 5 3" xfId="16283"/>
    <cellStyle name="Calculation 4 4 5_Table" xfId="5190"/>
    <cellStyle name="Calculation 4 4 6" xfId="2972"/>
    <cellStyle name="Calculation 4 4 6 2" xfId="12300"/>
    <cellStyle name="Calculation 4 4 6 3" xfId="16710"/>
    <cellStyle name="Calculation 4 4 6_Table" xfId="5191"/>
    <cellStyle name="Calculation 4 4 7" xfId="3385"/>
    <cellStyle name="Calculation 4 4 7 2" xfId="12713"/>
    <cellStyle name="Calculation 4 4 7 3" xfId="17123"/>
    <cellStyle name="Calculation 4 4 7_Table" xfId="5192"/>
    <cellStyle name="Calculation 4 4 8" xfId="3591"/>
    <cellStyle name="Calculation 4 4 8 2" xfId="12919"/>
    <cellStyle name="Calculation 4 4 8 3" xfId="17329"/>
    <cellStyle name="Calculation 4 4 8_Table" xfId="5193"/>
    <cellStyle name="Calculation 4 4 9" xfId="4174"/>
    <cellStyle name="Calculation 4 4 9 2" xfId="13502"/>
    <cellStyle name="Calculation 4 4 9 3" xfId="17912"/>
    <cellStyle name="Calculation 4 4 9_Table" xfId="5194"/>
    <cellStyle name="Calculation 4 4_Table" xfId="5176"/>
    <cellStyle name="Calculation 4 5" xfId="602"/>
    <cellStyle name="Calculation 4 5 10" xfId="4580"/>
    <cellStyle name="Calculation 4 5 10 2" xfId="13908"/>
    <cellStyle name="Calculation 4 5 10 3" xfId="18318"/>
    <cellStyle name="Calculation 4 5 10_Table" xfId="5196"/>
    <cellStyle name="Calculation 4 5 11" xfId="9930"/>
    <cellStyle name="Calculation 4 5 12" xfId="14358"/>
    <cellStyle name="Calculation 4 5 2" xfId="845"/>
    <cellStyle name="Calculation 4 5 2 10" xfId="4805"/>
    <cellStyle name="Calculation 4 5 2 10 2" xfId="14133"/>
    <cellStyle name="Calculation 4 5 2 10 3" xfId="18543"/>
    <cellStyle name="Calculation 4 5 2 10_Table" xfId="5198"/>
    <cellStyle name="Calculation 4 5 2 11" xfId="10173"/>
    <cellStyle name="Calculation 4 5 2 12" xfId="14583"/>
    <cellStyle name="Calculation 4 5 2 2" xfId="1631"/>
    <cellStyle name="Calculation 4 5 2 2 2" xfId="10959"/>
    <cellStyle name="Calculation 4 5 2 2 3" xfId="15369"/>
    <cellStyle name="Calculation 4 5 2 2_Table" xfId="5199"/>
    <cellStyle name="Calculation 4 5 2 3" xfId="1991"/>
    <cellStyle name="Calculation 4 5 2 3 2" xfId="11319"/>
    <cellStyle name="Calculation 4 5 2 3 3" xfId="15729"/>
    <cellStyle name="Calculation 4 5 2 3_Table" xfId="5200"/>
    <cellStyle name="Calculation 4 5 2 4" xfId="2421"/>
    <cellStyle name="Calculation 4 5 2 4 2" xfId="11749"/>
    <cellStyle name="Calculation 4 5 2 4 3" xfId="16159"/>
    <cellStyle name="Calculation 4 5 2 4_Table" xfId="5201"/>
    <cellStyle name="Calculation 4 5 2 5" xfId="2859"/>
    <cellStyle name="Calculation 4 5 2 5 2" xfId="12187"/>
    <cellStyle name="Calculation 4 5 2 5 3" xfId="16597"/>
    <cellStyle name="Calculation 4 5 2 5_Table" xfId="5202"/>
    <cellStyle name="Calculation 4 5 2 6" xfId="3266"/>
    <cellStyle name="Calculation 4 5 2 6 2" xfId="12594"/>
    <cellStyle name="Calculation 4 5 2 6 3" xfId="17004"/>
    <cellStyle name="Calculation 4 5 2 6_Table" xfId="5203"/>
    <cellStyle name="Calculation 4 5 2 7" xfId="3858"/>
    <cellStyle name="Calculation 4 5 2 7 2" xfId="13186"/>
    <cellStyle name="Calculation 4 5 2 7 3" xfId="17596"/>
    <cellStyle name="Calculation 4 5 2 7_Table" xfId="5204"/>
    <cellStyle name="Calculation 4 5 2 8" xfId="4083"/>
    <cellStyle name="Calculation 4 5 2 8 2" xfId="13411"/>
    <cellStyle name="Calculation 4 5 2 8 3" xfId="17821"/>
    <cellStyle name="Calculation 4 5 2 8_Table" xfId="5205"/>
    <cellStyle name="Calculation 4 5 2 9" xfId="4444"/>
    <cellStyle name="Calculation 4 5 2 9 2" xfId="13772"/>
    <cellStyle name="Calculation 4 5 2 9 3" xfId="18182"/>
    <cellStyle name="Calculation 4 5 2 9_Table" xfId="5206"/>
    <cellStyle name="Calculation 4 5 2_Table" xfId="5197"/>
    <cellStyle name="Calculation 4 5 3" xfId="1749"/>
    <cellStyle name="Calculation 4 5 3 2" xfId="11077"/>
    <cellStyle name="Calculation 4 5 3 3" xfId="15487"/>
    <cellStyle name="Calculation 4 5 3_Table" xfId="5207"/>
    <cellStyle name="Calculation 4 5 4" xfId="2182"/>
    <cellStyle name="Calculation 4 5 4 2" xfId="11510"/>
    <cellStyle name="Calculation 4 5 4 3" xfId="15920"/>
    <cellStyle name="Calculation 4 5 4_Table" xfId="5208"/>
    <cellStyle name="Calculation 4 5 5" xfId="2617"/>
    <cellStyle name="Calculation 4 5 5 2" xfId="11945"/>
    <cellStyle name="Calculation 4 5 5 3" xfId="16355"/>
    <cellStyle name="Calculation 4 5 5_Table" xfId="5209"/>
    <cellStyle name="Calculation 4 5 6" xfId="3030"/>
    <cellStyle name="Calculation 4 5 6 2" xfId="12358"/>
    <cellStyle name="Calculation 4 5 6 3" xfId="16768"/>
    <cellStyle name="Calculation 4 5 6_Table" xfId="5210"/>
    <cellStyle name="Calculation 4 5 7" xfId="3456"/>
    <cellStyle name="Calculation 4 5 7 2" xfId="12784"/>
    <cellStyle name="Calculation 4 5 7 3" xfId="17194"/>
    <cellStyle name="Calculation 4 5 7_Table" xfId="5211"/>
    <cellStyle name="Calculation 4 5 8" xfId="3603"/>
    <cellStyle name="Calculation 4 5 8 2" xfId="12931"/>
    <cellStyle name="Calculation 4 5 8 3" xfId="17341"/>
    <cellStyle name="Calculation 4 5 8_Table" xfId="5212"/>
    <cellStyle name="Calculation 4 5 9" xfId="4219"/>
    <cellStyle name="Calculation 4 5 9 2" xfId="13547"/>
    <cellStyle name="Calculation 4 5 9 3" xfId="17957"/>
    <cellStyle name="Calculation 4 5 9_Table" xfId="5213"/>
    <cellStyle name="Calculation 4 5_Table" xfId="5195"/>
    <cellStyle name="Calculation 4 6" xfId="665"/>
    <cellStyle name="Calculation 4 6 10" xfId="4625"/>
    <cellStyle name="Calculation 4 6 10 2" xfId="13953"/>
    <cellStyle name="Calculation 4 6 10 3" xfId="18363"/>
    <cellStyle name="Calculation 4 6 10_Table" xfId="5215"/>
    <cellStyle name="Calculation 4 6 11" xfId="9993"/>
    <cellStyle name="Calculation 4 6 12" xfId="14403"/>
    <cellStyle name="Calculation 4 6 2" xfId="1451"/>
    <cellStyle name="Calculation 4 6 2 2" xfId="10779"/>
    <cellStyle name="Calculation 4 6 2 3" xfId="15189"/>
    <cellStyle name="Calculation 4 6 2_Table" xfId="5216"/>
    <cellStyle name="Calculation 4 6 3" xfId="1811"/>
    <cellStyle name="Calculation 4 6 3 2" xfId="11139"/>
    <cellStyle name="Calculation 4 6 3 3" xfId="15549"/>
    <cellStyle name="Calculation 4 6 3_Table" xfId="5217"/>
    <cellStyle name="Calculation 4 6 4" xfId="2241"/>
    <cellStyle name="Calculation 4 6 4 2" xfId="11569"/>
    <cellStyle name="Calculation 4 6 4 3" xfId="15979"/>
    <cellStyle name="Calculation 4 6 4_Table" xfId="5218"/>
    <cellStyle name="Calculation 4 6 5" xfId="2679"/>
    <cellStyle name="Calculation 4 6 5 2" xfId="12007"/>
    <cellStyle name="Calculation 4 6 5 3" xfId="16417"/>
    <cellStyle name="Calculation 4 6 5_Table" xfId="5219"/>
    <cellStyle name="Calculation 4 6 6" xfId="3086"/>
    <cellStyle name="Calculation 4 6 6 2" xfId="12414"/>
    <cellStyle name="Calculation 4 6 6 3" xfId="16824"/>
    <cellStyle name="Calculation 4 6 6_Table" xfId="5220"/>
    <cellStyle name="Calculation 4 6 7" xfId="3678"/>
    <cellStyle name="Calculation 4 6 7 2" xfId="13006"/>
    <cellStyle name="Calculation 4 6 7 3" xfId="17416"/>
    <cellStyle name="Calculation 4 6 7_Table" xfId="5221"/>
    <cellStyle name="Calculation 4 6 8" xfId="3903"/>
    <cellStyle name="Calculation 4 6 8 2" xfId="13231"/>
    <cellStyle name="Calculation 4 6 8 3" xfId="17641"/>
    <cellStyle name="Calculation 4 6 8_Table" xfId="5222"/>
    <cellStyle name="Calculation 4 6 9" xfId="4264"/>
    <cellStyle name="Calculation 4 6 9 2" xfId="13592"/>
    <cellStyle name="Calculation 4 6 9 3" xfId="18002"/>
    <cellStyle name="Calculation 4 6 9_Table" xfId="5223"/>
    <cellStyle name="Calculation 4 6_Table" xfId="5214"/>
    <cellStyle name="Calculation 4 7" xfId="1114"/>
    <cellStyle name="Calculation 4 7 2" xfId="10442"/>
    <cellStyle name="Calculation 4 7 3" xfId="14852"/>
    <cellStyle name="Calculation 4 7_Table" xfId="5224"/>
    <cellStyle name="Calculation 4 8" xfId="1129"/>
    <cellStyle name="Calculation 4 8 2" xfId="10457"/>
    <cellStyle name="Calculation 4 8 3" xfId="14867"/>
    <cellStyle name="Calculation 4 8_Table" xfId="5225"/>
    <cellStyle name="Calculation 4 9" xfId="1105"/>
    <cellStyle name="Calculation 4 9 2" xfId="10433"/>
    <cellStyle name="Calculation 4 9 3" xfId="14843"/>
    <cellStyle name="Calculation 4 9_Table" xfId="5226"/>
    <cellStyle name="Calculation 4_Table" xfId="5132"/>
    <cellStyle name="Calculation 5" xfId="239"/>
    <cellStyle name="Calculation 5 10" xfId="1139"/>
    <cellStyle name="Calculation 5 10 2" xfId="10467"/>
    <cellStyle name="Calculation 5 10 3" xfId="14877"/>
    <cellStyle name="Calculation 5 10_Table" xfId="5228"/>
    <cellStyle name="Calculation 5 11" xfId="1103"/>
    <cellStyle name="Calculation 5 11 2" xfId="10431"/>
    <cellStyle name="Calculation 5 11 3" xfId="14841"/>
    <cellStyle name="Calculation 5 11_Table" xfId="5229"/>
    <cellStyle name="Calculation 5 12" xfId="3080"/>
    <cellStyle name="Calculation 5 12 2" xfId="12408"/>
    <cellStyle name="Calculation 5 12 3" xfId="16818"/>
    <cellStyle name="Calculation 5 12_Table" xfId="5230"/>
    <cellStyle name="Calculation 5 13" xfId="2911"/>
    <cellStyle name="Calculation 5 13 2" xfId="12239"/>
    <cellStyle name="Calculation 5 13 3" xfId="16649"/>
    <cellStyle name="Calculation 5 13_Table" xfId="5231"/>
    <cellStyle name="Calculation 5 14" xfId="2961"/>
    <cellStyle name="Calculation 5 14 2" xfId="12289"/>
    <cellStyle name="Calculation 5 14 3" xfId="16699"/>
    <cellStyle name="Calculation 5 14_Table" xfId="5232"/>
    <cellStyle name="Calculation 5 15" xfId="9567"/>
    <cellStyle name="Calculation 5 16" xfId="14179"/>
    <cellStyle name="Calculation 5 2" xfId="396"/>
    <cellStyle name="Calculation 5 2 10" xfId="2535"/>
    <cellStyle name="Calculation 5 2 10 2" xfId="11863"/>
    <cellStyle name="Calculation 5 2 10 3" xfId="16273"/>
    <cellStyle name="Calculation 5 2 10_Table" xfId="5234"/>
    <cellStyle name="Calculation 5 2 11" xfId="9724"/>
    <cellStyle name="Calculation 5 2 12" xfId="14224"/>
    <cellStyle name="Calculation 5 2 2" xfId="711"/>
    <cellStyle name="Calculation 5 2 2 10" xfId="4671"/>
    <cellStyle name="Calculation 5 2 2 10 2" xfId="13999"/>
    <cellStyle name="Calculation 5 2 2 10 3" xfId="18409"/>
    <cellStyle name="Calculation 5 2 2 10_Table" xfId="5236"/>
    <cellStyle name="Calculation 5 2 2 11" xfId="10039"/>
    <cellStyle name="Calculation 5 2 2 12" xfId="14449"/>
    <cellStyle name="Calculation 5 2 2 2" xfId="1497"/>
    <cellStyle name="Calculation 5 2 2 2 2" xfId="10825"/>
    <cellStyle name="Calculation 5 2 2 2 3" xfId="15235"/>
    <cellStyle name="Calculation 5 2 2 2_Table" xfId="5237"/>
    <cellStyle name="Calculation 5 2 2 3" xfId="1857"/>
    <cellStyle name="Calculation 5 2 2 3 2" xfId="11185"/>
    <cellStyle name="Calculation 5 2 2 3 3" xfId="15595"/>
    <cellStyle name="Calculation 5 2 2 3_Table" xfId="5238"/>
    <cellStyle name="Calculation 5 2 2 4" xfId="2287"/>
    <cellStyle name="Calculation 5 2 2 4 2" xfId="11615"/>
    <cellStyle name="Calculation 5 2 2 4 3" xfId="16025"/>
    <cellStyle name="Calculation 5 2 2 4_Table" xfId="5239"/>
    <cellStyle name="Calculation 5 2 2 5" xfId="2725"/>
    <cellStyle name="Calculation 5 2 2 5 2" xfId="12053"/>
    <cellStyle name="Calculation 5 2 2 5 3" xfId="16463"/>
    <cellStyle name="Calculation 5 2 2 5_Table" xfId="5240"/>
    <cellStyle name="Calculation 5 2 2 6" xfId="3132"/>
    <cellStyle name="Calculation 5 2 2 6 2" xfId="12460"/>
    <cellStyle name="Calculation 5 2 2 6 3" xfId="16870"/>
    <cellStyle name="Calculation 5 2 2 6_Table" xfId="5241"/>
    <cellStyle name="Calculation 5 2 2 7" xfId="3724"/>
    <cellStyle name="Calculation 5 2 2 7 2" xfId="13052"/>
    <cellStyle name="Calculation 5 2 2 7 3" xfId="17462"/>
    <cellStyle name="Calculation 5 2 2 7_Table" xfId="5242"/>
    <cellStyle name="Calculation 5 2 2 8" xfId="3949"/>
    <cellStyle name="Calculation 5 2 2 8 2" xfId="13277"/>
    <cellStyle name="Calculation 5 2 2 8 3" xfId="17687"/>
    <cellStyle name="Calculation 5 2 2 8_Table" xfId="5243"/>
    <cellStyle name="Calculation 5 2 2 9" xfId="4310"/>
    <cellStyle name="Calculation 5 2 2 9 2" xfId="13638"/>
    <cellStyle name="Calculation 5 2 2 9 3" xfId="18048"/>
    <cellStyle name="Calculation 5 2 2 9_Table" xfId="5244"/>
    <cellStyle name="Calculation 5 2 2_Table" xfId="5235"/>
    <cellStyle name="Calculation 5 2 3" xfId="1016"/>
    <cellStyle name="Calculation 5 2 3 2" xfId="10344"/>
    <cellStyle name="Calculation 5 2 3 3" xfId="14754"/>
    <cellStyle name="Calculation 5 2 3_Table" xfId="5245"/>
    <cellStyle name="Calculation 5 2 4" xfId="1376"/>
    <cellStyle name="Calculation 5 2 4 2" xfId="10704"/>
    <cellStyle name="Calculation 5 2 4 3" xfId="15114"/>
    <cellStyle name="Calculation 5 2 4_Table" xfId="5246"/>
    <cellStyle name="Calculation 5 2 5" xfId="902"/>
    <cellStyle name="Calculation 5 2 5 2" xfId="10230"/>
    <cellStyle name="Calculation 5 2 5 3" xfId="14640"/>
    <cellStyle name="Calculation 5 2 5_Table" xfId="5247"/>
    <cellStyle name="Calculation 5 2 6" xfId="2102"/>
    <cellStyle name="Calculation 5 2 6 2" xfId="11430"/>
    <cellStyle name="Calculation 5 2 6 3" xfId="15840"/>
    <cellStyle name="Calculation 5 2 6_Table" xfId="5248"/>
    <cellStyle name="Calculation 5 2 7" xfId="2533"/>
    <cellStyle name="Calculation 5 2 7 2" xfId="11861"/>
    <cellStyle name="Calculation 5 2 7 3" xfId="16271"/>
    <cellStyle name="Calculation 5 2 7_Table" xfId="5249"/>
    <cellStyle name="Calculation 5 2 8" xfId="1209"/>
    <cellStyle name="Calculation 5 2 8 2" xfId="10537"/>
    <cellStyle name="Calculation 5 2 8 3" xfId="14947"/>
    <cellStyle name="Calculation 5 2 8_Table" xfId="5250"/>
    <cellStyle name="Calculation 5 2 9" xfId="1394"/>
    <cellStyle name="Calculation 5 2 9 2" xfId="10722"/>
    <cellStyle name="Calculation 5 2 9 3" xfId="15132"/>
    <cellStyle name="Calculation 5 2 9_Table" xfId="5251"/>
    <cellStyle name="Calculation 5 2_Table" xfId="5233"/>
    <cellStyle name="Calculation 5 3" xfId="464"/>
    <cellStyle name="Calculation 5 3 10" xfId="4491"/>
    <cellStyle name="Calculation 5 3 10 2" xfId="13819"/>
    <cellStyle name="Calculation 5 3 10 3" xfId="18229"/>
    <cellStyle name="Calculation 5 3 10_Table" xfId="5253"/>
    <cellStyle name="Calculation 5 3 11" xfId="9792"/>
    <cellStyle name="Calculation 5 3 12" xfId="14269"/>
    <cellStyle name="Calculation 5 3 2" xfId="756"/>
    <cellStyle name="Calculation 5 3 2 10" xfId="4716"/>
    <cellStyle name="Calculation 5 3 2 10 2" xfId="14044"/>
    <cellStyle name="Calculation 5 3 2 10 3" xfId="18454"/>
    <cellStyle name="Calculation 5 3 2 10_Table" xfId="5255"/>
    <cellStyle name="Calculation 5 3 2 11" xfId="10084"/>
    <cellStyle name="Calculation 5 3 2 12" xfId="14494"/>
    <cellStyle name="Calculation 5 3 2 2" xfId="1542"/>
    <cellStyle name="Calculation 5 3 2 2 2" xfId="10870"/>
    <cellStyle name="Calculation 5 3 2 2 3" xfId="15280"/>
    <cellStyle name="Calculation 5 3 2 2_Table" xfId="5256"/>
    <cellStyle name="Calculation 5 3 2 3" xfId="1902"/>
    <cellStyle name="Calculation 5 3 2 3 2" xfId="11230"/>
    <cellStyle name="Calculation 5 3 2 3 3" xfId="15640"/>
    <cellStyle name="Calculation 5 3 2 3_Table" xfId="5257"/>
    <cellStyle name="Calculation 5 3 2 4" xfId="2332"/>
    <cellStyle name="Calculation 5 3 2 4 2" xfId="11660"/>
    <cellStyle name="Calculation 5 3 2 4 3" xfId="16070"/>
    <cellStyle name="Calculation 5 3 2 4_Table" xfId="5258"/>
    <cellStyle name="Calculation 5 3 2 5" xfId="2770"/>
    <cellStyle name="Calculation 5 3 2 5 2" xfId="12098"/>
    <cellStyle name="Calculation 5 3 2 5 3" xfId="16508"/>
    <cellStyle name="Calculation 5 3 2 5_Table" xfId="5259"/>
    <cellStyle name="Calculation 5 3 2 6" xfId="3177"/>
    <cellStyle name="Calculation 5 3 2 6 2" xfId="12505"/>
    <cellStyle name="Calculation 5 3 2 6 3" xfId="16915"/>
    <cellStyle name="Calculation 5 3 2 6_Table" xfId="5260"/>
    <cellStyle name="Calculation 5 3 2 7" xfId="3769"/>
    <cellStyle name="Calculation 5 3 2 7 2" xfId="13097"/>
    <cellStyle name="Calculation 5 3 2 7 3" xfId="17507"/>
    <cellStyle name="Calculation 5 3 2 7_Table" xfId="5261"/>
    <cellStyle name="Calculation 5 3 2 8" xfId="3994"/>
    <cellStyle name="Calculation 5 3 2 8 2" xfId="13322"/>
    <cellStyle name="Calculation 5 3 2 8 3" xfId="17732"/>
    <cellStyle name="Calculation 5 3 2 8_Table" xfId="5262"/>
    <cellStyle name="Calculation 5 3 2 9" xfId="4355"/>
    <cellStyle name="Calculation 5 3 2 9 2" xfId="13683"/>
    <cellStyle name="Calculation 5 3 2 9 3" xfId="18093"/>
    <cellStyle name="Calculation 5 3 2 9_Table" xfId="5263"/>
    <cellStyle name="Calculation 5 3 2_Table" xfId="5254"/>
    <cellStyle name="Calculation 5 3 3" xfId="950"/>
    <cellStyle name="Calculation 5 3 3 2" xfId="10278"/>
    <cellStyle name="Calculation 5 3 3 3" xfId="14688"/>
    <cellStyle name="Calculation 5 3 3_Table" xfId="5264"/>
    <cellStyle name="Calculation 5 3 4" xfId="2055"/>
    <cellStyle name="Calculation 5 3 4 2" xfId="11383"/>
    <cellStyle name="Calculation 5 3 4 3" xfId="15793"/>
    <cellStyle name="Calculation 5 3 4_Table" xfId="5265"/>
    <cellStyle name="Calculation 5 3 5" xfId="2487"/>
    <cellStyle name="Calculation 5 3 5 2" xfId="11815"/>
    <cellStyle name="Calculation 5 3 5 3" xfId="16225"/>
    <cellStyle name="Calculation 5 3 5_Table" xfId="5266"/>
    <cellStyle name="Calculation 5 3 6" xfId="2916"/>
    <cellStyle name="Calculation 5 3 6 2" xfId="12244"/>
    <cellStyle name="Calculation 5 3 6 3" xfId="16654"/>
    <cellStyle name="Calculation 5 3 6_Table" xfId="5267"/>
    <cellStyle name="Calculation 5 3 7" xfId="3328"/>
    <cellStyle name="Calculation 5 3 7 2" xfId="12656"/>
    <cellStyle name="Calculation 5 3 7 3" xfId="17066"/>
    <cellStyle name="Calculation 5 3 7_Table" xfId="5268"/>
    <cellStyle name="Calculation 5 3 8" xfId="3504"/>
    <cellStyle name="Calculation 5 3 8 2" xfId="12832"/>
    <cellStyle name="Calculation 5 3 8 3" xfId="17242"/>
    <cellStyle name="Calculation 5 3 8_Table" xfId="5269"/>
    <cellStyle name="Calculation 5 3 9" xfId="4130"/>
    <cellStyle name="Calculation 5 3 9 2" xfId="13458"/>
    <cellStyle name="Calculation 5 3 9 3" xfId="17868"/>
    <cellStyle name="Calculation 5 3 9_Table" xfId="5270"/>
    <cellStyle name="Calculation 5 3_Table" xfId="5252"/>
    <cellStyle name="Calculation 5 4" xfId="528"/>
    <cellStyle name="Calculation 5 4 10" xfId="4536"/>
    <cellStyle name="Calculation 5 4 10 2" xfId="13864"/>
    <cellStyle name="Calculation 5 4 10 3" xfId="18274"/>
    <cellStyle name="Calculation 5 4 10_Table" xfId="5272"/>
    <cellStyle name="Calculation 5 4 11" xfId="9856"/>
    <cellStyle name="Calculation 5 4 12" xfId="14314"/>
    <cellStyle name="Calculation 5 4 2" xfId="801"/>
    <cellStyle name="Calculation 5 4 2 10" xfId="4761"/>
    <cellStyle name="Calculation 5 4 2 10 2" xfId="14089"/>
    <cellStyle name="Calculation 5 4 2 10 3" xfId="18499"/>
    <cellStyle name="Calculation 5 4 2 10_Table" xfId="5274"/>
    <cellStyle name="Calculation 5 4 2 11" xfId="10129"/>
    <cellStyle name="Calculation 5 4 2 12" xfId="14539"/>
    <cellStyle name="Calculation 5 4 2 2" xfId="1587"/>
    <cellStyle name="Calculation 5 4 2 2 2" xfId="10915"/>
    <cellStyle name="Calculation 5 4 2 2 3" xfId="15325"/>
    <cellStyle name="Calculation 5 4 2 2_Table" xfId="5275"/>
    <cellStyle name="Calculation 5 4 2 3" xfId="1947"/>
    <cellStyle name="Calculation 5 4 2 3 2" xfId="11275"/>
    <cellStyle name="Calculation 5 4 2 3 3" xfId="15685"/>
    <cellStyle name="Calculation 5 4 2 3_Table" xfId="5276"/>
    <cellStyle name="Calculation 5 4 2 4" xfId="2377"/>
    <cellStyle name="Calculation 5 4 2 4 2" xfId="11705"/>
    <cellStyle name="Calculation 5 4 2 4 3" xfId="16115"/>
    <cellStyle name="Calculation 5 4 2 4_Table" xfId="5277"/>
    <cellStyle name="Calculation 5 4 2 5" xfId="2815"/>
    <cellStyle name="Calculation 5 4 2 5 2" xfId="12143"/>
    <cellStyle name="Calculation 5 4 2 5 3" xfId="16553"/>
    <cellStyle name="Calculation 5 4 2 5_Table" xfId="5278"/>
    <cellStyle name="Calculation 5 4 2 6" xfId="3222"/>
    <cellStyle name="Calculation 5 4 2 6 2" xfId="12550"/>
    <cellStyle name="Calculation 5 4 2 6 3" xfId="16960"/>
    <cellStyle name="Calculation 5 4 2 6_Table" xfId="5279"/>
    <cellStyle name="Calculation 5 4 2 7" xfId="3814"/>
    <cellStyle name="Calculation 5 4 2 7 2" xfId="13142"/>
    <cellStyle name="Calculation 5 4 2 7 3" xfId="17552"/>
    <cellStyle name="Calculation 5 4 2 7_Table" xfId="5280"/>
    <cellStyle name="Calculation 5 4 2 8" xfId="4039"/>
    <cellStyle name="Calculation 5 4 2 8 2" xfId="13367"/>
    <cellStyle name="Calculation 5 4 2 8 3" xfId="17777"/>
    <cellStyle name="Calculation 5 4 2 8_Table" xfId="5281"/>
    <cellStyle name="Calculation 5 4 2 9" xfId="4400"/>
    <cellStyle name="Calculation 5 4 2 9 2" xfId="13728"/>
    <cellStyle name="Calculation 5 4 2 9 3" xfId="18138"/>
    <cellStyle name="Calculation 5 4 2 9_Table" xfId="5282"/>
    <cellStyle name="Calculation 5 4 2_Table" xfId="5273"/>
    <cellStyle name="Calculation 5 4 3" xfId="1680"/>
    <cellStyle name="Calculation 5 4 3 2" xfId="11008"/>
    <cellStyle name="Calculation 5 4 3 3" xfId="15418"/>
    <cellStyle name="Calculation 5 4 3_Table" xfId="5283"/>
    <cellStyle name="Calculation 5 4 4" xfId="2114"/>
    <cellStyle name="Calculation 5 4 4 2" xfId="11442"/>
    <cellStyle name="Calculation 5 4 4 3" xfId="15852"/>
    <cellStyle name="Calculation 5 4 4_Table" xfId="5284"/>
    <cellStyle name="Calculation 5 4 5" xfId="2546"/>
    <cellStyle name="Calculation 5 4 5 2" xfId="11874"/>
    <cellStyle name="Calculation 5 4 5 3" xfId="16284"/>
    <cellStyle name="Calculation 5 4 5_Table" xfId="5285"/>
    <cellStyle name="Calculation 5 4 6" xfId="2973"/>
    <cellStyle name="Calculation 5 4 6 2" xfId="12301"/>
    <cellStyle name="Calculation 5 4 6 3" xfId="16711"/>
    <cellStyle name="Calculation 5 4 6_Table" xfId="5286"/>
    <cellStyle name="Calculation 5 4 7" xfId="3386"/>
    <cellStyle name="Calculation 5 4 7 2" xfId="12714"/>
    <cellStyle name="Calculation 5 4 7 3" xfId="17124"/>
    <cellStyle name="Calculation 5 4 7_Table" xfId="5287"/>
    <cellStyle name="Calculation 5 4 8" xfId="3622"/>
    <cellStyle name="Calculation 5 4 8 2" xfId="12950"/>
    <cellStyle name="Calculation 5 4 8 3" xfId="17360"/>
    <cellStyle name="Calculation 5 4 8_Table" xfId="5288"/>
    <cellStyle name="Calculation 5 4 9" xfId="4175"/>
    <cellStyle name="Calculation 5 4 9 2" xfId="13503"/>
    <cellStyle name="Calculation 5 4 9 3" xfId="17913"/>
    <cellStyle name="Calculation 5 4 9_Table" xfId="5289"/>
    <cellStyle name="Calculation 5 4_Table" xfId="5271"/>
    <cellStyle name="Calculation 5 5" xfId="603"/>
    <cellStyle name="Calculation 5 5 10" xfId="4581"/>
    <cellStyle name="Calculation 5 5 10 2" xfId="13909"/>
    <cellStyle name="Calculation 5 5 10 3" xfId="18319"/>
    <cellStyle name="Calculation 5 5 10_Table" xfId="5291"/>
    <cellStyle name="Calculation 5 5 11" xfId="9931"/>
    <cellStyle name="Calculation 5 5 12" xfId="14359"/>
    <cellStyle name="Calculation 5 5 2" xfId="846"/>
    <cellStyle name="Calculation 5 5 2 10" xfId="4806"/>
    <cellStyle name="Calculation 5 5 2 10 2" xfId="14134"/>
    <cellStyle name="Calculation 5 5 2 10 3" xfId="18544"/>
    <cellStyle name="Calculation 5 5 2 10_Table" xfId="5293"/>
    <cellStyle name="Calculation 5 5 2 11" xfId="10174"/>
    <cellStyle name="Calculation 5 5 2 12" xfId="14584"/>
    <cellStyle name="Calculation 5 5 2 2" xfId="1632"/>
    <cellStyle name="Calculation 5 5 2 2 2" xfId="10960"/>
    <cellStyle name="Calculation 5 5 2 2 3" xfId="15370"/>
    <cellStyle name="Calculation 5 5 2 2_Table" xfId="5294"/>
    <cellStyle name="Calculation 5 5 2 3" xfId="1992"/>
    <cellStyle name="Calculation 5 5 2 3 2" xfId="11320"/>
    <cellStyle name="Calculation 5 5 2 3 3" xfId="15730"/>
    <cellStyle name="Calculation 5 5 2 3_Table" xfId="5295"/>
    <cellStyle name="Calculation 5 5 2 4" xfId="2422"/>
    <cellStyle name="Calculation 5 5 2 4 2" xfId="11750"/>
    <cellStyle name="Calculation 5 5 2 4 3" xfId="16160"/>
    <cellStyle name="Calculation 5 5 2 4_Table" xfId="5296"/>
    <cellStyle name="Calculation 5 5 2 5" xfId="2860"/>
    <cellStyle name="Calculation 5 5 2 5 2" xfId="12188"/>
    <cellStyle name="Calculation 5 5 2 5 3" xfId="16598"/>
    <cellStyle name="Calculation 5 5 2 5_Table" xfId="5297"/>
    <cellStyle name="Calculation 5 5 2 6" xfId="3267"/>
    <cellStyle name="Calculation 5 5 2 6 2" xfId="12595"/>
    <cellStyle name="Calculation 5 5 2 6 3" xfId="17005"/>
    <cellStyle name="Calculation 5 5 2 6_Table" xfId="5298"/>
    <cellStyle name="Calculation 5 5 2 7" xfId="3859"/>
    <cellStyle name="Calculation 5 5 2 7 2" xfId="13187"/>
    <cellStyle name="Calculation 5 5 2 7 3" xfId="17597"/>
    <cellStyle name="Calculation 5 5 2 7_Table" xfId="5299"/>
    <cellStyle name="Calculation 5 5 2 8" xfId="4084"/>
    <cellStyle name="Calculation 5 5 2 8 2" xfId="13412"/>
    <cellStyle name="Calculation 5 5 2 8 3" xfId="17822"/>
    <cellStyle name="Calculation 5 5 2 8_Table" xfId="5300"/>
    <cellStyle name="Calculation 5 5 2 9" xfId="4445"/>
    <cellStyle name="Calculation 5 5 2 9 2" xfId="13773"/>
    <cellStyle name="Calculation 5 5 2 9 3" xfId="18183"/>
    <cellStyle name="Calculation 5 5 2 9_Table" xfId="5301"/>
    <cellStyle name="Calculation 5 5 2_Table" xfId="5292"/>
    <cellStyle name="Calculation 5 5 3" xfId="1750"/>
    <cellStyle name="Calculation 5 5 3 2" xfId="11078"/>
    <cellStyle name="Calculation 5 5 3 3" xfId="15488"/>
    <cellStyle name="Calculation 5 5 3_Table" xfId="5302"/>
    <cellStyle name="Calculation 5 5 4" xfId="2183"/>
    <cellStyle name="Calculation 5 5 4 2" xfId="11511"/>
    <cellStyle name="Calculation 5 5 4 3" xfId="15921"/>
    <cellStyle name="Calculation 5 5 4_Table" xfId="5303"/>
    <cellStyle name="Calculation 5 5 5" xfId="2618"/>
    <cellStyle name="Calculation 5 5 5 2" xfId="11946"/>
    <cellStyle name="Calculation 5 5 5 3" xfId="16356"/>
    <cellStyle name="Calculation 5 5 5_Table" xfId="5304"/>
    <cellStyle name="Calculation 5 5 6" xfId="3031"/>
    <cellStyle name="Calculation 5 5 6 2" xfId="12359"/>
    <cellStyle name="Calculation 5 5 6 3" xfId="16769"/>
    <cellStyle name="Calculation 5 5 6_Table" xfId="5305"/>
    <cellStyle name="Calculation 5 5 7" xfId="3457"/>
    <cellStyle name="Calculation 5 5 7 2" xfId="12785"/>
    <cellStyle name="Calculation 5 5 7 3" xfId="17195"/>
    <cellStyle name="Calculation 5 5 7_Table" xfId="5306"/>
    <cellStyle name="Calculation 5 5 8" xfId="3635"/>
    <cellStyle name="Calculation 5 5 8 2" xfId="12963"/>
    <cellStyle name="Calculation 5 5 8 3" xfId="17373"/>
    <cellStyle name="Calculation 5 5 8_Table" xfId="5307"/>
    <cellStyle name="Calculation 5 5 9" xfId="4220"/>
    <cellStyle name="Calculation 5 5 9 2" xfId="13548"/>
    <cellStyle name="Calculation 5 5 9 3" xfId="17958"/>
    <cellStyle name="Calculation 5 5 9_Table" xfId="5308"/>
    <cellStyle name="Calculation 5 5_Table" xfId="5290"/>
    <cellStyle name="Calculation 5 6" xfId="666"/>
    <cellStyle name="Calculation 5 6 10" xfId="4626"/>
    <cellStyle name="Calculation 5 6 10 2" xfId="13954"/>
    <cellStyle name="Calculation 5 6 10 3" xfId="18364"/>
    <cellStyle name="Calculation 5 6 10_Table" xfId="5310"/>
    <cellStyle name="Calculation 5 6 11" xfId="9994"/>
    <cellStyle name="Calculation 5 6 12" xfId="14404"/>
    <cellStyle name="Calculation 5 6 2" xfId="1452"/>
    <cellStyle name="Calculation 5 6 2 2" xfId="10780"/>
    <cellStyle name="Calculation 5 6 2 3" xfId="15190"/>
    <cellStyle name="Calculation 5 6 2_Table" xfId="5311"/>
    <cellStyle name="Calculation 5 6 3" xfId="1812"/>
    <cellStyle name="Calculation 5 6 3 2" xfId="11140"/>
    <cellStyle name="Calculation 5 6 3 3" xfId="15550"/>
    <cellStyle name="Calculation 5 6 3_Table" xfId="5312"/>
    <cellStyle name="Calculation 5 6 4" xfId="2242"/>
    <cellStyle name="Calculation 5 6 4 2" xfId="11570"/>
    <cellStyle name="Calculation 5 6 4 3" xfId="15980"/>
    <cellStyle name="Calculation 5 6 4_Table" xfId="5313"/>
    <cellStyle name="Calculation 5 6 5" xfId="2680"/>
    <cellStyle name="Calculation 5 6 5 2" xfId="12008"/>
    <cellStyle name="Calculation 5 6 5 3" xfId="16418"/>
    <cellStyle name="Calculation 5 6 5_Table" xfId="5314"/>
    <cellStyle name="Calculation 5 6 6" xfId="3087"/>
    <cellStyle name="Calculation 5 6 6 2" xfId="12415"/>
    <cellStyle name="Calculation 5 6 6 3" xfId="16825"/>
    <cellStyle name="Calculation 5 6 6_Table" xfId="5315"/>
    <cellStyle name="Calculation 5 6 7" xfId="3679"/>
    <cellStyle name="Calculation 5 6 7 2" xfId="13007"/>
    <cellStyle name="Calculation 5 6 7 3" xfId="17417"/>
    <cellStyle name="Calculation 5 6 7_Table" xfId="5316"/>
    <cellStyle name="Calculation 5 6 8" xfId="3904"/>
    <cellStyle name="Calculation 5 6 8 2" xfId="13232"/>
    <cellStyle name="Calculation 5 6 8 3" xfId="17642"/>
    <cellStyle name="Calculation 5 6 8_Table" xfId="5317"/>
    <cellStyle name="Calculation 5 6 9" xfId="4265"/>
    <cellStyle name="Calculation 5 6 9 2" xfId="13593"/>
    <cellStyle name="Calculation 5 6 9 3" xfId="18003"/>
    <cellStyle name="Calculation 5 6 9_Table" xfId="5318"/>
    <cellStyle name="Calculation 5 6_Table" xfId="5309"/>
    <cellStyle name="Calculation 5 7" xfId="1113"/>
    <cellStyle name="Calculation 5 7 2" xfId="10441"/>
    <cellStyle name="Calculation 5 7 3" xfId="14851"/>
    <cellStyle name="Calculation 5 7_Table" xfId="5319"/>
    <cellStyle name="Calculation 5 8" xfId="1130"/>
    <cellStyle name="Calculation 5 8 2" xfId="10458"/>
    <cellStyle name="Calculation 5 8 3" xfId="14868"/>
    <cellStyle name="Calculation 5 8_Table" xfId="5320"/>
    <cellStyle name="Calculation 5 9" xfId="1399"/>
    <cellStyle name="Calculation 5 9 2" xfId="10727"/>
    <cellStyle name="Calculation 5 9 3" xfId="15137"/>
    <cellStyle name="Calculation 5 9_Table" xfId="5321"/>
    <cellStyle name="Calculation 5_Table" xfId="5227"/>
    <cellStyle name="Calculation 6" xfId="240"/>
    <cellStyle name="Calculation 6 10" xfId="1140"/>
    <cellStyle name="Calculation 6 10 2" xfId="10468"/>
    <cellStyle name="Calculation 6 10 3" xfId="14878"/>
    <cellStyle name="Calculation 6 10_Table" xfId="5323"/>
    <cellStyle name="Calculation 6 11" xfId="1397"/>
    <cellStyle name="Calculation 6 11 2" xfId="10725"/>
    <cellStyle name="Calculation 6 11 3" xfId="15135"/>
    <cellStyle name="Calculation 6 11_Table" xfId="5324"/>
    <cellStyle name="Calculation 6 12" xfId="1167"/>
    <cellStyle name="Calculation 6 12 2" xfId="10495"/>
    <cellStyle name="Calculation 6 12 3" xfId="14905"/>
    <cellStyle name="Calculation 6 12_Table" xfId="5325"/>
    <cellStyle name="Calculation 6 13" xfId="1121"/>
    <cellStyle name="Calculation 6 13 2" xfId="10449"/>
    <cellStyle name="Calculation 6 13 3" xfId="14859"/>
    <cellStyle name="Calculation 6 13_Table" xfId="5326"/>
    <cellStyle name="Calculation 6 14" xfId="3079"/>
    <cellStyle name="Calculation 6 14 2" xfId="12407"/>
    <cellStyle name="Calculation 6 14 3" xfId="16817"/>
    <cellStyle name="Calculation 6 14_Table" xfId="5327"/>
    <cellStyle name="Calculation 6 15" xfId="9568"/>
    <cellStyle name="Calculation 6 16" xfId="14180"/>
    <cellStyle name="Calculation 6 2" xfId="397"/>
    <cellStyle name="Calculation 6 2 10" xfId="3600"/>
    <cellStyle name="Calculation 6 2 10 2" xfId="12928"/>
    <cellStyle name="Calculation 6 2 10 3" xfId="17338"/>
    <cellStyle name="Calculation 6 2 10_Table" xfId="5329"/>
    <cellStyle name="Calculation 6 2 11" xfId="9725"/>
    <cellStyle name="Calculation 6 2 12" xfId="14225"/>
    <cellStyle name="Calculation 6 2 2" xfId="712"/>
    <cellStyle name="Calculation 6 2 2 10" xfId="4672"/>
    <cellStyle name="Calculation 6 2 2 10 2" xfId="14000"/>
    <cellStyle name="Calculation 6 2 2 10 3" xfId="18410"/>
    <cellStyle name="Calculation 6 2 2 10_Table" xfId="5331"/>
    <cellStyle name="Calculation 6 2 2 11" xfId="10040"/>
    <cellStyle name="Calculation 6 2 2 12" xfId="14450"/>
    <cellStyle name="Calculation 6 2 2 2" xfId="1498"/>
    <cellStyle name="Calculation 6 2 2 2 2" xfId="10826"/>
    <cellStyle name="Calculation 6 2 2 2 3" xfId="15236"/>
    <cellStyle name="Calculation 6 2 2 2_Table" xfId="5332"/>
    <cellStyle name="Calculation 6 2 2 3" xfId="1858"/>
    <cellStyle name="Calculation 6 2 2 3 2" xfId="11186"/>
    <cellStyle name="Calculation 6 2 2 3 3" xfId="15596"/>
    <cellStyle name="Calculation 6 2 2 3_Table" xfId="5333"/>
    <cellStyle name="Calculation 6 2 2 4" xfId="2288"/>
    <cellStyle name="Calculation 6 2 2 4 2" xfId="11616"/>
    <cellStyle name="Calculation 6 2 2 4 3" xfId="16026"/>
    <cellStyle name="Calculation 6 2 2 4_Table" xfId="5334"/>
    <cellStyle name="Calculation 6 2 2 5" xfId="2726"/>
    <cellStyle name="Calculation 6 2 2 5 2" xfId="12054"/>
    <cellStyle name="Calculation 6 2 2 5 3" xfId="16464"/>
    <cellStyle name="Calculation 6 2 2 5_Table" xfId="5335"/>
    <cellStyle name="Calculation 6 2 2 6" xfId="3133"/>
    <cellStyle name="Calculation 6 2 2 6 2" xfId="12461"/>
    <cellStyle name="Calculation 6 2 2 6 3" xfId="16871"/>
    <cellStyle name="Calculation 6 2 2 6_Table" xfId="5336"/>
    <cellStyle name="Calculation 6 2 2 7" xfId="3725"/>
    <cellStyle name="Calculation 6 2 2 7 2" xfId="13053"/>
    <cellStyle name="Calculation 6 2 2 7 3" xfId="17463"/>
    <cellStyle name="Calculation 6 2 2 7_Table" xfId="5337"/>
    <cellStyle name="Calculation 6 2 2 8" xfId="3950"/>
    <cellStyle name="Calculation 6 2 2 8 2" xfId="13278"/>
    <cellStyle name="Calculation 6 2 2 8 3" xfId="17688"/>
    <cellStyle name="Calculation 6 2 2 8_Table" xfId="5338"/>
    <cellStyle name="Calculation 6 2 2 9" xfId="4311"/>
    <cellStyle name="Calculation 6 2 2 9 2" xfId="13639"/>
    <cellStyle name="Calculation 6 2 2 9 3" xfId="18049"/>
    <cellStyle name="Calculation 6 2 2 9_Table" xfId="5339"/>
    <cellStyle name="Calculation 6 2 2_Table" xfId="5330"/>
    <cellStyle name="Calculation 6 2 3" xfId="1015"/>
    <cellStyle name="Calculation 6 2 3 2" xfId="10343"/>
    <cellStyle name="Calculation 6 2 3 3" xfId="14753"/>
    <cellStyle name="Calculation 6 2 3_Table" xfId="5340"/>
    <cellStyle name="Calculation 6 2 4" xfId="1441"/>
    <cellStyle name="Calculation 6 2 4 2" xfId="10769"/>
    <cellStyle name="Calculation 6 2 4 3" xfId="15179"/>
    <cellStyle name="Calculation 6 2 4_Table" xfId="5341"/>
    <cellStyle name="Calculation 6 2 5" xfId="1727"/>
    <cellStyle name="Calculation 6 2 5 2" xfId="11055"/>
    <cellStyle name="Calculation 6 2 5 3" xfId="15465"/>
    <cellStyle name="Calculation 6 2 5_Table" xfId="5342"/>
    <cellStyle name="Calculation 6 2 6" xfId="2162"/>
    <cellStyle name="Calculation 6 2 6 2" xfId="11490"/>
    <cellStyle name="Calculation 6 2 6 3" xfId="15900"/>
    <cellStyle name="Calculation 6 2 6_Table" xfId="5343"/>
    <cellStyle name="Calculation 6 2 7" xfId="2594"/>
    <cellStyle name="Calculation 6 2 7 2" xfId="11922"/>
    <cellStyle name="Calculation 6 2 7 3" xfId="16332"/>
    <cellStyle name="Calculation 6 2 7_Table" xfId="5344"/>
    <cellStyle name="Calculation 6 2 8" xfId="1151"/>
    <cellStyle name="Calculation 6 2 8 2" xfId="10479"/>
    <cellStyle name="Calculation 6 2 8 3" xfId="14889"/>
    <cellStyle name="Calculation 6 2 8_Table" xfId="5345"/>
    <cellStyle name="Calculation 6 2 9" xfId="3514"/>
    <cellStyle name="Calculation 6 2 9 2" xfId="12842"/>
    <cellStyle name="Calculation 6 2 9 3" xfId="17252"/>
    <cellStyle name="Calculation 6 2 9_Table" xfId="5346"/>
    <cellStyle name="Calculation 6 2_Table" xfId="5328"/>
    <cellStyle name="Calculation 6 3" xfId="465"/>
    <cellStyle name="Calculation 6 3 10" xfId="4492"/>
    <cellStyle name="Calculation 6 3 10 2" xfId="13820"/>
    <cellStyle name="Calculation 6 3 10 3" xfId="18230"/>
    <cellStyle name="Calculation 6 3 10_Table" xfId="5348"/>
    <cellStyle name="Calculation 6 3 11" xfId="9793"/>
    <cellStyle name="Calculation 6 3 12" xfId="14270"/>
    <cellStyle name="Calculation 6 3 2" xfId="757"/>
    <cellStyle name="Calculation 6 3 2 10" xfId="4717"/>
    <cellStyle name="Calculation 6 3 2 10 2" xfId="14045"/>
    <cellStyle name="Calculation 6 3 2 10 3" xfId="18455"/>
    <cellStyle name="Calculation 6 3 2 10_Table" xfId="5350"/>
    <cellStyle name="Calculation 6 3 2 11" xfId="10085"/>
    <cellStyle name="Calculation 6 3 2 12" xfId="14495"/>
    <cellStyle name="Calculation 6 3 2 2" xfId="1543"/>
    <cellStyle name="Calculation 6 3 2 2 2" xfId="10871"/>
    <cellStyle name="Calculation 6 3 2 2 3" xfId="15281"/>
    <cellStyle name="Calculation 6 3 2 2_Table" xfId="5351"/>
    <cellStyle name="Calculation 6 3 2 3" xfId="1903"/>
    <cellStyle name="Calculation 6 3 2 3 2" xfId="11231"/>
    <cellStyle name="Calculation 6 3 2 3 3" xfId="15641"/>
    <cellStyle name="Calculation 6 3 2 3_Table" xfId="5352"/>
    <cellStyle name="Calculation 6 3 2 4" xfId="2333"/>
    <cellStyle name="Calculation 6 3 2 4 2" xfId="11661"/>
    <cellStyle name="Calculation 6 3 2 4 3" xfId="16071"/>
    <cellStyle name="Calculation 6 3 2 4_Table" xfId="5353"/>
    <cellStyle name="Calculation 6 3 2 5" xfId="2771"/>
    <cellStyle name="Calculation 6 3 2 5 2" xfId="12099"/>
    <cellStyle name="Calculation 6 3 2 5 3" xfId="16509"/>
    <cellStyle name="Calculation 6 3 2 5_Table" xfId="5354"/>
    <cellStyle name="Calculation 6 3 2 6" xfId="3178"/>
    <cellStyle name="Calculation 6 3 2 6 2" xfId="12506"/>
    <cellStyle name="Calculation 6 3 2 6 3" xfId="16916"/>
    <cellStyle name="Calculation 6 3 2 6_Table" xfId="5355"/>
    <cellStyle name="Calculation 6 3 2 7" xfId="3770"/>
    <cellStyle name="Calculation 6 3 2 7 2" xfId="13098"/>
    <cellStyle name="Calculation 6 3 2 7 3" xfId="17508"/>
    <cellStyle name="Calculation 6 3 2 7_Table" xfId="5356"/>
    <cellStyle name="Calculation 6 3 2 8" xfId="3995"/>
    <cellStyle name="Calculation 6 3 2 8 2" xfId="13323"/>
    <cellStyle name="Calculation 6 3 2 8 3" xfId="17733"/>
    <cellStyle name="Calculation 6 3 2 8_Table" xfId="5357"/>
    <cellStyle name="Calculation 6 3 2 9" xfId="4356"/>
    <cellStyle name="Calculation 6 3 2 9 2" xfId="13684"/>
    <cellStyle name="Calculation 6 3 2 9 3" xfId="18094"/>
    <cellStyle name="Calculation 6 3 2 9_Table" xfId="5358"/>
    <cellStyle name="Calculation 6 3 2_Table" xfId="5349"/>
    <cellStyle name="Calculation 6 3 3" xfId="949"/>
    <cellStyle name="Calculation 6 3 3 2" xfId="10277"/>
    <cellStyle name="Calculation 6 3 3 3" xfId="14687"/>
    <cellStyle name="Calculation 6 3 3_Table" xfId="5359"/>
    <cellStyle name="Calculation 6 3 4" xfId="2056"/>
    <cellStyle name="Calculation 6 3 4 2" xfId="11384"/>
    <cellStyle name="Calculation 6 3 4 3" xfId="15794"/>
    <cellStyle name="Calculation 6 3 4_Table" xfId="5360"/>
    <cellStyle name="Calculation 6 3 5" xfId="2488"/>
    <cellStyle name="Calculation 6 3 5 2" xfId="11816"/>
    <cellStyle name="Calculation 6 3 5 3" xfId="16226"/>
    <cellStyle name="Calculation 6 3 5_Table" xfId="5361"/>
    <cellStyle name="Calculation 6 3 6" xfId="2917"/>
    <cellStyle name="Calculation 6 3 6 2" xfId="12245"/>
    <cellStyle name="Calculation 6 3 6 3" xfId="16655"/>
    <cellStyle name="Calculation 6 3 6_Table" xfId="5362"/>
    <cellStyle name="Calculation 6 3 7" xfId="3329"/>
    <cellStyle name="Calculation 6 3 7 2" xfId="12657"/>
    <cellStyle name="Calculation 6 3 7 3" xfId="17067"/>
    <cellStyle name="Calculation 6 3 7_Table" xfId="5363"/>
    <cellStyle name="Calculation 6 3 8" xfId="3313"/>
    <cellStyle name="Calculation 6 3 8 2" xfId="12641"/>
    <cellStyle name="Calculation 6 3 8 3" xfId="17051"/>
    <cellStyle name="Calculation 6 3 8_Table" xfId="5364"/>
    <cellStyle name="Calculation 6 3 9" xfId="4131"/>
    <cellStyle name="Calculation 6 3 9 2" xfId="13459"/>
    <cellStyle name="Calculation 6 3 9 3" xfId="17869"/>
    <cellStyle name="Calculation 6 3 9_Table" xfId="5365"/>
    <cellStyle name="Calculation 6 3_Table" xfId="5347"/>
    <cellStyle name="Calculation 6 4" xfId="529"/>
    <cellStyle name="Calculation 6 4 10" xfId="4537"/>
    <cellStyle name="Calculation 6 4 10 2" xfId="13865"/>
    <cellStyle name="Calculation 6 4 10 3" xfId="18275"/>
    <cellStyle name="Calculation 6 4 10_Table" xfId="5367"/>
    <cellStyle name="Calculation 6 4 11" xfId="9857"/>
    <cellStyle name="Calculation 6 4 12" xfId="14315"/>
    <cellStyle name="Calculation 6 4 2" xfId="802"/>
    <cellStyle name="Calculation 6 4 2 10" xfId="4762"/>
    <cellStyle name="Calculation 6 4 2 10 2" xfId="14090"/>
    <cellStyle name="Calculation 6 4 2 10 3" xfId="18500"/>
    <cellStyle name="Calculation 6 4 2 10_Table" xfId="5369"/>
    <cellStyle name="Calculation 6 4 2 11" xfId="10130"/>
    <cellStyle name="Calculation 6 4 2 12" xfId="14540"/>
    <cellStyle name="Calculation 6 4 2 2" xfId="1588"/>
    <cellStyle name="Calculation 6 4 2 2 2" xfId="10916"/>
    <cellStyle name="Calculation 6 4 2 2 3" xfId="15326"/>
    <cellStyle name="Calculation 6 4 2 2_Table" xfId="5370"/>
    <cellStyle name="Calculation 6 4 2 3" xfId="1948"/>
    <cellStyle name="Calculation 6 4 2 3 2" xfId="11276"/>
    <cellStyle name="Calculation 6 4 2 3 3" xfId="15686"/>
    <cellStyle name="Calculation 6 4 2 3_Table" xfId="5371"/>
    <cellStyle name="Calculation 6 4 2 4" xfId="2378"/>
    <cellStyle name="Calculation 6 4 2 4 2" xfId="11706"/>
    <cellStyle name="Calculation 6 4 2 4 3" xfId="16116"/>
    <cellStyle name="Calculation 6 4 2 4_Table" xfId="5372"/>
    <cellStyle name="Calculation 6 4 2 5" xfId="2816"/>
    <cellStyle name="Calculation 6 4 2 5 2" xfId="12144"/>
    <cellStyle name="Calculation 6 4 2 5 3" xfId="16554"/>
    <cellStyle name="Calculation 6 4 2 5_Table" xfId="5373"/>
    <cellStyle name="Calculation 6 4 2 6" xfId="3223"/>
    <cellStyle name="Calculation 6 4 2 6 2" xfId="12551"/>
    <cellStyle name="Calculation 6 4 2 6 3" xfId="16961"/>
    <cellStyle name="Calculation 6 4 2 6_Table" xfId="5374"/>
    <cellStyle name="Calculation 6 4 2 7" xfId="3815"/>
    <cellStyle name="Calculation 6 4 2 7 2" xfId="13143"/>
    <cellStyle name="Calculation 6 4 2 7 3" xfId="17553"/>
    <cellStyle name="Calculation 6 4 2 7_Table" xfId="5375"/>
    <cellStyle name="Calculation 6 4 2 8" xfId="4040"/>
    <cellStyle name="Calculation 6 4 2 8 2" xfId="13368"/>
    <cellStyle name="Calculation 6 4 2 8 3" xfId="17778"/>
    <cellStyle name="Calculation 6 4 2 8_Table" xfId="5376"/>
    <cellStyle name="Calculation 6 4 2 9" xfId="4401"/>
    <cellStyle name="Calculation 6 4 2 9 2" xfId="13729"/>
    <cellStyle name="Calculation 6 4 2 9 3" xfId="18139"/>
    <cellStyle name="Calculation 6 4 2 9_Table" xfId="5377"/>
    <cellStyle name="Calculation 6 4 2_Table" xfId="5368"/>
    <cellStyle name="Calculation 6 4 3" xfId="1681"/>
    <cellStyle name="Calculation 6 4 3 2" xfId="11009"/>
    <cellStyle name="Calculation 6 4 3 3" xfId="15419"/>
    <cellStyle name="Calculation 6 4 3_Table" xfId="5378"/>
    <cellStyle name="Calculation 6 4 4" xfId="2115"/>
    <cellStyle name="Calculation 6 4 4 2" xfId="11443"/>
    <cellStyle name="Calculation 6 4 4 3" xfId="15853"/>
    <cellStyle name="Calculation 6 4 4_Table" xfId="5379"/>
    <cellStyle name="Calculation 6 4 5" xfId="2547"/>
    <cellStyle name="Calculation 6 4 5 2" xfId="11875"/>
    <cellStyle name="Calculation 6 4 5 3" xfId="16285"/>
    <cellStyle name="Calculation 6 4 5_Table" xfId="5380"/>
    <cellStyle name="Calculation 6 4 6" xfId="2974"/>
    <cellStyle name="Calculation 6 4 6 2" xfId="12302"/>
    <cellStyle name="Calculation 6 4 6 3" xfId="16712"/>
    <cellStyle name="Calculation 6 4 6_Table" xfId="5381"/>
    <cellStyle name="Calculation 6 4 7" xfId="3387"/>
    <cellStyle name="Calculation 6 4 7 2" xfId="12715"/>
    <cellStyle name="Calculation 6 4 7 3" xfId="17125"/>
    <cellStyle name="Calculation 6 4 7_Table" xfId="5382"/>
    <cellStyle name="Calculation 6 4 8" xfId="3654"/>
    <cellStyle name="Calculation 6 4 8 2" xfId="12982"/>
    <cellStyle name="Calculation 6 4 8 3" xfId="17392"/>
    <cellStyle name="Calculation 6 4 8_Table" xfId="5383"/>
    <cellStyle name="Calculation 6 4 9" xfId="4176"/>
    <cellStyle name="Calculation 6 4 9 2" xfId="13504"/>
    <cellStyle name="Calculation 6 4 9 3" xfId="17914"/>
    <cellStyle name="Calculation 6 4 9_Table" xfId="5384"/>
    <cellStyle name="Calculation 6 4_Table" xfId="5366"/>
    <cellStyle name="Calculation 6 5" xfId="604"/>
    <cellStyle name="Calculation 6 5 10" xfId="4582"/>
    <cellStyle name="Calculation 6 5 10 2" xfId="13910"/>
    <cellStyle name="Calculation 6 5 10 3" xfId="18320"/>
    <cellStyle name="Calculation 6 5 10_Table" xfId="5386"/>
    <cellStyle name="Calculation 6 5 11" xfId="9932"/>
    <cellStyle name="Calculation 6 5 12" xfId="14360"/>
    <cellStyle name="Calculation 6 5 2" xfId="847"/>
    <cellStyle name="Calculation 6 5 2 10" xfId="4807"/>
    <cellStyle name="Calculation 6 5 2 10 2" xfId="14135"/>
    <cellStyle name="Calculation 6 5 2 10 3" xfId="18545"/>
    <cellStyle name="Calculation 6 5 2 10_Table" xfId="5388"/>
    <cellStyle name="Calculation 6 5 2 11" xfId="10175"/>
    <cellStyle name="Calculation 6 5 2 12" xfId="14585"/>
    <cellStyle name="Calculation 6 5 2 2" xfId="1633"/>
    <cellStyle name="Calculation 6 5 2 2 2" xfId="10961"/>
    <cellStyle name="Calculation 6 5 2 2 3" xfId="15371"/>
    <cellStyle name="Calculation 6 5 2 2_Table" xfId="5389"/>
    <cellStyle name="Calculation 6 5 2 3" xfId="1993"/>
    <cellStyle name="Calculation 6 5 2 3 2" xfId="11321"/>
    <cellStyle name="Calculation 6 5 2 3 3" xfId="15731"/>
    <cellStyle name="Calculation 6 5 2 3_Table" xfId="5390"/>
    <cellStyle name="Calculation 6 5 2 4" xfId="2423"/>
    <cellStyle name="Calculation 6 5 2 4 2" xfId="11751"/>
    <cellStyle name="Calculation 6 5 2 4 3" xfId="16161"/>
    <cellStyle name="Calculation 6 5 2 4_Table" xfId="5391"/>
    <cellStyle name="Calculation 6 5 2 5" xfId="2861"/>
    <cellStyle name="Calculation 6 5 2 5 2" xfId="12189"/>
    <cellStyle name="Calculation 6 5 2 5 3" xfId="16599"/>
    <cellStyle name="Calculation 6 5 2 5_Table" xfId="5392"/>
    <cellStyle name="Calculation 6 5 2 6" xfId="3268"/>
    <cellStyle name="Calculation 6 5 2 6 2" xfId="12596"/>
    <cellStyle name="Calculation 6 5 2 6 3" xfId="17006"/>
    <cellStyle name="Calculation 6 5 2 6_Table" xfId="5393"/>
    <cellStyle name="Calculation 6 5 2 7" xfId="3860"/>
    <cellStyle name="Calculation 6 5 2 7 2" xfId="13188"/>
    <cellStyle name="Calculation 6 5 2 7 3" xfId="17598"/>
    <cellStyle name="Calculation 6 5 2 7_Table" xfId="5394"/>
    <cellStyle name="Calculation 6 5 2 8" xfId="4085"/>
    <cellStyle name="Calculation 6 5 2 8 2" xfId="13413"/>
    <cellStyle name="Calculation 6 5 2 8 3" xfId="17823"/>
    <cellStyle name="Calculation 6 5 2 8_Table" xfId="5395"/>
    <cellStyle name="Calculation 6 5 2 9" xfId="4446"/>
    <cellStyle name="Calculation 6 5 2 9 2" xfId="13774"/>
    <cellStyle name="Calculation 6 5 2 9 3" xfId="18184"/>
    <cellStyle name="Calculation 6 5 2 9_Table" xfId="5396"/>
    <cellStyle name="Calculation 6 5 2_Table" xfId="5387"/>
    <cellStyle name="Calculation 6 5 3" xfId="1751"/>
    <cellStyle name="Calculation 6 5 3 2" xfId="11079"/>
    <cellStyle name="Calculation 6 5 3 3" xfId="15489"/>
    <cellStyle name="Calculation 6 5 3_Table" xfId="5397"/>
    <cellStyle name="Calculation 6 5 4" xfId="2184"/>
    <cellStyle name="Calculation 6 5 4 2" xfId="11512"/>
    <cellStyle name="Calculation 6 5 4 3" xfId="15922"/>
    <cellStyle name="Calculation 6 5 4_Table" xfId="5398"/>
    <cellStyle name="Calculation 6 5 5" xfId="2619"/>
    <cellStyle name="Calculation 6 5 5 2" xfId="11947"/>
    <cellStyle name="Calculation 6 5 5 3" xfId="16357"/>
    <cellStyle name="Calculation 6 5 5_Table" xfId="5399"/>
    <cellStyle name="Calculation 6 5 6" xfId="3032"/>
    <cellStyle name="Calculation 6 5 6 2" xfId="12360"/>
    <cellStyle name="Calculation 6 5 6 3" xfId="16770"/>
    <cellStyle name="Calculation 6 5 6_Table" xfId="5400"/>
    <cellStyle name="Calculation 6 5 7" xfId="3458"/>
    <cellStyle name="Calculation 6 5 7 2" xfId="12786"/>
    <cellStyle name="Calculation 6 5 7 3" xfId="17196"/>
    <cellStyle name="Calculation 6 5 7_Table" xfId="5401"/>
    <cellStyle name="Calculation 6 5 8" xfId="3665"/>
    <cellStyle name="Calculation 6 5 8 2" xfId="12993"/>
    <cellStyle name="Calculation 6 5 8 3" xfId="17403"/>
    <cellStyle name="Calculation 6 5 8_Table" xfId="5402"/>
    <cellStyle name="Calculation 6 5 9" xfId="4221"/>
    <cellStyle name="Calculation 6 5 9 2" xfId="13549"/>
    <cellStyle name="Calculation 6 5 9 3" xfId="17959"/>
    <cellStyle name="Calculation 6 5 9_Table" xfId="5403"/>
    <cellStyle name="Calculation 6 5_Table" xfId="5385"/>
    <cellStyle name="Calculation 6 6" xfId="667"/>
    <cellStyle name="Calculation 6 6 10" xfId="4627"/>
    <cellStyle name="Calculation 6 6 10 2" xfId="13955"/>
    <cellStyle name="Calculation 6 6 10 3" xfId="18365"/>
    <cellStyle name="Calculation 6 6 10_Table" xfId="5405"/>
    <cellStyle name="Calculation 6 6 11" xfId="9995"/>
    <cellStyle name="Calculation 6 6 12" xfId="14405"/>
    <cellStyle name="Calculation 6 6 2" xfId="1453"/>
    <cellStyle name="Calculation 6 6 2 2" xfId="10781"/>
    <cellStyle name="Calculation 6 6 2 3" xfId="15191"/>
    <cellStyle name="Calculation 6 6 2_Table" xfId="5406"/>
    <cellStyle name="Calculation 6 6 3" xfId="1813"/>
    <cellStyle name="Calculation 6 6 3 2" xfId="11141"/>
    <cellStyle name="Calculation 6 6 3 3" xfId="15551"/>
    <cellStyle name="Calculation 6 6 3_Table" xfId="5407"/>
    <cellStyle name="Calculation 6 6 4" xfId="2243"/>
    <cellStyle name="Calculation 6 6 4 2" xfId="11571"/>
    <cellStyle name="Calculation 6 6 4 3" xfId="15981"/>
    <cellStyle name="Calculation 6 6 4_Table" xfId="5408"/>
    <cellStyle name="Calculation 6 6 5" xfId="2681"/>
    <cellStyle name="Calculation 6 6 5 2" xfId="12009"/>
    <cellStyle name="Calculation 6 6 5 3" xfId="16419"/>
    <cellStyle name="Calculation 6 6 5_Table" xfId="5409"/>
    <cellStyle name="Calculation 6 6 6" xfId="3088"/>
    <cellStyle name="Calculation 6 6 6 2" xfId="12416"/>
    <cellStyle name="Calculation 6 6 6 3" xfId="16826"/>
    <cellStyle name="Calculation 6 6 6_Table" xfId="5410"/>
    <cellStyle name="Calculation 6 6 7" xfId="3680"/>
    <cellStyle name="Calculation 6 6 7 2" xfId="13008"/>
    <cellStyle name="Calculation 6 6 7 3" xfId="17418"/>
    <cellStyle name="Calculation 6 6 7_Table" xfId="5411"/>
    <cellStyle name="Calculation 6 6 8" xfId="3905"/>
    <cellStyle name="Calculation 6 6 8 2" xfId="13233"/>
    <cellStyle name="Calculation 6 6 8 3" xfId="17643"/>
    <cellStyle name="Calculation 6 6 8_Table" xfId="5412"/>
    <cellStyle name="Calculation 6 6 9" xfId="4266"/>
    <cellStyle name="Calculation 6 6 9 2" xfId="13594"/>
    <cellStyle name="Calculation 6 6 9 3" xfId="18004"/>
    <cellStyle name="Calculation 6 6 9_Table" xfId="5413"/>
    <cellStyle name="Calculation 6 6_Table" xfId="5404"/>
    <cellStyle name="Calculation 6 7" xfId="1112"/>
    <cellStyle name="Calculation 6 7 2" xfId="10440"/>
    <cellStyle name="Calculation 6 7 3" xfId="14850"/>
    <cellStyle name="Calculation 6 7_Table" xfId="5414"/>
    <cellStyle name="Calculation 6 8" xfId="1131"/>
    <cellStyle name="Calculation 6 8 2" xfId="10459"/>
    <cellStyle name="Calculation 6 8 3" xfId="14869"/>
    <cellStyle name="Calculation 6 8_Table" xfId="5415"/>
    <cellStyle name="Calculation 6 9" xfId="1332"/>
    <cellStyle name="Calculation 6 9 2" xfId="10660"/>
    <cellStyle name="Calculation 6 9 3" xfId="15070"/>
    <cellStyle name="Calculation 6 9_Table" xfId="5416"/>
    <cellStyle name="Calculation 6_Table" xfId="5322"/>
    <cellStyle name="Calculation 7" xfId="241"/>
    <cellStyle name="Calculation 7 10" xfId="1141"/>
    <cellStyle name="Calculation 7 10 2" xfId="10469"/>
    <cellStyle name="Calculation 7 10 3" xfId="14879"/>
    <cellStyle name="Calculation 7 10_Table" xfId="5418"/>
    <cellStyle name="Calculation 7 11" xfId="1330"/>
    <cellStyle name="Calculation 7 11 2" xfId="10658"/>
    <cellStyle name="Calculation 7 11 3" xfId="15068"/>
    <cellStyle name="Calculation 7 11_Table" xfId="5419"/>
    <cellStyle name="Calculation 7 12" xfId="2038"/>
    <cellStyle name="Calculation 7 12 2" xfId="11366"/>
    <cellStyle name="Calculation 7 12 3" xfId="15776"/>
    <cellStyle name="Calculation 7 12_Table" xfId="5420"/>
    <cellStyle name="Calculation 7 13" xfId="1156"/>
    <cellStyle name="Calculation 7 13 2" xfId="10484"/>
    <cellStyle name="Calculation 7 13 3" xfId="14894"/>
    <cellStyle name="Calculation 7 13_Table" xfId="5421"/>
    <cellStyle name="Calculation 7 14" xfId="1125"/>
    <cellStyle name="Calculation 7 14 2" xfId="10453"/>
    <cellStyle name="Calculation 7 14 3" xfId="14863"/>
    <cellStyle name="Calculation 7 14_Table" xfId="5422"/>
    <cellStyle name="Calculation 7 15" xfId="9569"/>
    <cellStyle name="Calculation 7 16" xfId="14181"/>
    <cellStyle name="Calculation 7 2" xfId="398"/>
    <cellStyle name="Calculation 7 2 10" xfId="3577"/>
    <cellStyle name="Calculation 7 2 10 2" xfId="12905"/>
    <cellStyle name="Calculation 7 2 10 3" xfId="17315"/>
    <cellStyle name="Calculation 7 2 10_Table" xfId="5424"/>
    <cellStyle name="Calculation 7 2 11" xfId="9726"/>
    <cellStyle name="Calculation 7 2 12" xfId="14226"/>
    <cellStyle name="Calculation 7 2 2" xfId="713"/>
    <cellStyle name="Calculation 7 2 2 10" xfId="4673"/>
    <cellStyle name="Calculation 7 2 2 10 2" xfId="14001"/>
    <cellStyle name="Calculation 7 2 2 10 3" xfId="18411"/>
    <cellStyle name="Calculation 7 2 2 10_Table" xfId="5426"/>
    <cellStyle name="Calculation 7 2 2 11" xfId="10041"/>
    <cellStyle name="Calculation 7 2 2 12" xfId="14451"/>
    <cellStyle name="Calculation 7 2 2 2" xfId="1499"/>
    <cellStyle name="Calculation 7 2 2 2 2" xfId="10827"/>
    <cellStyle name="Calculation 7 2 2 2 3" xfId="15237"/>
    <cellStyle name="Calculation 7 2 2 2_Table" xfId="5427"/>
    <cellStyle name="Calculation 7 2 2 3" xfId="1859"/>
    <cellStyle name="Calculation 7 2 2 3 2" xfId="11187"/>
    <cellStyle name="Calculation 7 2 2 3 3" xfId="15597"/>
    <cellStyle name="Calculation 7 2 2 3_Table" xfId="5428"/>
    <cellStyle name="Calculation 7 2 2 4" xfId="2289"/>
    <cellStyle name="Calculation 7 2 2 4 2" xfId="11617"/>
    <cellStyle name="Calculation 7 2 2 4 3" xfId="16027"/>
    <cellStyle name="Calculation 7 2 2 4_Table" xfId="5429"/>
    <cellStyle name="Calculation 7 2 2 5" xfId="2727"/>
    <cellStyle name="Calculation 7 2 2 5 2" xfId="12055"/>
    <cellStyle name="Calculation 7 2 2 5 3" xfId="16465"/>
    <cellStyle name="Calculation 7 2 2 5_Table" xfId="5430"/>
    <cellStyle name="Calculation 7 2 2 6" xfId="3134"/>
    <cellStyle name="Calculation 7 2 2 6 2" xfId="12462"/>
    <cellStyle name="Calculation 7 2 2 6 3" xfId="16872"/>
    <cellStyle name="Calculation 7 2 2 6_Table" xfId="5431"/>
    <cellStyle name="Calculation 7 2 2 7" xfId="3726"/>
    <cellStyle name="Calculation 7 2 2 7 2" xfId="13054"/>
    <cellStyle name="Calculation 7 2 2 7 3" xfId="17464"/>
    <cellStyle name="Calculation 7 2 2 7_Table" xfId="5432"/>
    <cellStyle name="Calculation 7 2 2 8" xfId="3951"/>
    <cellStyle name="Calculation 7 2 2 8 2" xfId="13279"/>
    <cellStyle name="Calculation 7 2 2 8 3" xfId="17689"/>
    <cellStyle name="Calculation 7 2 2 8_Table" xfId="5433"/>
    <cellStyle name="Calculation 7 2 2 9" xfId="4312"/>
    <cellStyle name="Calculation 7 2 2 9 2" xfId="13640"/>
    <cellStyle name="Calculation 7 2 2 9 3" xfId="18050"/>
    <cellStyle name="Calculation 7 2 2 9_Table" xfId="5434"/>
    <cellStyle name="Calculation 7 2 2_Table" xfId="5425"/>
    <cellStyle name="Calculation 7 2 3" xfId="1014"/>
    <cellStyle name="Calculation 7 2 3 2" xfId="10342"/>
    <cellStyle name="Calculation 7 2 3 3" xfId="14752"/>
    <cellStyle name="Calculation 7 2 3_Table" xfId="5435"/>
    <cellStyle name="Calculation 7 2 4" xfId="1313"/>
    <cellStyle name="Calculation 7 2 4 2" xfId="10641"/>
    <cellStyle name="Calculation 7 2 4 3" xfId="15051"/>
    <cellStyle name="Calculation 7 2 4_Table" xfId="5436"/>
    <cellStyle name="Calculation 7 2 5" xfId="1798"/>
    <cellStyle name="Calculation 7 2 5 2" xfId="11126"/>
    <cellStyle name="Calculation 7 2 5 3" xfId="15536"/>
    <cellStyle name="Calculation 7 2 5_Table" xfId="5437"/>
    <cellStyle name="Calculation 7 2 6" xfId="2230"/>
    <cellStyle name="Calculation 7 2 6 2" xfId="11558"/>
    <cellStyle name="Calculation 7 2 6 3" xfId="15968"/>
    <cellStyle name="Calculation 7 2 6_Table" xfId="5438"/>
    <cellStyle name="Calculation 7 2 7" xfId="2665"/>
    <cellStyle name="Calculation 7 2 7 2" xfId="11993"/>
    <cellStyle name="Calculation 7 2 7 3" xfId="16403"/>
    <cellStyle name="Calculation 7 2 7_Table" xfId="5439"/>
    <cellStyle name="Calculation 7 2 8" xfId="3551"/>
    <cellStyle name="Calculation 7 2 8 2" xfId="12879"/>
    <cellStyle name="Calculation 7 2 8 3" xfId="17289"/>
    <cellStyle name="Calculation 7 2 8_Table" xfId="5440"/>
    <cellStyle name="Calculation 7 2 9" xfId="1222"/>
    <cellStyle name="Calculation 7 2 9 2" xfId="10550"/>
    <cellStyle name="Calculation 7 2 9 3" xfId="14960"/>
    <cellStyle name="Calculation 7 2 9_Table" xfId="5441"/>
    <cellStyle name="Calculation 7 2_Table" xfId="5423"/>
    <cellStyle name="Calculation 7 3" xfId="466"/>
    <cellStyle name="Calculation 7 3 10" xfId="4493"/>
    <cellStyle name="Calculation 7 3 10 2" xfId="13821"/>
    <cellStyle name="Calculation 7 3 10 3" xfId="18231"/>
    <cellStyle name="Calculation 7 3 10_Table" xfId="5443"/>
    <cellStyle name="Calculation 7 3 11" xfId="9794"/>
    <cellStyle name="Calculation 7 3 12" xfId="14271"/>
    <cellStyle name="Calculation 7 3 2" xfId="758"/>
    <cellStyle name="Calculation 7 3 2 10" xfId="4718"/>
    <cellStyle name="Calculation 7 3 2 10 2" xfId="14046"/>
    <cellStyle name="Calculation 7 3 2 10 3" xfId="18456"/>
    <cellStyle name="Calculation 7 3 2 10_Table" xfId="5445"/>
    <cellStyle name="Calculation 7 3 2 11" xfId="10086"/>
    <cellStyle name="Calculation 7 3 2 12" xfId="14496"/>
    <cellStyle name="Calculation 7 3 2 2" xfId="1544"/>
    <cellStyle name="Calculation 7 3 2 2 2" xfId="10872"/>
    <cellStyle name="Calculation 7 3 2 2 3" xfId="15282"/>
    <cellStyle name="Calculation 7 3 2 2_Table" xfId="5446"/>
    <cellStyle name="Calculation 7 3 2 3" xfId="1904"/>
    <cellStyle name="Calculation 7 3 2 3 2" xfId="11232"/>
    <cellStyle name="Calculation 7 3 2 3 3" xfId="15642"/>
    <cellStyle name="Calculation 7 3 2 3_Table" xfId="5447"/>
    <cellStyle name="Calculation 7 3 2 4" xfId="2334"/>
    <cellStyle name="Calculation 7 3 2 4 2" xfId="11662"/>
    <cellStyle name="Calculation 7 3 2 4 3" xfId="16072"/>
    <cellStyle name="Calculation 7 3 2 4_Table" xfId="5448"/>
    <cellStyle name="Calculation 7 3 2 5" xfId="2772"/>
    <cellStyle name="Calculation 7 3 2 5 2" xfId="12100"/>
    <cellStyle name="Calculation 7 3 2 5 3" xfId="16510"/>
    <cellStyle name="Calculation 7 3 2 5_Table" xfId="5449"/>
    <cellStyle name="Calculation 7 3 2 6" xfId="3179"/>
    <cellStyle name="Calculation 7 3 2 6 2" xfId="12507"/>
    <cellStyle name="Calculation 7 3 2 6 3" xfId="16917"/>
    <cellStyle name="Calculation 7 3 2 6_Table" xfId="5450"/>
    <cellStyle name="Calculation 7 3 2 7" xfId="3771"/>
    <cellStyle name="Calculation 7 3 2 7 2" xfId="13099"/>
    <cellStyle name="Calculation 7 3 2 7 3" xfId="17509"/>
    <cellStyle name="Calculation 7 3 2 7_Table" xfId="5451"/>
    <cellStyle name="Calculation 7 3 2 8" xfId="3996"/>
    <cellStyle name="Calculation 7 3 2 8 2" xfId="13324"/>
    <cellStyle name="Calculation 7 3 2 8 3" xfId="17734"/>
    <cellStyle name="Calculation 7 3 2 8_Table" xfId="5452"/>
    <cellStyle name="Calculation 7 3 2 9" xfId="4357"/>
    <cellStyle name="Calculation 7 3 2 9 2" xfId="13685"/>
    <cellStyle name="Calculation 7 3 2 9 3" xfId="18095"/>
    <cellStyle name="Calculation 7 3 2 9_Table" xfId="5453"/>
    <cellStyle name="Calculation 7 3 2_Table" xfId="5444"/>
    <cellStyle name="Calculation 7 3 3" xfId="948"/>
    <cellStyle name="Calculation 7 3 3 2" xfId="10276"/>
    <cellStyle name="Calculation 7 3 3 3" xfId="14686"/>
    <cellStyle name="Calculation 7 3 3_Table" xfId="5454"/>
    <cellStyle name="Calculation 7 3 4" xfId="2057"/>
    <cellStyle name="Calculation 7 3 4 2" xfId="11385"/>
    <cellStyle name="Calculation 7 3 4 3" xfId="15795"/>
    <cellStyle name="Calculation 7 3 4_Table" xfId="5455"/>
    <cellStyle name="Calculation 7 3 5" xfId="2489"/>
    <cellStyle name="Calculation 7 3 5 2" xfId="11817"/>
    <cellStyle name="Calculation 7 3 5 3" xfId="16227"/>
    <cellStyle name="Calculation 7 3 5_Table" xfId="5456"/>
    <cellStyle name="Calculation 7 3 6" xfId="2918"/>
    <cellStyle name="Calculation 7 3 6 2" xfId="12246"/>
    <cellStyle name="Calculation 7 3 6 3" xfId="16656"/>
    <cellStyle name="Calculation 7 3 6_Table" xfId="5457"/>
    <cellStyle name="Calculation 7 3 7" xfId="3330"/>
    <cellStyle name="Calculation 7 3 7 2" xfId="12658"/>
    <cellStyle name="Calculation 7 3 7 3" xfId="17068"/>
    <cellStyle name="Calculation 7 3 7_Table" xfId="5458"/>
    <cellStyle name="Calculation 7 3 8" xfId="3371"/>
    <cellStyle name="Calculation 7 3 8 2" xfId="12699"/>
    <cellStyle name="Calculation 7 3 8 3" xfId="17109"/>
    <cellStyle name="Calculation 7 3 8_Table" xfId="5459"/>
    <cellStyle name="Calculation 7 3 9" xfId="4132"/>
    <cellStyle name="Calculation 7 3 9 2" xfId="13460"/>
    <cellStyle name="Calculation 7 3 9 3" xfId="17870"/>
    <cellStyle name="Calculation 7 3 9_Table" xfId="5460"/>
    <cellStyle name="Calculation 7 3_Table" xfId="5442"/>
    <cellStyle name="Calculation 7 4" xfId="530"/>
    <cellStyle name="Calculation 7 4 10" xfId="4538"/>
    <cellStyle name="Calculation 7 4 10 2" xfId="13866"/>
    <cellStyle name="Calculation 7 4 10 3" xfId="18276"/>
    <cellStyle name="Calculation 7 4 10_Table" xfId="5462"/>
    <cellStyle name="Calculation 7 4 11" xfId="9858"/>
    <cellStyle name="Calculation 7 4 12" xfId="14316"/>
    <cellStyle name="Calculation 7 4 2" xfId="803"/>
    <cellStyle name="Calculation 7 4 2 10" xfId="4763"/>
    <cellStyle name="Calculation 7 4 2 10 2" xfId="14091"/>
    <cellStyle name="Calculation 7 4 2 10 3" xfId="18501"/>
    <cellStyle name="Calculation 7 4 2 10_Table" xfId="5464"/>
    <cellStyle name="Calculation 7 4 2 11" xfId="10131"/>
    <cellStyle name="Calculation 7 4 2 12" xfId="14541"/>
    <cellStyle name="Calculation 7 4 2 2" xfId="1589"/>
    <cellStyle name="Calculation 7 4 2 2 2" xfId="10917"/>
    <cellStyle name="Calculation 7 4 2 2 3" xfId="15327"/>
    <cellStyle name="Calculation 7 4 2 2_Table" xfId="5465"/>
    <cellStyle name="Calculation 7 4 2 3" xfId="1949"/>
    <cellStyle name="Calculation 7 4 2 3 2" xfId="11277"/>
    <cellStyle name="Calculation 7 4 2 3 3" xfId="15687"/>
    <cellStyle name="Calculation 7 4 2 3_Table" xfId="5466"/>
    <cellStyle name="Calculation 7 4 2 4" xfId="2379"/>
    <cellStyle name="Calculation 7 4 2 4 2" xfId="11707"/>
    <cellStyle name="Calculation 7 4 2 4 3" xfId="16117"/>
    <cellStyle name="Calculation 7 4 2 4_Table" xfId="5467"/>
    <cellStyle name="Calculation 7 4 2 5" xfId="2817"/>
    <cellStyle name="Calculation 7 4 2 5 2" xfId="12145"/>
    <cellStyle name="Calculation 7 4 2 5 3" xfId="16555"/>
    <cellStyle name="Calculation 7 4 2 5_Table" xfId="5468"/>
    <cellStyle name="Calculation 7 4 2 6" xfId="3224"/>
    <cellStyle name="Calculation 7 4 2 6 2" xfId="12552"/>
    <cellStyle name="Calculation 7 4 2 6 3" xfId="16962"/>
    <cellStyle name="Calculation 7 4 2 6_Table" xfId="5469"/>
    <cellStyle name="Calculation 7 4 2 7" xfId="3816"/>
    <cellStyle name="Calculation 7 4 2 7 2" xfId="13144"/>
    <cellStyle name="Calculation 7 4 2 7 3" xfId="17554"/>
    <cellStyle name="Calculation 7 4 2 7_Table" xfId="5470"/>
    <cellStyle name="Calculation 7 4 2 8" xfId="4041"/>
    <cellStyle name="Calculation 7 4 2 8 2" xfId="13369"/>
    <cellStyle name="Calculation 7 4 2 8 3" xfId="17779"/>
    <cellStyle name="Calculation 7 4 2 8_Table" xfId="5471"/>
    <cellStyle name="Calculation 7 4 2 9" xfId="4402"/>
    <cellStyle name="Calculation 7 4 2 9 2" xfId="13730"/>
    <cellStyle name="Calculation 7 4 2 9 3" xfId="18140"/>
    <cellStyle name="Calculation 7 4 2 9_Table" xfId="5472"/>
    <cellStyle name="Calculation 7 4 2_Table" xfId="5463"/>
    <cellStyle name="Calculation 7 4 3" xfId="1682"/>
    <cellStyle name="Calculation 7 4 3 2" xfId="11010"/>
    <cellStyle name="Calculation 7 4 3 3" xfId="15420"/>
    <cellStyle name="Calculation 7 4 3_Table" xfId="5473"/>
    <cellStyle name="Calculation 7 4 4" xfId="2116"/>
    <cellStyle name="Calculation 7 4 4 2" xfId="11444"/>
    <cellStyle name="Calculation 7 4 4 3" xfId="15854"/>
    <cellStyle name="Calculation 7 4 4_Table" xfId="5474"/>
    <cellStyle name="Calculation 7 4 5" xfId="2548"/>
    <cellStyle name="Calculation 7 4 5 2" xfId="11876"/>
    <cellStyle name="Calculation 7 4 5 3" xfId="16286"/>
    <cellStyle name="Calculation 7 4 5_Table" xfId="5475"/>
    <cellStyle name="Calculation 7 4 6" xfId="2975"/>
    <cellStyle name="Calculation 7 4 6 2" xfId="12303"/>
    <cellStyle name="Calculation 7 4 6 3" xfId="16713"/>
    <cellStyle name="Calculation 7 4 6_Table" xfId="5476"/>
    <cellStyle name="Calculation 7 4 7" xfId="3388"/>
    <cellStyle name="Calculation 7 4 7 2" xfId="12716"/>
    <cellStyle name="Calculation 7 4 7 3" xfId="17126"/>
    <cellStyle name="Calculation 7 4 7_Table" xfId="5477"/>
    <cellStyle name="Calculation 7 4 8" xfId="3525"/>
    <cellStyle name="Calculation 7 4 8 2" xfId="12853"/>
    <cellStyle name="Calculation 7 4 8 3" xfId="17263"/>
    <cellStyle name="Calculation 7 4 8_Table" xfId="5478"/>
    <cellStyle name="Calculation 7 4 9" xfId="4177"/>
    <cellStyle name="Calculation 7 4 9 2" xfId="13505"/>
    <cellStyle name="Calculation 7 4 9 3" xfId="17915"/>
    <cellStyle name="Calculation 7 4 9_Table" xfId="5479"/>
    <cellStyle name="Calculation 7 4_Table" xfId="5461"/>
    <cellStyle name="Calculation 7 5" xfId="605"/>
    <cellStyle name="Calculation 7 5 10" xfId="4583"/>
    <cellStyle name="Calculation 7 5 10 2" xfId="13911"/>
    <cellStyle name="Calculation 7 5 10 3" xfId="18321"/>
    <cellStyle name="Calculation 7 5 10_Table" xfId="5481"/>
    <cellStyle name="Calculation 7 5 11" xfId="9933"/>
    <cellStyle name="Calculation 7 5 12" xfId="14361"/>
    <cellStyle name="Calculation 7 5 2" xfId="848"/>
    <cellStyle name="Calculation 7 5 2 10" xfId="4808"/>
    <cellStyle name="Calculation 7 5 2 10 2" xfId="14136"/>
    <cellStyle name="Calculation 7 5 2 10 3" xfId="18546"/>
    <cellStyle name="Calculation 7 5 2 10_Table" xfId="5483"/>
    <cellStyle name="Calculation 7 5 2 11" xfId="10176"/>
    <cellStyle name="Calculation 7 5 2 12" xfId="14586"/>
    <cellStyle name="Calculation 7 5 2 2" xfId="1634"/>
    <cellStyle name="Calculation 7 5 2 2 2" xfId="10962"/>
    <cellStyle name="Calculation 7 5 2 2 3" xfId="15372"/>
    <cellStyle name="Calculation 7 5 2 2_Table" xfId="5484"/>
    <cellStyle name="Calculation 7 5 2 3" xfId="1994"/>
    <cellStyle name="Calculation 7 5 2 3 2" xfId="11322"/>
    <cellStyle name="Calculation 7 5 2 3 3" xfId="15732"/>
    <cellStyle name="Calculation 7 5 2 3_Table" xfId="5485"/>
    <cellStyle name="Calculation 7 5 2 4" xfId="2424"/>
    <cellStyle name="Calculation 7 5 2 4 2" xfId="11752"/>
    <cellStyle name="Calculation 7 5 2 4 3" xfId="16162"/>
    <cellStyle name="Calculation 7 5 2 4_Table" xfId="5486"/>
    <cellStyle name="Calculation 7 5 2 5" xfId="2862"/>
    <cellStyle name="Calculation 7 5 2 5 2" xfId="12190"/>
    <cellStyle name="Calculation 7 5 2 5 3" xfId="16600"/>
    <cellStyle name="Calculation 7 5 2 5_Table" xfId="5487"/>
    <cellStyle name="Calculation 7 5 2 6" xfId="3269"/>
    <cellStyle name="Calculation 7 5 2 6 2" xfId="12597"/>
    <cellStyle name="Calculation 7 5 2 6 3" xfId="17007"/>
    <cellStyle name="Calculation 7 5 2 6_Table" xfId="5488"/>
    <cellStyle name="Calculation 7 5 2 7" xfId="3861"/>
    <cellStyle name="Calculation 7 5 2 7 2" xfId="13189"/>
    <cellStyle name="Calculation 7 5 2 7 3" xfId="17599"/>
    <cellStyle name="Calculation 7 5 2 7_Table" xfId="5489"/>
    <cellStyle name="Calculation 7 5 2 8" xfId="4086"/>
    <cellStyle name="Calculation 7 5 2 8 2" xfId="13414"/>
    <cellStyle name="Calculation 7 5 2 8 3" xfId="17824"/>
    <cellStyle name="Calculation 7 5 2 8_Table" xfId="5490"/>
    <cellStyle name="Calculation 7 5 2 9" xfId="4447"/>
    <cellStyle name="Calculation 7 5 2 9 2" xfId="13775"/>
    <cellStyle name="Calculation 7 5 2 9 3" xfId="18185"/>
    <cellStyle name="Calculation 7 5 2 9_Table" xfId="5491"/>
    <cellStyle name="Calculation 7 5 2_Table" xfId="5482"/>
    <cellStyle name="Calculation 7 5 3" xfId="1752"/>
    <cellStyle name="Calculation 7 5 3 2" xfId="11080"/>
    <cellStyle name="Calculation 7 5 3 3" xfId="15490"/>
    <cellStyle name="Calculation 7 5 3_Table" xfId="5492"/>
    <cellStyle name="Calculation 7 5 4" xfId="2185"/>
    <cellStyle name="Calculation 7 5 4 2" xfId="11513"/>
    <cellStyle name="Calculation 7 5 4 3" xfId="15923"/>
    <cellStyle name="Calculation 7 5 4_Table" xfId="5493"/>
    <cellStyle name="Calculation 7 5 5" xfId="2620"/>
    <cellStyle name="Calculation 7 5 5 2" xfId="11948"/>
    <cellStyle name="Calculation 7 5 5 3" xfId="16358"/>
    <cellStyle name="Calculation 7 5 5_Table" xfId="5494"/>
    <cellStyle name="Calculation 7 5 6" xfId="3033"/>
    <cellStyle name="Calculation 7 5 6 2" xfId="12361"/>
    <cellStyle name="Calculation 7 5 6 3" xfId="16771"/>
    <cellStyle name="Calculation 7 5 6_Table" xfId="5495"/>
    <cellStyle name="Calculation 7 5 7" xfId="3459"/>
    <cellStyle name="Calculation 7 5 7 2" xfId="12787"/>
    <cellStyle name="Calculation 7 5 7 3" xfId="17197"/>
    <cellStyle name="Calculation 7 5 7_Table" xfId="5496"/>
    <cellStyle name="Calculation 7 5 8" xfId="3538"/>
    <cellStyle name="Calculation 7 5 8 2" xfId="12866"/>
    <cellStyle name="Calculation 7 5 8 3" xfId="17276"/>
    <cellStyle name="Calculation 7 5 8_Table" xfId="5497"/>
    <cellStyle name="Calculation 7 5 9" xfId="4222"/>
    <cellStyle name="Calculation 7 5 9 2" xfId="13550"/>
    <cellStyle name="Calculation 7 5 9 3" xfId="17960"/>
    <cellStyle name="Calculation 7 5 9_Table" xfId="5498"/>
    <cellStyle name="Calculation 7 5_Table" xfId="5480"/>
    <cellStyle name="Calculation 7 6" xfId="668"/>
    <cellStyle name="Calculation 7 6 10" xfId="4628"/>
    <cellStyle name="Calculation 7 6 10 2" xfId="13956"/>
    <cellStyle name="Calculation 7 6 10 3" xfId="18366"/>
    <cellStyle name="Calculation 7 6 10_Table" xfId="5500"/>
    <cellStyle name="Calculation 7 6 11" xfId="9996"/>
    <cellStyle name="Calculation 7 6 12" xfId="14406"/>
    <cellStyle name="Calculation 7 6 2" xfId="1454"/>
    <cellStyle name="Calculation 7 6 2 2" xfId="10782"/>
    <cellStyle name="Calculation 7 6 2 3" xfId="15192"/>
    <cellStyle name="Calculation 7 6 2_Table" xfId="5501"/>
    <cellStyle name="Calculation 7 6 3" xfId="1814"/>
    <cellStyle name="Calculation 7 6 3 2" xfId="11142"/>
    <cellStyle name="Calculation 7 6 3 3" xfId="15552"/>
    <cellStyle name="Calculation 7 6 3_Table" xfId="5502"/>
    <cellStyle name="Calculation 7 6 4" xfId="2244"/>
    <cellStyle name="Calculation 7 6 4 2" xfId="11572"/>
    <cellStyle name="Calculation 7 6 4 3" xfId="15982"/>
    <cellStyle name="Calculation 7 6 4_Table" xfId="5503"/>
    <cellStyle name="Calculation 7 6 5" xfId="2682"/>
    <cellStyle name="Calculation 7 6 5 2" xfId="12010"/>
    <cellStyle name="Calculation 7 6 5 3" xfId="16420"/>
    <cellStyle name="Calculation 7 6 5_Table" xfId="5504"/>
    <cellStyle name="Calculation 7 6 6" xfId="3089"/>
    <cellStyle name="Calculation 7 6 6 2" xfId="12417"/>
    <cellStyle name="Calculation 7 6 6 3" xfId="16827"/>
    <cellStyle name="Calculation 7 6 6_Table" xfId="5505"/>
    <cellStyle name="Calculation 7 6 7" xfId="3681"/>
    <cellStyle name="Calculation 7 6 7 2" xfId="13009"/>
    <cellStyle name="Calculation 7 6 7 3" xfId="17419"/>
    <cellStyle name="Calculation 7 6 7_Table" xfId="5506"/>
    <cellStyle name="Calculation 7 6 8" xfId="3906"/>
    <cellStyle name="Calculation 7 6 8 2" xfId="13234"/>
    <cellStyle name="Calculation 7 6 8 3" xfId="17644"/>
    <cellStyle name="Calculation 7 6 8_Table" xfId="5507"/>
    <cellStyle name="Calculation 7 6 9" xfId="4267"/>
    <cellStyle name="Calculation 7 6 9 2" xfId="13595"/>
    <cellStyle name="Calculation 7 6 9 3" xfId="18005"/>
    <cellStyle name="Calculation 7 6 9_Table" xfId="5508"/>
    <cellStyle name="Calculation 7 6_Table" xfId="5499"/>
    <cellStyle name="Calculation 7 7" xfId="1111"/>
    <cellStyle name="Calculation 7 7 2" xfId="10439"/>
    <cellStyle name="Calculation 7 7 3" xfId="14849"/>
    <cellStyle name="Calculation 7 7_Table" xfId="5509"/>
    <cellStyle name="Calculation 7 8" xfId="1132"/>
    <cellStyle name="Calculation 7 8 2" xfId="10460"/>
    <cellStyle name="Calculation 7 8 3" xfId="14870"/>
    <cellStyle name="Calculation 7 8_Table" xfId="5510"/>
    <cellStyle name="Calculation 7 9" xfId="1276"/>
    <cellStyle name="Calculation 7 9 2" xfId="10604"/>
    <cellStyle name="Calculation 7 9 3" xfId="15014"/>
    <cellStyle name="Calculation 7 9_Table" xfId="5511"/>
    <cellStyle name="Calculation 7_Table" xfId="5417"/>
    <cellStyle name="Calculation 8" xfId="242"/>
    <cellStyle name="Calculation 8 10" xfId="1142"/>
    <cellStyle name="Calculation 8 10 2" xfId="10470"/>
    <cellStyle name="Calculation 8 10 3" xfId="14880"/>
    <cellStyle name="Calculation 8 10_Table" xfId="5513"/>
    <cellStyle name="Calculation 8 11" xfId="1274"/>
    <cellStyle name="Calculation 8 11 2" xfId="10602"/>
    <cellStyle name="Calculation 8 11 3" xfId="15012"/>
    <cellStyle name="Calculation 8 11_Table" xfId="5514"/>
    <cellStyle name="Calculation 8 12" xfId="2108"/>
    <cellStyle name="Calculation 8 12 2" xfId="11436"/>
    <cellStyle name="Calculation 8 12 3" xfId="15846"/>
    <cellStyle name="Calculation 8 12_Table" xfId="5515"/>
    <cellStyle name="Calculation 8 13" xfId="2908"/>
    <cellStyle name="Calculation 8 13 2" xfId="12236"/>
    <cellStyle name="Calculation 8 13 3" xfId="16646"/>
    <cellStyle name="Calculation 8 13_Table" xfId="5516"/>
    <cellStyle name="Calculation 8 14" xfId="1124"/>
    <cellStyle name="Calculation 8 14 2" xfId="10452"/>
    <cellStyle name="Calculation 8 14 3" xfId="14862"/>
    <cellStyle name="Calculation 8 14_Table" xfId="5517"/>
    <cellStyle name="Calculation 8 15" xfId="9570"/>
    <cellStyle name="Calculation 8 16" xfId="14182"/>
    <cellStyle name="Calculation 8 2" xfId="399"/>
    <cellStyle name="Calculation 8 2 10" xfId="3378"/>
    <cellStyle name="Calculation 8 2 10 2" xfId="12706"/>
    <cellStyle name="Calculation 8 2 10 3" xfId="17116"/>
    <cellStyle name="Calculation 8 2 10_Table" xfId="5519"/>
    <cellStyle name="Calculation 8 2 11" xfId="9727"/>
    <cellStyle name="Calculation 8 2 12" xfId="14227"/>
    <cellStyle name="Calculation 8 2 2" xfId="714"/>
    <cellStyle name="Calculation 8 2 2 10" xfId="4674"/>
    <cellStyle name="Calculation 8 2 2 10 2" xfId="14002"/>
    <cellStyle name="Calculation 8 2 2 10 3" xfId="18412"/>
    <cellStyle name="Calculation 8 2 2 10_Table" xfId="5521"/>
    <cellStyle name="Calculation 8 2 2 11" xfId="10042"/>
    <cellStyle name="Calculation 8 2 2 12" xfId="14452"/>
    <cellStyle name="Calculation 8 2 2 2" xfId="1500"/>
    <cellStyle name="Calculation 8 2 2 2 2" xfId="10828"/>
    <cellStyle name="Calculation 8 2 2 2 3" xfId="15238"/>
    <cellStyle name="Calculation 8 2 2 2_Table" xfId="5522"/>
    <cellStyle name="Calculation 8 2 2 3" xfId="1860"/>
    <cellStyle name="Calculation 8 2 2 3 2" xfId="11188"/>
    <cellStyle name="Calculation 8 2 2 3 3" xfId="15598"/>
    <cellStyle name="Calculation 8 2 2 3_Table" xfId="5523"/>
    <cellStyle name="Calculation 8 2 2 4" xfId="2290"/>
    <cellStyle name="Calculation 8 2 2 4 2" xfId="11618"/>
    <cellStyle name="Calculation 8 2 2 4 3" xfId="16028"/>
    <cellStyle name="Calculation 8 2 2 4_Table" xfId="5524"/>
    <cellStyle name="Calculation 8 2 2 5" xfId="2728"/>
    <cellStyle name="Calculation 8 2 2 5 2" xfId="12056"/>
    <cellStyle name="Calculation 8 2 2 5 3" xfId="16466"/>
    <cellStyle name="Calculation 8 2 2 5_Table" xfId="5525"/>
    <cellStyle name="Calculation 8 2 2 6" xfId="3135"/>
    <cellStyle name="Calculation 8 2 2 6 2" xfId="12463"/>
    <cellStyle name="Calculation 8 2 2 6 3" xfId="16873"/>
    <cellStyle name="Calculation 8 2 2 6_Table" xfId="5526"/>
    <cellStyle name="Calculation 8 2 2 7" xfId="3727"/>
    <cellStyle name="Calculation 8 2 2 7 2" xfId="13055"/>
    <cellStyle name="Calculation 8 2 2 7 3" xfId="17465"/>
    <cellStyle name="Calculation 8 2 2 7_Table" xfId="5527"/>
    <cellStyle name="Calculation 8 2 2 8" xfId="3952"/>
    <cellStyle name="Calculation 8 2 2 8 2" xfId="13280"/>
    <cellStyle name="Calculation 8 2 2 8 3" xfId="17690"/>
    <cellStyle name="Calculation 8 2 2 8_Table" xfId="5528"/>
    <cellStyle name="Calculation 8 2 2 9" xfId="4313"/>
    <cellStyle name="Calculation 8 2 2 9 2" xfId="13641"/>
    <cellStyle name="Calculation 8 2 2 9 3" xfId="18051"/>
    <cellStyle name="Calculation 8 2 2 9_Table" xfId="5529"/>
    <cellStyle name="Calculation 8 2 2_Table" xfId="5520"/>
    <cellStyle name="Calculation 8 2 3" xfId="1013"/>
    <cellStyle name="Calculation 8 2 3 2" xfId="10341"/>
    <cellStyle name="Calculation 8 2 3 3" xfId="14751"/>
    <cellStyle name="Calculation 8 2 3_Table" xfId="5530"/>
    <cellStyle name="Calculation 8 2 4" xfId="1370"/>
    <cellStyle name="Calculation 8 2 4 2" xfId="10698"/>
    <cellStyle name="Calculation 8 2 4 3" xfId="15108"/>
    <cellStyle name="Calculation 8 2 4_Table" xfId="5531"/>
    <cellStyle name="Calculation 8 2 5" xfId="936"/>
    <cellStyle name="Calculation 8 2 5 2" xfId="10264"/>
    <cellStyle name="Calculation 8 2 5 3" xfId="14674"/>
    <cellStyle name="Calculation 8 2 5_Table" xfId="5532"/>
    <cellStyle name="Calculation 8 2 6" xfId="2069"/>
    <cellStyle name="Calculation 8 2 6 2" xfId="11397"/>
    <cellStyle name="Calculation 8 2 6 3" xfId="15807"/>
    <cellStyle name="Calculation 8 2 6_Table" xfId="5533"/>
    <cellStyle name="Calculation 8 2 7" xfId="2501"/>
    <cellStyle name="Calculation 8 2 7 2" xfId="11829"/>
    <cellStyle name="Calculation 8 2 7 3" xfId="16239"/>
    <cellStyle name="Calculation 8 2 7_Table" xfId="5534"/>
    <cellStyle name="Calculation 8 2 8" xfId="3441"/>
    <cellStyle name="Calculation 8 2 8 2" xfId="12769"/>
    <cellStyle name="Calculation 8 2 8 3" xfId="17179"/>
    <cellStyle name="Calculation 8 2 8_Table" xfId="5535"/>
    <cellStyle name="Calculation 8 2 9" xfId="3019"/>
    <cellStyle name="Calculation 8 2 9 2" xfId="12347"/>
    <cellStyle name="Calculation 8 2 9 3" xfId="16757"/>
    <cellStyle name="Calculation 8 2 9_Table" xfId="5536"/>
    <cellStyle name="Calculation 8 2_Table" xfId="5518"/>
    <cellStyle name="Calculation 8 3" xfId="467"/>
    <cellStyle name="Calculation 8 3 10" xfId="4494"/>
    <cellStyle name="Calculation 8 3 10 2" xfId="13822"/>
    <cellStyle name="Calculation 8 3 10 3" xfId="18232"/>
    <cellStyle name="Calculation 8 3 10_Table" xfId="5538"/>
    <cellStyle name="Calculation 8 3 11" xfId="9795"/>
    <cellStyle name="Calculation 8 3 12" xfId="14272"/>
    <cellStyle name="Calculation 8 3 2" xfId="759"/>
    <cellStyle name="Calculation 8 3 2 10" xfId="4719"/>
    <cellStyle name="Calculation 8 3 2 10 2" xfId="14047"/>
    <cellStyle name="Calculation 8 3 2 10 3" xfId="18457"/>
    <cellStyle name="Calculation 8 3 2 10_Table" xfId="5540"/>
    <cellStyle name="Calculation 8 3 2 11" xfId="10087"/>
    <cellStyle name="Calculation 8 3 2 12" xfId="14497"/>
    <cellStyle name="Calculation 8 3 2 2" xfId="1545"/>
    <cellStyle name="Calculation 8 3 2 2 2" xfId="10873"/>
    <cellStyle name="Calculation 8 3 2 2 3" xfId="15283"/>
    <cellStyle name="Calculation 8 3 2 2_Table" xfId="5541"/>
    <cellStyle name="Calculation 8 3 2 3" xfId="1905"/>
    <cellStyle name="Calculation 8 3 2 3 2" xfId="11233"/>
    <cellStyle name="Calculation 8 3 2 3 3" xfId="15643"/>
    <cellStyle name="Calculation 8 3 2 3_Table" xfId="5542"/>
    <cellStyle name="Calculation 8 3 2 4" xfId="2335"/>
    <cellStyle name="Calculation 8 3 2 4 2" xfId="11663"/>
    <cellStyle name="Calculation 8 3 2 4 3" xfId="16073"/>
    <cellStyle name="Calculation 8 3 2 4_Table" xfId="5543"/>
    <cellStyle name="Calculation 8 3 2 5" xfId="2773"/>
    <cellStyle name="Calculation 8 3 2 5 2" xfId="12101"/>
    <cellStyle name="Calculation 8 3 2 5 3" xfId="16511"/>
    <cellStyle name="Calculation 8 3 2 5_Table" xfId="5544"/>
    <cellStyle name="Calculation 8 3 2 6" xfId="3180"/>
    <cellStyle name="Calculation 8 3 2 6 2" xfId="12508"/>
    <cellStyle name="Calculation 8 3 2 6 3" xfId="16918"/>
    <cellStyle name="Calculation 8 3 2 6_Table" xfId="5545"/>
    <cellStyle name="Calculation 8 3 2 7" xfId="3772"/>
    <cellStyle name="Calculation 8 3 2 7 2" xfId="13100"/>
    <cellStyle name="Calculation 8 3 2 7 3" xfId="17510"/>
    <cellStyle name="Calculation 8 3 2 7_Table" xfId="5546"/>
    <cellStyle name="Calculation 8 3 2 8" xfId="3997"/>
    <cellStyle name="Calculation 8 3 2 8 2" xfId="13325"/>
    <cellStyle name="Calculation 8 3 2 8 3" xfId="17735"/>
    <cellStyle name="Calculation 8 3 2 8_Table" xfId="5547"/>
    <cellStyle name="Calculation 8 3 2 9" xfId="4358"/>
    <cellStyle name="Calculation 8 3 2 9 2" xfId="13686"/>
    <cellStyle name="Calculation 8 3 2 9 3" xfId="18096"/>
    <cellStyle name="Calculation 8 3 2 9_Table" xfId="5548"/>
    <cellStyle name="Calculation 8 3 2_Table" xfId="5539"/>
    <cellStyle name="Calculation 8 3 3" xfId="947"/>
    <cellStyle name="Calculation 8 3 3 2" xfId="10275"/>
    <cellStyle name="Calculation 8 3 3 3" xfId="14685"/>
    <cellStyle name="Calculation 8 3 3_Table" xfId="5549"/>
    <cellStyle name="Calculation 8 3 4" xfId="2058"/>
    <cellStyle name="Calculation 8 3 4 2" xfId="11386"/>
    <cellStyle name="Calculation 8 3 4 3" xfId="15796"/>
    <cellStyle name="Calculation 8 3 4_Table" xfId="5550"/>
    <cellStyle name="Calculation 8 3 5" xfId="2490"/>
    <cellStyle name="Calculation 8 3 5 2" xfId="11818"/>
    <cellStyle name="Calculation 8 3 5 3" xfId="16228"/>
    <cellStyle name="Calculation 8 3 5_Table" xfId="5551"/>
    <cellStyle name="Calculation 8 3 6" xfId="2919"/>
    <cellStyle name="Calculation 8 3 6 2" xfId="12247"/>
    <cellStyle name="Calculation 8 3 6 3" xfId="16657"/>
    <cellStyle name="Calculation 8 3 6_Table" xfId="5552"/>
    <cellStyle name="Calculation 8 3 7" xfId="3331"/>
    <cellStyle name="Calculation 8 3 7 2" xfId="12659"/>
    <cellStyle name="Calculation 8 3 7 3" xfId="17069"/>
    <cellStyle name="Calculation 8 3 7_Table" xfId="5553"/>
    <cellStyle name="Calculation 8 3 8" xfId="3444"/>
    <cellStyle name="Calculation 8 3 8 2" xfId="12772"/>
    <cellStyle name="Calculation 8 3 8 3" xfId="17182"/>
    <cellStyle name="Calculation 8 3 8_Table" xfId="5554"/>
    <cellStyle name="Calculation 8 3 9" xfId="4133"/>
    <cellStyle name="Calculation 8 3 9 2" xfId="13461"/>
    <cellStyle name="Calculation 8 3 9 3" xfId="17871"/>
    <cellStyle name="Calculation 8 3 9_Table" xfId="5555"/>
    <cellStyle name="Calculation 8 3_Table" xfId="5537"/>
    <cellStyle name="Calculation 8 4" xfId="531"/>
    <cellStyle name="Calculation 8 4 10" xfId="4539"/>
    <cellStyle name="Calculation 8 4 10 2" xfId="13867"/>
    <cellStyle name="Calculation 8 4 10 3" xfId="18277"/>
    <cellStyle name="Calculation 8 4 10_Table" xfId="5557"/>
    <cellStyle name="Calculation 8 4 11" xfId="9859"/>
    <cellStyle name="Calculation 8 4 12" xfId="14317"/>
    <cellStyle name="Calculation 8 4 2" xfId="804"/>
    <cellStyle name="Calculation 8 4 2 10" xfId="4764"/>
    <cellStyle name="Calculation 8 4 2 10 2" xfId="14092"/>
    <cellStyle name="Calculation 8 4 2 10 3" xfId="18502"/>
    <cellStyle name="Calculation 8 4 2 10_Table" xfId="5559"/>
    <cellStyle name="Calculation 8 4 2 11" xfId="10132"/>
    <cellStyle name="Calculation 8 4 2 12" xfId="14542"/>
    <cellStyle name="Calculation 8 4 2 2" xfId="1590"/>
    <cellStyle name="Calculation 8 4 2 2 2" xfId="10918"/>
    <cellStyle name="Calculation 8 4 2 2 3" xfId="15328"/>
    <cellStyle name="Calculation 8 4 2 2_Table" xfId="5560"/>
    <cellStyle name="Calculation 8 4 2 3" xfId="1950"/>
    <cellStyle name="Calculation 8 4 2 3 2" xfId="11278"/>
    <cellStyle name="Calculation 8 4 2 3 3" xfId="15688"/>
    <cellStyle name="Calculation 8 4 2 3_Table" xfId="5561"/>
    <cellStyle name="Calculation 8 4 2 4" xfId="2380"/>
    <cellStyle name="Calculation 8 4 2 4 2" xfId="11708"/>
    <cellStyle name="Calculation 8 4 2 4 3" xfId="16118"/>
    <cellStyle name="Calculation 8 4 2 4_Table" xfId="5562"/>
    <cellStyle name="Calculation 8 4 2 5" xfId="2818"/>
    <cellStyle name="Calculation 8 4 2 5 2" xfId="12146"/>
    <cellStyle name="Calculation 8 4 2 5 3" xfId="16556"/>
    <cellStyle name="Calculation 8 4 2 5_Table" xfId="5563"/>
    <cellStyle name="Calculation 8 4 2 6" xfId="3225"/>
    <cellStyle name="Calculation 8 4 2 6 2" xfId="12553"/>
    <cellStyle name="Calculation 8 4 2 6 3" xfId="16963"/>
    <cellStyle name="Calculation 8 4 2 6_Table" xfId="5564"/>
    <cellStyle name="Calculation 8 4 2 7" xfId="3817"/>
    <cellStyle name="Calculation 8 4 2 7 2" xfId="13145"/>
    <cellStyle name="Calculation 8 4 2 7 3" xfId="17555"/>
    <cellStyle name="Calculation 8 4 2 7_Table" xfId="5565"/>
    <cellStyle name="Calculation 8 4 2 8" xfId="4042"/>
    <cellStyle name="Calculation 8 4 2 8 2" xfId="13370"/>
    <cellStyle name="Calculation 8 4 2 8 3" xfId="17780"/>
    <cellStyle name="Calculation 8 4 2 8_Table" xfId="5566"/>
    <cellStyle name="Calculation 8 4 2 9" xfId="4403"/>
    <cellStyle name="Calculation 8 4 2 9 2" xfId="13731"/>
    <cellStyle name="Calculation 8 4 2 9 3" xfId="18141"/>
    <cellStyle name="Calculation 8 4 2 9_Table" xfId="5567"/>
    <cellStyle name="Calculation 8 4 2_Table" xfId="5558"/>
    <cellStyle name="Calculation 8 4 3" xfId="1683"/>
    <cellStyle name="Calculation 8 4 3 2" xfId="11011"/>
    <cellStyle name="Calculation 8 4 3 3" xfId="15421"/>
    <cellStyle name="Calculation 8 4 3_Table" xfId="5568"/>
    <cellStyle name="Calculation 8 4 4" xfId="2117"/>
    <cellStyle name="Calculation 8 4 4 2" xfId="11445"/>
    <cellStyle name="Calculation 8 4 4 3" xfId="15855"/>
    <cellStyle name="Calculation 8 4 4_Table" xfId="5569"/>
    <cellStyle name="Calculation 8 4 5" xfId="2549"/>
    <cellStyle name="Calculation 8 4 5 2" xfId="11877"/>
    <cellStyle name="Calculation 8 4 5 3" xfId="16287"/>
    <cellStyle name="Calculation 8 4 5_Table" xfId="5570"/>
    <cellStyle name="Calculation 8 4 6" xfId="2976"/>
    <cellStyle name="Calculation 8 4 6 2" xfId="12304"/>
    <cellStyle name="Calculation 8 4 6 3" xfId="16714"/>
    <cellStyle name="Calculation 8 4 6_Table" xfId="5571"/>
    <cellStyle name="Calculation 8 4 7" xfId="3389"/>
    <cellStyle name="Calculation 8 4 7 2" xfId="12717"/>
    <cellStyle name="Calculation 8 4 7 3" xfId="17127"/>
    <cellStyle name="Calculation 8 4 7_Table" xfId="5572"/>
    <cellStyle name="Calculation 8 4 8" xfId="3559"/>
    <cellStyle name="Calculation 8 4 8 2" xfId="12887"/>
    <cellStyle name="Calculation 8 4 8 3" xfId="17297"/>
    <cellStyle name="Calculation 8 4 8_Table" xfId="5573"/>
    <cellStyle name="Calculation 8 4 9" xfId="4178"/>
    <cellStyle name="Calculation 8 4 9 2" xfId="13506"/>
    <cellStyle name="Calculation 8 4 9 3" xfId="17916"/>
    <cellStyle name="Calculation 8 4 9_Table" xfId="5574"/>
    <cellStyle name="Calculation 8 4_Table" xfId="5556"/>
    <cellStyle name="Calculation 8 5" xfId="606"/>
    <cellStyle name="Calculation 8 5 10" xfId="4584"/>
    <cellStyle name="Calculation 8 5 10 2" xfId="13912"/>
    <cellStyle name="Calculation 8 5 10 3" xfId="18322"/>
    <cellStyle name="Calculation 8 5 10_Table" xfId="5576"/>
    <cellStyle name="Calculation 8 5 11" xfId="9934"/>
    <cellStyle name="Calculation 8 5 12" xfId="14362"/>
    <cellStyle name="Calculation 8 5 2" xfId="849"/>
    <cellStyle name="Calculation 8 5 2 10" xfId="4809"/>
    <cellStyle name="Calculation 8 5 2 10 2" xfId="14137"/>
    <cellStyle name="Calculation 8 5 2 10 3" xfId="18547"/>
    <cellStyle name="Calculation 8 5 2 10_Table" xfId="5578"/>
    <cellStyle name="Calculation 8 5 2 11" xfId="10177"/>
    <cellStyle name="Calculation 8 5 2 12" xfId="14587"/>
    <cellStyle name="Calculation 8 5 2 2" xfId="1635"/>
    <cellStyle name="Calculation 8 5 2 2 2" xfId="10963"/>
    <cellStyle name="Calculation 8 5 2 2 3" xfId="15373"/>
    <cellStyle name="Calculation 8 5 2 2_Table" xfId="5579"/>
    <cellStyle name="Calculation 8 5 2 3" xfId="1995"/>
    <cellStyle name="Calculation 8 5 2 3 2" xfId="11323"/>
    <cellStyle name="Calculation 8 5 2 3 3" xfId="15733"/>
    <cellStyle name="Calculation 8 5 2 3_Table" xfId="5580"/>
    <cellStyle name="Calculation 8 5 2 4" xfId="2425"/>
    <cellStyle name="Calculation 8 5 2 4 2" xfId="11753"/>
    <cellStyle name="Calculation 8 5 2 4 3" xfId="16163"/>
    <cellStyle name="Calculation 8 5 2 4_Table" xfId="5581"/>
    <cellStyle name="Calculation 8 5 2 5" xfId="2863"/>
    <cellStyle name="Calculation 8 5 2 5 2" xfId="12191"/>
    <cellStyle name="Calculation 8 5 2 5 3" xfId="16601"/>
    <cellStyle name="Calculation 8 5 2 5_Table" xfId="5582"/>
    <cellStyle name="Calculation 8 5 2 6" xfId="3270"/>
    <cellStyle name="Calculation 8 5 2 6 2" xfId="12598"/>
    <cellStyle name="Calculation 8 5 2 6 3" xfId="17008"/>
    <cellStyle name="Calculation 8 5 2 6_Table" xfId="5583"/>
    <cellStyle name="Calculation 8 5 2 7" xfId="3862"/>
    <cellStyle name="Calculation 8 5 2 7 2" xfId="13190"/>
    <cellStyle name="Calculation 8 5 2 7 3" xfId="17600"/>
    <cellStyle name="Calculation 8 5 2 7_Table" xfId="5584"/>
    <cellStyle name="Calculation 8 5 2 8" xfId="4087"/>
    <cellStyle name="Calculation 8 5 2 8 2" xfId="13415"/>
    <cellStyle name="Calculation 8 5 2 8 3" xfId="17825"/>
    <cellStyle name="Calculation 8 5 2 8_Table" xfId="5585"/>
    <cellStyle name="Calculation 8 5 2 9" xfId="4448"/>
    <cellStyle name="Calculation 8 5 2 9 2" xfId="13776"/>
    <cellStyle name="Calculation 8 5 2 9 3" xfId="18186"/>
    <cellStyle name="Calculation 8 5 2 9_Table" xfId="5586"/>
    <cellStyle name="Calculation 8 5 2_Table" xfId="5577"/>
    <cellStyle name="Calculation 8 5 3" xfId="1753"/>
    <cellStyle name="Calculation 8 5 3 2" xfId="11081"/>
    <cellStyle name="Calculation 8 5 3 3" xfId="15491"/>
    <cellStyle name="Calculation 8 5 3_Table" xfId="5587"/>
    <cellStyle name="Calculation 8 5 4" xfId="2186"/>
    <cellStyle name="Calculation 8 5 4 2" xfId="11514"/>
    <cellStyle name="Calculation 8 5 4 3" xfId="15924"/>
    <cellStyle name="Calculation 8 5 4_Table" xfId="5588"/>
    <cellStyle name="Calculation 8 5 5" xfId="2621"/>
    <cellStyle name="Calculation 8 5 5 2" xfId="11949"/>
    <cellStyle name="Calculation 8 5 5 3" xfId="16359"/>
    <cellStyle name="Calculation 8 5 5_Table" xfId="5589"/>
    <cellStyle name="Calculation 8 5 6" xfId="3034"/>
    <cellStyle name="Calculation 8 5 6 2" xfId="12362"/>
    <cellStyle name="Calculation 8 5 6 3" xfId="16772"/>
    <cellStyle name="Calculation 8 5 6_Table" xfId="5590"/>
    <cellStyle name="Calculation 8 5 7" xfId="3460"/>
    <cellStyle name="Calculation 8 5 7 2" xfId="12788"/>
    <cellStyle name="Calculation 8 5 7 3" xfId="17198"/>
    <cellStyle name="Calculation 8 5 7_Table" xfId="5591"/>
    <cellStyle name="Calculation 8 5 8" xfId="2172"/>
    <cellStyle name="Calculation 8 5 8 2" xfId="11500"/>
    <cellStyle name="Calculation 8 5 8 3" xfId="15910"/>
    <cellStyle name="Calculation 8 5 8_Table" xfId="5592"/>
    <cellStyle name="Calculation 8 5 9" xfId="4223"/>
    <cellStyle name="Calculation 8 5 9 2" xfId="13551"/>
    <cellStyle name="Calculation 8 5 9 3" xfId="17961"/>
    <cellStyle name="Calculation 8 5 9_Table" xfId="5593"/>
    <cellStyle name="Calculation 8 5_Table" xfId="5575"/>
    <cellStyle name="Calculation 8 6" xfId="669"/>
    <cellStyle name="Calculation 8 6 10" xfId="4629"/>
    <cellStyle name="Calculation 8 6 10 2" xfId="13957"/>
    <cellStyle name="Calculation 8 6 10 3" xfId="18367"/>
    <cellStyle name="Calculation 8 6 10_Table" xfId="5595"/>
    <cellStyle name="Calculation 8 6 11" xfId="9997"/>
    <cellStyle name="Calculation 8 6 12" xfId="14407"/>
    <cellStyle name="Calculation 8 6 2" xfId="1455"/>
    <cellStyle name="Calculation 8 6 2 2" xfId="10783"/>
    <cellStyle name="Calculation 8 6 2 3" xfId="15193"/>
    <cellStyle name="Calculation 8 6 2_Table" xfId="5596"/>
    <cellStyle name="Calculation 8 6 3" xfId="1815"/>
    <cellStyle name="Calculation 8 6 3 2" xfId="11143"/>
    <cellStyle name="Calculation 8 6 3 3" xfId="15553"/>
    <cellStyle name="Calculation 8 6 3_Table" xfId="5597"/>
    <cellStyle name="Calculation 8 6 4" xfId="2245"/>
    <cellStyle name="Calculation 8 6 4 2" xfId="11573"/>
    <cellStyle name="Calculation 8 6 4 3" xfId="15983"/>
    <cellStyle name="Calculation 8 6 4_Table" xfId="5598"/>
    <cellStyle name="Calculation 8 6 5" xfId="2683"/>
    <cellStyle name="Calculation 8 6 5 2" xfId="12011"/>
    <cellStyle name="Calculation 8 6 5 3" xfId="16421"/>
    <cellStyle name="Calculation 8 6 5_Table" xfId="5599"/>
    <cellStyle name="Calculation 8 6 6" xfId="3090"/>
    <cellStyle name="Calculation 8 6 6 2" xfId="12418"/>
    <cellStyle name="Calculation 8 6 6 3" xfId="16828"/>
    <cellStyle name="Calculation 8 6 6_Table" xfId="5600"/>
    <cellStyle name="Calculation 8 6 7" xfId="3682"/>
    <cellStyle name="Calculation 8 6 7 2" xfId="13010"/>
    <cellStyle name="Calculation 8 6 7 3" xfId="17420"/>
    <cellStyle name="Calculation 8 6 7_Table" xfId="5601"/>
    <cellStyle name="Calculation 8 6 8" xfId="3907"/>
    <cellStyle name="Calculation 8 6 8 2" xfId="13235"/>
    <cellStyle name="Calculation 8 6 8 3" xfId="17645"/>
    <cellStyle name="Calculation 8 6 8_Table" xfId="5602"/>
    <cellStyle name="Calculation 8 6 9" xfId="4268"/>
    <cellStyle name="Calculation 8 6 9 2" xfId="13596"/>
    <cellStyle name="Calculation 8 6 9 3" xfId="18006"/>
    <cellStyle name="Calculation 8 6 9_Table" xfId="5603"/>
    <cellStyle name="Calculation 8 6_Table" xfId="5594"/>
    <cellStyle name="Calculation 8 7" xfId="1110"/>
    <cellStyle name="Calculation 8 7 2" xfId="10438"/>
    <cellStyle name="Calculation 8 7 3" xfId="14848"/>
    <cellStyle name="Calculation 8 7_Table" xfId="5604"/>
    <cellStyle name="Calculation 8 8" xfId="1133"/>
    <cellStyle name="Calculation 8 8 2" xfId="10461"/>
    <cellStyle name="Calculation 8 8 3" xfId="14871"/>
    <cellStyle name="Calculation 8 8_Table" xfId="5605"/>
    <cellStyle name="Calculation 8 9" xfId="1219"/>
    <cellStyle name="Calculation 8 9 2" xfId="10547"/>
    <cellStyle name="Calculation 8 9 3" xfId="14957"/>
    <cellStyle name="Calculation 8 9_Table" xfId="5606"/>
    <cellStyle name="Calculation 8_Table" xfId="5512"/>
    <cellStyle name="Calculation 9" xfId="243"/>
    <cellStyle name="Calculation 9 10" xfId="1143"/>
    <cellStyle name="Calculation 9 10 2" xfId="10471"/>
    <cellStyle name="Calculation 9 10 3" xfId="14881"/>
    <cellStyle name="Calculation 9 10_Table" xfId="5608"/>
    <cellStyle name="Calculation 9 11" xfId="1217"/>
    <cellStyle name="Calculation 9 11 2" xfId="10545"/>
    <cellStyle name="Calculation 9 11 3" xfId="14955"/>
    <cellStyle name="Calculation 9 11_Table" xfId="5609"/>
    <cellStyle name="Calculation 9 12" xfId="2966"/>
    <cellStyle name="Calculation 9 12 2" xfId="12294"/>
    <cellStyle name="Calculation 9 12 3" xfId="16704"/>
    <cellStyle name="Calculation 9 12_Table" xfId="5610"/>
    <cellStyle name="Calculation 9 13" xfId="3077"/>
    <cellStyle name="Calculation 9 13 2" xfId="12405"/>
    <cellStyle name="Calculation 9 13 3" xfId="16815"/>
    <cellStyle name="Calculation 9 13_Table" xfId="5611"/>
    <cellStyle name="Calculation 9 14" xfId="1122"/>
    <cellStyle name="Calculation 9 14 2" xfId="10450"/>
    <cellStyle name="Calculation 9 14 3" xfId="14860"/>
    <cellStyle name="Calculation 9 14_Table" xfId="5612"/>
    <cellStyle name="Calculation 9 15" xfId="9571"/>
    <cellStyle name="Calculation 9 16" xfId="14183"/>
    <cellStyle name="Calculation 9 2" xfId="400"/>
    <cellStyle name="Calculation 9 2 10" xfId="3633"/>
    <cellStyle name="Calculation 9 2 10 2" xfId="12961"/>
    <cellStyle name="Calculation 9 2 10 3" xfId="17371"/>
    <cellStyle name="Calculation 9 2 10_Table" xfId="5614"/>
    <cellStyle name="Calculation 9 2 11" xfId="9728"/>
    <cellStyle name="Calculation 9 2 12" xfId="14228"/>
    <cellStyle name="Calculation 9 2 2" xfId="715"/>
    <cellStyle name="Calculation 9 2 2 10" xfId="4675"/>
    <cellStyle name="Calculation 9 2 2 10 2" xfId="14003"/>
    <cellStyle name="Calculation 9 2 2 10 3" xfId="18413"/>
    <cellStyle name="Calculation 9 2 2 10_Table" xfId="5616"/>
    <cellStyle name="Calculation 9 2 2 11" xfId="10043"/>
    <cellStyle name="Calculation 9 2 2 12" xfId="14453"/>
    <cellStyle name="Calculation 9 2 2 2" xfId="1501"/>
    <cellStyle name="Calculation 9 2 2 2 2" xfId="10829"/>
    <cellStyle name="Calculation 9 2 2 2 3" xfId="15239"/>
    <cellStyle name="Calculation 9 2 2 2_Table" xfId="5617"/>
    <cellStyle name="Calculation 9 2 2 3" xfId="1861"/>
    <cellStyle name="Calculation 9 2 2 3 2" xfId="11189"/>
    <cellStyle name="Calculation 9 2 2 3 3" xfId="15599"/>
    <cellStyle name="Calculation 9 2 2 3_Table" xfId="5618"/>
    <cellStyle name="Calculation 9 2 2 4" xfId="2291"/>
    <cellStyle name="Calculation 9 2 2 4 2" xfId="11619"/>
    <cellStyle name="Calculation 9 2 2 4 3" xfId="16029"/>
    <cellStyle name="Calculation 9 2 2 4_Table" xfId="5619"/>
    <cellStyle name="Calculation 9 2 2 5" xfId="2729"/>
    <cellStyle name="Calculation 9 2 2 5 2" xfId="12057"/>
    <cellStyle name="Calculation 9 2 2 5 3" xfId="16467"/>
    <cellStyle name="Calculation 9 2 2 5_Table" xfId="5620"/>
    <cellStyle name="Calculation 9 2 2 6" xfId="3136"/>
    <cellStyle name="Calculation 9 2 2 6 2" xfId="12464"/>
    <cellStyle name="Calculation 9 2 2 6 3" xfId="16874"/>
    <cellStyle name="Calculation 9 2 2 6_Table" xfId="5621"/>
    <cellStyle name="Calculation 9 2 2 7" xfId="3728"/>
    <cellStyle name="Calculation 9 2 2 7 2" xfId="13056"/>
    <cellStyle name="Calculation 9 2 2 7 3" xfId="17466"/>
    <cellStyle name="Calculation 9 2 2 7_Table" xfId="5622"/>
    <cellStyle name="Calculation 9 2 2 8" xfId="3953"/>
    <cellStyle name="Calculation 9 2 2 8 2" xfId="13281"/>
    <cellStyle name="Calculation 9 2 2 8 3" xfId="17691"/>
    <cellStyle name="Calculation 9 2 2 8_Table" xfId="5623"/>
    <cellStyle name="Calculation 9 2 2 9" xfId="4314"/>
    <cellStyle name="Calculation 9 2 2 9 2" xfId="13642"/>
    <cellStyle name="Calculation 9 2 2 9 3" xfId="18052"/>
    <cellStyle name="Calculation 9 2 2 9_Table" xfId="5624"/>
    <cellStyle name="Calculation 9 2 2_Table" xfId="5615"/>
    <cellStyle name="Calculation 9 2 3" xfId="1012"/>
    <cellStyle name="Calculation 9 2 3 2" xfId="10340"/>
    <cellStyle name="Calculation 9 2 3 3" xfId="14750"/>
    <cellStyle name="Calculation 9 2 3_Table" xfId="5625"/>
    <cellStyle name="Calculation 9 2 4" xfId="1435"/>
    <cellStyle name="Calculation 9 2 4 2" xfId="10763"/>
    <cellStyle name="Calculation 9 2 4 3" xfId="15173"/>
    <cellStyle name="Calculation 9 2 4_Table" xfId="5626"/>
    <cellStyle name="Calculation 9 2 5" xfId="1737"/>
    <cellStyle name="Calculation 9 2 5 2" xfId="11065"/>
    <cellStyle name="Calculation 9 2 5 3" xfId="15475"/>
    <cellStyle name="Calculation 9 2 5_Table" xfId="5627"/>
    <cellStyle name="Calculation 9 2 6" xfId="2171"/>
    <cellStyle name="Calculation 9 2 6 2" xfId="11499"/>
    <cellStyle name="Calculation 9 2 6 3" xfId="15909"/>
    <cellStyle name="Calculation 9 2 6_Table" xfId="5628"/>
    <cellStyle name="Calculation 9 2 7" xfId="2604"/>
    <cellStyle name="Calculation 9 2 7 2" xfId="11932"/>
    <cellStyle name="Calculation 9 2 7 3" xfId="16342"/>
    <cellStyle name="Calculation 9 2 7_Table" xfId="5629"/>
    <cellStyle name="Calculation 9 2 8" xfId="2237"/>
    <cellStyle name="Calculation 9 2 8 2" xfId="11565"/>
    <cellStyle name="Calculation 9 2 8 3" xfId="15975"/>
    <cellStyle name="Calculation 9 2 8_Table" xfId="5630"/>
    <cellStyle name="Calculation 9 2 9" xfId="2902"/>
    <cellStyle name="Calculation 9 2 9 2" xfId="12230"/>
    <cellStyle name="Calculation 9 2 9 3" xfId="16640"/>
    <cellStyle name="Calculation 9 2 9_Table" xfId="5631"/>
    <cellStyle name="Calculation 9 2_Table" xfId="5613"/>
    <cellStyle name="Calculation 9 3" xfId="468"/>
    <cellStyle name="Calculation 9 3 10" xfId="4495"/>
    <cellStyle name="Calculation 9 3 10 2" xfId="13823"/>
    <cellStyle name="Calculation 9 3 10 3" xfId="18233"/>
    <cellStyle name="Calculation 9 3 10_Table" xfId="5633"/>
    <cellStyle name="Calculation 9 3 11" xfId="9796"/>
    <cellStyle name="Calculation 9 3 12" xfId="14273"/>
    <cellStyle name="Calculation 9 3 2" xfId="760"/>
    <cellStyle name="Calculation 9 3 2 10" xfId="4720"/>
    <cellStyle name="Calculation 9 3 2 10 2" xfId="14048"/>
    <cellStyle name="Calculation 9 3 2 10 3" xfId="18458"/>
    <cellStyle name="Calculation 9 3 2 10_Table" xfId="5635"/>
    <cellStyle name="Calculation 9 3 2 11" xfId="10088"/>
    <cellStyle name="Calculation 9 3 2 12" xfId="14498"/>
    <cellStyle name="Calculation 9 3 2 2" xfId="1546"/>
    <cellStyle name="Calculation 9 3 2 2 2" xfId="10874"/>
    <cellStyle name="Calculation 9 3 2 2 3" xfId="15284"/>
    <cellStyle name="Calculation 9 3 2 2_Table" xfId="5636"/>
    <cellStyle name="Calculation 9 3 2 3" xfId="1906"/>
    <cellStyle name="Calculation 9 3 2 3 2" xfId="11234"/>
    <cellStyle name="Calculation 9 3 2 3 3" xfId="15644"/>
    <cellStyle name="Calculation 9 3 2 3_Table" xfId="5637"/>
    <cellStyle name="Calculation 9 3 2 4" xfId="2336"/>
    <cellStyle name="Calculation 9 3 2 4 2" xfId="11664"/>
    <cellStyle name="Calculation 9 3 2 4 3" xfId="16074"/>
    <cellStyle name="Calculation 9 3 2 4_Table" xfId="5638"/>
    <cellStyle name="Calculation 9 3 2 5" xfId="2774"/>
    <cellStyle name="Calculation 9 3 2 5 2" xfId="12102"/>
    <cellStyle name="Calculation 9 3 2 5 3" xfId="16512"/>
    <cellStyle name="Calculation 9 3 2 5_Table" xfId="5639"/>
    <cellStyle name="Calculation 9 3 2 6" xfId="3181"/>
    <cellStyle name="Calculation 9 3 2 6 2" xfId="12509"/>
    <cellStyle name="Calculation 9 3 2 6 3" xfId="16919"/>
    <cellStyle name="Calculation 9 3 2 6_Table" xfId="5640"/>
    <cellStyle name="Calculation 9 3 2 7" xfId="3773"/>
    <cellStyle name="Calculation 9 3 2 7 2" xfId="13101"/>
    <cellStyle name="Calculation 9 3 2 7 3" xfId="17511"/>
    <cellStyle name="Calculation 9 3 2 7_Table" xfId="5641"/>
    <cellStyle name="Calculation 9 3 2 8" xfId="3998"/>
    <cellStyle name="Calculation 9 3 2 8 2" xfId="13326"/>
    <cellStyle name="Calculation 9 3 2 8 3" xfId="17736"/>
    <cellStyle name="Calculation 9 3 2 8_Table" xfId="5642"/>
    <cellStyle name="Calculation 9 3 2 9" xfId="4359"/>
    <cellStyle name="Calculation 9 3 2 9 2" xfId="13687"/>
    <cellStyle name="Calculation 9 3 2 9 3" xfId="18097"/>
    <cellStyle name="Calculation 9 3 2 9_Table" xfId="5643"/>
    <cellStyle name="Calculation 9 3 2_Table" xfId="5634"/>
    <cellStyle name="Calculation 9 3 3" xfId="946"/>
    <cellStyle name="Calculation 9 3 3 2" xfId="10274"/>
    <cellStyle name="Calculation 9 3 3 3" xfId="14684"/>
    <cellStyle name="Calculation 9 3 3_Table" xfId="5644"/>
    <cellStyle name="Calculation 9 3 4" xfId="2059"/>
    <cellStyle name="Calculation 9 3 4 2" xfId="11387"/>
    <cellStyle name="Calculation 9 3 4 3" xfId="15797"/>
    <cellStyle name="Calculation 9 3 4_Table" xfId="5645"/>
    <cellStyle name="Calculation 9 3 5" xfId="2491"/>
    <cellStyle name="Calculation 9 3 5 2" xfId="11819"/>
    <cellStyle name="Calculation 9 3 5 3" xfId="16229"/>
    <cellStyle name="Calculation 9 3 5_Table" xfId="5646"/>
    <cellStyle name="Calculation 9 3 6" xfId="2920"/>
    <cellStyle name="Calculation 9 3 6 2" xfId="12248"/>
    <cellStyle name="Calculation 9 3 6 3" xfId="16658"/>
    <cellStyle name="Calculation 9 3 6_Table" xfId="5647"/>
    <cellStyle name="Calculation 9 3 7" xfId="3332"/>
    <cellStyle name="Calculation 9 3 7 2" xfId="12660"/>
    <cellStyle name="Calculation 9 3 7 3" xfId="17070"/>
    <cellStyle name="Calculation 9 3 7_Table" xfId="5648"/>
    <cellStyle name="Calculation 9 3 8" xfId="3429"/>
    <cellStyle name="Calculation 9 3 8 2" xfId="12757"/>
    <cellStyle name="Calculation 9 3 8 3" xfId="17167"/>
    <cellStyle name="Calculation 9 3 8_Table" xfId="5649"/>
    <cellStyle name="Calculation 9 3 9" xfId="4134"/>
    <cellStyle name="Calculation 9 3 9 2" xfId="13462"/>
    <cellStyle name="Calculation 9 3 9 3" xfId="17872"/>
    <cellStyle name="Calculation 9 3 9_Table" xfId="5650"/>
    <cellStyle name="Calculation 9 3_Table" xfId="5632"/>
    <cellStyle name="Calculation 9 4" xfId="532"/>
    <cellStyle name="Calculation 9 4 10" xfId="4540"/>
    <cellStyle name="Calculation 9 4 10 2" xfId="13868"/>
    <cellStyle name="Calculation 9 4 10 3" xfId="18278"/>
    <cellStyle name="Calculation 9 4 10_Table" xfId="5652"/>
    <cellStyle name="Calculation 9 4 11" xfId="9860"/>
    <cellStyle name="Calculation 9 4 12" xfId="14318"/>
    <cellStyle name="Calculation 9 4 2" xfId="805"/>
    <cellStyle name="Calculation 9 4 2 10" xfId="4765"/>
    <cellStyle name="Calculation 9 4 2 10 2" xfId="14093"/>
    <cellStyle name="Calculation 9 4 2 10 3" xfId="18503"/>
    <cellStyle name="Calculation 9 4 2 10_Table" xfId="5654"/>
    <cellStyle name="Calculation 9 4 2 11" xfId="10133"/>
    <cellStyle name="Calculation 9 4 2 12" xfId="14543"/>
    <cellStyle name="Calculation 9 4 2 2" xfId="1591"/>
    <cellStyle name="Calculation 9 4 2 2 2" xfId="10919"/>
    <cellStyle name="Calculation 9 4 2 2 3" xfId="15329"/>
    <cellStyle name="Calculation 9 4 2 2_Table" xfId="5655"/>
    <cellStyle name="Calculation 9 4 2 3" xfId="1951"/>
    <cellStyle name="Calculation 9 4 2 3 2" xfId="11279"/>
    <cellStyle name="Calculation 9 4 2 3 3" xfId="15689"/>
    <cellStyle name="Calculation 9 4 2 3_Table" xfId="5656"/>
    <cellStyle name="Calculation 9 4 2 4" xfId="2381"/>
    <cellStyle name="Calculation 9 4 2 4 2" xfId="11709"/>
    <cellStyle name="Calculation 9 4 2 4 3" xfId="16119"/>
    <cellStyle name="Calculation 9 4 2 4_Table" xfId="5657"/>
    <cellStyle name="Calculation 9 4 2 5" xfId="2819"/>
    <cellStyle name="Calculation 9 4 2 5 2" xfId="12147"/>
    <cellStyle name="Calculation 9 4 2 5 3" xfId="16557"/>
    <cellStyle name="Calculation 9 4 2 5_Table" xfId="5658"/>
    <cellStyle name="Calculation 9 4 2 6" xfId="3226"/>
    <cellStyle name="Calculation 9 4 2 6 2" xfId="12554"/>
    <cellStyle name="Calculation 9 4 2 6 3" xfId="16964"/>
    <cellStyle name="Calculation 9 4 2 6_Table" xfId="5659"/>
    <cellStyle name="Calculation 9 4 2 7" xfId="3818"/>
    <cellStyle name="Calculation 9 4 2 7 2" xfId="13146"/>
    <cellStyle name="Calculation 9 4 2 7 3" xfId="17556"/>
    <cellStyle name="Calculation 9 4 2 7_Table" xfId="5660"/>
    <cellStyle name="Calculation 9 4 2 8" xfId="4043"/>
    <cellStyle name="Calculation 9 4 2 8 2" xfId="13371"/>
    <cellStyle name="Calculation 9 4 2 8 3" xfId="17781"/>
    <cellStyle name="Calculation 9 4 2 8_Table" xfId="5661"/>
    <cellStyle name="Calculation 9 4 2 9" xfId="4404"/>
    <cellStyle name="Calculation 9 4 2 9 2" xfId="13732"/>
    <cellStyle name="Calculation 9 4 2 9 3" xfId="18142"/>
    <cellStyle name="Calculation 9 4 2 9_Table" xfId="5662"/>
    <cellStyle name="Calculation 9 4 2_Table" xfId="5653"/>
    <cellStyle name="Calculation 9 4 3" xfId="1684"/>
    <cellStyle name="Calculation 9 4 3 2" xfId="11012"/>
    <cellStyle name="Calculation 9 4 3 3" xfId="15422"/>
    <cellStyle name="Calculation 9 4 3_Table" xfId="5663"/>
    <cellStyle name="Calculation 9 4 4" xfId="2118"/>
    <cellStyle name="Calculation 9 4 4 2" xfId="11446"/>
    <cellStyle name="Calculation 9 4 4 3" xfId="15856"/>
    <cellStyle name="Calculation 9 4 4_Table" xfId="5664"/>
    <cellStyle name="Calculation 9 4 5" xfId="2550"/>
    <cellStyle name="Calculation 9 4 5 2" xfId="11878"/>
    <cellStyle name="Calculation 9 4 5 3" xfId="16288"/>
    <cellStyle name="Calculation 9 4 5_Table" xfId="5665"/>
    <cellStyle name="Calculation 9 4 6" xfId="2977"/>
    <cellStyle name="Calculation 9 4 6 2" xfId="12305"/>
    <cellStyle name="Calculation 9 4 6 3" xfId="16715"/>
    <cellStyle name="Calculation 9 4 6_Table" xfId="5666"/>
    <cellStyle name="Calculation 9 4 7" xfId="3390"/>
    <cellStyle name="Calculation 9 4 7 2" xfId="12718"/>
    <cellStyle name="Calculation 9 4 7 3" xfId="17128"/>
    <cellStyle name="Calculation 9 4 7_Table" xfId="5667"/>
    <cellStyle name="Calculation 9 4 8" xfId="3592"/>
    <cellStyle name="Calculation 9 4 8 2" xfId="12920"/>
    <cellStyle name="Calculation 9 4 8 3" xfId="17330"/>
    <cellStyle name="Calculation 9 4 8_Table" xfId="5668"/>
    <cellStyle name="Calculation 9 4 9" xfId="4179"/>
    <cellStyle name="Calculation 9 4 9 2" xfId="13507"/>
    <cellStyle name="Calculation 9 4 9 3" xfId="17917"/>
    <cellStyle name="Calculation 9 4 9_Table" xfId="5669"/>
    <cellStyle name="Calculation 9 4_Table" xfId="5651"/>
    <cellStyle name="Calculation 9 5" xfId="607"/>
    <cellStyle name="Calculation 9 5 10" xfId="4585"/>
    <cellStyle name="Calculation 9 5 10 2" xfId="13913"/>
    <cellStyle name="Calculation 9 5 10 3" xfId="18323"/>
    <cellStyle name="Calculation 9 5 10_Table" xfId="5671"/>
    <cellStyle name="Calculation 9 5 11" xfId="9935"/>
    <cellStyle name="Calculation 9 5 12" xfId="14363"/>
    <cellStyle name="Calculation 9 5 2" xfId="850"/>
    <cellStyle name="Calculation 9 5 2 10" xfId="4810"/>
    <cellStyle name="Calculation 9 5 2 10 2" xfId="14138"/>
    <cellStyle name="Calculation 9 5 2 10 3" xfId="18548"/>
    <cellStyle name="Calculation 9 5 2 10_Table" xfId="5673"/>
    <cellStyle name="Calculation 9 5 2 11" xfId="10178"/>
    <cellStyle name="Calculation 9 5 2 12" xfId="14588"/>
    <cellStyle name="Calculation 9 5 2 2" xfId="1636"/>
    <cellStyle name="Calculation 9 5 2 2 2" xfId="10964"/>
    <cellStyle name="Calculation 9 5 2 2 3" xfId="15374"/>
    <cellStyle name="Calculation 9 5 2 2_Table" xfId="5674"/>
    <cellStyle name="Calculation 9 5 2 3" xfId="1996"/>
    <cellStyle name="Calculation 9 5 2 3 2" xfId="11324"/>
    <cellStyle name="Calculation 9 5 2 3 3" xfId="15734"/>
    <cellStyle name="Calculation 9 5 2 3_Table" xfId="5675"/>
    <cellStyle name="Calculation 9 5 2 4" xfId="2426"/>
    <cellStyle name="Calculation 9 5 2 4 2" xfId="11754"/>
    <cellStyle name="Calculation 9 5 2 4 3" xfId="16164"/>
    <cellStyle name="Calculation 9 5 2 4_Table" xfId="5676"/>
    <cellStyle name="Calculation 9 5 2 5" xfId="2864"/>
    <cellStyle name="Calculation 9 5 2 5 2" xfId="12192"/>
    <cellStyle name="Calculation 9 5 2 5 3" xfId="16602"/>
    <cellStyle name="Calculation 9 5 2 5_Table" xfId="5677"/>
    <cellStyle name="Calculation 9 5 2 6" xfId="3271"/>
    <cellStyle name="Calculation 9 5 2 6 2" xfId="12599"/>
    <cellStyle name="Calculation 9 5 2 6 3" xfId="17009"/>
    <cellStyle name="Calculation 9 5 2 6_Table" xfId="5678"/>
    <cellStyle name="Calculation 9 5 2 7" xfId="3863"/>
    <cellStyle name="Calculation 9 5 2 7 2" xfId="13191"/>
    <cellStyle name="Calculation 9 5 2 7 3" xfId="17601"/>
    <cellStyle name="Calculation 9 5 2 7_Table" xfId="5679"/>
    <cellStyle name="Calculation 9 5 2 8" xfId="4088"/>
    <cellStyle name="Calculation 9 5 2 8 2" xfId="13416"/>
    <cellStyle name="Calculation 9 5 2 8 3" xfId="17826"/>
    <cellStyle name="Calculation 9 5 2 8_Table" xfId="5680"/>
    <cellStyle name="Calculation 9 5 2 9" xfId="4449"/>
    <cellStyle name="Calculation 9 5 2 9 2" xfId="13777"/>
    <cellStyle name="Calculation 9 5 2 9 3" xfId="18187"/>
    <cellStyle name="Calculation 9 5 2 9_Table" xfId="5681"/>
    <cellStyle name="Calculation 9 5 2_Table" xfId="5672"/>
    <cellStyle name="Calculation 9 5 3" xfId="1754"/>
    <cellStyle name="Calculation 9 5 3 2" xfId="11082"/>
    <cellStyle name="Calculation 9 5 3 3" xfId="15492"/>
    <cellStyle name="Calculation 9 5 3_Table" xfId="5682"/>
    <cellStyle name="Calculation 9 5 4" xfId="2187"/>
    <cellStyle name="Calculation 9 5 4 2" xfId="11515"/>
    <cellStyle name="Calculation 9 5 4 3" xfId="15925"/>
    <cellStyle name="Calculation 9 5 4_Table" xfId="5683"/>
    <cellStyle name="Calculation 9 5 5" xfId="2622"/>
    <cellStyle name="Calculation 9 5 5 2" xfId="11950"/>
    <cellStyle name="Calculation 9 5 5 3" xfId="16360"/>
    <cellStyle name="Calculation 9 5 5_Table" xfId="5684"/>
    <cellStyle name="Calculation 9 5 6" xfId="3035"/>
    <cellStyle name="Calculation 9 5 6 2" xfId="12363"/>
    <cellStyle name="Calculation 9 5 6 3" xfId="16773"/>
    <cellStyle name="Calculation 9 5 6_Table" xfId="5685"/>
    <cellStyle name="Calculation 9 5 7" xfId="3461"/>
    <cellStyle name="Calculation 9 5 7 2" xfId="12789"/>
    <cellStyle name="Calculation 9 5 7 3" xfId="17199"/>
    <cellStyle name="Calculation 9 5 7_Table" xfId="5686"/>
    <cellStyle name="Calculation 9 5 8" xfId="2605"/>
    <cellStyle name="Calculation 9 5 8 2" xfId="11933"/>
    <cellStyle name="Calculation 9 5 8 3" xfId="16343"/>
    <cellStyle name="Calculation 9 5 8_Table" xfId="5687"/>
    <cellStyle name="Calculation 9 5 9" xfId="4224"/>
    <cellStyle name="Calculation 9 5 9 2" xfId="13552"/>
    <cellStyle name="Calculation 9 5 9 3" xfId="17962"/>
    <cellStyle name="Calculation 9 5 9_Table" xfId="5688"/>
    <cellStyle name="Calculation 9 5_Table" xfId="5670"/>
    <cellStyle name="Calculation 9 6" xfId="670"/>
    <cellStyle name="Calculation 9 6 10" xfId="4630"/>
    <cellStyle name="Calculation 9 6 10 2" xfId="13958"/>
    <cellStyle name="Calculation 9 6 10 3" xfId="18368"/>
    <cellStyle name="Calculation 9 6 10_Table" xfId="5690"/>
    <cellStyle name="Calculation 9 6 11" xfId="9998"/>
    <cellStyle name="Calculation 9 6 12" xfId="14408"/>
    <cellStyle name="Calculation 9 6 2" xfId="1456"/>
    <cellStyle name="Calculation 9 6 2 2" xfId="10784"/>
    <cellStyle name="Calculation 9 6 2 3" xfId="15194"/>
    <cellStyle name="Calculation 9 6 2_Table" xfId="5691"/>
    <cellStyle name="Calculation 9 6 3" xfId="1816"/>
    <cellStyle name="Calculation 9 6 3 2" xfId="11144"/>
    <cellStyle name="Calculation 9 6 3 3" xfId="15554"/>
    <cellStyle name="Calculation 9 6 3_Table" xfId="5692"/>
    <cellStyle name="Calculation 9 6 4" xfId="2246"/>
    <cellStyle name="Calculation 9 6 4 2" xfId="11574"/>
    <cellStyle name="Calculation 9 6 4 3" xfId="15984"/>
    <cellStyle name="Calculation 9 6 4_Table" xfId="5693"/>
    <cellStyle name="Calculation 9 6 5" xfId="2684"/>
    <cellStyle name="Calculation 9 6 5 2" xfId="12012"/>
    <cellStyle name="Calculation 9 6 5 3" xfId="16422"/>
    <cellStyle name="Calculation 9 6 5_Table" xfId="5694"/>
    <cellStyle name="Calculation 9 6 6" xfId="3091"/>
    <cellStyle name="Calculation 9 6 6 2" xfId="12419"/>
    <cellStyle name="Calculation 9 6 6 3" xfId="16829"/>
    <cellStyle name="Calculation 9 6 6_Table" xfId="5695"/>
    <cellStyle name="Calculation 9 6 7" xfId="3683"/>
    <cellStyle name="Calculation 9 6 7 2" xfId="13011"/>
    <cellStyle name="Calculation 9 6 7 3" xfId="17421"/>
    <cellStyle name="Calculation 9 6 7_Table" xfId="5696"/>
    <cellStyle name="Calculation 9 6 8" xfId="3908"/>
    <cellStyle name="Calculation 9 6 8 2" xfId="13236"/>
    <cellStyle name="Calculation 9 6 8 3" xfId="17646"/>
    <cellStyle name="Calculation 9 6 8_Table" xfId="5697"/>
    <cellStyle name="Calculation 9 6 9" xfId="4269"/>
    <cellStyle name="Calculation 9 6 9 2" xfId="13597"/>
    <cellStyle name="Calculation 9 6 9 3" xfId="18007"/>
    <cellStyle name="Calculation 9 6 9_Table" xfId="5698"/>
    <cellStyle name="Calculation 9 6_Table" xfId="5689"/>
    <cellStyle name="Calculation 9 7" xfId="1109"/>
    <cellStyle name="Calculation 9 7 2" xfId="10437"/>
    <cellStyle name="Calculation 9 7 3" xfId="14847"/>
    <cellStyle name="Calculation 9 7_Table" xfId="5699"/>
    <cellStyle name="Calculation 9 8" xfId="1134"/>
    <cellStyle name="Calculation 9 8 2" xfId="10462"/>
    <cellStyle name="Calculation 9 8 3" xfId="14872"/>
    <cellStyle name="Calculation 9 8_Table" xfId="5700"/>
    <cellStyle name="Calculation 9 9" xfId="1104"/>
    <cellStyle name="Calculation 9 9 2" xfId="10432"/>
    <cellStyle name="Calculation 9 9 3" xfId="14842"/>
    <cellStyle name="Calculation 9 9_Table" xfId="5701"/>
    <cellStyle name="Calculation 9_Table" xfId="5607"/>
    <cellStyle name="Check Cell 10" xfId="244"/>
    <cellStyle name="Check Cell 10 2" xfId="9572"/>
    <cellStyle name="Check Cell 2" xfId="245"/>
    <cellStyle name="Check Cell 2 2" xfId="9573"/>
    <cellStyle name="Check Cell 3" xfId="246"/>
    <cellStyle name="Check Cell 3 2" xfId="9574"/>
    <cellStyle name="Check Cell 4" xfId="247"/>
    <cellStyle name="Check Cell 4 2" xfId="9575"/>
    <cellStyle name="Check Cell 5" xfId="248"/>
    <cellStyle name="Check Cell 5 2" xfId="9576"/>
    <cellStyle name="Check Cell 6" xfId="249"/>
    <cellStyle name="Check Cell 6 2" xfId="9577"/>
    <cellStyle name="Check Cell 7" xfId="250"/>
    <cellStyle name="Check Cell 7 2" xfId="9578"/>
    <cellStyle name="Check Cell 8" xfId="251"/>
    <cellStyle name="Check Cell 8 2" xfId="9579"/>
    <cellStyle name="Check Cell 9" xfId="252"/>
    <cellStyle name="Check Cell 9 2" xfId="9580"/>
    <cellStyle name="Explanatory Text 10" xfId="253"/>
    <cellStyle name="Explanatory Text 10 2" xfId="9581"/>
    <cellStyle name="Explanatory Text 2" xfId="254"/>
    <cellStyle name="Explanatory Text 2 2" xfId="9582"/>
    <cellStyle name="Explanatory Text 3" xfId="255"/>
    <cellStyle name="Explanatory Text 3 2" xfId="9583"/>
    <cellStyle name="Explanatory Text 4" xfId="256"/>
    <cellStyle name="Explanatory Text 4 2" xfId="9584"/>
    <cellStyle name="Explanatory Text 5" xfId="257"/>
    <cellStyle name="Explanatory Text 5 2" xfId="9585"/>
    <cellStyle name="Explanatory Text 6" xfId="258"/>
    <cellStyle name="Explanatory Text 6 2" xfId="9586"/>
    <cellStyle name="Explanatory Text 7" xfId="259"/>
    <cellStyle name="Explanatory Text 7 2" xfId="9587"/>
    <cellStyle name="Explanatory Text 8" xfId="260"/>
    <cellStyle name="Explanatory Text 8 2" xfId="9588"/>
    <cellStyle name="Explanatory Text 9" xfId="261"/>
    <cellStyle name="Explanatory Text 9 2" xfId="9589"/>
    <cellStyle name="Good 10" xfId="262"/>
    <cellStyle name="Good 10 2" xfId="9590"/>
    <cellStyle name="Good 2" xfId="263"/>
    <cellStyle name="Good 2 2" xfId="9591"/>
    <cellStyle name="Good 3" xfId="264"/>
    <cellStyle name="Good 3 2" xfId="9592"/>
    <cellStyle name="Good 4" xfId="265"/>
    <cellStyle name="Good 4 2" xfId="9593"/>
    <cellStyle name="Good 5" xfId="266"/>
    <cellStyle name="Good 5 2" xfId="9594"/>
    <cellStyle name="Good 6" xfId="267"/>
    <cellStyle name="Good 6 2" xfId="9595"/>
    <cellStyle name="Good 7" xfId="268"/>
    <cellStyle name="Good 7 2" xfId="9596"/>
    <cellStyle name="Good 8" xfId="269"/>
    <cellStyle name="Good 8 2" xfId="9597"/>
    <cellStyle name="Good 9" xfId="270"/>
    <cellStyle name="Good 9 2" xfId="9598"/>
    <cellStyle name="Heading 1 10" xfId="271"/>
    <cellStyle name="Heading 1 10 2" xfId="9599"/>
    <cellStyle name="Heading 1 2" xfId="272"/>
    <cellStyle name="Heading 1 2 2" xfId="9600"/>
    <cellStyle name="Heading 1 3" xfId="273"/>
    <cellStyle name="Heading 1 3 2" xfId="9601"/>
    <cellStyle name="Heading 1 4" xfId="274"/>
    <cellStyle name="Heading 1 4 2" xfId="9602"/>
    <cellStyle name="Heading 1 5" xfId="275"/>
    <cellStyle name="Heading 1 5 2" xfId="9603"/>
    <cellStyle name="Heading 1 6" xfId="276"/>
    <cellStyle name="Heading 1 6 2" xfId="9604"/>
    <cellStyle name="Heading 1 7" xfId="277"/>
    <cellStyle name="Heading 1 7 2" xfId="9605"/>
    <cellStyle name="Heading 1 8" xfId="278"/>
    <cellStyle name="Heading 1 8 2" xfId="9606"/>
    <cellStyle name="Heading 1 9" xfId="279"/>
    <cellStyle name="Heading 1 9 2" xfId="9607"/>
    <cellStyle name="Heading 2 10" xfId="280"/>
    <cellStyle name="Heading 2 10 2" xfId="9608"/>
    <cellStyle name="Heading 2 2" xfId="281"/>
    <cellStyle name="Heading 2 2 2" xfId="9609"/>
    <cellStyle name="Heading 2 3" xfId="282"/>
    <cellStyle name="Heading 2 3 2" xfId="9610"/>
    <cellStyle name="Heading 2 4" xfId="283"/>
    <cellStyle name="Heading 2 4 2" xfId="9611"/>
    <cellStyle name="Heading 2 5" xfId="284"/>
    <cellStyle name="Heading 2 5 2" xfId="9612"/>
    <cellStyle name="Heading 2 6" xfId="285"/>
    <cellStyle name="Heading 2 6 2" xfId="9613"/>
    <cellStyle name="Heading 2 7" xfId="286"/>
    <cellStyle name="Heading 2 7 2" xfId="9614"/>
    <cellStyle name="Heading 2 8" xfId="287"/>
    <cellStyle name="Heading 2 8 2" xfId="9615"/>
    <cellStyle name="Heading 2 9" xfId="288"/>
    <cellStyle name="Heading 2 9 2" xfId="9616"/>
    <cellStyle name="Heading 3 10" xfId="289"/>
    <cellStyle name="Heading 3 10 2" xfId="9617"/>
    <cellStyle name="Heading 3 2" xfId="290"/>
    <cellStyle name="Heading 3 2 2" xfId="9618"/>
    <cellStyle name="Heading 3 3" xfId="291"/>
    <cellStyle name="Heading 3 3 2" xfId="9619"/>
    <cellStyle name="Heading 3 4" xfId="292"/>
    <cellStyle name="Heading 3 4 2" xfId="9620"/>
    <cellStyle name="Heading 3 5" xfId="293"/>
    <cellStyle name="Heading 3 5 2" xfId="9621"/>
    <cellStyle name="Heading 3 6" xfId="294"/>
    <cellStyle name="Heading 3 6 2" xfId="9622"/>
    <cellStyle name="Heading 3 7" xfId="295"/>
    <cellStyle name="Heading 3 7 2" xfId="9623"/>
    <cellStyle name="Heading 3 8" xfId="296"/>
    <cellStyle name="Heading 3 8 2" xfId="9624"/>
    <cellStyle name="Heading 3 9" xfId="297"/>
    <cellStyle name="Heading 3 9 2" xfId="9625"/>
    <cellStyle name="Heading 4 10" xfId="298"/>
    <cellStyle name="Heading 4 10 2" xfId="9626"/>
    <cellStyle name="Heading 4 2" xfId="299"/>
    <cellStyle name="Heading 4 2 2" xfId="9627"/>
    <cellStyle name="Heading 4 3" xfId="300"/>
    <cellStyle name="Heading 4 3 2" xfId="9628"/>
    <cellStyle name="Heading 4 4" xfId="301"/>
    <cellStyle name="Heading 4 4 2" xfId="9629"/>
    <cellStyle name="Heading 4 5" xfId="302"/>
    <cellStyle name="Heading 4 5 2" xfId="9630"/>
    <cellStyle name="Heading 4 6" xfId="303"/>
    <cellStyle name="Heading 4 6 2" xfId="9631"/>
    <cellStyle name="Heading 4 7" xfId="304"/>
    <cellStyle name="Heading 4 7 2" xfId="9632"/>
    <cellStyle name="Heading 4 8" xfId="305"/>
    <cellStyle name="Heading 4 8 2" xfId="9633"/>
    <cellStyle name="Heading 4 9" xfId="306"/>
    <cellStyle name="Heading 4 9 2" xfId="9634"/>
    <cellStyle name="Heading 4 9_Table" xfId="18586"/>
    <cellStyle name="Input 10" xfId="307"/>
    <cellStyle name="Input 10 10" xfId="1326"/>
    <cellStyle name="Input 10 10 2" xfId="10654"/>
    <cellStyle name="Input 10 10 3" xfId="15064"/>
    <cellStyle name="Input 10 10_Table" xfId="5703"/>
    <cellStyle name="Input 10 11" xfId="1023"/>
    <cellStyle name="Input 10 11 2" xfId="10351"/>
    <cellStyle name="Input 10 11 3" xfId="14761"/>
    <cellStyle name="Input 10 11_Table" xfId="5704"/>
    <cellStyle name="Input 10 12" xfId="3018"/>
    <cellStyle name="Input 10 12 2" xfId="12346"/>
    <cellStyle name="Input 10 12 3" xfId="16756"/>
    <cellStyle name="Input 10 12_Table" xfId="5705"/>
    <cellStyle name="Input 10 13" xfId="3549"/>
    <cellStyle name="Input 10 13 2" xfId="12877"/>
    <cellStyle name="Input 10 13 3" xfId="17287"/>
    <cellStyle name="Input 10 13_Table" xfId="5706"/>
    <cellStyle name="Input 10 14" xfId="3647"/>
    <cellStyle name="Input 10 14 2" xfId="12975"/>
    <cellStyle name="Input 10 14 3" xfId="17385"/>
    <cellStyle name="Input 10 14_Table" xfId="5707"/>
    <cellStyle name="Input 10 15" xfId="9635"/>
    <cellStyle name="Input 10 16" xfId="14184"/>
    <cellStyle name="Input 10 2" xfId="401"/>
    <cellStyle name="Input 10 2 10" xfId="3594"/>
    <cellStyle name="Input 10 2 10 2" xfId="12922"/>
    <cellStyle name="Input 10 2 10 3" xfId="17332"/>
    <cellStyle name="Input 10 2 10_Table" xfId="5709"/>
    <cellStyle name="Input 10 2 11" xfId="9729"/>
    <cellStyle name="Input 10 2 12" xfId="14229"/>
    <cellStyle name="Input 10 2 2" xfId="716"/>
    <cellStyle name="Input 10 2 2 10" xfId="4676"/>
    <cellStyle name="Input 10 2 2 10 2" xfId="14004"/>
    <cellStyle name="Input 10 2 2 10 3" xfId="18414"/>
    <cellStyle name="Input 10 2 2 10_Table" xfId="5711"/>
    <cellStyle name="Input 10 2 2 11" xfId="10044"/>
    <cellStyle name="Input 10 2 2 12" xfId="14454"/>
    <cellStyle name="Input 10 2 2 2" xfId="1502"/>
    <cellStyle name="Input 10 2 2 2 2" xfId="10830"/>
    <cellStyle name="Input 10 2 2 2 3" xfId="15240"/>
    <cellStyle name="Input 10 2 2 2_Table" xfId="5712"/>
    <cellStyle name="Input 10 2 2 3" xfId="1862"/>
    <cellStyle name="Input 10 2 2 3 2" xfId="11190"/>
    <cellStyle name="Input 10 2 2 3 3" xfId="15600"/>
    <cellStyle name="Input 10 2 2 3_Table" xfId="5713"/>
    <cellStyle name="Input 10 2 2 4" xfId="2292"/>
    <cellStyle name="Input 10 2 2 4 2" xfId="11620"/>
    <cellStyle name="Input 10 2 2 4 3" xfId="16030"/>
    <cellStyle name="Input 10 2 2 4_Table" xfId="5714"/>
    <cellStyle name="Input 10 2 2 5" xfId="2730"/>
    <cellStyle name="Input 10 2 2 5 2" xfId="12058"/>
    <cellStyle name="Input 10 2 2 5 3" xfId="16468"/>
    <cellStyle name="Input 10 2 2 5_Table" xfId="5715"/>
    <cellStyle name="Input 10 2 2 6" xfId="3137"/>
    <cellStyle name="Input 10 2 2 6 2" xfId="12465"/>
    <cellStyle name="Input 10 2 2 6 3" xfId="16875"/>
    <cellStyle name="Input 10 2 2 6_Table" xfId="5716"/>
    <cellStyle name="Input 10 2 2 7" xfId="3729"/>
    <cellStyle name="Input 10 2 2 7 2" xfId="13057"/>
    <cellStyle name="Input 10 2 2 7 3" xfId="17467"/>
    <cellStyle name="Input 10 2 2 7_Table" xfId="5717"/>
    <cellStyle name="Input 10 2 2 8" xfId="3954"/>
    <cellStyle name="Input 10 2 2 8 2" xfId="13282"/>
    <cellStyle name="Input 10 2 2 8 3" xfId="17692"/>
    <cellStyle name="Input 10 2 2 8_Table" xfId="5718"/>
    <cellStyle name="Input 10 2 2 9" xfId="4315"/>
    <cellStyle name="Input 10 2 2 9 2" xfId="13643"/>
    <cellStyle name="Input 10 2 2 9 3" xfId="18053"/>
    <cellStyle name="Input 10 2 2 9_Table" xfId="5719"/>
    <cellStyle name="Input 10 2 2_Table" xfId="5710"/>
    <cellStyle name="Input 10 2 3" xfId="1011"/>
    <cellStyle name="Input 10 2 3 2" xfId="10339"/>
    <cellStyle name="Input 10 2 3 3" xfId="14749"/>
    <cellStyle name="Input 10 2 3_Table" xfId="5720"/>
    <cellStyle name="Input 10 2 4" xfId="1224"/>
    <cellStyle name="Input 10 2 4 2" xfId="10552"/>
    <cellStyle name="Input 10 2 4 3" xfId="14962"/>
    <cellStyle name="Input 10 2 4_Table" xfId="5721"/>
    <cellStyle name="Input 10 2 5" xfId="1694"/>
    <cellStyle name="Input 10 2 5 2" xfId="11022"/>
    <cellStyle name="Input 10 2 5 3" xfId="15432"/>
    <cellStyle name="Input 10 2 5_Table" xfId="5722"/>
    <cellStyle name="Input 10 2 6" xfId="2128"/>
    <cellStyle name="Input 10 2 6 2" xfId="11456"/>
    <cellStyle name="Input 10 2 6 3" xfId="15866"/>
    <cellStyle name="Input 10 2 6_Table" xfId="5723"/>
    <cellStyle name="Input 10 2 7" xfId="2560"/>
    <cellStyle name="Input 10 2 7 2" xfId="11888"/>
    <cellStyle name="Input 10 2 7 3" xfId="16298"/>
    <cellStyle name="Input 10 2 7_Table" xfId="5724"/>
    <cellStyle name="Input 10 2 8" xfId="1030"/>
    <cellStyle name="Input 10 2 8 2" xfId="10358"/>
    <cellStyle name="Input 10 2 8 3" xfId="14768"/>
    <cellStyle name="Input 10 2 8_Table" xfId="5725"/>
    <cellStyle name="Input 10 2 9" xfId="1100"/>
    <cellStyle name="Input 10 2 9 2" xfId="10428"/>
    <cellStyle name="Input 10 2 9 3" xfId="14838"/>
    <cellStyle name="Input 10 2 9_Table" xfId="5726"/>
    <cellStyle name="Input 10 2_Table" xfId="5708"/>
    <cellStyle name="Input 10 3" xfId="469"/>
    <cellStyle name="Input 10 3 10" xfId="4496"/>
    <cellStyle name="Input 10 3 10 2" xfId="13824"/>
    <cellStyle name="Input 10 3 10 3" xfId="18234"/>
    <cellStyle name="Input 10 3 10_Table" xfId="5728"/>
    <cellStyle name="Input 10 3 11" xfId="9797"/>
    <cellStyle name="Input 10 3 12" xfId="14274"/>
    <cellStyle name="Input 10 3 2" xfId="761"/>
    <cellStyle name="Input 10 3 2 10" xfId="4721"/>
    <cellStyle name="Input 10 3 2 10 2" xfId="14049"/>
    <cellStyle name="Input 10 3 2 10 3" xfId="18459"/>
    <cellStyle name="Input 10 3 2 10_Table" xfId="5730"/>
    <cellStyle name="Input 10 3 2 11" xfId="10089"/>
    <cellStyle name="Input 10 3 2 12" xfId="14499"/>
    <cellStyle name="Input 10 3 2 2" xfId="1547"/>
    <cellStyle name="Input 10 3 2 2 2" xfId="10875"/>
    <cellStyle name="Input 10 3 2 2 3" xfId="15285"/>
    <cellStyle name="Input 10 3 2 2_Table" xfId="5731"/>
    <cellStyle name="Input 10 3 2 3" xfId="1907"/>
    <cellStyle name="Input 10 3 2 3 2" xfId="11235"/>
    <cellStyle name="Input 10 3 2 3 3" xfId="15645"/>
    <cellStyle name="Input 10 3 2 3_Table" xfId="5732"/>
    <cellStyle name="Input 10 3 2 4" xfId="2337"/>
    <cellStyle name="Input 10 3 2 4 2" xfId="11665"/>
    <cellStyle name="Input 10 3 2 4 3" xfId="16075"/>
    <cellStyle name="Input 10 3 2 4_Table" xfId="5733"/>
    <cellStyle name="Input 10 3 2 5" xfId="2775"/>
    <cellStyle name="Input 10 3 2 5 2" xfId="12103"/>
    <cellStyle name="Input 10 3 2 5 3" xfId="16513"/>
    <cellStyle name="Input 10 3 2 5_Table" xfId="5734"/>
    <cellStyle name="Input 10 3 2 6" xfId="3182"/>
    <cellStyle name="Input 10 3 2 6 2" xfId="12510"/>
    <cellStyle name="Input 10 3 2 6 3" xfId="16920"/>
    <cellStyle name="Input 10 3 2 6_Table" xfId="5735"/>
    <cellStyle name="Input 10 3 2 7" xfId="3774"/>
    <cellStyle name="Input 10 3 2 7 2" xfId="13102"/>
    <cellStyle name="Input 10 3 2 7 3" xfId="17512"/>
    <cellStyle name="Input 10 3 2 7_Table" xfId="5736"/>
    <cellStyle name="Input 10 3 2 8" xfId="3999"/>
    <cellStyle name="Input 10 3 2 8 2" xfId="13327"/>
    <cellStyle name="Input 10 3 2 8 3" xfId="17737"/>
    <cellStyle name="Input 10 3 2 8_Table" xfId="5737"/>
    <cellStyle name="Input 10 3 2 9" xfId="4360"/>
    <cellStyle name="Input 10 3 2 9 2" xfId="13688"/>
    <cellStyle name="Input 10 3 2 9 3" xfId="18098"/>
    <cellStyle name="Input 10 3 2 9_Table" xfId="5738"/>
    <cellStyle name="Input 10 3 2_Table" xfId="5729"/>
    <cellStyle name="Input 10 3 3" xfId="945"/>
    <cellStyle name="Input 10 3 3 2" xfId="10273"/>
    <cellStyle name="Input 10 3 3 3" xfId="14683"/>
    <cellStyle name="Input 10 3 3_Table" xfId="5739"/>
    <cellStyle name="Input 10 3 4" xfId="2060"/>
    <cellStyle name="Input 10 3 4 2" xfId="11388"/>
    <cellStyle name="Input 10 3 4 3" xfId="15798"/>
    <cellStyle name="Input 10 3 4_Table" xfId="5740"/>
    <cellStyle name="Input 10 3 5" xfId="2492"/>
    <cellStyle name="Input 10 3 5 2" xfId="11820"/>
    <cellStyle name="Input 10 3 5 3" xfId="16230"/>
    <cellStyle name="Input 10 3 5_Table" xfId="5741"/>
    <cellStyle name="Input 10 3 6" xfId="2921"/>
    <cellStyle name="Input 10 3 6 2" xfId="12249"/>
    <cellStyle name="Input 10 3 6 3" xfId="16659"/>
    <cellStyle name="Input 10 3 6_Table" xfId="5742"/>
    <cellStyle name="Input 10 3 7" xfId="3333"/>
    <cellStyle name="Input 10 3 7 2" xfId="12661"/>
    <cellStyle name="Input 10 3 7 3" xfId="17071"/>
    <cellStyle name="Input 10 3 7_Table" xfId="5743"/>
    <cellStyle name="Input 10 3 8" xfId="3500"/>
    <cellStyle name="Input 10 3 8 2" xfId="12828"/>
    <cellStyle name="Input 10 3 8 3" xfId="17238"/>
    <cellStyle name="Input 10 3 8_Table" xfId="5744"/>
    <cellStyle name="Input 10 3 9" xfId="4135"/>
    <cellStyle name="Input 10 3 9 2" xfId="13463"/>
    <cellStyle name="Input 10 3 9 3" xfId="17873"/>
    <cellStyle name="Input 10 3 9_Table" xfId="5745"/>
    <cellStyle name="Input 10 3_Table" xfId="5727"/>
    <cellStyle name="Input 10 4" xfId="533"/>
    <cellStyle name="Input 10 4 10" xfId="4541"/>
    <cellStyle name="Input 10 4 10 2" xfId="13869"/>
    <cellStyle name="Input 10 4 10 3" xfId="18279"/>
    <cellStyle name="Input 10 4 10_Table" xfId="5747"/>
    <cellStyle name="Input 10 4 11" xfId="9861"/>
    <cellStyle name="Input 10 4 12" xfId="14319"/>
    <cellStyle name="Input 10 4 2" xfId="806"/>
    <cellStyle name="Input 10 4 2 10" xfId="4766"/>
    <cellStyle name="Input 10 4 2 10 2" xfId="14094"/>
    <cellStyle name="Input 10 4 2 10 3" xfId="18504"/>
    <cellStyle name="Input 10 4 2 10_Table" xfId="5749"/>
    <cellStyle name="Input 10 4 2 11" xfId="10134"/>
    <cellStyle name="Input 10 4 2 12" xfId="14544"/>
    <cellStyle name="Input 10 4 2 2" xfId="1592"/>
    <cellStyle name="Input 10 4 2 2 2" xfId="10920"/>
    <cellStyle name="Input 10 4 2 2 3" xfId="15330"/>
    <cellStyle name="Input 10 4 2 2_Table" xfId="5750"/>
    <cellStyle name="Input 10 4 2 3" xfId="1952"/>
    <cellStyle name="Input 10 4 2 3 2" xfId="11280"/>
    <cellStyle name="Input 10 4 2 3 3" xfId="15690"/>
    <cellStyle name="Input 10 4 2 3_Table" xfId="5751"/>
    <cellStyle name="Input 10 4 2 4" xfId="2382"/>
    <cellStyle name="Input 10 4 2 4 2" xfId="11710"/>
    <cellStyle name="Input 10 4 2 4 3" xfId="16120"/>
    <cellStyle name="Input 10 4 2 4_Table" xfId="5752"/>
    <cellStyle name="Input 10 4 2 5" xfId="2820"/>
    <cellStyle name="Input 10 4 2 5 2" xfId="12148"/>
    <cellStyle name="Input 10 4 2 5 3" xfId="16558"/>
    <cellStyle name="Input 10 4 2 5_Table" xfId="5753"/>
    <cellStyle name="Input 10 4 2 6" xfId="3227"/>
    <cellStyle name="Input 10 4 2 6 2" xfId="12555"/>
    <cellStyle name="Input 10 4 2 6 3" xfId="16965"/>
    <cellStyle name="Input 10 4 2 6_Table" xfId="5754"/>
    <cellStyle name="Input 10 4 2 7" xfId="3819"/>
    <cellStyle name="Input 10 4 2 7 2" xfId="13147"/>
    <cellStyle name="Input 10 4 2 7 3" xfId="17557"/>
    <cellStyle name="Input 10 4 2 7_Table" xfId="5755"/>
    <cellStyle name="Input 10 4 2 8" xfId="4044"/>
    <cellStyle name="Input 10 4 2 8 2" xfId="13372"/>
    <cellStyle name="Input 10 4 2 8 3" xfId="17782"/>
    <cellStyle name="Input 10 4 2 8_Table" xfId="5756"/>
    <cellStyle name="Input 10 4 2 9" xfId="4405"/>
    <cellStyle name="Input 10 4 2 9 2" xfId="13733"/>
    <cellStyle name="Input 10 4 2 9 3" xfId="18143"/>
    <cellStyle name="Input 10 4 2 9_Table" xfId="5757"/>
    <cellStyle name="Input 10 4 2_Table" xfId="5748"/>
    <cellStyle name="Input 10 4 3" xfId="1685"/>
    <cellStyle name="Input 10 4 3 2" xfId="11013"/>
    <cellStyle name="Input 10 4 3 3" xfId="15423"/>
    <cellStyle name="Input 10 4 3_Table" xfId="5758"/>
    <cellStyle name="Input 10 4 4" xfId="2119"/>
    <cellStyle name="Input 10 4 4 2" xfId="11447"/>
    <cellStyle name="Input 10 4 4 3" xfId="15857"/>
    <cellStyle name="Input 10 4 4_Table" xfId="5759"/>
    <cellStyle name="Input 10 4 5" xfId="2551"/>
    <cellStyle name="Input 10 4 5 2" xfId="11879"/>
    <cellStyle name="Input 10 4 5 3" xfId="16289"/>
    <cellStyle name="Input 10 4 5_Table" xfId="5760"/>
    <cellStyle name="Input 10 4 6" xfId="2978"/>
    <cellStyle name="Input 10 4 6 2" xfId="12306"/>
    <cellStyle name="Input 10 4 6 3" xfId="16716"/>
    <cellStyle name="Input 10 4 6_Table" xfId="5761"/>
    <cellStyle name="Input 10 4 7" xfId="3391"/>
    <cellStyle name="Input 10 4 7 2" xfId="12719"/>
    <cellStyle name="Input 10 4 7 3" xfId="17129"/>
    <cellStyle name="Input 10 4 7_Table" xfId="5762"/>
    <cellStyle name="Input 10 4 8" xfId="3623"/>
    <cellStyle name="Input 10 4 8 2" xfId="12951"/>
    <cellStyle name="Input 10 4 8 3" xfId="17361"/>
    <cellStyle name="Input 10 4 8_Table" xfId="5763"/>
    <cellStyle name="Input 10 4 9" xfId="4180"/>
    <cellStyle name="Input 10 4 9 2" xfId="13508"/>
    <cellStyle name="Input 10 4 9 3" xfId="17918"/>
    <cellStyle name="Input 10 4 9_Table" xfId="5764"/>
    <cellStyle name="Input 10 4_Table" xfId="5746"/>
    <cellStyle name="Input 10 5" xfId="608"/>
    <cellStyle name="Input 10 5 10" xfId="4586"/>
    <cellStyle name="Input 10 5 10 2" xfId="13914"/>
    <cellStyle name="Input 10 5 10 3" xfId="18324"/>
    <cellStyle name="Input 10 5 10_Table" xfId="5766"/>
    <cellStyle name="Input 10 5 11" xfId="9936"/>
    <cellStyle name="Input 10 5 12" xfId="14364"/>
    <cellStyle name="Input 10 5 2" xfId="851"/>
    <cellStyle name="Input 10 5 2 10" xfId="4811"/>
    <cellStyle name="Input 10 5 2 10 2" xfId="14139"/>
    <cellStyle name="Input 10 5 2 10 3" xfId="18549"/>
    <cellStyle name="Input 10 5 2 10_Table" xfId="5768"/>
    <cellStyle name="Input 10 5 2 11" xfId="10179"/>
    <cellStyle name="Input 10 5 2 12" xfId="14589"/>
    <cellStyle name="Input 10 5 2 2" xfId="1637"/>
    <cellStyle name="Input 10 5 2 2 2" xfId="10965"/>
    <cellStyle name="Input 10 5 2 2 3" xfId="15375"/>
    <cellStyle name="Input 10 5 2 2_Table" xfId="5769"/>
    <cellStyle name="Input 10 5 2 3" xfId="1997"/>
    <cellStyle name="Input 10 5 2 3 2" xfId="11325"/>
    <cellStyle name="Input 10 5 2 3 3" xfId="15735"/>
    <cellStyle name="Input 10 5 2 3_Table" xfId="5770"/>
    <cellStyle name="Input 10 5 2 4" xfId="2427"/>
    <cellStyle name="Input 10 5 2 4 2" xfId="11755"/>
    <cellStyle name="Input 10 5 2 4 3" xfId="16165"/>
    <cellStyle name="Input 10 5 2 4_Table" xfId="5771"/>
    <cellStyle name="Input 10 5 2 5" xfId="2865"/>
    <cellStyle name="Input 10 5 2 5 2" xfId="12193"/>
    <cellStyle name="Input 10 5 2 5 3" xfId="16603"/>
    <cellStyle name="Input 10 5 2 5_Table" xfId="5772"/>
    <cellStyle name="Input 10 5 2 6" xfId="3272"/>
    <cellStyle name="Input 10 5 2 6 2" xfId="12600"/>
    <cellStyle name="Input 10 5 2 6 3" xfId="17010"/>
    <cellStyle name="Input 10 5 2 6_Table" xfId="5773"/>
    <cellStyle name="Input 10 5 2 7" xfId="3864"/>
    <cellStyle name="Input 10 5 2 7 2" xfId="13192"/>
    <cellStyle name="Input 10 5 2 7 3" xfId="17602"/>
    <cellStyle name="Input 10 5 2 7_Table" xfId="5774"/>
    <cellStyle name="Input 10 5 2 8" xfId="4089"/>
    <cellStyle name="Input 10 5 2 8 2" xfId="13417"/>
    <cellStyle name="Input 10 5 2 8 3" xfId="17827"/>
    <cellStyle name="Input 10 5 2 8_Table" xfId="5775"/>
    <cellStyle name="Input 10 5 2 9" xfId="4450"/>
    <cellStyle name="Input 10 5 2 9 2" xfId="13778"/>
    <cellStyle name="Input 10 5 2 9 3" xfId="18188"/>
    <cellStyle name="Input 10 5 2 9_Table" xfId="5776"/>
    <cellStyle name="Input 10 5 2_Table" xfId="5767"/>
    <cellStyle name="Input 10 5 3" xfId="1755"/>
    <cellStyle name="Input 10 5 3 2" xfId="11083"/>
    <cellStyle name="Input 10 5 3 3" xfId="15493"/>
    <cellStyle name="Input 10 5 3_Table" xfId="5777"/>
    <cellStyle name="Input 10 5 4" xfId="2188"/>
    <cellStyle name="Input 10 5 4 2" xfId="11516"/>
    <cellStyle name="Input 10 5 4 3" xfId="15926"/>
    <cellStyle name="Input 10 5 4_Table" xfId="5778"/>
    <cellStyle name="Input 10 5 5" xfId="2623"/>
    <cellStyle name="Input 10 5 5 2" xfId="11951"/>
    <cellStyle name="Input 10 5 5 3" xfId="16361"/>
    <cellStyle name="Input 10 5 5_Table" xfId="5779"/>
    <cellStyle name="Input 10 5 6" xfId="3036"/>
    <cellStyle name="Input 10 5 6 2" xfId="12364"/>
    <cellStyle name="Input 10 5 6 3" xfId="16774"/>
    <cellStyle name="Input 10 5 6_Table" xfId="5780"/>
    <cellStyle name="Input 10 5 7" xfId="3462"/>
    <cellStyle name="Input 10 5 7 2" xfId="12790"/>
    <cellStyle name="Input 10 5 7 3" xfId="17200"/>
    <cellStyle name="Input 10 5 7_Table" xfId="5781"/>
    <cellStyle name="Input 10 5 8" xfId="2590"/>
    <cellStyle name="Input 10 5 8 2" xfId="11918"/>
    <cellStyle name="Input 10 5 8 3" xfId="16328"/>
    <cellStyle name="Input 10 5 8_Table" xfId="5782"/>
    <cellStyle name="Input 10 5 9" xfId="4225"/>
    <cellStyle name="Input 10 5 9 2" xfId="13553"/>
    <cellStyle name="Input 10 5 9 3" xfId="17963"/>
    <cellStyle name="Input 10 5 9_Table" xfId="5783"/>
    <cellStyle name="Input 10 5_Table" xfId="5765"/>
    <cellStyle name="Input 10 6" xfId="671"/>
    <cellStyle name="Input 10 6 10" xfId="4631"/>
    <cellStyle name="Input 10 6 10 2" xfId="13959"/>
    <cellStyle name="Input 10 6 10 3" xfId="18369"/>
    <cellStyle name="Input 10 6 10_Table" xfId="5785"/>
    <cellStyle name="Input 10 6 11" xfId="9999"/>
    <cellStyle name="Input 10 6 12" xfId="14409"/>
    <cellStyle name="Input 10 6 2" xfId="1457"/>
    <cellStyle name="Input 10 6 2 2" xfId="10785"/>
    <cellStyle name="Input 10 6 2 3" xfId="15195"/>
    <cellStyle name="Input 10 6 2_Table" xfId="5786"/>
    <cellStyle name="Input 10 6 3" xfId="1817"/>
    <cellStyle name="Input 10 6 3 2" xfId="11145"/>
    <cellStyle name="Input 10 6 3 3" xfId="15555"/>
    <cellStyle name="Input 10 6 3_Table" xfId="5787"/>
    <cellStyle name="Input 10 6 4" xfId="2247"/>
    <cellStyle name="Input 10 6 4 2" xfId="11575"/>
    <cellStyle name="Input 10 6 4 3" xfId="15985"/>
    <cellStyle name="Input 10 6 4_Table" xfId="5788"/>
    <cellStyle name="Input 10 6 5" xfId="2685"/>
    <cellStyle name="Input 10 6 5 2" xfId="12013"/>
    <cellStyle name="Input 10 6 5 3" xfId="16423"/>
    <cellStyle name="Input 10 6 5_Table" xfId="5789"/>
    <cellStyle name="Input 10 6 6" xfId="3092"/>
    <cellStyle name="Input 10 6 6 2" xfId="12420"/>
    <cellStyle name="Input 10 6 6 3" xfId="16830"/>
    <cellStyle name="Input 10 6 6_Table" xfId="5790"/>
    <cellStyle name="Input 10 6 7" xfId="3684"/>
    <cellStyle name="Input 10 6 7 2" xfId="13012"/>
    <cellStyle name="Input 10 6 7 3" xfId="17422"/>
    <cellStyle name="Input 10 6 7_Table" xfId="5791"/>
    <cellStyle name="Input 10 6 8" xfId="3909"/>
    <cellStyle name="Input 10 6 8 2" xfId="13237"/>
    <cellStyle name="Input 10 6 8 3" xfId="17647"/>
    <cellStyle name="Input 10 6 8_Table" xfId="5792"/>
    <cellStyle name="Input 10 6 9" xfId="4270"/>
    <cellStyle name="Input 10 6 9 2" xfId="13598"/>
    <cellStyle name="Input 10 6 9 3" xfId="18008"/>
    <cellStyle name="Input 10 6 9_Table" xfId="5793"/>
    <cellStyle name="Input 10 6_Table" xfId="5784"/>
    <cellStyle name="Input 10 7" xfId="1094"/>
    <cellStyle name="Input 10 7 2" xfId="10422"/>
    <cellStyle name="Input 10 7 3" xfId="14832"/>
    <cellStyle name="Input 10 7_Table" xfId="5794"/>
    <cellStyle name="Input 10 8" xfId="1158"/>
    <cellStyle name="Input 10 8 2" xfId="10486"/>
    <cellStyle name="Input 10 8 3" xfId="14896"/>
    <cellStyle name="Input 10 8_Table" xfId="5795"/>
    <cellStyle name="Input 10 9" xfId="1084"/>
    <cellStyle name="Input 10 9 2" xfId="10412"/>
    <cellStyle name="Input 10 9 3" xfId="14822"/>
    <cellStyle name="Input 10 9_Table" xfId="5796"/>
    <cellStyle name="Input 10_Table" xfId="5702"/>
    <cellStyle name="Input 2" xfId="308"/>
    <cellStyle name="Input 2 10" xfId="1365"/>
    <cellStyle name="Input 2 10 2" xfId="10693"/>
    <cellStyle name="Input 2 10 3" xfId="15103"/>
    <cellStyle name="Input 2 10_Table" xfId="5798"/>
    <cellStyle name="Input 2 11" xfId="966"/>
    <cellStyle name="Input 2 11 2" xfId="10294"/>
    <cellStyle name="Input 2 11 3" xfId="14704"/>
    <cellStyle name="Input 2 11_Table" xfId="5799"/>
    <cellStyle name="Input 2 12" xfId="2048"/>
    <cellStyle name="Input 2 12 2" xfId="11376"/>
    <cellStyle name="Input 2 12 3" xfId="15786"/>
    <cellStyle name="Input 2 12_Table" xfId="5800"/>
    <cellStyle name="Input 2 13" xfId="1153"/>
    <cellStyle name="Input 2 13 2" xfId="10481"/>
    <cellStyle name="Input 2 13 3" xfId="14891"/>
    <cellStyle name="Input 2 13_Table" xfId="5801"/>
    <cellStyle name="Input 2 14" xfId="3518"/>
    <cellStyle name="Input 2 14 2" xfId="12846"/>
    <cellStyle name="Input 2 14 3" xfId="17256"/>
    <cellStyle name="Input 2 14_Table" xfId="5802"/>
    <cellStyle name="Input 2 15" xfId="9636"/>
    <cellStyle name="Input 2 16" xfId="14185"/>
    <cellStyle name="Input 2 2" xfId="402"/>
    <cellStyle name="Input 2 2 10" xfId="3604"/>
    <cellStyle name="Input 2 2 10 2" xfId="12932"/>
    <cellStyle name="Input 2 2 10 3" xfId="17342"/>
    <cellStyle name="Input 2 2 10_Table" xfId="5804"/>
    <cellStyle name="Input 2 2 11" xfId="9730"/>
    <cellStyle name="Input 2 2 12" xfId="14230"/>
    <cellStyle name="Input 2 2 2" xfId="717"/>
    <cellStyle name="Input 2 2 2 10" xfId="4677"/>
    <cellStyle name="Input 2 2 2 10 2" xfId="14005"/>
    <cellStyle name="Input 2 2 2 10 3" xfId="18415"/>
    <cellStyle name="Input 2 2 2 10_Table" xfId="5806"/>
    <cellStyle name="Input 2 2 2 11" xfId="10045"/>
    <cellStyle name="Input 2 2 2 12" xfId="14455"/>
    <cellStyle name="Input 2 2 2 2" xfId="1503"/>
    <cellStyle name="Input 2 2 2 2 2" xfId="10831"/>
    <cellStyle name="Input 2 2 2 2 3" xfId="15241"/>
    <cellStyle name="Input 2 2 2 2_Table" xfId="5807"/>
    <cellStyle name="Input 2 2 2 3" xfId="1863"/>
    <cellStyle name="Input 2 2 2 3 2" xfId="11191"/>
    <cellStyle name="Input 2 2 2 3 3" xfId="15601"/>
    <cellStyle name="Input 2 2 2 3_Table" xfId="5808"/>
    <cellStyle name="Input 2 2 2 4" xfId="2293"/>
    <cellStyle name="Input 2 2 2 4 2" xfId="11621"/>
    <cellStyle name="Input 2 2 2 4 3" xfId="16031"/>
    <cellStyle name="Input 2 2 2 4_Table" xfId="5809"/>
    <cellStyle name="Input 2 2 2 5" xfId="2731"/>
    <cellStyle name="Input 2 2 2 5 2" xfId="12059"/>
    <cellStyle name="Input 2 2 2 5 3" xfId="16469"/>
    <cellStyle name="Input 2 2 2 5_Table" xfId="5810"/>
    <cellStyle name="Input 2 2 2 6" xfId="3138"/>
    <cellStyle name="Input 2 2 2 6 2" xfId="12466"/>
    <cellStyle name="Input 2 2 2 6 3" xfId="16876"/>
    <cellStyle name="Input 2 2 2 6_Table" xfId="5811"/>
    <cellStyle name="Input 2 2 2 7" xfId="3730"/>
    <cellStyle name="Input 2 2 2 7 2" xfId="13058"/>
    <cellStyle name="Input 2 2 2 7 3" xfId="17468"/>
    <cellStyle name="Input 2 2 2 7_Table" xfId="5812"/>
    <cellStyle name="Input 2 2 2 8" xfId="3955"/>
    <cellStyle name="Input 2 2 2 8 2" xfId="13283"/>
    <cellStyle name="Input 2 2 2 8 3" xfId="17693"/>
    <cellStyle name="Input 2 2 2 8_Table" xfId="5813"/>
    <cellStyle name="Input 2 2 2 9" xfId="4316"/>
    <cellStyle name="Input 2 2 2 9 2" xfId="13644"/>
    <cellStyle name="Input 2 2 2 9 3" xfId="18054"/>
    <cellStyle name="Input 2 2 2 9_Table" xfId="5814"/>
    <cellStyle name="Input 2 2 2_Table" xfId="5805"/>
    <cellStyle name="Input 2 2 3" xfId="1010"/>
    <cellStyle name="Input 2 2 3 2" xfId="10338"/>
    <cellStyle name="Input 2 2 3 3" xfId="14748"/>
    <cellStyle name="Input 2 2 3_Table" xfId="5815"/>
    <cellStyle name="Input 2 2 4" xfId="1259"/>
    <cellStyle name="Input 2 2 4 2" xfId="10587"/>
    <cellStyle name="Input 2 2 4 3" xfId="14997"/>
    <cellStyle name="Input 2 2 4_Table" xfId="5816"/>
    <cellStyle name="Input 2 2 5" xfId="1764"/>
    <cellStyle name="Input 2 2 5 2" xfId="11092"/>
    <cellStyle name="Input 2 2 5 3" xfId="15502"/>
    <cellStyle name="Input 2 2 5_Table" xfId="5817"/>
    <cellStyle name="Input 2 2 6" xfId="2197"/>
    <cellStyle name="Input 2 2 6 2" xfId="11525"/>
    <cellStyle name="Input 2 2 6 3" xfId="15935"/>
    <cellStyle name="Input 2 2 6_Table" xfId="5818"/>
    <cellStyle name="Input 2 2 7" xfId="2632"/>
    <cellStyle name="Input 2 2 7 2" xfId="11960"/>
    <cellStyle name="Input 2 2 7 3" xfId="16370"/>
    <cellStyle name="Input 2 2 7_Table" xfId="5819"/>
    <cellStyle name="Input 2 2 8" xfId="1150"/>
    <cellStyle name="Input 2 2 8 2" xfId="10478"/>
    <cellStyle name="Input 2 2 8 3" xfId="14888"/>
    <cellStyle name="Input 2 2 8_Table" xfId="5820"/>
    <cellStyle name="Input 2 2 9" xfId="3644"/>
    <cellStyle name="Input 2 2 9 2" xfId="12972"/>
    <cellStyle name="Input 2 2 9 3" xfId="17382"/>
    <cellStyle name="Input 2 2 9_Table" xfId="5821"/>
    <cellStyle name="Input 2 2_Table" xfId="5803"/>
    <cellStyle name="Input 2 3" xfId="470"/>
    <cellStyle name="Input 2 3 10" xfId="4497"/>
    <cellStyle name="Input 2 3 10 2" xfId="13825"/>
    <cellStyle name="Input 2 3 10 3" xfId="18235"/>
    <cellStyle name="Input 2 3 10_Table" xfId="5823"/>
    <cellStyle name="Input 2 3 11" xfId="9798"/>
    <cellStyle name="Input 2 3 12" xfId="14275"/>
    <cellStyle name="Input 2 3 2" xfId="762"/>
    <cellStyle name="Input 2 3 2 10" xfId="4722"/>
    <cellStyle name="Input 2 3 2 10 2" xfId="14050"/>
    <cellStyle name="Input 2 3 2 10 3" xfId="18460"/>
    <cellStyle name="Input 2 3 2 10_Table" xfId="5825"/>
    <cellStyle name="Input 2 3 2 11" xfId="10090"/>
    <cellStyle name="Input 2 3 2 12" xfId="14500"/>
    <cellStyle name="Input 2 3 2 2" xfId="1548"/>
    <cellStyle name="Input 2 3 2 2 2" xfId="10876"/>
    <cellStyle name="Input 2 3 2 2 3" xfId="15286"/>
    <cellStyle name="Input 2 3 2 2_Table" xfId="5826"/>
    <cellStyle name="Input 2 3 2 3" xfId="1908"/>
    <cellStyle name="Input 2 3 2 3 2" xfId="11236"/>
    <cellStyle name="Input 2 3 2 3 3" xfId="15646"/>
    <cellStyle name="Input 2 3 2 3_Table" xfId="5827"/>
    <cellStyle name="Input 2 3 2 4" xfId="2338"/>
    <cellStyle name="Input 2 3 2 4 2" xfId="11666"/>
    <cellStyle name="Input 2 3 2 4 3" xfId="16076"/>
    <cellStyle name="Input 2 3 2 4_Table" xfId="5828"/>
    <cellStyle name="Input 2 3 2 5" xfId="2776"/>
    <cellStyle name="Input 2 3 2 5 2" xfId="12104"/>
    <cellStyle name="Input 2 3 2 5 3" xfId="16514"/>
    <cellStyle name="Input 2 3 2 5_Table" xfId="5829"/>
    <cellStyle name="Input 2 3 2 6" xfId="3183"/>
    <cellStyle name="Input 2 3 2 6 2" xfId="12511"/>
    <cellStyle name="Input 2 3 2 6 3" xfId="16921"/>
    <cellStyle name="Input 2 3 2 6_Table" xfId="5830"/>
    <cellStyle name="Input 2 3 2 7" xfId="3775"/>
    <cellStyle name="Input 2 3 2 7 2" xfId="13103"/>
    <cellStyle name="Input 2 3 2 7 3" xfId="17513"/>
    <cellStyle name="Input 2 3 2 7_Table" xfId="5831"/>
    <cellStyle name="Input 2 3 2 8" xfId="4000"/>
    <cellStyle name="Input 2 3 2 8 2" xfId="13328"/>
    <cellStyle name="Input 2 3 2 8 3" xfId="17738"/>
    <cellStyle name="Input 2 3 2 8_Table" xfId="5832"/>
    <cellStyle name="Input 2 3 2 9" xfId="4361"/>
    <cellStyle name="Input 2 3 2 9 2" xfId="13689"/>
    <cellStyle name="Input 2 3 2 9 3" xfId="18099"/>
    <cellStyle name="Input 2 3 2 9_Table" xfId="5833"/>
    <cellStyle name="Input 2 3 2_Table" xfId="5824"/>
    <cellStyle name="Input 2 3 3" xfId="944"/>
    <cellStyle name="Input 2 3 3 2" xfId="10272"/>
    <cellStyle name="Input 2 3 3 3" xfId="14682"/>
    <cellStyle name="Input 2 3 3_Table" xfId="5834"/>
    <cellStyle name="Input 2 3 4" xfId="2061"/>
    <cellStyle name="Input 2 3 4 2" xfId="11389"/>
    <cellStyle name="Input 2 3 4 3" xfId="15799"/>
    <cellStyle name="Input 2 3 4_Table" xfId="5835"/>
    <cellStyle name="Input 2 3 5" xfId="2493"/>
    <cellStyle name="Input 2 3 5 2" xfId="11821"/>
    <cellStyle name="Input 2 3 5 3" xfId="16231"/>
    <cellStyle name="Input 2 3 5_Table" xfId="5836"/>
    <cellStyle name="Input 2 3 6" xfId="2922"/>
    <cellStyle name="Input 2 3 6 2" xfId="12250"/>
    <cellStyle name="Input 2 3 6 3" xfId="16660"/>
    <cellStyle name="Input 2 3 6_Table" xfId="5837"/>
    <cellStyle name="Input 2 3 7" xfId="3334"/>
    <cellStyle name="Input 2 3 7 2" xfId="12662"/>
    <cellStyle name="Input 2 3 7 3" xfId="17072"/>
    <cellStyle name="Input 2 3 7_Table" xfId="5838"/>
    <cellStyle name="Input 2 3 8" xfId="2675"/>
    <cellStyle name="Input 2 3 8 2" xfId="12003"/>
    <cellStyle name="Input 2 3 8 3" xfId="16413"/>
    <cellStyle name="Input 2 3 8_Table" xfId="5839"/>
    <cellStyle name="Input 2 3 9" xfId="4136"/>
    <cellStyle name="Input 2 3 9 2" xfId="13464"/>
    <cellStyle name="Input 2 3 9 3" xfId="17874"/>
    <cellStyle name="Input 2 3 9_Table" xfId="5840"/>
    <cellStyle name="Input 2 3_Table" xfId="5822"/>
    <cellStyle name="Input 2 4" xfId="534"/>
    <cellStyle name="Input 2 4 10" xfId="4542"/>
    <cellStyle name="Input 2 4 10 2" xfId="13870"/>
    <cellStyle name="Input 2 4 10 3" xfId="18280"/>
    <cellStyle name="Input 2 4 10_Table" xfId="5842"/>
    <cellStyle name="Input 2 4 11" xfId="9862"/>
    <cellStyle name="Input 2 4 12" xfId="14320"/>
    <cellStyle name="Input 2 4 2" xfId="807"/>
    <cellStyle name="Input 2 4 2 10" xfId="4767"/>
    <cellStyle name="Input 2 4 2 10 2" xfId="14095"/>
    <cellStyle name="Input 2 4 2 10 3" xfId="18505"/>
    <cellStyle name="Input 2 4 2 10_Table" xfId="5844"/>
    <cellStyle name="Input 2 4 2 11" xfId="10135"/>
    <cellStyle name="Input 2 4 2 12" xfId="14545"/>
    <cellStyle name="Input 2 4 2 2" xfId="1593"/>
    <cellStyle name="Input 2 4 2 2 2" xfId="10921"/>
    <cellStyle name="Input 2 4 2 2 3" xfId="15331"/>
    <cellStyle name="Input 2 4 2 2_Table" xfId="5845"/>
    <cellStyle name="Input 2 4 2 3" xfId="1953"/>
    <cellStyle name="Input 2 4 2 3 2" xfId="11281"/>
    <cellStyle name="Input 2 4 2 3 3" xfId="15691"/>
    <cellStyle name="Input 2 4 2 3_Table" xfId="5846"/>
    <cellStyle name="Input 2 4 2 4" xfId="2383"/>
    <cellStyle name="Input 2 4 2 4 2" xfId="11711"/>
    <cellStyle name="Input 2 4 2 4 3" xfId="16121"/>
    <cellStyle name="Input 2 4 2 4_Table" xfId="5847"/>
    <cellStyle name="Input 2 4 2 5" xfId="2821"/>
    <cellStyle name="Input 2 4 2 5 2" xfId="12149"/>
    <cellStyle name="Input 2 4 2 5 3" xfId="16559"/>
    <cellStyle name="Input 2 4 2 5_Table" xfId="5848"/>
    <cellStyle name="Input 2 4 2 6" xfId="3228"/>
    <cellStyle name="Input 2 4 2 6 2" xfId="12556"/>
    <cellStyle name="Input 2 4 2 6 3" xfId="16966"/>
    <cellStyle name="Input 2 4 2 6_Table" xfId="5849"/>
    <cellStyle name="Input 2 4 2 7" xfId="3820"/>
    <cellStyle name="Input 2 4 2 7 2" xfId="13148"/>
    <cellStyle name="Input 2 4 2 7 3" xfId="17558"/>
    <cellStyle name="Input 2 4 2 7_Table" xfId="5850"/>
    <cellStyle name="Input 2 4 2 8" xfId="4045"/>
    <cellStyle name="Input 2 4 2 8 2" xfId="13373"/>
    <cellStyle name="Input 2 4 2 8 3" xfId="17783"/>
    <cellStyle name="Input 2 4 2 8_Table" xfId="5851"/>
    <cellStyle name="Input 2 4 2 9" xfId="4406"/>
    <cellStyle name="Input 2 4 2 9 2" xfId="13734"/>
    <cellStyle name="Input 2 4 2 9 3" xfId="18144"/>
    <cellStyle name="Input 2 4 2 9_Table" xfId="5852"/>
    <cellStyle name="Input 2 4 2_Table" xfId="5843"/>
    <cellStyle name="Input 2 4 3" xfId="1686"/>
    <cellStyle name="Input 2 4 3 2" xfId="11014"/>
    <cellStyle name="Input 2 4 3 3" xfId="15424"/>
    <cellStyle name="Input 2 4 3_Table" xfId="5853"/>
    <cellStyle name="Input 2 4 4" xfId="2120"/>
    <cellStyle name="Input 2 4 4 2" xfId="11448"/>
    <cellStyle name="Input 2 4 4 3" xfId="15858"/>
    <cellStyle name="Input 2 4 4_Table" xfId="5854"/>
    <cellStyle name="Input 2 4 5" xfId="2552"/>
    <cellStyle name="Input 2 4 5 2" xfId="11880"/>
    <cellStyle name="Input 2 4 5 3" xfId="16290"/>
    <cellStyle name="Input 2 4 5_Table" xfId="5855"/>
    <cellStyle name="Input 2 4 6" xfId="2979"/>
    <cellStyle name="Input 2 4 6 2" xfId="12307"/>
    <cellStyle name="Input 2 4 6 3" xfId="16717"/>
    <cellStyle name="Input 2 4 6_Table" xfId="5856"/>
    <cellStyle name="Input 2 4 7" xfId="3392"/>
    <cellStyle name="Input 2 4 7 2" xfId="12720"/>
    <cellStyle name="Input 2 4 7 3" xfId="17130"/>
    <cellStyle name="Input 2 4 7_Table" xfId="5857"/>
    <cellStyle name="Input 2 4 8" xfId="3655"/>
    <cellStyle name="Input 2 4 8 2" xfId="12983"/>
    <cellStyle name="Input 2 4 8 3" xfId="17393"/>
    <cellStyle name="Input 2 4 8_Table" xfId="5858"/>
    <cellStyle name="Input 2 4 9" xfId="4181"/>
    <cellStyle name="Input 2 4 9 2" xfId="13509"/>
    <cellStyle name="Input 2 4 9 3" xfId="17919"/>
    <cellStyle name="Input 2 4 9_Table" xfId="5859"/>
    <cellStyle name="Input 2 4_Table" xfId="5841"/>
    <cellStyle name="Input 2 5" xfId="609"/>
    <cellStyle name="Input 2 5 10" xfId="4587"/>
    <cellStyle name="Input 2 5 10 2" xfId="13915"/>
    <cellStyle name="Input 2 5 10 3" xfId="18325"/>
    <cellStyle name="Input 2 5 10_Table" xfId="5861"/>
    <cellStyle name="Input 2 5 11" xfId="9937"/>
    <cellStyle name="Input 2 5 12" xfId="14365"/>
    <cellStyle name="Input 2 5 2" xfId="852"/>
    <cellStyle name="Input 2 5 2 10" xfId="4812"/>
    <cellStyle name="Input 2 5 2 10 2" xfId="14140"/>
    <cellStyle name="Input 2 5 2 10 3" xfId="18550"/>
    <cellStyle name="Input 2 5 2 10_Table" xfId="5863"/>
    <cellStyle name="Input 2 5 2 11" xfId="10180"/>
    <cellStyle name="Input 2 5 2 12" xfId="14590"/>
    <cellStyle name="Input 2 5 2 2" xfId="1638"/>
    <cellStyle name="Input 2 5 2 2 2" xfId="10966"/>
    <cellStyle name="Input 2 5 2 2 3" xfId="15376"/>
    <cellStyle name="Input 2 5 2 2_Table" xfId="5864"/>
    <cellStyle name="Input 2 5 2 3" xfId="1998"/>
    <cellStyle name="Input 2 5 2 3 2" xfId="11326"/>
    <cellStyle name="Input 2 5 2 3 3" xfId="15736"/>
    <cellStyle name="Input 2 5 2 3_Table" xfId="5865"/>
    <cellStyle name="Input 2 5 2 4" xfId="2428"/>
    <cellStyle name="Input 2 5 2 4 2" xfId="11756"/>
    <cellStyle name="Input 2 5 2 4 3" xfId="16166"/>
    <cellStyle name="Input 2 5 2 4_Table" xfId="5866"/>
    <cellStyle name="Input 2 5 2 5" xfId="2866"/>
    <cellStyle name="Input 2 5 2 5 2" xfId="12194"/>
    <cellStyle name="Input 2 5 2 5 3" xfId="16604"/>
    <cellStyle name="Input 2 5 2 5_Table" xfId="5867"/>
    <cellStyle name="Input 2 5 2 6" xfId="3273"/>
    <cellStyle name="Input 2 5 2 6 2" xfId="12601"/>
    <cellStyle name="Input 2 5 2 6 3" xfId="17011"/>
    <cellStyle name="Input 2 5 2 6_Table" xfId="5868"/>
    <cellStyle name="Input 2 5 2 7" xfId="3865"/>
    <cellStyle name="Input 2 5 2 7 2" xfId="13193"/>
    <cellStyle name="Input 2 5 2 7 3" xfId="17603"/>
    <cellStyle name="Input 2 5 2 7_Table" xfId="5869"/>
    <cellStyle name="Input 2 5 2 8" xfId="4090"/>
    <cellStyle name="Input 2 5 2 8 2" xfId="13418"/>
    <cellStyle name="Input 2 5 2 8 3" xfId="17828"/>
    <cellStyle name="Input 2 5 2 8_Table" xfId="5870"/>
    <cellStyle name="Input 2 5 2 9" xfId="4451"/>
    <cellStyle name="Input 2 5 2 9 2" xfId="13779"/>
    <cellStyle name="Input 2 5 2 9 3" xfId="18189"/>
    <cellStyle name="Input 2 5 2 9_Table" xfId="5871"/>
    <cellStyle name="Input 2 5 2_Table" xfId="5862"/>
    <cellStyle name="Input 2 5 3" xfId="1756"/>
    <cellStyle name="Input 2 5 3 2" xfId="11084"/>
    <cellStyle name="Input 2 5 3 3" xfId="15494"/>
    <cellStyle name="Input 2 5 3_Table" xfId="5872"/>
    <cellStyle name="Input 2 5 4" xfId="2189"/>
    <cellStyle name="Input 2 5 4 2" xfId="11517"/>
    <cellStyle name="Input 2 5 4 3" xfId="15927"/>
    <cellStyle name="Input 2 5 4_Table" xfId="5873"/>
    <cellStyle name="Input 2 5 5" xfId="2624"/>
    <cellStyle name="Input 2 5 5 2" xfId="11952"/>
    <cellStyle name="Input 2 5 5 3" xfId="16362"/>
    <cellStyle name="Input 2 5 5_Table" xfId="5874"/>
    <cellStyle name="Input 2 5 6" xfId="3037"/>
    <cellStyle name="Input 2 5 6 2" xfId="12365"/>
    <cellStyle name="Input 2 5 6 3" xfId="16775"/>
    <cellStyle name="Input 2 5 6_Table" xfId="5875"/>
    <cellStyle name="Input 2 5 7" xfId="3463"/>
    <cellStyle name="Input 2 5 7 2" xfId="12791"/>
    <cellStyle name="Input 2 5 7 3" xfId="17201"/>
    <cellStyle name="Input 2 5 7_Table" xfId="5876"/>
    <cellStyle name="Input 2 5 8" xfId="2661"/>
    <cellStyle name="Input 2 5 8 2" xfId="11989"/>
    <cellStyle name="Input 2 5 8 3" xfId="16399"/>
    <cellStyle name="Input 2 5 8_Table" xfId="5877"/>
    <cellStyle name="Input 2 5 9" xfId="4226"/>
    <cellStyle name="Input 2 5 9 2" xfId="13554"/>
    <cellStyle name="Input 2 5 9 3" xfId="17964"/>
    <cellStyle name="Input 2 5 9_Table" xfId="5878"/>
    <cellStyle name="Input 2 5_Table" xfId="5860"/>
    <cellStyle name="Input 2 6" xfId="672"/>
    <cellStyle name="Input 2 6 10" xfId="4632"/>
    <cellStyle name="Input 2 6 10 2" xfId="13960"/>
    <cellStyle name="Input 2 6 10 3" xfId="18370"/>
    <cellStyle name="Input 2 6 10_Table" xfId="5880"/>
    <cellStyle name="Input 2 6 11" xfId="10000"/>
    <cellStyle name="Input 2 6 12" xfId="14410"/>
    <cellStyle name="Input 2 6 2" xfId="1458"/>
    <cellStyle name="Input 2 6 2 2" xfId="10786"/>
    <cellStyle name="Input 2 6 2 3" xfId="15196"/>
    <cellStyle name="Input 2 6 2_Table" xfId="5881"/>
    <cellStyle name="Input 2 6 3" xfId="1818"/>
    <cellStyle name="Input 2 6 3 2" xfId="11146"/>
    <cellStyle name="Input 2 6 3 3" xfId="15556"/>
    <cellStyle name="Input 2 6 3_Table" xfId="5882"/>
    <cellStyle name="Input 2 6 4" xfId="2248"/>
    <cellStyle name="Input 2 6 4 2" xfId="11576"/>
    <cellStyle name="Input 2 6 4 3" xfId="15986"/>
    <cellStyle name="Input 2 6 4_Table" xfId="5883"/>
    <cellStyle name="Input 2 6 5" xfId="2686"/>
    <cellStyle name="Input 2 6 5 2" xfId="12014"/>
    <cellStyle name="Input 2 6 5 3" xfId="16424"/>
    <cellStyle name="Input 2 6 5_Table" xfId="5884"/>
    <cellStyle name="Input 2 6 6" xfId="3093"/>
    <cellStyle name="Input 2 6 6 2" xfId="12421"/>
    <cellStyle name="Input 2 6 6 3" xfId="16831"/>
    <cellStyle name="Input 2 6 6_Table" xfId="5885"/>
    <cellStyle name="Input 2 6 7" xfId="3685"/>
    <cellStyle name="Input 2 6 7 2" xfId="13013"/>
    <cellStyle name="Input 2 6 7 3" xfId="17423"/>
    <cellStyle name="Input 2 6 7_Table" xfId="5886"/>
    <cellStyle name="Input 2 6 8" xfId="3910"/>
    <cellStyle name="Input 2 6 8 2" xfId="13238"/>
    <cellStyle name="Input 2 6 8 3" xfId="17648"/>
    <cellStyle name="Input 2 6 8_Table" xfId="5887"/>
    <cellStyle name="Input 2 6 9" xfId="4271"/>
    <cellStyle name="Input 2 6 9 2" xfId="13599"/>
    <cellStyle name="Input 2 6 9 3" xfId="18009"/>
    <cellStyle name="Input 2 6 9_Table" xfId="5888"/>
    <cellStyle name="Input 2 6_Table" xfId="5879"/>
    <cellStyle name="Input 2 7" xfId="1093"/>
    <cellStyle name="Input 2 7 2" xfId="10421"/>
    <cellStyle name="Input 2 7 3" xfId="14831"/>
    <cellStyle name="Input 2 7_Table" xfId="5889"/>
    <cellStyle name="Input 2 8" xfId="1159"/>
    <cellStyle name="Input 2 8 2" xfId="10487"/>
    <cellStyle name="Input 2 8 3" xfId="14897"/>
    <cellStyle name="Input 2 8_Table" xfId="5890"/>
    <cellStyle name="Input 2 9" xfId="1083"/>
    <cellStyle name="Input 2 9 2" xfId="10411"/>
    <cellStyle name="Input 2 9 3" xfId="14821"/>
    <cellStyle name="Input 2 9_Table" xfId="5891"/>
    <cellStyle name="Input 2_Table" xfId="5797"/>
    <cellStyle name="Input 3" xfId="309"/>
    <cellStyle name="Input 3 10" xfId="1393"/>
    <cellStyle name="Input 3 10 2" xfId="10721"/>
    <cellStyle name="Input 3 10 3" xfId="15131"/>
    <cellStyle name="Input 3 10_Table" xfId="5893"/>
    <cellStyle name="Input 3 11" xfId="965"/>
    <cellStyle name="Input 3 11 2" xfId="10293"/>
    <cellStyle name="Input 3 11 3" xfId="14703"/>
    <cellStyle name="Input 3 11_Table" xfId="5894"/>
    <cellStyle name="Input 3 12" xfId="1152"/>
    <cellStyle name="Input 3 12 2" xfId="10480"/>
    <cellStyle name="Input 3 12 3" xfId="14890"/>
    <cellStyle name="Input 3 12_Table" xfId="5895"/>
    <cellStyle name="Input 3 13" xfId="961"/>
    <cellStyle name="Input 3 13 2" xfId="10289"/>
    <cellStyle name="Input 3 13 3" xfId="14699"/>
    <cellStyle name="Input 3 13_Table" xfId="5896"/>
    <cellStyle name="Input 3 14" xfId="3553"/>
    <cellStyle name="Input 3 14 2" xfId="12881"/>
    <cellStyle name="Input 3 14 3" xfId="17291"/>
    <cellStyle name="Input 3 14_Table" xfId="5897"/>
    <cellStyle name="Input 3 15" xfId="9637"/>
    <cellStyle name="Input 3 16" xfId="14186"/>
    <cellStyle name="Input 3 2" xfId="403"/>
    <cellStyle name="Input 3 2 10" xfId="3520"/>
    <cellStyle name="Input 3 2 10 2" xfId="12848"/>
    <cellStyle name="Input 3 2 10 3" xfId="17258"/>
    <cellStyle name="Input 3 2 10_Table" xfId="5899"/>
    <cellStyle name="Input 3 2 11" xfId="9731"/>
    <cellStyle name="Input 3 2 12" xfId="14231"/>
    <cellStyle name="Input 3 2 2" xfId="718"/>
    <cellStyle name="Input 3 2 2 10" xfId="4678"/>
    <cellStyle name="Input 3 2 2 10 2" xfId="14006"/>
    <cellStyle name="Input 3 2 2 10 3" xfId="18416"/>
    <cellStyle name="Input 3 2 2 10_Table" xfId="5901"/>
    <cellStyle name="Input 3 2 2 11" xfId="10046"/>
    <cellStyle name="Input 3 2 2 12" xfId="14456"/>
    <cellStyle name="Input 3 2 2 2" xfId="1504"/>
    <cellStyle name="Input 3 2 2 2 2" xfId="10832"/>
    <cellStyle name="Input 3 2 2 2 3" xfId="15242"/>
    <cellStyle name="Input 3 2 2 2_Table" xfId="5902"/>
    <cellStyle name="Input 3 2 2 3" xfId="1864"/>
    <cellStyle name="Input 3 2 2 3 2" xfId="11192"/>
    <cellStyle name="Input 3 2 2 3 3" xfId="15602"/>
    <cellStyle name="Input 3 2 2 3_Table" xfId="5903"/>
    <cellStyle name="Input 3 2 2 4" xfId="2294"/>
    <cellStyle name="Input 3 2 2 4 2" xfId="11622"/>
    <cellStyle name="Input 3 2 2 4 3" xfId="16032"/>
    <cellStyle name="Input 3 2 2 4_Table" xfId="5904"/>
    <cellStyle name="Input 3 2 2 5" xfId="2732"/>
    <cellStyle name="Input 3 2 2 5 2" xfId="12060"/>
    <cellStyle name="Input 3 2 2 5 3" xfId="16470"/>
    <cellStyle name="Input 3 2 2 5_Table" xfId="5905"/>
    <cellStyle name="Input 3 2 2 6" xfId="3139"/>
    <cellStyle name="Input 3 2 2 6 2" xfId="12467"/>
    <cellStyle name="Input 3 2 2 6 3" xfId="16877"/>
    <cellStyle name="Input 3 2 2 6_Table" xfId="5906"/>
    <cellStyle name="Input 3 2 2 7" xfId="3731"/>
    <cellStyle name="Input 3 2 2 7 2" xfId="13059"/>
    <cellStyle name="Input 3 2 2 7 3" xfId="17469"/>
    <cellStyle name="Input 3 2 2 7_Table" xfId="5907"/>
    <cellStyle name="Input 3 2 2 8" xfId="3956"/>
    <cellStyle name="Input 3 2 2 8 2" xfId="13284"/>
    <cellStyle name="Input 3 2 2 8 3" xfId="17694"/>
    <cellStyle name="Input 3 2 2 8_Table" xfId="5908"/>
    <cellStyle name="Input 3 2 2 9" xfId="4317"/>
    <cellStyle name="Input 3 2 2 9 2" xfId="13645"/>
    <cellStyle name="Input 3 2 2 9 3" xfId="18055"/>
    <cellStyle name="Input 3 2 2 9_Table" xfId="5909"/>
    <cellStyle name="Input 3 2 2_Table" xfId="5900"/>
    <cellStyle name="Input 3 2 3" xfId="1009"/>
    <cellStyle name="Input 3 2 3 2" xfId="10337"/>
    <cellStyle name="Input 3 2 3 3" xfId="14747"/>
    <cellStyle name="Input 3 2 3_Table" xfId="5910"/>
    <cellStyle name="Input 3 2 4" xfId="1315"/>
    <cellStyle name="Input 3 2 4 2" xfId="10643"/>
    <cellStyle name="Input 3 2 4 3" xfId="15053"/>
    <cellStyle name="Input 3 2 4_Table" xfId="5911"/>
    <cellStyle name="Input 3 2 5" xfId="1074"/>
    <cellStyle name="Input 3 2 5 2" xfId="10402"/>
    <cellStyle name="Input 3 2 5 3" xfId="14812"/>
    <cellStyle name="Input 3 2 5_Table" xfId="5912"/>
    <cellStyle name="Input 3 2 6" xfId="1269"/>
    <cellStyle name="Input 3 2 6 2" xfId="10597"/>
    <cellStyle name="Input 3 2 6 3" xfId="15007"/>
    <cellStyle name="Input 3 2 6_Table" xfId="5913"/>
    <cellStyle name="Input 3 2 7" xfId="1742"/>
    <cellStyle name="Input 3 2 7 2" xfId="11070"/>
    <cellStyle name="Input 3 2 7 3" xfId="15480"/>
    <cellStyle name="Input 3 2 7_Table" xfId="5914"/>
    <cellStyle name="Input 3 2 8" xfId="3582"/>
    <cellStyle name="Input 3 2 8 2" xfId="12910"/>
    <cellStyle name="Input 3 2 8 3" xfId="17320"/>
    <cellStyle name="Input 3 2 8_Table" xfId="5915"/>
    <cellStyle name="Input 3 2 9" xfId="1279"/>
    <cellStyle name="Input 3 2 9 2" xfId="10607"/>
    <cellStyle name="Input 3 2 9 3" xfId="15017"/>
    <cellStyle name="Input 3 2 9_Table" xfId="5916"/>
    <cellStyle name="Input 3 2_Table" xfId="5898"/>
    <cellStyle name="Input 3 3" xfId="471"/>
    <cellStyle name="Input 3 3 10" xfId="4498"/>
    <cellStyle name="Input 3 3 10 2" xfId="13826"/>
    <cellStyle name="Input 3 3 10 3" xfId="18236"/>
    <cellStyle name="Input 3 3 10_Table" xfId="5918"/>
    <cellStyle name="Input 3 3 11" xfId="9799"/>
    <cellStyle name="Input 3 3 12" xfId="14276"/>
    <cellStyle name="Input 3 3 2" xfId="763"/>
    <cellStyle name="Input 3 3 2 10" xfId="4723"/>
    <cellStyle name="Input 3 3 2 10 2" xfId="14051"/>
    <cellStyle name="Input 3 3 2 10 3" xfId="18461"/>
    <cellStyle name="Input 3 3 2 10_Table" xfId="5920"/>
    <cellStyle name="Input 3 3 2 11" xfId="10091"/>
    <cellStyle name="Input 3 3 2 12" xfId="14501"/>
    <cellStyle name="Input 3 3 2 2" xfId="1549"/>
    <cellStyle name="Input 3 3 2 2 2" xfId="10877"/>
    <cellStyle name="Input 3 3 2 2 3" xfId="15287"/>
    <cellStyle name="Input 3 3 2 2_Table" xfId="5921"/>
    <cellStyle name="Input 3 3 2 3" xfId="1909"/>
    <cellStyle name="Input 3 3 2 3 2" xfId="11237"/>
    <cellStyle name="Input 3 3 2 3 3" xfId="15647"/>
    <cellStyle name="Input 3 3 2 3_Table" xfId="5922"/>
    <cellStyle name="Input 3 3 2 4" xfId="2339"/>
    <cellStyle name="Input 3 3 2 4 2" xfId="11667"/>
    <cellStyle name="Input 3 3 2 4 3" xfId="16077"/>
    <cellStyle name="Input 3 3 2 4_Table" xfId="5923"/>
    <cellStyle name="Input 3 3 2 5" xfId="2777"/>
    <cellStyle name="Input 3 3 2 5 2" xfId="12105"/>
    <cellStyle name="Input 3 3 2 5 3" xfId="16515"/>
    <cellStyle name="Input 3 3 2 5_Table" xfId="5924"/>
    <cellStyle name="Input 3 3 2 6" xfId="3184"/>
    <cellStyle name="Input 3 3 2 6 2" xfId="12512"/>
    <cellStyle name="Input 3 3 2 6 3" xfId="16922"/>
    <cellStyle name="Input 3 3 2 6_Table" xfId="5925"/>
    <cellStyle name="Input 3 3 2 7" xfId="3776"/>
    <cellStyle name="Input 3 3 2 7 2" xfId="13104"/>
    <cellStyle name="Input 3 3 2 7 3" xfId="17514"/>
    <cellStyle name="Input 3 3 2 7_Table" xfId="5926"/>
    <cellStyle name="Input 3 3 2 8" xfId="4001"/>
    <cellStyle name="Input 3 3 2 8 2" xfId="13329"/>
    <cellStyle name="Input 3 3 2 8 3" xfId="17739"/>
    <cellStyle name="Input 3 3 2 8_Table" xfId="5927"/>
    <cellStyle name="Input 3 3 2 9" xfId="4362"/>
    <cellStyle name="Input 3 3 2 9 2" xfId="13690"/>
    <cellStyle name="Input 3 3 2 9 3" xfId="18100"/>
    <cellStyle name="Input 3 3 2 9_Table" xfId="5928"/>
    <cellStyle name="Input 3 3 2_Table" xfId="5919"/>
    <cellStyle name="Input 3 3 3" xfId="943"/>
    <cellStyle name="Input 3 3 3 2" xfId="10271"/>
    <cellStyle name="Input 3 3 3 3" xfId="14681"/>
    <cellStyle name="Input 3 3 3_Table" xfId="5929"/>
    <cellStyle name="Input 3 3 4" xfId="2062"/>
    <cellStyle name="Input 3 3 4 2" xfId="11390"/>
    <cellStyle name="Input 3 3 4 3" xfId="15800"/>
    <cellStyle name="Input 3 3 4_Table" xfId="5930"/>
    <cellStyle name="Input 3 3 5" xfId="2494"/>
    <cellStyle name="Input 3 3 5 2" xfId="11822"/>
    <cellStyle name="Input 3 3 5 3" xfId="16232"/>
    <cellStyle name="Input 3 3 5_Table" xfId="5931"/>
    <cellStyle name="Input 3 3 6" xfId="2923"/>
    <cellStyle name="Input 3 3 6 2" xfId="12251"/>
    <cellStyle name="Input 3 3 6 3" xfId="16661"/>
    <cellStyle name="Input 3 3 6_Table" xfId="5932"/>
    <cellStyle name="Input 3 3 7" xfId="3335"/>
    <cellStyle name="Input 3 3 7 2" xfId="12663"/>
    <cellStyle name="Input 3 3 7 3" xfId="17073"/>
    <cellStyle name="Input 3 3 7_Table" xfId="5933"/>
    <cellStyle name="Input 3 3 8" xfId="2600"/>
    <cellStyle name="Input 3 3 8 2" xfId="11928"/>
    <cellStyle name="Input 3 3 8 3" xfId="16338"/>
    <cellStyle name="Input 3 3 8_Table" xfId="5934"/>
    <cellStyle name="Input 3 3 9" xfId="4137"/>
    <cellStyle name="Input 3 3 9 2" xfId="13465"/>
    <cellStyle name="Input 3 3 9 3" xfId="17875"/>
    <cellStyle name="Input 3 3 9_Table" xfId="5935"/>
    <cellStyle name="Input 3 3_Table" xfId="5917"/>
    <cellStyle name="Input 3 4" xfId="535"/>
    <cellStyle name="Input 3 4 10" xfId="4543"/>
    <cellStyle name="Input 3 4 10 2" xfId="13871"/>
    <cellStyle name="Input 3 4 10 3" xfId="18281"/>
    <cellStyle name="Input 3 4 10_Table" xfId="5937"/>
    <cellStyle name="Input 3 4 11" xfId="9863"/>
    <cellStyle name="Input 3 4 12" xfId="14321"/>
    <cellStyle name="Input 3 4 2" xfId="808"/>
    <cellStyle name="Input 3 4 2 10" xfId="4768"/>
    <cellStyle name="Input 3 4 2 10 2" xfId="14096"/>
    <cellStyle name="Input 3 4 2 10 3" xfId="18506"/>
    <cellStyle name="Input 3 4 2 10_Table" xfId="5939"/>
    <cellStyle name="Input 3 4 2 11" xfId="10136"/>
    <cellStyle name="Input 3 4 2 12" xfId="14546"/>
    <cellStyle name="Input 3 4 2 2" xfId="1594"/>
    <cellStyle name="Input 3 4 2 2 2" xfId="10922"/>
    <cellStyle name="Input 3 4 2 2 3" xfId="15332"/>
    <cellStyle name="Input 3 4 2 2_Table" xfId="5940"/>
    <cellStyle name="Input 3 4 2 3" xfId="1954"/>
    <cellStyle name="Input 3 4 2 3 2" xfId="11282"/>
    <cellStyle name="Input 3 4 2 3 3" xfId="15692"/>
    <cellStyle name="Input 3 4 2 3_Table" xfId="5941"/>
    <cellStyle name="Input 3 4 2 4" xfId="2384"/>
    <cellStyle name="Input 3 4 2 4 2" xfId="11712"/>
    <cellStyle name="Input 3 4 2 4 3" xfId="16122"/>
    <cellStyle name="Input 3 4 2 4_Table" xfId="5942"/>
    <cellStyle name="Input 3 4 2 5" xfId="2822"/>
    <cellStyle name="Input 3 4 2 5 2" xfId="12150"/>
    <cellStyle name="Input 3 4 2 5 3" xfId="16560"/>
    <cellStyle name="Input 3 4 2 5_Table" xfId="5943"/>
    <cellStyle name="Input 3 4 2 6" xfId="3229"/>
    <cellStyle name="Input 3 4 2 6 2" xfId="12557"/>
    <cellStyle name="Input 3 4 2 6 3" xfId="16967"/>
    <cellStyle name="Input 3 4 2 6_Table" xfId="5944"/>
    <cellStyle name="Input 3 4 2 7" xfId="3821"/>
    <cellStyle name="Input 3 4 2 7 2" xfId="13149"/>
    <cellStyle name="Input 3 4 2 7 3" xfId="17559"/>
    <cellStyle name="Input 3 4 2 7_Table" xfId="5945"/>
    <cellStyle name="Input 3 4 2 8" xfId="4046"/>
    <cellStyle name="Input 3 4 2 8 2" xfId="13374"/>
    <cellStyle name="Input 3 4 2 8 3" xfId="17784"/>
    <cellStyle name="Input 3 4 2 8_Table" xfId="5946"/>
    <cellStyle name="Input 3 4 2 9" xfId="4407"/>
    <cellStyle name="Input 3 4 2 9 2" xfId="13735"/>
    <cellStyle name="Input 3 4 2 9 3" xfId="18145"/>
    <cellStyle name="Input 3 4 2 9_Table" xfId="5947"/>
    <cellStyle name="Input 3 4 2_Table" xfId="5938"/>
    <cellStyle name="Input 3 4 3" xfId="1687"/>
    <cellStyle name="Input 3 4 3 2" xfId="11015"/>
    <cellStyle name="Input 3 4 3 3" xfId="15425"/>
    <cellStyle name="Input 3 4 3_Table" xfId="5948"/>
    <cellStyle name="Input 3 4 4" xfId="2121"/>
    <cellStyle name="Input 3 4 4 2" xfId="11449"/>
    <cellStyle name="Input 3 4 4 3" xfId="15859"/>
    <cellStyle name="Input 3 4 4_Table" xfId="5949"/>
    <cellStyle name="Input 3 4 5" xfId="2553"/>
    <cellStyle name="Input 3 4 5 2" xfId="11881"/>
    <cellStyle name="Input 3 4 5 3" xfId="16291"/>
    <cellStyle name="Input 3 4 5_Table" xfId="5950"/>
    <cellStyle name="Input 3 4 6" xfId="2980"/>
    <cellStyle name="Input 3 4 6 2" xfId="12308"/>
    <cellStyle name="Input 3 4 6 3" xfId="16718"/>
    <cellStyle name="Input 3 4 6_Table" xfId="5951"/>
    <cellStyle name="Input 3 4 7" xfId="3393"/>
    <cellStyle name="Input 3 4 7 2" xfId="12721"/>
    <cellStyle name="Input 3 4 7 3" xfId="17131"/>
    <cellStyle name="Input 3 4 7_Table" xfId="5952"/>
    <cellStyle name="Input 3 4 8" xfId="3526"/>
    <cellStyle name="Input 3 4 8 2" xfId="12854"/>
    <cellStyle name="Input 3 4 8 3" xfId="17264"/>
    <cellStyle name="Input 3 4 8_Table" xfId="5953"/>
    <cellStyle name="Input 3 4 9" xfId="4182"/>
    <cellStyle name="Input 3 4 9 2" xfId="13510"/>
    <cellStyle name="Input 3 4 9 3" xfId="17920"/>
    <cellStyle name="Input 3 4 9_Table" xfId="5954"/>
    <cellStyle name="Input 3 4_Table" xfId="5936"/>
    <cellStyle name="Input 3 5" xfId="610"/>
    <cellStyle name="Input 3 5 10" xfId="4588"/>
    <cellStyle name="Input 3 5 10 2" xfId="13916"/>
    <cellStyle name="Input 3 5 10 3" xfId="18326"/>
    <cellStyle name="Input 3 5 10_Table" xfId="5956"/>
    <cellStyle name="Input 3 5 11" xfId="9938"/>
    <cellStyle name="Input 3 5 12" xfId="14366"/>
    <cellStyle name="Input 3 5 2" xfId="853"/>
    <cellStyle name="Input 3 5 2 10" xfId="4813"/>
    <cellStyle name="Input 3 5 2 10 2" xfId="14141"/>
    <cellStyle name="Input 3 5 2 10 3" xfId="18551"/>
    <cellStyle name="Input 3 5 2 10_Table" xfId="5958"/>
    <cellStyle name="Input 3 5 2 11" xfId="10181"/>
    <cellStyle name="Input 3 5 2 12" xfId="14591"/>
    <cellStyle name="Input 3 5 2 2" xfId="1639"/>
    <cellStyle name="Input 3 5 2 2 2" xfId="10967"/>
    <cellStyle name="Input 3 5 2 2 3" xfId="15377"/>
    <cellStyle name="Input 3 5 2 2_Table" xfId="5959"/>
    <cellStyle name="Input 3 5 2 3" xfId="1999"/>
    <cellStyle name="Input 3 5 2 3 2" xfId="11327"/>
    <cellStyle name="Input 3 5 2 3 3" xfId="15737"/>
    <cellStyle name="Input 3 5 2 3_Table" xfId="5960"/>
    <cellStyle name="Input 3 5 2 4" xfId="2429"/>
    <cellStyle name="Input 3 5 2 4 2" xfId="11757"/>
    <cellStyle name="Input 3 5 2 4 3" xfId="16167"/>
    <cellStyle name="Input 3 5 2 4_Table" xfId="5961"/>
    <cellStyle name="Input 3 5 2 5" xfId="2867"/>
    <cellStyle name="Input 3 5 2 5 2" xfId="12195"/>
    <cellStyle name="Input 3 5 2 5 3" xfId="16605"/>
    <cellStyle name="Input 3 5 2 5_Table" xfId="5962"/>
    <cellStyle name="Input 3 5 2 6" xfId="3274"/>
    <cellStyle name="Input 3 5 2 6 2" xfId="12602"/>
    <cellStyle name="Input 3 5 2 6 3" xfId="17012"/>
    <cellStyle name="Input 3 5 2 6_Table" xfId="5963"/>
    <cellStyle name="Input 3 5 2 7" xfId="3866"/>
    <cellStyle name="Input 3 5 2 7 2" xfId="13194"/>
    <cellStyle name="Input 3 5 2 7 3" xfId="17604"/>
    <cellStyle name="Input 3 5 2 7_Table" xfId="5964"/>
    <cellStyle name="Input 3 5 2 8" xfId="4091"/>
    <cellStyle name="Input 3 5 2 8 2" xfId="13419"/>
    <cellStyle name="Input 3 5 2 8 3" xfId="17829"/>
    <cellStyle name="Input 3 5 2 8_Table" xfId="5965"/>
    <cellStyle name="Input 3 5 2 9" xfId="4452"/>
    <cellStyle name="Input 3 5 2 9 2" xfId="13780"/>
    <cellStyle name="Input 3 5 2 9 3" xfId="18190"/>
    <cellStyle name="Input 3 5 2 9_Table" xfId="5966"/>
    <cellStyle name="Input 3 5 2_Table" xfId="5957"/>
    <cellStyle name="Input 3 5 3" xfId="1757"/>
    <cellStyle name="Input 3 5 3 2" xfId="11085"/>
    <cellStyle name="Input 3 5 3 3" xfId="15495"/>
    <cellStyle name="Input 3 5 3_Table" xfId="5967"/>
    <cellStyle name="Input 3 5 4" xfId="2190"/>
    <cellStyle name="Input 3 5 4 2" xfId="11518"/>
    <cellStyle name="Input 3 5 4 3" xfId="15928"/>
    <cellStyle name="Input 3 5 4_Table" xfId="5968"/>
    <cellStyle name="Input 3 5 5" xfId="2625"/>
    <cellStyle name="Input 3 5 5 2" xfId="11953"/>
    <cellStyle name="Input 3 5 5 3" xfId="16363"/>
    <cellStyle name="Input 3 5 5_Table" xfId="5969"/>
    <cellStyle name="Input 3 5 6" xfId="3038"/>
    <cellStyle name="Input 3 5 6 2" xfId="12366"/>
    <cellStyle name="Input 3 5 6 3" xfId="16776"/>
    <cellStyle name="Input 3 5 6_Table" xfId="5970"/>
    <cellStyle name="Input 3 5 7" xfId="3464"/>
    <cellStyle name="Input 3 5 7 2" xfId="12792"/>
    <cellStyle name="Input 3 5 7 3" xfId="17202"/>
    <cellStyle name="Input 3 5 7_Table" xfId="5971"/>
    <cellStyle name="Input 3 5 8" xfId="1674"/>
    <cellStyle name="Input 3 5 8 2" xfId="11002"/>
    <cellStyle name="Input 3 5 8 3" xfId="15412"/>
    <cellStyle name="Input 3 5 8_Table" xfId="5972"/>
    <cellStyle name="Input 3 5 9" xfId="4227"/>
    <cellStyle name="Input 3 5 9 2" xfId="13555"/>
    <cellStyle name="Input 3 5 9 3" xfId="17965"/>
    <cellStyle name="Input 3 5 9_Table" xfId="5973"/>
    <cellStyle name="Input 3 5_Table" xfId="5955"/>
    <cellStyle name="Input 3 6" xfId="673"/>
    <cellStyle name="Input 3 6 10" xfId="4633"/>
    <cellStyle name="Input 3 6 10 2" xfId="13961"/>
    <cellStyle name="Input 3 6 10 3" xfId="18371"/>
    <cellStyle name="Input 3 6 10_Table" xfId="5975"/>
    <cellStyle name="Input 3 6 11" xfId="10001"/>
    <cellStyle name="Input 3 6 12" xfId="14411"/>
    <cellStyle name="Input 3 6 2" xfId="1459"/>
    <cellStyle name="Input 3 6 2 2" xfId="10787"/>
    <cellStyle name="Input 3 6 2 3" xfId="15197"/>
    <cellStyle name="Input 3 6 2_Table" xfId="5976"/>
    <cellStyle name="Input 3 6 3" xfId="1819"/>
    <cellStyle name="Input 3 6 3 2" xfId="11147"/>
    <cellStyle name="Input 3 6 3 3" xfId="15557"/>
    <cellStyle name="Input 3 6 3_Table" xfId="5977"/>
    <cellStyle name="Input 3 6 4" xfId="2249"/>
    <cellStyle name="Input 3 6 4 2" xfId="11577"/>
    <cellStyle name="Input 3 6 4 3" xfId="15987"/>
    <cellStyle name="Input 3 6 4_Table" xfId="5978"/>
    <cellStyle name="Input 3 6 5" xfId="2687"/>
    <cellStyle name="Input 3 6 5 2" xfId="12015"/>
    <cellStyle name="Input 3 6 5 3" xfId="16425"/>
    <cellStyle name="Input 3 6 5_Table" xfId="5979"/>
    <cellStyle name="Input 3 6 6" xfId="3094"/>
    <cellStyle name="Input 3 6 6 2" xfId="12422"/>
    <cellStyle name="Input 3 6 6 3" xfId="16832"/>
    <cellStyle name="Input 3 6 6_Table" xfId="5980"/>
    <cellStyle name="Input 3 6 7" xfId="3686"/>
    <cellStyle name="Input 3 6 7 2" xfId="13014"/>
    <cellStyle name="Input 3 6 7 3" xfId="17424"/>
    <cellStyle name="Input 3 6 7_Table" xfId="5981"/>
    <cellStyle name="Input 3 6 8" xfId="3911"/>
    <cellStyle name="Input 3 6 8 2" xfId="13239"/>
    <cellStyle name="Input 3 6 8 3" xfId="17649"/>
    <cellStyle name="Input 3 6 8_Table" xfId="5982"/>
    <cellStyle name="Input 3 6 9" xfId="4272"/>
    <cellStyle name="Input 3 6 9 2" xfId="13600"/>
    <cellStyle name="Input 3 6 9 3" xfId="18010"/>
    <cellStyle name="Input 3 6 9_Table" xfId="5983"/>
    <cellStyle name="Input 3 6_Table" xfId="5974"/>
    <cellStyle name="Input 3 7" xfId="1092"/>
    <cellStyle name="Input 3 7 2" xfId="10420"/>
    <cellStyle name="Input 3 7 3" xfId="14830"/>
    <cellStyle name="Input 3 7_Table" xfId="5984"/>
    <cellStyle name="Input 3 8" xfId="1160"/>
    <cellStyle name="Input 3 8 2" xfId="10488"/>
    <cellStyle name="Input 3 8 3" xfId="14898"/>
    <cellStyle name="Input 3 8_Table" xfId="5985"/>
    <cellStyle name="Input 3 9" xfId="1082"/>
    <cellStyle name="Input 3 9 2" xfId="10410"/>
    <cellStyle name="Input 3 9 3" xfId="14820"/>
    <cellStyle name="Input 3 9_Table" xfId="5986"/>
    <cellStyle name="Input 3_Table" xfId="5892"/>
    <cellStyle name="Input 4" xfId="310"/>
    <cellStyle name="Input 4 10" xfId="888"/>
    <cellStyle name="Input 4 10 2" xfId="10216"/>
    <cellStyle name="Input 4 10 3" xfId="14626"/>
    <cellStyle name="Input 4 10_Table" xfId="5988"/>
    <cellStyle name="Input 4 11" xfId="957"/>
    <cellStyle name="Input 4 11 2" xfId="10285"/>
    <cellStyle name="Input 4 11 3" xfId="14695"/>
    <cellStyle name="Input 4 11_Table" xfId="5989"/>
    <cellStyle name="Input 4 12" xfId="3550"/>
    <cellStyle name="Input 4 12 2" xfId="12878"/>
    <cellStyle name="Input 4 12 3" xfId="17288"/>
    <cellStyle name="Input 4 12_Table" xfId="5990"/>
    <cellStyle name="Input 4 13" xfId="2962"/>
    <cellStyle name="Input 4 13 2" xfId="12290"/>
    <cellStyle name="Input 4 13 3" xfId="16700"/>
    <cellStyle name="Input 4 13_Table" xfId="5991"/>
    <cellStyle name="Input 4 14" xfId="3585"/>
    <cellStyle name="Input 4 14 2" xfId="12913"/>
    <cellStyle name="Input 4 14 3" xfId="17323"/>
    <cellStyle name="Input 4 14_Table" xfId="5992"/>
    <cellStyle name="Input 4 15" xfId="9638"/>
    <cellStyle name="Input 4 16" xfId="14187"/>
    <cellStyle name="Input 4 2" xfId="404"/>
    <cellStyle name="Input 4 2 10" xfId="1102"/>
    <cellStyle name="Input 4 2 10 2" xfId="10430"/>
    <cellStyle name="Input 4 2 10 3" xfId="14840"/>
    <cellStyle name="Input 4 2 10_Table" xfId="5994"/>
    <cellStyle name="Input 4 2 11" xfId="9732"/>
    <cellStyle name="Input 4 2 12" xfId="14232"/>
    <cellStyle name="Input 4 2 2" xfId="719"/>
    <cellStyle name="Input 4 2 2 10" xfId="4679"/>
    <cellStyle name="Input 4 2 2 10 2" xfId="14007"/>
    <cellStyle name="Input 4 2 2 10 3" xfId="18417"/>
    <cellStyle name="Input 4 2 2 10_Table" xfId="5996"/>
    <cellStyle name="Input 4 2 2 11" xfId="10047"/>
    <cellStyle name="Input 4 2 2 12" xfId="14457"/>
    <cellStyle name="Input 4 2 2 2" xfId="1505"/>
    <cellStyle name="Input 4 2 2 2 2" xfId="10833"/>
    <cellStyle name="Input 4 2 2 2 3" xfId="15243"/>
    <cellStyle name="Input 4 2 2 2_Table" xfId="5997"/>
    <cellStyle name="Input 4 2 2 3" xfId="1865"/>
    <cellStyle name="Input 4 2 2 3 2" xfId="11193"/>
    <cellStyle name="Input 4 2 2 3 3" xfId="15603"/>
    <cellStyle name="Input 4 2 2 3_Table" xfId="5998"/>
    <cellStyle name="Input 4 2 2 4" xfId="2295"/>
    <cellStyle name="Input 4 2 2 4 2" xfId="11623"/>
    <cellStyle name="Input 4 2 2 4 3" xfId="16033"/>
    <cellStyle name="Input 4 2 2 4_Table" xfId="5999"/>
    <cellStyle name="Input 4 2 2 5" xfId="2733"/>
    <cellStyle name="Input 4 2 2 5 2" xfId="12061"/>
    <cellStyle name="Input 4 2 2 5 3" xfId="16471"/>
    <cellStyle name="Input 4 2 2 5_Table" xfId="6000"/>
    <cellStyle name="Input 4 2 2 6" xfId="3140"/>
    <cellStyle name="Input 4 2 2 6 2" xfId="12468"/>
    <cellStyle name="Input 4 2 2 6 3" xfId="16878"/>
    <cellStyle name="Input 4 2 2 6_Table" xfId="6001"/>
    <cellStyle name="Input 4 2 2 7" xfId="3732"/>
    <cellStyle name="Input 4 2 2 7 2" xfId="13060"/>
    <cellStyle name="Input 4 2 2 7 3" xfId="17470"/>
    <cellStyle name="Input 4 2 2 7_Table" xfId="6002"/>
    <cellStyle name="Input 4 2 2 8" xfId="3957"/>
    <cellStyle name="Input 4 2 2 8 2" xfId="13285"/>
    <cellStyle name="Input 4 2 2 8 3" xfId="17695"/>
    <cellStyle name="Input 4 2 2 8_Table" xfId="6003"/>
    <cellStyle name="Input 4 2 2 9" xfId="4318"/>
    <cellStyle name="Input 4 2 2 9 2" xfId="13646"/>
    <cellStyle name="Input 4 2 2 9 3" xfId="18056"/>
    <cellStyle name="Input 4 2 2 9_Table" xfId="6004"/>
    <cellStyle name="Input 4 2 2_Table" xfId="5995"/>
    <cellStyle name="Input 4 2 3" xfId="1008"/>
    <cellStyle name="Input 4 2 3 2" xfId="10336"/>
    <cellStyle name="Input 4 2 3 3" xfId="14746"/>
    <cellStyle name="Input 4 2 3_Table" xfId="6005"/>
    <cellStyle name="Input 4 2 4" xfId="1372"/>
    <cellStyle name="Input 4 2 4 2" xfId="10700"/>
    <cellStyle name="Input 4 2 4 3" xfId="15110"/>
    <cellStyle name="Input 4 2 4_Table" xfId="6006"/>
    <cellStyle name="Input 4 2 5" xfId="1197"/>
    <cellStyle name="Input 4 2 5 2" xfId="10525"/>
    <cellStyle name="Input 4 2 5 3" xfId="14935"/>
    <cellStyle name="Input 4 2 5_Table" xfId="6007"/>
    <cellStyle name="Input 4 2 6" xfId="1031"/>
    <cellStyle name="Input 4 2 6 2" xfId="10359"/>
    <cellStyle name="Input 4 2 6 3" xfId="14769"/>
    <cellStyle name="Input 4 2 6_Table" xfId="6008"/>
    <cellStyle name="Input 4 2 7" xfId="1314"/>
    <cellStyle name="Input 4 2 7 2" xfId="10642"/>
    <cellStyle name="Input 4 2 7 3" xfId="15052"/>
    <cellStyle name="Input 4 2 7_Table" xfId="6009"/>
    <cellStyle name="Input 4 2 8" xfId="3513"/>
    <cellStyle name="Input 4 2 8 2" xfId="12841"/>
    <cellStyle name="Input 4 2 8 3" xfId="17251"/>
    <cellStyle name="Input 4 2 8_Table" xfId="6010"/>
    <cellStyle name="Input 4 2 9" xfId="3081"/>
    <cellStyle name="Input 4 2 9 2" xfId="12409"/>
    <cellStyle name="Input 4 2 9 3" xfId="16819"/>
    <cellStyle name="Input 4 2 9_Table" xfId="6011"/>
    <cellStyle name="Input 4 2_Table" xfId="5993"/>
    <cellStyle name="Input 4 3" xfId="472"/>
    <cellStyle name="Input 4 3 10" xfId="4499"/>
    <cellStyle name="Input 4 3 10 2" xfId="13827"/>
    <cellStyle name="Input 4 3 10 3" xfId="18237"/>
    <cellStyle name="Input 4 3 10_Table" xfId="6013"/>
    <cellStyle name="Input 4 3 11" xfId="9800"/>
    <cellStyle name="Input 4 3 12" xfId="14277"/>
    <cellStyle name="Input 4 3 2" xfId="764"/>
    <cellStyle name="Input 4 3 2 10" xfId="4724"/>
    <cellStyle name="Input 4 3 2 10 2" xfId="14052"/>
    <cellStyle name="Input 4 3 2 10 3" xfId="18462"/>
    <cellStyle name="Input 4 3 2 10_Table" xfId="6015"/>
    <cellStyle name="Input 4 3 2 11" xfId="10092"/>
    <cellStyle name="Input 4 3 2 12" xfId="14502"/>
    <cellStyle name="Input 4 3 2 2" xfId="1550"/>
    <cellStyle name="Input 4 3 2 2 2" xfId="10878"/>
    <cellStyle name="Input 4 3 2 2 3" xfId="15288"/>
    <cellStyle name="Input 4 3 2 2_Table" xfId="6016"/>
    <cellStyle name="Input 4 3 2 3" xfId="1910"/>
    <cellStyle name="Input 4 3 2 3 2" xfId="11238"/>
    <cellStyle name="Input 4 3 2 3 3" xfId="15648"/>
    <cellStyle name="Input 4 3 2 3_Table" xfId="6017"/>
    <cellStyle name="Input 4 3 2 4" xfId="2340"/>
    <cellStyle name="Input 4 3 2 4 2" xfId="11668"/>
    <cellStyle name="Input 4 3 2 4 3" xfId="16078"/>
    <cellStyle name="Input 4 3 2 4_Table" xfId="6018"/>
    <cellStyle name="Input 4 3 2 5" xfId="2778"/>
    <cellStyle name="Input 4 3 2 5 2" xfId="12106"/>
    <cellStyle name="Input 4 3 2 5 3" xfId="16516"/>
    <cellStyle name="Input 4 3 2 5_Table" xfId="6019"/>
    <cellStyle name="Input 4 3 2 6" xfId="3185"/>
    <cellStyle name="Input 4 3 2 6 2" xfId="12513"/>
    <cellStyle name="Input 4 3 2 6 3" xfId="16923"/>
    <cellStyle name="Input 4 3 2 6_Table" xfId="6020"/>
    <cellStyle name="Input 4 3 2 7" xfId="3777"/>
    <cellStyle name="Input 4 3 2 7 2" xfId="13105"/>
    <cellStyle name="Input 4 3 2 7 3" xfId="17515"/>
    <cellStyle name="Input 4 3 2 7_Table" xfId="6021"/>
    <cellStyle name="Input 4 3 2 8" xfId="4002"/>
    <cellStyle name="Input 4 3 2 8 2" xfId="13330"/>
    <cellStyle name="Input 4 3 2 8 3" xfId="17740"/>
    <cellStyle name="Input 4 3 2 8_Table" xfId="6022"/>
    <cellStyle name="Input 4 3 2 9" xfId="4363"/>
    <cellStyle name="Input 4 3 2 9 2" xfId="13691"/>
    <cellStyle name="Input 4 3 2 9 3" xfId="18101"/>
    <cellStyle name="Input 4 3 2 9_Table" xfId="6023"/>
    <cellStyle name="Input 4 3 2_Table" xfId="6014"/>
    <cellStyle name="Input 4 3 3" xfId="942"/>
    <cellStyle name="Input 4 3 3 2" xfId="10270"/>
    <cellStyle name="Input 4 3 3 3" xfId="14680"/>
    <cellStyle name="Input 4 3 3_Table" xfId="6024"/>
    <cellStyle name="Input 4 3 4" xfId="2063"/>
    <cellStyle name="Input 4 3 4 2" xfId="11391"/>
    <cellStyle name="Input 4 3 4 3" xfId="15801"/>
    <cellStyle name="Input 4 3 4_Table" xfId="6025"/>
    <cellStyle name="Input 4 3 5" xfId="2495"/>
    <cellStyle name="Input 4 3 5 2" xfId="11823"/>
    <cellStyle name="Input 4 3 5 3" xfId="16233"/>
    <cellStyle name="Input 4 3 5_Table" xfId="6026"/>
    <cellStyle name="Input 4 3 6" xfId="2924"/>
    <cellStyle name="Input 4 3 6 2" xfId="12252"/>
    <cellStyle name="Input 4 3 6 3" xfId="16662"/>
    <cellStyle name="Input 4 3 6_Table" xfId="6027"/>
    <cellStyle name="Input 4 3 7" xfId="3336"/>
    <cellStyle name="Input 4 3 7 2" xfId="12664"/>
    <cellStyle name="Input 4 3 7 3" xfId="17074"/>
    <cellStyle name="Input 4 3 7_Table" xfId="6028"/>
    <cellStyle name="Input 4 3 8" xfId="3312"/>
    <cellStyle name="Input 4 3 8 2" xfId="12640"/>
    <cellStyle name="Input 4 3 8 3" xfId="17050"/>
    <cellStyle name="Input 4 3 8_Table" xfId="6029"/>
    <cellStyle name="Input 4 3 9" xfId="4138"/>
    <cellStyle name="Input 4 3 9 2" xfId="13466"/>
    <cellStyle name="Input 4 3 9 3" xfId="17876"/>
    <cellStyle name="Input 4 3 9_Table" xfId="6030"/>
    <cellStyle name="Input 4 3_Table" xfId="6012"/>
    <cellStyle name="Input 4 4" xfId="536"/>
    <cellStyle name="Input 4 4 10" xfId="4544"/>
    <cellStyle name="Input 4 4 10 2" xfId="13872"/>
    <cellStyle name="Input 4 4 10 3" xfId="18282"/>
    <cellStyle name="Input 4 4 10_Table" xfId="6032"/>
    <cellStyle name="Input 4 4 11" xfId="9864"/>
    <cellStyle name="Input 4 4 12" xfId="14322"/>
    <cellStyle name="Input 4 4 2" xfId="809"/>
    <cellStyle name="Input 4 4 2 10" xfId="4769"/>
    <cellStyle name="Input 4 4 2 10 2" xfId="14097"/>
    <cellStyle name="Input 4 4 2 10 3" xfId="18507"/>
    <cellStyle name="Input 4 4 2 10_Table" xfId="6034"/>
    <cellStyle name="Input 4 4 2 11" xfId="10137"/>
    <cellStyle name="Input 4 4 2 12" xfId="14547"/>
    <cellStyle name="Input 4 4 2 2" xfId="1595"/>
    <cellStyle name="Input 4 4 2 2 2" xfId="10923"/>
    <cellStyle name="Input 4 4 2 2 3" xfId="15333"/>
    <cellStyle name="Input 4 4 2 2_Table" xfId="6035"/>
    <cellStyle name="Input 4 4 2 3" xfId="1955"/>
    <cellStyle name="Input 4 4 2 3 2" xfId="11283"/>
    <cellStyle name="Input 4 4 2 3 3" xfId="15693"/>
    <cellStyle name="Input 4 4 2 3_Table" xfId="6036"/>
    <cellStyle name="Input 4 4 2 4" xfId="2385"/>
    <cellStyle name="Input 4 4 2 4 2" xfId="11713"/>
    <cellStyle name="Input 4 4 2 4 3" xfId="16123"/>
    <cellStyle name="Input 4 4 2 4_Table" xfId="6037"/>
    <cellStyle name="Input 4 4 2 5" xfId="2823"/>
    <cellStyle name="Input 4 4 2 5 2" xfId="12151"/>
    <cellStyle name="Input 4 4 2 5 3" xfId="16561"/>
    <cellStyle name="Input 4 4 2 5_Table" xfId="6038"/>
    <cellStyle name="Input 4 4 2 6" xfId="3230"/>
    <cellStyle name="Input 4 4 2 6 2" xfId="12558"/>
    <cellStyle name="Input 4 4 2 6 3" xfId="16968"/>
    <cellStyle name="Input 4 4 2 6_Table" xfId="6039"/>
    <cellStyle name="Input 4 4 2 7" xfId="3822"/>
    <cellStyle name="Input 4 4 2 7 2" xfId="13150"/>
    <cellStyle name="Input 4 4 2 7 3" xfId="17560"/>
    <cellStyle name="Input 4 4 2 7_Table" xfId="6040"/>
    <cellStyle name="Input 4 4 2 8" xfId="4047"/>
    <cellStyle name="Input 4 4 2 8 2" xfId="13375"/>
    <cellStyle name="Input 4 4 2 8 3" xfId="17785"/>
    <cellStyle name="Input 4 4 2 8_Table" xfId="6041"/>
    <cellStyle name="Input 4 4 2 9" xfId="4408"/>
    <cellStyle name="Input 4 4 2 9 2" xfId="13736"/>
    <cellStyle name="Input 4 4 2 9 3" xfId="18146"/>
    <cellStyle name="Input 4 4 2 9_Table" xfId="6042"/>
    <cellStyle name="Input 4 4 2_Table" xfId="6033"/>
    <cellStyle name="Input 4 4 3" xfId="1688"/>
    <cellStyle name="Input 4 4 3 2" xfId="11016"/>
    <cellStyle name="Input 4 4 3 3" xfId="15426"/>
    <cellStyle name="Input 4 4 3_Table" xfId="6043"/>
    <cellStyle name="Input 4 4 4" xfId="2122"/>
    <cellStyle name="Input 4 4 4 2" xfId="11450"/>
    <cellStyle name="Input 4 4 4 3" xfId="15860"/>
    <cellStyle name="Input 4 4 4_Table" xfId="6044"/>
    <cellStyle name="Input 4 4 5" xfId="2554"/>
    <cellStyle name="Input 4 4 5 2" xfId="11882"/>
    <cellStyle name="Input 4 4 5 3" xfId="16292"/>
    <cellStyle name="Input 4 4 5_Table" xfId="6045"/>
    <cellStyle name="Input 4 4 6" xfId="2981"/>
    <cellStyle name="Input 4 4 6 2" xfId="12309"/>
    <cellStyle name="Input 4 4 6 3" xfId="16719"/>
    <cellStyle name="Input 4 4 6_Table" xfId="6046"/>
    <cellStyle name="Input 4 4 7" xfId="3394"/>
    <cellStyle name="Input 4 4 7 2" xfId="12722"/>
    <cellStyle name="Input 4 4 7 3" xfId="17132"/>
    <cellStyle name="Input 4 4 7_Table" xfId="6047"/>
    <cellStyle name="Input 4 4 8" xfId="3560"/>
    <cellStyle name="Input 4 4 8 2" xfId="12888"/>
    <cellStyle name="Input 4 4 8 3" xfId="17298"/>
    <cellStyle name="Input 4 4 8_Table" xfId="6048"/>
    <cellStyle name="Input 4 4 9" xfId="4183"/>
    <cellStyle name="Input 4 4 9 2" xfId="13511"/>
    <cellStyle name="Input 4 4 9 3" xfId="17921"/>
    <cellStyle name="Input 4 4 9_Table" xfId="6049"/>
    <cellStyle name="Input 4 4_Table" xfId="6031"/>
    <cellStyle name="Input 4 5" xfId="611"/>
    <cellStyle name="Input 4 5 10" xfId="4589"/>
    <cellStyle name="Input 4 5 10 2" xfId="13917"/>
    <cellStyle name="Input 4 5 10 3" xfId="18327"/>
    <cellStyle name="Input 4 5 10_Table" xfId="6051"/>
    <cellStyle name="Input 4 5 11" xfId="9939"/>
    <cellStyle name="Input 4 5 12" xfId="14367"/>
    <cellStyle name="Input 4 5 2" xfId="854"/>
    <cellStyle name="Input 4 5 2 10" xfId="4814"/>
    <cellStyle name="Input 4 5 2 10 2" xfId="14142"/>
    <cellStyle name="Input 4 5 2 10 3" xfId="18552"/>
    <cellStyle name="Input 4 5 2 10_Table" xfId="6053"/>
    <cellStyle name="Input 4 5 2 11" xfId="10182"/>
    <cellStyle name="Input 4 5 2 12" xfId="14592"/>
    <cellStyle name="Input 4 5 2 2" xfId="1640"/>
    <cellStyle name="Input 4 5 2 2 2" xfId="10968"/>
    <cellStyle name="Input 4 5 2 2 3" xfId="15378"/>
    <cellStyle name="Input 4 5 2 2_Table" xfId="6054"/>
    <cellStyle name="Input 4 5 2 3" xfId="2000"/>
    <cellStyle name="Input 4 5 2 3 2" xfId="11328"/>
    <cellStyle name="Input 4 5 2 3 3" xfId="15738"/>
    <cellStyle name="Input 4 5 2 3_Table" xfId="6055"/>
    <cellStyle name="Input 4 5 2 4" xfId="2430"/>
    <cellStyle name="Input 4 5 2 4 2" xfId="11758"/>
    <cellStyle name="Input 4 5 2 4 3" xfId="16168"/>
    <cellStyle name="Input 4 5 2 4_Table" xfId="6056"/>
    <cellStyle name="Input 4 5 2 5" xfId="2868"/>
    <cellStyle name="Input 4 5 2 5 2" xfId="12196"/>
    <cellStyle name="Input 4 5 2 5 3" xfId="16606"/>
    <cellStyle name="Input 4 5 2 5_Table" xfId="6057"/>
    <cellStyle name="Input 4 5 2 6" xfId="3275"/>
    <cellStyle name="Input 4 5 2 6 2" xfId="12603"/>
    <cellStyle name="Input 4 5 2 6 3" xfId="17013"/>
    <cellStyle name="Input 4 5 2 6_Table" xfId="6058"/>
    <cellStyle name="Input 4 5 2 7" xfId="3867"/>
    <cellStyle name="Input 4 5 2 7 2" xfId="13195"/>
    <cellStyle name="Input 4 5 2 7 3" xfId="17605"/>
    <cellStyle name="Input 4 5 2 7_Table" xfId="6059"/>
    <cellStyle name="Input 4 5 2 8" xfId="4092"/>
    <cellStyle name="Input 4 5 2 8 2" xfId="13420"/>
    <cellStyle name="Input 4 5 2 8 3" xfId="17830"/>
    <cellStyle name="Input 4 5 2 8_Table" xfId="6060"/>
    <cellStyle name="Input 4 5 2 9" xfId="4453"/>
    <cellStyle name="Input 4 5 2 9 2" xfId="13781"/>
    <cellStyle name="Input 4 5 2 9 3" xfId="18191"/>
    <cellStyle name="Input 4 5 2 9_Table" xfId="6061"/>
    <cellStyle name="Input 4 5 2_Table" xfId="6052"/>
    <cellStyle name="Input 4 5 3" xfId="1758"/>
    <cellStyle name="Input 4 5 3 2" xfId="11086"/>
    <cellStyle name="Input 4 5 3 3" xfId="15496"/>
    <cellStyle name="Input 4 5 3_Table" xfId="6062"/>
    <cellStyle name="Input 4 5 4" xfId="2191"/>
    <cellStyle name="Input 4 5 4 2" xfId="11519"/>
    <cellStyle name="Input 4 5 4 3" xfId="15929"/>
    <cellStyle name="Input 4 5 4_Table" xfId="6063"/>
    <cellStyle name="Input 4 5 5" xfId="2626"/>
    <cellStyle name="Input 4 5 5 2" xfId="11954"/>
    <cellStyle name="Input 4 5 5 3" xfId="16364"/>
    <cellStyle name="Input 4 5 5_Table" xfId="6064"/>
    <cellStyle name="Input 4 5 6" xfId="3039"/>
    <cellStyle name="Input 4 5 6 2" xfId="12367"/>
    <cellStyle name="Input 4 5 6 3" xfId="16777"/>
    <cellStyle name="Input 4 5 6_Table" xfId="6065"/>
    <cellStyle name="Input 4 5 7" xfId="3465"/>
    <cellStyle name="Input 4 5 7 2" xfId="12793"/>
    <cellStyle name="Input 4 5 7 3" xfId="17203"/>
    <cellStyle name="Input 4 5 7_Table" xfId="6066"/>
    <cellStyle name="Input 4 5 8" xfId="2465"/>
    <cellStyle name="Input 4 5 8 2" xfId="11793"/>
    <cellStyle name="Input 4 5 8 3" xfId="16203"/>
    <cellStyle name="Input 4 5 8_Table" xfId="6067"/>
    <cellStyle name="Input 4 5 9" xfId="4228"/>
    <cellStyle name="Input 4 5 9 2" xfId="13556"/>
    <cellStyle name="Input 4 5 9 3" xfId="17966"/>
    <cellStyle name="Input 4 5 9_Table" xfId="6068"/>
    <cellStyle name="Input 4 5_Table" xfId="6050"/>
    <cellStyle name="Input 4 6" xfId="674"/>
    <cellStyle name="Input 4 6 10" xfId="4634"/>
    <cellStyle name="Input 4 6 10 2" xfId="13962"/>
    <cellStyle name="Input 4 6 10 3" xfId="18372"/>
    <cellStyle name="Input 4 6 10_Table" xfId="6070"/>
    <cellStyle name="Input 4 6 11" xfId="10002"/>
    <cellStyle name="Input 4 6 12" xfId="14412"/>
    <cellStyle name="Input 4 6 2" xfId="1460"/>
    <cellStyle name="Input 4 6 2 2" xfId="10788"/>
    <cellStyle name="Input 4 6 2 3" xfId="15198"/>
    <cellStyle name="Input 4 6 2_Table" xfId="6071"/>
    <cellStyle name="Input 4 6 3" xfId="1820"/>
    <cellStyle name="Input 4 6 3 2" xfId="11148"/>
    <cellStyle name="Input 4 6 3 3" xfId="15558"/>
    <cellStyle name="Input 4 6 3_Table" xfId="6072"/>
    <cellStyle name="Input 4 6 4" xfId="2250"/>
    <cellStyle name="Input 4 6 4 2" xfId="11578"/>
    <cellStyle name="Input 4 6 4 3" xfId="15988"/>
    <cellStyle name="Input 4 6 4_Table" xfId="6073"/>
    <cellStyle name="Input 4 6 5" xfId="2688"/>
    <cellStyle name="Input 4 6 5 2" xfId="12016"/>
    <cellStyle name="Input 4 6 5 3" xfId="16426"/>
    <cellStyle name="Input 4 6 5_Table" xfId="6074"/>
    <cellStyle name="Input 4 6 6" xfId="3095"/>
    <cellStyle name="Input 4 6 6 2" xfId="12423"/>
    <cellStyle name="Input 4 6 6 3" xfId="16833"/>
    <cellStyle name="Input 4 6 6_Table" xfId="6075"/>
    <cellStyle name="Input 4 6 7" xfId="3687"/>
    <cellStyle name="Input 4 6 7 2" xfId="13015"/>
    <cellStyle name="Input 4 6 7 3" xfId="17425"/>
    <cellStyle name="Input 4 6 7_Table" xfId="6076"/>
    <cellStyle name="Input 4 6 8" xfId="3912"/>
    <cellStyle name="Input 4 6 8 2" xfId="13240"/>
    <cellStyle name="Input 4 6 8 3" xfId="17650"/>
    <cellStyle name="Input 4 6 8_Table" xfId="6077"/>
    <cellStyle name="Input 4 6 9" xfId="4273"/>
    <cellStyle name="Input 4 6 9 2" xfId="13601"/>
    <cellStyle name="Input 4 6 9 3" xfId="18011"/>
    <cellStyle name="Input 4 6 9_Table" xfId="6078"/>
    <cellStyle name="Input 4 6_Table" xfId="6069"/>
    <cellStyle name="Input 4 7" xfId="1091"/>
    <cellStyle name="Input 4 7 2" xfId="10419"/>
    <cellStyle name="Input 4 7 3" xfId="14829"/>
    <cellStyle name="Input 4 7_Table" xfId="6079"/>
    <cellStyle name="Input 4 8" xfId="1161"/>
    <cellStyle name="Input 4 8 2" xfId="10489"/>
    <cellStyle name="Input 4 8 3" xfId="14899"/>
    <cellStyle name="Input 4 8_Table" xfId="6080"/>
    <cellStyle name="Input 4 9" xfId="1081"/>
    <cellStyle name="Input 4 9 2" xfId="10409"/>
    <cellStyle name="Input 4 9 3" xfId="14819"/>
    <cellStyle name="Input 4 9_Table" xfId="6081"/>
    <cellStyle name="Input 4_Table" xfId="5987"/>
    <cellStyle name="Input 5" xfId="311"/>
    <cellStyle name="Input 5 10" xfId="890"/>
    <cellStyle name="Input 5 10 2" xfId="10218"/>
    <cellStyle name="Input 5 10 3" xfId="14628"/>
    <cellStyle name="Input 5 10_Table" xfId="6083"/>
    <cellStyle name="Input 5 11" xfId="956"/>
    <cellStyle name="Input 5 11 2" xfId="10284"/>
    <cellStyle name="Input 5 11 3" xfId="14694"/>
    <cellStyle name="Input 5 11_Table" xfId="6084"/>
    <cellStyle name="Input 5 12" xfId="3584"/>
    <cellStyle name="Input 5 12 2" xfId="12912"/>
    <cellStyle name="Input 5 12 3" xfId="17322"/>
    <cellStyle name="Input 5 12_Table" xfId="6085"/>
    <cellStyle name="Input 5 13" xfId="1085"/>
    <cellStyle name="Input 5 13 2" xfId="10413"/>
    <cellStyle name="Input 5 13 3" xfId="14823"/>
    <cellStyle name="Input 5 13_Table" xfId="6086"/>
    <cellStyle name="Input 5 14" xfId="3617"/>
    <cellStyle name="Input 5 14 2" xfId="12945"/>
    <cellStyle name="Input 5 14 3" xfId="17355"/>
    <cellStyle name="Input 5 14_Table" xfId="6087"/>
    <cellStyle name="Input 5 15" xfId="9639"/>
    <cellStyle name="Input 5 16" xfId="14188"/>
    <cellStyle name="Input 5 2" xfId="405"/>
    <cellStyle name="Input 5 2 10" xfId="3555"/>
    <cellStyle name="Input 5 2 10 2" xfId="12883"/>
    <cellStyle name="Input 5 2 10 3" xfId="17293"/>
    <cellStyle name="Input 5 2 10_Table" xfId="6089"/>
    <cellStyle name="Input 5 2 11" xfId="9733"/>
    <cellStyle name="Input 5 2 12" xfId="14233"/>
    <cellStyle name="Input 5 2 2" xfId="720"/>
    <cellStyle name="Input 5 2 2 10" xfId="4680"/>
    <cellStyle name="Input 5 2 2 10 2" xfId="14008"/>
    <cellStyle name="Input 5 2 2 10 3" xfId="18418"/>
    <cellStyle name="Input 5 2 2 10_Table" xfId="6091"/>
    <cellStyle name="Input 5 2 2 11" xfId="10048"/>
    <cellStyle name="Input 5 2 2 12" xfId="14458"/>
    <cellStyle name="Input 5 2 2 2" xfId="1506"/>
    <cellStyle name="Input 5 2 2 2 2" xfId="10834"/>
    <cellStyle name="Input 5 2 2 2 3" xfId="15244"/>
    <cellStyle name="Input 5 2 2 2_Table" xfId="6092"/>
    <cellStyle name="Input 5 2 2 3" xfId="1866"/>
    <cellStyle name="Input 5 2 2 3 2" xfId="11194"/>
    <cellStyle name="Input 5 2 2 3 3" xfId="15604"/>
    <cellStyle name="Input 5 2 2 3_Table" xfId="6093"/>
    <cellStyle name="Input 5 2 2 4" xfId="2296"/>
    <cellStyle name="Input 5 2 2 4 2" xfId="11624"/>
    <cellStyle name="Input 5 2 2 4 3" xfId="16034"/>
    <cellStyle name="Input 5 2 2 4_Table" xfId="6094"/>
    <cellStyle name="Input 5 2 2 5" xfId="2734"/>
    <cellStyle name="Input 5 2 2 5 2" xfId="12062"/>
    <cellStyle name="Input 5 2 2 5 3" xfId="16472"/>
    <cellStyle name="Input 5 2 2 5_Table" xfId="6095"/>
    <cellStyle name="Input 5 2 2 6" xfId="3141"/>
    <cellStyle name="Input 5 2 2 6 2" xfId="12469"/>
    <cellStyle name="Input 5 2 2 6 3" xfId="16879"/>
    <cellStyle name="Input 5 2 2 6_Table" xfId="6096"/>
    <cellStyle name="Input 5 2 2 7" xfId="3733"/>
    <cellStyle name="Input 5 2 2 7 2" xfId="13061"/>
    <cellStyle name="Input 5 2 2 7 3" xfId="17471"/>
    <cellStyle name="Input 5 2 2 7_Table" xfId="6097"/>
    <cellStyle name="Input 5 2 2 8" xfId="3958"/>
    <cellStyle name="Input 5 2 2 8 2" xfId="13286"/>
    <cellStyle name="Input 5 2 2 8 3" xfId="17696"/>
    <cellStyle name="Input 5 2 2 8_Table" xfId="6098"/>
    <cellStyle name="Input 5 2 2 9" xfId="4319"/>
    <cellStyle name="Input 5 2 2 9 2" xfId="13647"/>
    <cellStyle name="Input 5 2 2 9 3" xfId="18057"/>
    <cellStyle name="Input 5 2 2 9_Table" xfId="6099"/>
    <cellStyle name="Input 5 2 2_Table" xfId="6090"/>
    <cellStyle name="Input 5 2 3" xfId="1007"/>
    <cellStyle name="Input 5 2 3 2" xfId="10335"/>
    <cellStyle name="Input 5 2 3 3" xfId="14745"/>
    <cellStyle name="Input 5 2 3_Table" xfId="6100"/>
    <cellStyle name="Input 5 2 4" xfId="1437"/>
    <cellStyle name="Input 5 2 4 2" xfId="10765"/>
    <cellStyle name="Input 5 2 4 3" xfId="15175"/>
    <cellStyle name="Input 5 2 4_Table" xfId="6101"/>
    <cellStyle name="Input 5 2 5" xfId="1073"/>
    <cellStyle name="Input 5 2 5 2" xfId="10401"/>
    <cellStyle name="Input 5 2 5 3" xfId="14811"/>
    <cellStyle name="Input 5 2 5_Table" xfId="6102"/>
    <cellStyle name="Input 5 2 6" xfId="1391"/>
    <cellStyle name="Input 5 2 6 2" xfId="10719"/>
    <cellStyle name="Input 5 2 6 3" xfId="15129"/>
    <cellStyle name="Input 5 2 6_Table" xfId="6103"/>
    <cellStyle name="Input 5 2 7" xfId="1735"/>
    <cellStyle name="Input 5 2 7 2" xfId="11063"/>
    <cellStyle name="Input 5 2 7 3" xfId="15473"/>
    <cellStyle name="Input 5 2 7_Table" xfId="6104"/>
    <cellStyle name="Input 5 2 8" xfId="3074"/>
    <cellStyle name="Input 5 2 8 2" xfId="12402"/>
    <cellStyle name="Input 5 2 8 3" xfId="16812"/>
    <cellStyle name="Input 5 2 8_Table" xfId="6105"/>
    <cellStyle name="Input 5 2 9" xfId="3022"/>
    <cellStyle name="Input 5 2 9 2" xfId="12350"/>
    <cellStyle name="Input 5 2 9 3" xfId="16760"/>
    <cellStyle name="Input 5 2 9_Table" xfId="6106"/>
    <cellStyle name="Input 5 2_Table" xfId="6088"/>
    <cellStyle name="Input 5 3" xfId="473"/>
    <cellStyle name="Input 5 3 10" xfId="4500"/>
    <cellStyle name="Input 5 3 10 2" xfId="13828"/>
    <cellStyle name="Input 5 3 10 3" xfId="18238"/>
    <cellStyle name="Input 5 3 10_Table" xfId="6108"/>
    <cellStyle name="Input 5 3 11" xfId="9801"/>
    <cellStyle name="Input 5 3 12" xfId="14278"/>
    <cellStyle name="Input 5 3 2" xfId="765"/>
    <cellStyle name="Input 5 3 2 10" xfId="4725"/>
    <cellStyle name="Input 5 3 2 10 2" xfId="14053"/>
    <cellStyle name="Input 5 3 2 10 3" xfId="18463"/>
    <cellStyle name="Input 5 3 2 10_Table" xfId="6110"/>
    <cellStyle name="Input 5 3 2 11" xfId="10093"/>
    <cellStyle name="Input 5 3 2 12" xfId="14503"/>
    <cellStyle name="Input 5 3 2 2" xfId="1551"/>
    <cellStyle name="Input 5 3 2 2 2" xfId="10879"/>
    <cellStyle name="Input 5 3 2 2 3" xfId="15289"/>
    <cellStyle name="Input 5 3 2 2_Table" xfId="6111"/>
    <cellStyle name="Input 5 3 2 3" xfId="1911"/>
    <cellStyle name="Input 5 3 2 3 2" xfId="11239"/>
    <cellStyle name="Input 5 3 2 3 3" xfId="15649"/>
    <cellStyle name="Input 5 3 2 3_Table" xfId="6112"/>
    <cellStyle name="Input 5 3 2 4" xfId="2341"/>
    <cellStyle name="Input 5 3 2 4 2" xfId="11669"/>
    <cellStyle name="Input 5 3 2 4 3" xfId="16079"/>
    <cellStyle name="Input 5 3 2 4_Table" xfId="6113"/>
    <cellStyle name="Input 5 3 2 5" xfId="2779"/>
    <cellStyle name="Input 5 3 2 5 2" xfId="12107"/>
    <cellStyle name="Input 5 3 2 5 3" xfId="16517"/>
    <cellStyle name="Input 5 3 2 5_Table" xfId="6114"/>
    <cellStyle name="Input 5 3 2 6" xfId="3186"/>
    <cellStyle name="Input 5 3 2 6 2" xfId="12514"/>
    <cellStyle name="Input 5 3 2 6 3" xfId="16924"/>
    <cellStyle name="Input 5 3 2 6_Table" xfId="6115"/>
    <cellStyle name="Input 5 3 2 7" xfId="3778"/>
    <cellStyle name="Input 5 3 2 7 2" xfId="13106"/>
    <cellStyle name="Input 5 3 2 7 3" xfId="17516"/>
    <cellStyle name="Input 5 3 2 7_Table" xfId="6116"/>
    <cellStyle name="Input 5 3 2 8" xfId="4003"/>
    <cellStyle name="Input 5 3 2 8 2" xfId="13331"/>
    <cellStyle name="Input 5 3 2 8 3" xfId="17741"/>
    <cellStyle name="Input 5 3 2 8_Table" xfId="6117"/>
    <cellStyle name="Input 5 3 2 9" xfId="4364"/>
    <cellStyle name="Input 5 3 2 9 2" xfId="13692"/>
    <cellStyle name="Input 5 3 2 9 3" xfId="18102"/>
    <cellStyle name="Input 5 3 2 9_Table" xfId="6118"/>
    <cellStyle name="Input 5 3 2_Table" xfId="6109"/>
    <cellStyle name="Input 5 3 3" xfId="941"/>
    <cellStyle name="Input 5 3 3 2" xfId="10269"/>
    <cellStyle name="Input 5 3 3 3" xfId="14679"/>
    <cellStyle name="Input 5 3 3_Table" xfId="6119"/>
    <cellStyle name="Input 5 3 4" xfId="2064"/>
    <cellStyle name="Input 5 3 4 2" xfId="11392"/>
    <cellStyle name="Input 5 3 4 3" xfId="15802"/>
    <cellStyle name="Input 5 3 4_Table" xfId="6120"/>
    <cellStyle name="Input 5 3 5" xfId="2496"/>
    <cellStyle name="Input 5 3 5 2" xfId="11824"/>
    <cellStyle name="Input 5 3 5 3" xfId="16234"/>
    <cellStyle name="Input 5 3 5_Table" xfId="6121"/>
    <cellStyle name="Input 5 3 6" xfId="2925"/>
    <cellStyle name="Input 5 3 6 2" xfId="12253"/>
    <cellStyle name="Input 5 3 6 3" xfId="16663"/>
    <cellStyle name="Input 5 3 6_Table" xfId="6122"/>
    <cellStyle name="Input 5 3 7" xfId="3337"/>
    <cellStyle name="Input 5 3 7 2" xfId="12665"/>
    <cellStyle name="Input 5 3 7 3" xfId="17075"/>
    <cellStyle name="Input 5 3 7_Table" xfId="6123"/>
    <cellStyle name="Input 5 3 8" xfId="3318"/>
    <cellStyle name="Input 5 3 8 2" xfId="12646"/>
    <cellStyle name="Input 5 3 8 3" xfId="17056"/>
    <cellStyle name="Input 5 3 8_Table" xfId="6124"/>
    <cellStyle name="Input 5 3 9" xfId="4139"/>
    <cellStyle name="Input 5 3 9 2" xfId="13467"/>
    <cellStyle name="Input 5 3 9 3" xfId="17877"/>
    <cellStyle name="Input 5 3 9_Table" xfId="6125"/>
    <cellStyle name="Input 5 3_Table" xfId="6107"/>
    <cellStyle name="Input 5 4" xfId="537"/>
    <cellStyle name="Input 5 4 10" xfId="4545"/>
    <cellStyle name="Input 5 4 10 2" xfId="13873"/>
    <cellStyle name="Input 5 4 10 3" xfId="18283"/>
    <cellStyle name="Input 5 4 10_Table" xfId="6127"/>
    <cellStyle name="Input 5 4 11" xfId="9865"/>
    <cellStyle name="Input 5 4 12" xfId="14323"/>
    <cellStyle name="Input 5 4 2" xfId="810"/>
    <cellStyle name="Input 5 4 2 10" xfId="4770"/>
    <cellStyle name="Input 5 4 2 10 2" xfId="14098"/>
    <cellStyle name="Input 5 4 2 10 3" xfId="18508"/>
    <cellStyle name="Input 5 4 2 10_Table" xfId="6129"/>
    <cellStyle name="Input 5 4 2 11" xfId="10138"/>
    <cellStyle name="Input 5 4 2 12" xfId="14548"/>
    <cellStyle name="Input 5 4 2 2" xfId="1596"/>
    <cellStyle name="Input 5 4 2 2 2" xfId="10924"/>
    <cellStyle name="Input 5 4 2 2 3" xfId="15334"/>
    <cellStyle name="Input 5 4 2 2_Table" xfId="6130"/>
    <cellStyle name="Input 5 4 2 3" xfId="1956"/>
    <cellStyle name="Input 5 4 2 3 2" xfId="11284"/>
    <cellStyle name="Input 5 4 2 3 3" xfId="15694"/>
    <cellStyle name="Input 5 4 2 3_Table" xfId="6131"/>
    <cellStyle name="Input 5 4 2 4" xfId="2386"/>
    <cellStyle name="Input 5 4 2 4 2" xfId="11714"/>
    <cellStyle name="Input 5 4 2 4 3" xfId="16124"/>
    <cellStyle name="Input 5 4 2 4_Table" xfId="6132"/>
    <cellStyle name="Input 5 4 2 5" xfId="2824"/>
    <cellStyle name="Input 5 4 2 5 2" xfId="12152"/>
    <cellStyle name="Input 5 4 2 5 3" xfId="16562"/>
    <cellStyle name="Input 5 4 2 5_Table" xfId="6133"/>
    <cellStyle name="Input 5 4 2 6" xfId="3231"/>
    <cellStyle name="Input 5 4 2 6 2" xfId="12559"/>
    <cellStyle name="Input 5 4 2 6 3" xfId="16969"/>
    <cellStyle name="Input 5 4 2 6_Table" xfId="6134"/>
    <cellStyle name="Input 5 4 2 7" xfId="3823"/>
    <cellStyle name="Input 5 4 2 7 2" xfId="13151"/>
    <cellStyle name="Input 5 4 2 7 3" xfId="17561"/>
    <cellStyle name="Input 5 4 2 7_Table" xfId="6135"/>
    <cellStyle name="Input 5 4 2 8" xfId="4048"/>
    <cellStyle name="Input 5 4 2 8 2" xfId="13376"/>
    <cellStyle name="Input 5 4 2 8 3" xfId="17786"/>
    <cellStyle name="Input 5 4 2 8_Table" xfId="6136"/>
    <cellStyle name="Input 5 4 2 9" xfId="4409"/>
    <cellStyle name="Input 5 4 2 9 2" xfId="13737"/>
    <cellStyle name="Input 5 4 2 9 3" xfId="18147"/>
    <cellStyle name="Input 5 4 2 9_Table" xfId="6137"/>
    <cellStyle name="Input 5 4 2_Table" xfId="6128"/>
    <cellStyle name="Input 5 4 3" xfId="1689"/>
    <cellStyle name="Input 5 4 3 2" xfId="11017"/>
    <cellStyle name="Input 5 4 3 3" xfId="15427"/>
    <cellStyle name="Input 5 4 3_Table" xfId="6138"/>
    <cellStyle name="Input 5 4 4" xfId="2123"/>
    <cellStyle name="Input 5 4 4 2" xfId="11451"/>
    <cellStyle name="Input 5 4 4 3" xfId="15861"/>
    <cellStyle name="Input 5 4 4_Table" xfId="6139"/>
    <cellStyle name="Input 5 4 5" xfId="2555"/>
    <cellStyle name="Input 5 4 5 2" xfId="11883"/>
    <cellStyle name="Input 5 4 5 3" xfId="16293"/>
    <cellStyle name="Input 5 4 5_Table" xfId="6140"/>
    <cellStyle name="Input 5 4 6" xfId="2982"/>
    <cellStyle name="Input 5 4 6 2" xfId="12310"/>
    <cellStyle name="Input 5 4 6 3" xfId="16720"/>
    <cellStyle name="Input 5 4 6_Table" xfId="6141"/>
    <cellStyle name="Input 5 4 7" xfId="3395"/>
    <cellStyle name="Input 5 4 7 2" xfId="12723"/>
    <cellStyle name="Input 5 4 7 3" xfId="17133"/>
    <cellStyle name="Input 5 4 7_Table" xfId="6142"/>
    <cellStyle name="Input 5 4 8" xfId="3593"/>
    <cellStyle name="Input 5 4 8 2" xfId="12921"/>
    <cellStyle name="Input 5 4 8 3" xfId="17331"/>
    <cellStyle name="Input 5 4 8_Table" xfId="6143"/>
    <cellStyle name="Input 5 4 9" xfId="4184"/>
    <cellStyle name="Input 5 4 9 2" xfId="13512"/>
    <cellStyle name="Input 5 4 9 3" xfId="17922"/>
    <cellStyle name="Input 5 4 9_Table" xfId="6144"/>
    <cellStyle name="Input 5 4_Table" xfId="6126"/>
    <cellStyle name="Input 5 5" xfId="612"/>
    <cellStyle name="Input 5 5 10" xfId="4590"/>
    <cellStyle name="Input 5 5 10 2" xfId="13918"/>
    <cellStyle name="Input 5 5 10 3" xfId="18328"/>
    <cellStyle name="Input 5 5 10_Table" xfId="6146"/>
    <cellStyle name="Input 5 5 11" xfId="9940"/>
    <cellStyle name="Input 5 5 12" xfId="14368"/>
    <cellStyle name="Input 5 5 2" xfId="855"/>
    <cellStyle name="Input 5 5 2 10" xfId="4815"/>
    <cellStyle name="Input 5 5 2 10 2" xfId="14143"/>
    <cellStyle name="Input 5 5 2 10 3" xfId="18553"/>
    <cellStyle name="Input 5 5 2 10_Table" xfId="6148"/>
    <cellStyle name="Input 5 5 2 11" xfId="10183"/>
    <cellStyle name="Input 5 5 2 12" xfId="14593"/>
    <cellStyle name="Input 5 5 2 2" xfId="1641"/>
    <cellStyle name="Input 5 5 2 2 2" xfId="10969"/>
    <cellStyle name="Input 5 5 2 2 3" xfId="15379"/>
    <cellStyle name="Input 5 5 2 2_Table" xfId="6149"/>
    <cellStyle name="Input 5 5 2 3" xfId="2001"/>
    <cellStyle name="Input 5 5 2 3 2" xfId="11329"/>
    <cellStyle name="Input 5 5 2 3 3" xfId="15739"/>
    <cellStyle name="Input 5 5 2 3_Table" xfId="6150"/>
    <cellStyle name="Input 5 5 2 4" xfId="2431"/>
    <cellStyle name="Input 5 5 2 4 2" xfId="11759"/>
    <cellStyle name="Input 5 5 2 4 3" xfId="16169"/>
    <cellStyle name="Input 5 5 2 4_Table" xfId="6151"/>
    <cellStyle name="Input 5 5 2 5" xfId="2869"/>
    <cellStyle name="Input 5 5 2 5 2" xfId="12197"/>
    <cellStyle name="Input 5 5 2 5 3" xfId="16607"/>
    <cellStyle name="Input 5 5 2 5_Table" xfId="6152"/>
    <cellStyle name="Input 5 5 2 6" xfId="3276"/>
    <cellStyle name="Input 5 5 2 6 2" xfId="12604"/>
    <cellStyle name="Input 5 5 2 6 3" xfId="17014"/>
    <cellStyle name="Input 5 5 2 6_Table" xfId="6153"/>
    <cellStyle name="Input 5 5 2 7" xfId="3868"/>
    <cellStyle name="Input 5 5 2 7 2" xfId="13196"/>
    <cellStyle name="Input 5 5 2 7 3" xfId="17606"/>
    <cellStyle name="Input 5 5 2 7_Table" xfId="6154"/>
    <cellStyle name="Input 5 5 2 8" xfId="4093"/>
    <cellStyle name="Input 5 5 2 8 2" xfId="13421"/>
    <cellStyle name="Input 5 5 2 8 3" xfId="17831"/>
    <cellStyle name="Input 5 5 2 8_Table" xfId="6155"/>
    <cellStyle name="Input 5 5 2 9" xfId="4454"/>
    <cellStyle name="Input 5 5 2 9 2" xfId="13782"/>
    <cellStyle name="Input 5 5 2 9 3" xfId="18192"/>
    <cellStyle name="Input 5 5 2 9_Table" xfId="6156"/>
    <cellStyle name="Input 5 5 2_Table" xfId="6147"/>
    <cellStyle name="Input 5 5 3" xfId="1759"/>
    <cellStyle name="Input 5 5 3 2" xfId="11087"/>
    <cellStyle name="Input 5 5 3 3" xfId="15497"/>
    <cellStyle name="Input 5 5 3_Table" xfId="6157"/>
    <cellStyle name="Input 5 5 4" xfId="2192"/>
    <cellStyle name="Input 5 5 4 2" xfId="11520"/>
    <cellStyle name="Input 5 5 4 3" xfId="15930"/>
    <cellStyle name="Input 5 5 4_Table" xfId="6158"/>
    <cellStyle name="Input 5 5 5" xfId="2627"/>
    <cellStyle name="Input 5 5 5 2" xfId="11955"/>
    <cellStyle name="Input 5 5 5 3" xfId="16365"/>
    <cellStyle name="Input 5 5 5_Table" xfId="6159"/>
    <cellStyle name="Input 5 5 6" xfId="3040"/>
    <cellStyle name="Input 5 5 6 2" xfId="12368"/>
    <cellStyle name="Input 5 5 6 3" xfId="16778"/>
    <cellStyle name="Input 5 5 6_Table" xfId="6160"/>
    <cellStyle name="Input 5 5 7" xfId="3466"/>
    <cellStyle name="Input 5 5 7 2" xfId="12794"/>
    <cellStyle name="Input 5 5 7 3" xfId="17204"/>
    <cellStyle name="Input 5 5 7_Table" xfId="6161"/>
    <cellStyle name="Input 5 5 8" xfId="2469"/>
    <cellStyle name="Input 5 5 8 2" xfId="11797"/>
    <cellStyle name="Input 5 5 8 3" xfId="16207"/>
    <cellStyle name="Input 5 5 8_Table" xfId="6162"/>
    <cellStyle name="Input 5 5 9" xfId="4229"/>
    <cellStyle name="Input 5 5 9 2" xfId="13557"/>
    <cellStyle name="Input 5 5 9 3" xfId="17967"/>
    <cellStyle name="Input 5 5 9_Table" xfId="6163"/>
    <cellStyle name="Input 5 5_Table" xfId="6145"/>
    <cellStyle name="Input 5 6" xfId="675"/>
    <cellStyle name="Input 5 6 10" xfId="4635"/>
    <cellStyle name="Input 5 6 10 2" xfId="13963"/>
    <cellStyle name="Input 5 6 10 3" xfId="18373"/>
    <cellStyle name="Input 5 6 10_Table" xfId="6165"/>
    <cellStyle name="Input 5 6 11" xfId="10003"/>
    <cellStyle name="Input 5 6 12" xfId="14413"/>
    <cellStyle name="Input 5 6 2" xfId="1461"/>
    <cellStyle name="Input 5 6 2 2" xfId="10789"/>
    <cellStyle name="Input 5 6 2 3" xfId="15199"/>
    <cellStyle name="Input 5 6 2_Table" xfId="6166"/>
    <cellStyle name="Input 5 6 3" xfId="1821"/>
    <cellStyle name="Input 5 6 3 2" xfId="11149"/>
    <cellStyle name="Input 5 6 3 3" xfId="15559"/>
    <cellStyle name="Input 5 6 3_Table" xfId="6167"/>
    <cellStyle name="Input 5 6 4" xfId="2251"/>
    <cellStyle name="Input 5 6 4 2" xfId="11579"/>
    <cellStyle name="Input 5 6 4 3" xfId="15989"/>
    <cellStyle name="Input 5 6 4_Table" xfId="6168"/>
    <cellStyle name="Input 5 6 5" xfId="2689"/>
    <cellStyle name="Input 5 6 5 2" xfId="12017"/>
    <cellStyle name="Input 5 6 5 3" xfId="16427"/>
    <cellStyle name="Input 5 6 5_Table" xfId="6169"/>
    <cellStyle name="Input 5 6 6" xfId="3096"/>
    <cellStyle name="Input 5 6 6 2" xfId="12424"/>
    <cellStyle name="Input 5 6 6 3" xfId="16834"/>
    <cellStyle name="Input 5 6 6_Table" xfId="6170"/>
    <cellStyle name="Input 5 6 7" xfId="3688"/>
    <cellStyle name="Input 5 6 7 2" xfId="13016"/>
    <cellStyle name="Input 5 6 7 3" xfId="17426"/>
    <cellStyle name="Input 5 6 7_Table" xfId="6171"/>
    <cellStyle name="Input 5 6 8" xfId="3913"/>
    <cellStyle name="Input 5 6 8 2" xfId="13241"/>
    <cellStyle name="Input 5 6 8 3" xfId="17651"/>
    <cellStyle name="Input 5 6 8_Table" xfId="6172"/>
    <cellStyle name="Input 5 6 9" xfId="4274"/>
    <cellStyle name="Input 5 6 9 2" xfId="13602"/>
    <cellStyle name="Input 5 6 9 3" xfId="18012"/>
    <cellStyle name="Input 5 6 9_Table" xfId="6173"/>
    <cellStyle name="Input 5 6_Table" xfId="6164"/>
    <cellStyle name="Input 5 7" xfId="1090"/>
    <cellStyle name="Input 5 7 2" xfId="10418"/>
    <cellStyle name="Input 5 7 3" xfId="14828"/>
    <cellStyle name="Input 5 7_Table" xfId="6174"/>
    <cellStyle name="Input 5 8" xfId="1162"/>
    <cellStyle name="Input 5 8 2" xfId="10490"/>
    <cellStyle name="Input 5 8 3" xfId="14900"/>
    <cellStyle name="Input 5 8_Table" xfId="6175"/>
    <cellStyle name="Input 5 9" xfId="1080"/>
    <cellStyle name="Input 5 9 2" xfId="10408"/>
    <cellStyle name="Input 5 9 3" xfId="14818"/>
    <cellStyle name="Input 5 9_Table" xfId="6176"/>
    <cellStyle name="Input 5_Table" xfId="6082"/>
    <cellStyle name="Input 6" xfId="312"/>
    <cellStyle name="Input 6 10" xfId="891"/>
    <cellStyle name="Input 6 10 2" xfId="10219"/>
    <cellStyle name="Input 6 10 3" xfId="14629"/>
    <cellStyle name="Input 6 10_Table" xfId="6178"/>
    <cellStyle name="Input 6 11" xfId="1744"/>
    <cellStyle name="Input 6 11 2" xfId="11072"/>
    <cellStyle name="Input 6 11 3" xfId="15482"/>
    <cellStyle name="Input 6 11_Table" xfId="6179"/>
    <cellStyle name="Input 6 12" xfId="2968"/>
    <cellStyle name="Input 6 12 2" xfId="12296"/>
    <cellStyle name="Input 6 12 3" xfId="16706"/>
    <cellStyle name="Input 6 12_Table" xfId="6180"/>
    <cellStyle name="Input 6 13" xfId="3515"/>
    <cellStyle name="Input 6 13 2" xfId="12843"/>
    <cellStyle name="Input 6 13 3" xfId="17253"/>
    <cellStyle name="Input 6 13_Table" xfId="6181"/>
    <cellStyle name="Input 6 14" xfId="3649"/>
    <cellStyle name="Input 6 14 2" xfId="12977"/>
    <cellStyle name="Input 6 14 3" xfId="17387"/>
    <cellStyle name="Input 6 14_Table" xfId="6182"/>
    <cellStyle name="Input 6 15" xfId="9640"/>
    <cellStyle name="Input 6 16" xfId="14189"/>
    <cellStyle name="Input 6 2" xfId="406"/>
    <cellStyle name="Input 6 2 10" xfId="3442"/>
    <cellStyle name="Input 6 2 10 2" xfId="12770"/>
    <cellStyle name="Input 6 2 10 3" xfId="17180"/>
    <cellStyle name="Input 6 2 10_Table" xfId="6184"/>
    <cellStyle name="Input 6 2 11" xfId="9734"/>
    <cellStyle name="Input 6 2 12" xfId="14234"/>
    <cellStyle name="Input 6 2 2" xfId="721"/>
    <cellStyle name="Input 6 2 2 10" xfId="4681"/>
    <cellStyle name="Input 6 2 2 10 2" xfId="14009"/>
    <cellStyle name="Input 6 2 2 10 3" xfId="18419"/>
    <cellStyle name="Input 6 2 2 10_Table" xfId="6186"/>
    <cellStyle name="Input 6 2 2 11" xfId="10049"/>
    <cellStyle name="Input 6 2 2 12" xfId="14459"/>
    <cellStyle name="Input 6 2 2 2" xfId="1507"/>
    <cellStyle name="Input 6 2 2 2 2" xfId="10835"/>
    <cellStyle name="Input 6 2 2 2 3" xfId="15245"/>
    <cellStyle name="Input 6 2 2 2_Table" xfId="6187"/>
    <cellStyle name="Input 6 2 2 3" xfId="1867"/>
    <cellStyle name="Input 6 2 2 3 2" xfId="11195"/>
    <cellStyle name="Input 6 2 2 3 3" xfId="15605"/>
    <cellStyle name="Input 6 2 2 3_Table" xfId="6188"/>
    <cellStyle name="Input 6 2 2 4" xfId="2297"/>
    <cellStyle name="Input 6 2 2 4 2" xfId="11625"/>
    <cellStyle name="Input 6 2 2 4 3" xfId="16035"/>
    <cellStyle name="Input 6 2 2 4_Table" xfId="6189"/>
    <cellStyle name="Input 6 2 2 5" xfId="2735"/>
    <cellStyle name="Input 6 2 2 5 2" xfId="12063"/>
    <cellStyle name="Input 6 2 2 5 3" xfId="16473"/>
    <cellStyle name="Input 6 2 2 5_Table" xfId="6190"/>
    <cellStyle name="Input 6 2 2 6" xfId="3142"/>
    <cellStyle name="Input 6 2 2 6 2" xfId="12470"/>
    <cellStyle name="Input 6 2 2 6 3" xfId="16880"/>
    <cellStyle name="Input 6 2 2 6_Table" xfId="6191"/>
    <cellStyle name="Input 6 2 2 7" xfId="3734"/>
    <cellStyle name="Input 6 2 2 7 2" xfId="13062"/>
    <cellStyle name="Input 6 2 2 7 3" xfId="17472"/>
    <cellStyle name="Input 6 2 2 7_Table" xfId="6192"/>
    <cellStyle name="Input 6 2 2 8" xfId="3959"/>
    <cellStyle name="Input 6 2 2 8 2" xfId="13287"/>
    <cellStyle name="Input 6 2 2 8 3" xfId="17697"/>
    <cellStyle name="Input 6 2 2 8_Table" xfId="6193"/>
    <cellStyle name="Input 6 2 2 9" xfId="4320"/>
    <cellStyle name="Input 6 2 2 9 2" xfId="13648"/>
    <cellStyle name="Input 6 2 2 9 3" xfId="18058"/>
    <cellStyle name="Input 6 2 2 9_Table" xfId="6194"/>
    <cellStyle name="Input 6 2 2_Table" xfId="6185"/>
    <cellStyle name="Input 6 2 3" xfId="1006"/>
    <cellStyle name="Input 6 2 3 2" xfId="10334"/>
    <cellStyle name="Input 6 2 3 3" xfId="14744"/>
    <cellStyle name="Input 6 2 3_Table" xfId="6195"/>
    <cellStyle name="Input 6 2 4" xfId="1281"/>
    <cellStyle name="Input 6 2 4 2" xfId="10609"/>
    <cellStyle name="Input 6 2 4 3" xfId="15019"/>
    <cellStyle name="Input 6 2 4_Table" xfId="6196"/>
    <cellStyle name="Input 6 2 5" xfId="1024"/>
    <cellStyle name="Input 6 2 5 2" xfId="10352"/>
    <cellStyle name="Input 6 2 5 3" xfId="14762"/>
    <cellStyle name="Input 6 2 5_Table" xfId="6197"/>
    <cellStyle name="Input 6 2 6" xfId="1168"/>
    <cellStyle name="Input 6 2 6 2" xfId="10496"/>
    <cellStyle name="Input 6 2 6 3" xfId="14906"/>
    <cellStyle name="Input 6 2 6_Table" xfId="6198"/>
    <cellStyle name="Input 6 2 7" xfId="1805"/>
    <cellStyle name="Input 6 2 7 2" xfId="11133"/>
    <cellStyle name="Input 6 2 7 3" xfId="15543"/>
    <cellStyle name="Input 6 2 7_Table" xfId="6199"/>
    <cellStyle name="Input 6 2 8" xfId="1029"/>
    <cellStyle name="Input 6 2 8 2" xfId="10357"/>
    <cellStyle name="Input 6 2 8 3" xfId="14767"/>
    <cellStyle name="Input 6 2 8_Table" xfId="6200"/>
    <cellStyle name="Input 6 2 9" xfId="1215"/>
    <cellStyle name="Input 6 2 9 2" xfId="10543"/>
    <cellStyle name="Input 6 2 9 3" xfId="14953"/>
    <cellStyle name="Input 6 2 9_Table" xfId="6201"/>
    <cellStyle name="Input 6 2_Table" xfId="6183"/>
    <cellStyle name="Input 6 3" xfId="474"/>
    <cellStyle name="Input 6 3 10" xfId="4501"/>
    <cellStyle name="Input 6 3 10 2" xfId="13829"/>
    <cellStyle name="Input 6 3 10 3" xfId="18239"/>
    <cellStyle name="Input 6 3 10_Table" xfId="6203"/>
    <cellStyle name="Input 6 3 11" xfId="9802"/>
    <cellStyle name="Input 6 3 12" xfId="14279"/>
    <cellStyle name="Input 6 3 2" xfId="766"/>
    <cellStyle name="Input 6 3 2 10" xfId="4726"/>
    <cellStyle name="Input 6 3 2 10 2" xfId="14054"/>
    <cellStyle name="Input 6 3 2 10 3" xfId="18464"/>
    <cellStyle name="Input 6 3 2 10_Table" xfId="6205"/>
    <cellStyle name="Input 6 3 2 11" xfId="10094"/>
    <cellStyle name="Input 6 3 2 12" xfId="14504"/>
    <cellStyle name="Input 6 3 2 2" xfId="1552"/>
    <cellStyle name="Input 6 3 2 2 2" xfId="10880"/>
    <cellStyle name="Input 6 3 2 2 3" xfId="15290"/>
    <cellStyle name="Input 6 3 2 2_Table" xfId="6206"/>
    <cellStyle name="Input 6 3 2 3" xfId="1912"/>
    <cellStyle name="Input 6 3 2 3 2" xfId="11240"/>
    <cellStyle name="Input 6 3 2 3 3" xfId="15650"/>
    <cellStyle name="Input 6 3 2 3_Table" xfId="6207"/>
    <cellStyle name="Input 6 3 2 4" xfId="2342"/>
    <cellStyle name="Input 6 3 2 4 2" xfId="11670"/>
    <cellStyle name="Input 6 3 2 4 3" xfId="16080"/>
    <cellStyle name="Input 6 3 2 4_Table" xfId="6208"/>
    <cellStyle name="Input 6 3 2 5" xfId="2780"/>
    <cellStyle name="Input 6 3 2 5 2" xfId="12108"/>
    <cellStyle name="Input 6 3 2 5 3" xfId="16518"/>
    <cellStyle name="Input 6 3 2 5_Table" xfId="6209"/>
    <cellStyle name="Input 6 3 2 6" xfId="3187"/>
    <cellStyle name="Input 6 3 2 6 2" xfId="12515"/>
    <cellStyle name="Input 6 3 2 6 3" xfId="16925"/>
    <cellStyle name="Input 6 3 2 6_Table" xfId="6210"/>
    <cellStyle name="Input 6 3 2 7" xfId="3779"/>
    <cellStyle name="Input 6 3 2 7 2" xfId="13107"/>
    <cellStyle name="Input 6 3 2 7 3" xfId="17517"/>
    <cellStyle name="Input 6 3 2 7_Table" xfId="6211"/>
    <cellStyle name="Input 6 3 2 8" xfId="4004"/>
    <cellStyle name="Input 6 3 2 8 2" xfId="13332"/>
    <cellStyle name="Input 6 3 2 8 3" xfId="17742"/>
    <cellStyle name="Input 6 3 2 8_Table" xfId="6212"/>
    <cellStyle name="Input 6 3 2 9" xfId="4365"/>
    <cellStyle name="Input 6 3 2 9 2" xfId="13693"/>
    <cellStyle name="Input 6 3 2 9 3" xfId="18103"/>
    <cellStyle name="Input 6 3 2 9_Table" xfId="6213"/>
    <cellStyle name="Input 6 3 2_Table" xfId="6204"/>
    <cellStyle name="Input 6 3 3" xfId="940"/>
    <cellStyle name="Input 6 3 3 2" xfId="10268"/>
    <cellStyle name="Input 6 3 3 3" xfId="14678"/>
    <cellStyle name="Input 6 3 3_Table" xfId="6214"/>
    <cellStyle name="Input 6 3 4" xfId="2065"/>
    <cellStyle name="Input 6 3 4 2" xfId="11393"/>
    <cellStyle name="Input 6 3 4 3" xfId="15803"/>
    <cellStyle name="Input 6 3 4_Table" xfId="6215"/>
    <cellStyle name="Input 6 3 5" xfId="2497"/>
    <cellStyle name="Input 6 3 5 2" xfId="11825"/>
    <cellStyle name="Input 6 3 5 3" xfId="16235"/>
    <cellStyle name="Input 6 3 5_Table" xfId="6216"/>
    <cellStyle name="Input 6 3 6" xfId="2926"/>
    <cellStyle name="Input 6 3 6 2" xfId="12254"/>
    <cellStyle name="Input 6 3 6 3" xfId="16664"/>
    <cellStyle name="Input 6 3 6_Table" xfId="6217"/>
    <cellStyle name="Input 6 3 7" xfId="3338"/>
    <cellStyle name="Input 6 3 7 2" xfId="12666"/>
    <cellStyle name="Input 6 3 7 3" xfId="17076"/>
    <cellStyle name="Input 6 3 7_Table" xfId="6218"/>
    <cellStyle name="Input 6 3 8" xfId="3320"/>
    <cellStyle name="Input 6 3 8 2" xfId="12648"/>
    <cellStyle name="Input 6 3 8 3" xfId="17058"/>
    <cellStyle name="Input 6 3 8_Table" xfId="6219"/>
    <cellStyle name="Input 6 3 9" xfId="4140"/>
    <cellStyle name="Input 6 3 9 2" xfId="13468"/>
    <cellStyle name="Input 6 3 9 3" xfId="17878"/>
    <cellStyle name="Input 6 3 9_Table" xfId="6220"/>
    <cellStyle name="Input 6 3_Table" xfId="6202"/>
    <cellStyle name="Input 6 4" xfId="538"/>
    <cellStyle name="Input 6 4 10" xfId="4546"/>
    <cellStyle name="Input 6 4 10 2" xfId="13874"/>
    <cellStyle name="Input 6 4 10 3" xfId="18284"/>
    <cellStyle name="Input 6 4 10_Table" xfId="6222"/>
    <cellStyle name="Input 6 4 11" xfId="9866"/>
    <cellStyle name="Input 6 4 12" xfId="14324"/>
    <cellStyle name="Input 6 4 2" xfId="811"/>
    <cellStyle name="Input 6 4 2 10" xfId="4771"/>
    <cellStyle name="Input 6 4 2 10 2" xfId="14099"/>
    <cellStyle name="Input 6 4 2 10 3" xfId="18509"/>
    <cellStyle name="Input 6 4 2 10_Table" xfId="6224"/>
    <cellStyle name="Input 6 4 2 11" xfId="10139"/>
    <cellStyle name="Input 6 4 2 12" xfId="14549"/>
    <cellStyle name="Input 6 4 2 2" xfId="1597"/>
    <cellStyle name="Input 6 4 2 2 2" xfId="10925"/>
    <cellStyle name="Input 6 4 2 2 3" xfId="15335"/>
    <cellStyle name="Input 6 4 2 2_Table" xfId="6225"/>
    <cellStyle name="Input 6 4 2 3" xfId="1957"/>
    <cellStyle name="Input 6 4 2 3 2" xfId="11285"/>
    <cellStyle name="Input 6 4 2 3 3" xfId="15695"/>
    <cellStyle name="Input 6 4 2 3_Table" xfId="6226"/>
    <cellStyle name="Input 6 4 2 4" xfId="2387"/>
    <cellStyle name="Input 6 4 2 4 2" xfId="11715"/>
    <cellStyle name="Input 6 4 2 4 3" xfId="16125"/>
    <cellStyle name="Input 6 4 2 4_Table" xfId="6227"/>
    <cellStyle name="Input 6 4 2 5" xfId="2825"/>
    <cellStyle name="Input 6 4 2 5 2" xfId="12153"/>
    <cellStyle name="Input 6 4 2 5 3" xfId="16563"/>
    <cellStyle name="Input 6 4 2 5_Table" xfId="6228"/>
    <cellStyle name="Input 6 4 2 6" xfId="3232"/>
    <cellStyle name="Input 6 4 2 6 2" xfId="12560"/>
    <cellStyle name="Input 6 4 2 6 3" xfId="16970"/>
    <cellStyle name="Input 6 4 2 6_Table" xfId="6229"/>
    <cellStyle name="Input 6 4 2 7" xfId="3824"/>
    <cellStyle name="Input 6 4 2 7 2" xfId="13152"/>
    <cellStyle name="Input 6 4 2 7 3" xfId="17562"/>
    <cellStyle name="Input 6 4 2 7_Table" xfId="6230"/>
    <cellStyle name="Input 6 4 2 8" xfId="4049"/>
    <cellStyle name="Input 6 4 2 8 2" xfId="13377"/>
    <cellStyle name="Input 6 4 2 8 3" xfId="17787"/>
    <cellStyle name="Input 6 4 2 8_Table" xfId="6231"/>
    <cellStyle name="Input 6 4 2 9" xfId="4410"/>
    <cellStyle name="Input 6 4 2 9 2" xfId="13738"/>
    <cellStyle name="Input 6 4 2 9 3" xfId="18148"/>
    <cellStyle name="Input 6 4 2 9_Table" xfId="6232"/>
    <cellStyle name="Input 6 4 2_Table" xfId="6223"/>
    <cellStyle name="Input 6 4 3" xfId="1690"/>
    <cellStyle name="Input 6 4 3 2" xfId="11018"/>
    <cellStyle name="Input 6 4 3 3" xfId="15428"/>
    <cellStyle name="Input 6 4 3_Table" xfId="6233"/>
    <cellStyle name="Input 6 4 4" xfId="2124"/>
    <cellStyle name="Input 6 4 4 2" xfId="11452"/>
    <cellStyle name="Input 6 4 4 3" xfId="15862"/>
    <cellStyle name="Input 6 4 4_Table" xfId="6234"/>
    <cellStyle name="Input 6 4 5" xfId="2556"/>
    <cellStyle name="Input 6 4 5 2" xfId="11884"/>
    <cellStyle name="Input 6 4 5 3" xfId="16294"/>
    <cellStyle name="Input 6 4 5_Table" xfId="6235"/>
    <cellStyle name="Input 6 4 6" xfId="2983"/>
    <cellStyle name="Input 6 4 6 2" xfId="12311"/>
    <cellStyle name="Input 6 4 6 3" xfId="16721"/>
    <cellStyle name="Input 6 4 6_Table" xfId="6236"/>
    <cellStyle name="Input 6 4 7" xfId="3396"/>
    <cellStyle name="Input 6 4 7 2" xfId="12724"/>
    <cellStyle name="Input 6 4 7 3" xfId="17134"/>
    <cellStyle name="Input 6 4 7_Table" xfId="6237"/>
    <cellStyle name="Input 6 4 8" xfId="3624"/>
    <cellStyle name="Input 6 4 8 2" xfId="12952"/>
    <cellStyle name="Input 6 4 8 3" xfId="17362"/>
    <cellStyle name="Input 6 4 8_Table" xfId="6238"/>
    <cellStyle name="Input 6 4 9" xfId="4185"/>
    <cellStyle name="Input 6 4 9 2" xfId="13513"/>
    <cellStyle name="Input 6 4 9 3" xfId="17923"/>
    <cellStyle name="Input 6 4 9_Table" xfId="6239"/>
    <cellStyle name="Input 6 4_Table" xfId="6221"/>
    <cellStyle name="Input 6 5" xfId="613"/>
    <cellStyle name="Input 6 5 10" xfId="4591"/>
    <cellStyle name="Input 6 5 10 2" xfId="13919"/>
    <cellStyle name="Input 6 5 10 3" xfId="18329"/>
    <cellStyle name="Input 6 5 10_Table" xfId="6241"/>
    <cellStyle name="Input 6 5 11" xfId="9941"/>
    <cellStyle name="Input 6 5 12" xfId="14369"/>
    <cellStyle name="Input 6 5 2" xfId="856"/>
    <cellStyle name="Input 6 5 2 10" xfId="4816"/>
    <cellStyle name="Input 6 5 2 10 2" xfId="14144"/>
    <cellStyle name="Input 6 5 2 10 3" xfId="18554"/>
    <cellStyle name="Input 6 5 2 10_Table" xfId="6243"/>
    <cellStyle name="Input 6 5 2 11" xfId="10184"/>
    <cellStyle name="Input 6 5 2 12" xfId="14594"/>
    <cellStyle name="Input 6 5 2 2" xfId="1642"/>
    <cellStyle name="Input 6 5 2 2 2" xfId="10970"/>
    <cellStyle name="Input 6 5 2 2 3" xfId="15380"/>
    <cellStyle name="Input 6 5 2 2_Table" xfId="6244"/>
    <cellStyle name="Input 6 5 2 3" xfId="2002"/>
    <cellStyle name="Input 6 5 2 3 2" xfId="11330"/>
    <cellStyle name="Input 6 5 2 3 3" xfId="15740"/>
    <cellStyle name="Input 6 5 2 3_Table" xfId="6245"/>
    <cellStyle name="Input 6 5 2 4" xfId="2432"/>
    <cellStyle name="Input 6 5 2 4 2" xfId="11760"/>
    <cellStyle name="Input 6 5 2 4 3" xfId="16170"/>
    <cellStyle name="Input 6 5 2 4_Table" xfId="6246"/>
    <cellStyle name="Input 6 5 2 5" xfId="2870"/>
    <cellStyle name="Input 6 5 2 5 2" xfId="12198"/>
    <cellStyle name="Input 6 5 2 5 3" xfId="16608"/>
    <cellStyle name="Input 6 5 2 5_Table" xfId="6247"/>
    <cellStyle name="Input 6 5 2 6" xfId="3277"/>
    <cellStyle name="Input 6 5 2 6 2" xfId="12605"/>
    <cellStyle name="Input 6 5 2 6 3" xfId="17015"/>
    <cellStyle name="Input 6 5 2 6_Table" xfId="6248"/>
    <cellStyle name="Input 6 5 2 7" xfId="3869"/>
    <cellStyle name="Input 6 5 2 7 2" xfId="13197"/>
    <cellStyle name="Input 6 5 2 7 3" xfId="17607"/>
    <cellStyle name="Input 6 5 2 7_Table" xfId="6249"/>
    <cellStyle name="Input 6 5 2 8" xfId="4094"/>
    <cellStyle name="Input 6 5 2 8 2" xfId="13422"/>
    <cellStyle name="Input 6 5 2 8 3" xfId="17832"/>
    <cellStyle name="Input 6 5 2 8_Table" xfId="6250"/>
    <cellStyle name="Input 6 5 2 9" xfId="4455"/>
    <cellStyle name="Input 6 5 2 9 2" xfId="13783"/>
    <cellStyle name="Input 6 5 2 9 3" xfId="18193"/>
    <cellStyle name="Input 6 5 2 9_Table" xfId="6251"/>
    <cellStyle name="Input 6 5 2_Table" xfId="6242"/>
    <cellStyle name="Input 6 5 3" xfId="1760"/>
    <cellStyle name="Input 6 5 3 2" xfId="11088"/>
    <cellStyle name="Input 6 5 3 3" xfId="15498"/>
    <cellStyle name="Input 6 5 3_Table" xfId="6252"/>
    <cellStyle name="Input 6 5 4" xfId="2193"/>
    <cellStyle name="Input 6 5 4 2" xfId="11521"/>
    <cellStyle name="Input 6 5 4 3" xfId="15931"/>
    <cellStyle name="Input 6 5 4_Table" xfId="6253"/>
    <cellStyle name="Input 6 5 5" xfId="2628"/>
    <cellStyle name="Input 6 5 5 2" xfId="11956"/>
    <cellStyle name="Input 6 5 5 3" xfId="16366"/>
    <cellStyle name="Input 6 5 5_Table" xfId="6254"/>
    <cellStyle name="Input 6 5 6" xfId="3041"/>
    <cellStyle name="Input 6 5 6 2" xfId="12369"/>
    <cellStyle name="Input 6 5 6 3" xfId="16779"/>
    <cellStyle name="Input 6 5 6_Table" xfId="6255"/>
    <cellStyle name="Input 6 5 7" xfId="3467"/>
    <cellStyle name="Input 6 5 7 2" xfId="12795"/>
    <cellStyle name="Input 6 5 7 3" xfId="17205"/>
    <cellStyle name="Input 6 5 7_Table" xfId="6256"/>
    <cellStyle name="Input 6 5 8" xfId="2476"/>
    <cellStyle name="Input 6 5 8 2" xfId="11804"/>
    <cellStyle name="Input 6 5 8 3" xfId="16214"/>
    <cellStyle name="Input 6 5 8_Table" xfId="6257"/>
    <cellStyle name="Input 6 5 9" xfId="4230"/>
    <cellStyle name="Input 6 5 9 2" xfId="13558"/>
    <cellStyle name="Input 6 5 9 3" xfId="17968"/>
    <cellStyle name="Input 6 5 9_Table" xfId="6258"/>
    <cellStyle name="Input 6 5_Table" xfId="6240"/>
    <cellStyle name="Input 6 6" xfId="676"/>
    <cellStyle name="Input 6 6 10" xfId="4636"/>
    <cellStyle name="Input 6 6 10 2" xfId="13964"/>
    <cellStyle name="Input 6 6 10 3" xfId="18374"/>
    <cellStyle name="Input 6 6 10_Table" xfId="6260"/>
    <cellStyle name="Input 6 6 11" xfId="10004"/>
    <cellStyle name="Input 6 6 12" xfId="14414"/>
    <cellStyle name="Input 6 6 2" xfId="1462"/>
    <cellStyle name="Input 6 6 2 2" xfId="10790"/>
    <cellStyle name="Input 6 6 2 3" xfId="15200"/>
    <cellStyle name="Input 6 6 2_Table" xfId="6261"/>
    <cellStyle name="Input 6 6 3" xfId="1822"/>
    <cellStyle name="Input 6 6 3 2" xfId="11150"/>
    <cellStyle name="Input 6 6 3 3" xfId="15560"/>
    <cellStyle name="Input 6 6 3_Table" xfId="6262"/>
    <cellStyle name="Input 6 6 4" xfId="2252"/>
    <cellStyle name="Input 6 6 4 2" xfId="11580"/>
    <cellStyle name="Input 6 6 4 3" xfId="15990"/>
    <cellStyle name="Input 6 6 4_Table" xfId="6263"/>
    <cellStyle name="Input 6 6 5" xfId="2690"/>
    <cellStyle name="Input 6 6 5 2" xfId="12018"/>
    <cellStyle name="Input 6 6 5 3" xfId="16428"/>
    <cellStyle name="Input 6 6 5_Table" xfId="6264"/>
    <cellStyle name="Input 6 6 6" xfId="3097"/>
    <cellStyle name="Input 6 6 6 2" xfId="12425"/>
    <cellStyle name="Input 6 6 6 3" xfId="16835"/>
    <cellStyle name="Input 6 6 6_Table" xfId="6265"/>
    <cellStyle name="Input 6 6 7" xfId="3689"/>
    <cellStyle name="Input 6 6 7 2" xfId="13017"/>
    <cellStyle name="Input 6 6 7 3" xfId="17427"/>
    <cellStyle name="Input 6 6 7_Table" xfId="6266"/>
    <cellStyle name="Input 6 6 8" xfId="3914"/>
    <cellStyle name="Input 6 6 8 2" xfId="13242"/>
    <cellStyle name="Input 6 6 8 3" xfId="17652"/>
    <cellStyle name="Input 6 6 8_Table" xfId="6267"/>
    <cellStyle name="Input 6 6 9" xfId="4275"/>
    <cellStyle name="Input 6 6 9 2" xfId="13603"/>
    <cellStyle name="Input 6 6 9 3" xfId="18013"/>
    <cellStyle name="Input 6 6 9_Table" xfId="6268"/>
    <cellStyle name="Input 6 6_Table" xfId="6259"/>
    <cellStyle name="Input 6 7" xfId="1089"/>
    <cellStyle name="Input 6 7 2" xfId="10417"/>
    <cellStyle name="Input 6 7 3" xfId="14827"/>
    <cellStyle name="Input 6 7_Table" xfId="6269"/>
    <cellStyle name="Input 6 8" xfId="1163"/>
    <cellStyle name="Input 6 8 2" xfId="10491"/>
    <cellStyle name="Input 6 8 3" xfId="14901"/>
    <cellStyle name="Input 6 8_Table" xfId="6270"/>
    <cellStyle name="Input 6 9" xfId="1079"/>
    <cellStyle name="Input 6 9 2" xfId="10407"/>
    <cellStyle name="Input 6 9 3" xfId="14817"/>
    <cellStyle name="Input 6 9_Table" xfId="6271"/>
    <cellStyle name="Input 6_Table" xfId="6177"/>
    <cellStyle name="Input 7" xfId="313"/>
    <cellStyle name="Input 7 10" xfId="1211"/>
    <cellStyle name="Input 7 10 2" xfId="10539"/>
    <cellStyle name="Input 7 10 3" xfId="14949"/>
    <cellStyle name="Input 7 10_Table" xfId="6273"/>
    <cellStyle name="Input 7 11" xfId="1745"/>
    <cellStyle name="Input 7 11 2" xfId="11073"/>
    <cellStyle name="Input 7 11 3" xfId="15483"/>
    <cellStyle name="Input 7 11_Table" xfId="6274"/>
    <cellStyle name="Input 7 12" xfId="2047"/>
    <cellStyle name="Input 7 12 2" xfId="11375"/>
    <cellStyle name="Input 7 12 3" xfId="15785"/>
    <cellStyle name="Input 7 12_Table" xfId="6275"/>
    <cellStyle name="Input 7 13" xfId="1221"/>
    <cellStyle name="Input 7 13 2" xfId="10549"/>
    <cellStyle name="Input 7 13 3" xfId="14959"/>
    <cellStyle name="Input 7 13_Table" xfId="6276"/>
    <cellStyle name="Input 7 14" xfId="3519"/>
    <cellStyle name="Input 7 14 2" xfId="12847"/>
    <cellStyle name="Input 7 14 3" xfId="17257"/>
    <cellStyle name="Input 7 14_Table" xfId="6277"/>
    <cellStyle name="Input 7 15" xfId="9641"/>
    <cellStyle name="Input 7 16" xfId="14190"/>
    <cellStyle name="Input 7 2" xfId="407"/>
    <cellStyle name="Input 7 2 10" xfId="2905"/>
    <cellStyle name="Input 7 2 10 2" xfId="12233"/>
    <cellStyle name="Input 7 2 10 3" xfId="16643"/>
    <cellStyle name="Input 7 2 10_Table" xfId="6279"/>
    <cellStyle name="Input 7 2 11" xfId="9735"/>
    <cellStyle name="Input 7 2 12" xfId="14235"/>
    <cellStyle name="Input 7 2 2" xfId="722"/>
    <cellStyle name="Input 7 2 2 10" xfId="4682"/>
    <cellStyle name="Input 7 2 2 10 2" xfId="14010"/>
    <cellStyle name="Input 7 2 2 10 3" xfId="18420"/>
    <cellStyle name="Input 7 2 2 10_Table" xfId="6281"/>
    <cellStyle name="Input 7 2 2 11" xfId="10050"/>
    <cellStyle name="Input 7 2 2 12" xfId="14460"/>
    <cellStyle name="Input 7 2 2 2" xfId="1508"/>
    <cellStyle name="Input 7 2 2 2 2" xfId="10836"/>
    <cellStyle name="Input 7 2 2 2 3" xfId="15246"/>
    <cellStyle name="Input 7 2 2 2_Table" xfId="6282"/>
    <cellStyle name="Input 7 2 2 3" xfId="1868"/>
    <cellStyle name="Input 7 2 2 3 2" xfId="11196"/>
    <cellStyle name="Input 7 2 2 3 3" xfId="15606"/>
    <cellStyle name="Input 7 2 2 3_Table" xfId="6283"/>
    <cellStyle name="Input 7 2 2 4" xfId="2298"/>
    <cellStyle name="Input 7 2 2 4 2" xfId="11626"/>
    <cellStyle name="Input 7 2 2 4 3" xfId="16036"/>
    <cellStyle name="Input 7 2 2 4_Table" xfId="6284"/>
    <cellStyle name="Input 7 2 2 5" xfId="2736"/>
    <cellStyle name="Input 7 2 2 5 2" xfId="12064"/>
    <cellStyle name="Input 7 2 2 5 3" xfId="16474"/>
    <cellStyle name="Input 7 2 2 5_Table" xfId="6285"/>
    <cellStyle name="Input 7 2 2 6" xfId="3143"/>
    <cellStyle name="Input 7 2 2 6 2" xfId="12471"/>
    <cellStyle name="Input 7 2 2 6 3" xfId="16881"/>
    <cellStyle name="Input 7 2 2 6_Table" xfId="6286"/>
    <cellStyle name="Input 7 2 2 7" xfId="3735"/>
    <cellStyle name="Input 7 2 2 7 2" xfId="13063"/>
    <cellStyle name="Input 7 2 2 7 3" xfId="17473"/>
    <cellStyle name="Input 7 2 2 7_Table" xfId="6287"/>
    <cellStyle name="Input 7 2 2 8" xfId="3960"/>
    <cellStyle name="Input 7 2 2 8 2" xfId="13288"/>
    <cellStyle name="Input 7 2 2 8 3" xfId="17698"/>
    <cellStyle name="Input 7 2 2 8_Table" xfId="6288"/>
    <cellStyle name="Input 7 2 2 9" xfId="4321"/>
    <cellStyle name="Input 7 2 2 9 2" xfId="13649"/>
    <cellStyle name="Input 7 2 2 9 3" xfId="18059"/>
    <cellStyle name="Input 7 2 2 9_Table" xfId="6289"/>
    <cellStyle name="Input 7 2 2_Table" xfId="6280"/>
    <cellStyle name="Input 7 2 3" xfId="1005"/>
    <cellStyle name="Input 7 2 3 2" xfId="10333"/>
    <cellStyle name="Input 7 2 3 3" xfId="14743"/>
    <cellStyle name="Input 7 2 3_Table" xfId="6290"/>
    <cellStyle name="Input 7 2 4" xfId="1383"/>
    <cellStyle name="Input 7 2 4 2" xfId="10711"/>
    <cellStyle name="Input 7 2 4 3" xfId="15121"/>
    <cellStyle name="Input 7 2 4_Table" xfId="6291"/>
    <cellStyle name="Input 7 2 5" xfId="1022"/>
    <cellStyle name="Input 7 2 5 2" xfId="10350"/>
    <cellStyle name="Input 7 2 5 3" xfId="14760"/>
    <cellStyle name="Input 7 2 5_Table" xfId="6292"/>
    <cellStyle name="Input 7 2 6" xfId="1264"/>
    <cellStyle name="Input 7 2 6 2" xfId="10592"/>
    <cellStyle name="Input 7 2 6 3" xfId="15002"/>
    <cellStyle name="Input 7 2 6_Table" xfId="6293"/>
    <cellStyle name="Input 7 2 7" xfId="1802"/>
    <cellStyle name="Input 7 2 7 2" xfId="11130"/>
    <cellStyle name="Input 7 2 7 3" xfId="15540"/>
    <cellStyle name="Input 7 2 7_Table" xfId="6294"/>
    <cellStyle name="Input 7 2 8" xfId="1149"/>
    <cellStyle name="Input 7 2 8 2" xfId="10477"/>
    <cellStyle name="Input 7 2 8 3" xfId="14887"/>
    <cellStyle name="Input 7 2 8_Table" xfId="6295"/>
    <cellStyle name="Input 7 2 9" xfId="3612"/>
    <cellStyle name="Input 7 2 9 2" xfId="12940"/>
    <cellStyle name="Input 7 2 9 3" xfId="17350"/>
    <cellStyle name="Input 7 2 9_Table" xfId="6296"/>
    <cellStyle name="Input 7 2_Table" xfId="6278"/>
    <cellStyle name="Input 7 3" xfId="475"/>
    <cellStyle name="Input 7 3 10" xfId="4502"/>
    <cellStyle name="Input 7 3 10 2" xfId="13830"/>
    <cellStyle name="Input 7 3 10 3" xfId="18240"/>
    <cellStyle name="Input 7 3 10_Table" xfId="6298"/>
    <cellStyle name="Input 7 3 11" xfId="9803"/>
    <cellStyle name="Input 7 3 12" xfId="14280"/>
    <cellStyle name="Input 7 3 2" xfId="767"/>
    <cellStyle name="Input 7 3 2 10" xfId="4727"/>
    <cellStyle name="Input 7 3 2 10 2" xfId="14055"/>
    <cellStyle name="Input 7 3 2 10 3" xfId="18465"/>
    <cellStyle name="Input 7 3 2 10_Table" xfId="6300"/>
    <cellStyle name="Input 7 3 2 11" xfId="10095"/>
    <cellStyle name="Input 7 3 2 12" xfId="14505"/>
    <cellStyle name="Input 7 3 2 2" xfId="1553"/>
    <cellStyle name="Input 7 3 2 2 2" xfId="10881"/>
    <cellStyle name="Input 7 3 2 2 3" xfId="15291"/>
    <cellStyle name="Input 7 3 2 2_Table" xfId="6301"/>
    <cellStyle name="Input 7 3 2 3" xfId="1913"/>
    <cellStyle name="Input 7 3 2 3 2" xfId="11241"/>
    <cellStyle name="Input 7 3 2 3 3" xfId="15651"/>
    <cellStyle name="Input 7 3 2 3_Table" xfId="6302"/>
    <cellStyle name="Input 7 3 2 4" xfId="2343"/>
    <cellStyle name="Input 7 3 2 4 2" xfId="11671"/>
    <cellStyle name="Input 7 3 2 4 3" xfId="16081"/>
    <cellStyle name="Input 7 3 2 4_Table" xfId="6303"/>
    <cellStyle name="Input 7 3 2 5" xfId="2781"/>
    <cellStyle name="Input 7 3 2 5 2" xfId="12109"/>
    <cellStyle name="Input 7 3 2 5 3" xfId="16519"/>
    <cellStyle name="Input 7 3 2 5_Table" xfId="6304"/>
    <cellStyle name="Input 7 3 2 6" xfId="3188"/>
    <cellStyle name="Input 7 3 2 6 2" xfId="12516"/>
    <cellStyle name="Input 7 3 2 6 3" xfId="16926"/>
    <cellStyle name="Input 7 3 2 6_Table" xfId="6305"/>
    <cellStyle name="Input 7 3 2 7" xfId="3780"/>
    <cellStyle name="Input 7 3 2 7 2" xfId="13108"/>
    <cellStyle name="Input 7 3 2 7 3" xfId="17518"/>
    <cellStyle name="Input 7 3 2 7_Table" xfId="6306"/>
    <cellStyle name="Input 7 3 2 8" xfId="4005"/>
    <cellStyle name="Input 7 3 2 8 2" xfId="13333"/>
    <cellStyle name="Input 7 3 2 8 3" xfId="17743"/>
    <cellStyle name="Input 7 3 2 8_Table" xfId="6307"/>
    <cellStyle name="Input 7 3 2 9" xfId="4366"/>
    <cellStyle name="Input 7 3 2 9 2" xfId="13694"/>
    <cellStyle name="Input 7 3 2 9 3" xfId="18104"/>
    <cellStyle name="Input 7 3 2 9_Table" xfId="6308"/>
    <cellStyle name="Input 7 3 2_Table" xfId="6299"/>
    <cellStyle name="Input 7 3 3" xfId="939"/>
    <cellStyle name="Input 7 3 3 2" xfId="10267"/>
    <cellStyle name="Input 7 3 3 3" xfId="14677"/>
    <cellStyle name="Input 7 3 3_Table" xfId="6309"/>
    <cellStyle name="Input 7 3 4" xfId="2066"/>
    <cellStyle name="Input 7 3 4 2" xfId="11394"/>
    <cellStyle name="Input 7 3 4 3" xfId="15804"/>
    <cellStyle name="Input 7 3 4_Table" xfId="6310"/>
    <cellStyle name="Input 7 3 5" xfId="2498"/>
    <cellStyle name="Input 7 3 5 2" xfId="11826"/>
    <cellStyle name="Input 7 3 5 3" xfId="16236"/>
    <cellStyle name="Input 7 3 5_Table" xfId="6311"/>
    <cellStyle name="Input 7 3 6" xfId="2927"/>
    <cellStyle name="Input 7 3 6 2" xfId="12255"/>
    <cellStyle name="Input 7 3 6 3" xfId="16665"/>
    <cellStyle name="Input 7 3 6_Table" xfId="6312"/>
    <cellStyle name="Input 7 3 7" xfId="3339"/>
    <cellStyle name="Input 7 3 7 2" xfId="12667"/>
    <cellStyle name="Input 7 3 7 3" xfId="17077"/>
    <cellStyle name="Input 7 3 7_Table" xfId="6313"/>
    <cellStyle name="Input 7 3 8" xfId="3380"/>
    <cellStyle name="Input 7 3 8 2" xfId="12708"/>
    <cellStyle name="Input 7 3 8 3" xfId="17118"/>
    <cellStyle name="Input 7 3 8_Table" xfId="6314"/>
    <cellStyle name="Input 7 3 9" xfId="4141"/>
    <cellStyle name="Input 7 3 9 2" xfId="13469"/>
    <cellStyle name="Input 7 3 9 3" xfId="17879"/>
    <cellStyle name="Input 7 3 9_Table" xfId="6315"/>
    <cellStyle name="Input 7 3_Table" xfId="6297"/>
    <cellStyle name="Input 7 4" xfId="539"/>
    <cellStyle name="Input 7 4 10" xfId="4547"/>
    <cellStyle name="Input 7 4 10 2" xfId="13875"/>
    <cellStyle name="Input 7 4 10 3" xfId="18285"/>
    <cellStyle name="Input 7 4 10_Table" xfId="6317"/>
    <cellStyle name="Input 7 4 11" xfId="9867"/>
    <cellStyle name="Input 7 4 12" xfId="14325"/>
    <cellStyle name="Input 7 4 2" xfId="812"/>
    <cellStyle name="Input 7 4 2 10" xfId="4772"/>
    <cellStyle name="Input 7 4 2 10 2" xfId="14100"/>
    <cellStyle name="Input 7 4 2 10 3" xfId="18510"/>
    <cellStyle name="Input 7 4 2 10_Table" xfId="6319"/>
    <cellStyle name="Input 7 4 2 11" xfId="10140"/>
    <cellStyle name="Input 7 4 2 12" xfId="14550"/>
    <cellStyle name="Input 7 4 2 2" xfId="1598"/>
    <cellStyle name="Input 7 4 2 2 2" xfId="10926"/>
    <cellStyle name="Input 7 4 2 2 3" xfId="15336"/>
    <cellStyle name="Input 7 4 2 2_Table" xfId="6320"/>
    <cellStyle name="Input 7 4 2 3" xfId="1958"/>
    <cellStyle name="Input 7 4 2 3 2" xfId="11286"/>
    <cellStyle name="Input 7 4 2 3 3" xfId="15696"/>
    <cellStyle name="Input 7 4 2 3_Table" xfId="6321"/>
    <cellStyle name="Input 7 4 2 4" xfId="2388"/>
    <cellStyle name="Input 7 4 2 4 2" xfId="11716"/>
    <cellStyle name="Input 7 4 2 4 3" xfId="16126"/>
    <cellStyle name="Input 7 4 2 4_Table" xfId="6322"/>
    <cellStyle name="Input 7 4 2 5" xfId="2826"/>
    <cellStyle name="Input 7 4 2 5 2" xfId="12154"/>
    <cellStyle name="Input 7 4 2 5 3" xfId="16564"/>
    <cellStyle name="Input 7 4 2 5_Table" xfId="6323"/>
    <cellStyle name="Input 7 4 2 6" xfId="3233"/>
    <cellStyle name="Input 7 4 2 6 2" xfId="12561"/>
    <cellStyle name="Input 7 4 2 6 3" xfId="16971"/>
    <cellStyle name="Input 7 4 2 6_Table" xfId="6324"/>
    <cellStyle name="Input 7 4 2 7" xfId="3825"/>
    <cellStyle name="Input 7 4 2 7 2" xfId="13153"/>
    <cellStyle name="Input 7 4 2 7 3" xfId="17563"/>
    <cellStyle name="Input 7 4 2 7_Table" xfId="6325"/>
    <cellStyle name="Input 7 4 2 8" xfId="4050"/>
    <cellStyle name="Input 7 4 2 8 2" xfId="13378"/>
    <cellStyle name="Input 7 4 2 8 3" xfId="17788"/>
    <cellStyle name="Input 7 4 2 8_Table" xfId="6326"/>
    <cellStyle name="Input 7 4 2 9" xfId="4411"/>
    <cellStyle name="Input 7 4 2 9 2" xfId="13739"/>
    <cellStyle name="Input 7 4 2 9 3" xfId="18149"/>
    <cellStyle name="Input 7 4 2 9_Table" xfId="6327"/>
    <cellStyle name="Input 7 4 2_Table" xfId="6318"/>
    <cellStyle name="Input 7 4 3" xfId="1691"/>
    <cellStyle name="Input 7 4 3 2" xfId="11019"/>
    <cellStyle name="Input 7 4 3 3" xfId="15429"/>
    <cellStyle name="Input 7 4 3_Table" xfId="6328"/>
    <cellStyle name="Input 7 4 4" xfId="2125"/>
    <cellStyle name="Input 7 4 4 2" xfId="11453"/>
    <cellStyle name="Input 7 4 4 3" xfId="15863"/>
    <cellStyle name="Input 7 4 4_Table" xfId="6329"/>
    <cellStyle name="Input 7 4 5" xfId="2557"/>
    <cellStyle name="Input 7 4 5 2" xfId="11885"/>
    <cellStyle name="Input 7 4 5 3" xfId="16295"/>
    <cellStyle name="Input 7 4 5_Table" xfId="6330"/>
    <cellStyle name="Input 7 4 6" xfId="2984"/>
    <cellStyle name="Input 7 4 6 2" xfId="12312"/>
    <cellStyle name="Input 7 4 6 3" xfId="16722"/>
    <cellStyle name="Input 7 4 6_Table" xfId="6331"/>
    <cellStyle name="Input 7 4 7" xfId="3397"/>
    <cellStyle name="Input 7 4 7 2" xfId="12725"/>
    <cellStyle name="Input 7 4 7 3" xfId="17135"/>
    <cellStyle name="Input 7 4 7_Table" xfId="6332"/>
    <cellStyle name="Input 7 4 8" xfId="3656"/>
    <cellStyle name="Input 7 4 8 2" xfId="12984"/>
    <cellStyle name="Input 7 4 8 3" xfId="17394"/>
    <cellStyle name="Input 7 4 8_Table" xfId="6333"/>
    <cellStyle name="Input 7 4 9" xfId="4186"/>
    <cellStyle name="Input 7 4 9 2" xfId="13514"/>
    <cellStyle name="Input 7 4 9 3" xfId="17924"/>
    <cellStyle name="Input 7 4 9_Table" xfId="6334"/>
    <cellStyle name="Input 7 4_Table" xfId="6316"/>
    <cellStyle name="Input 7 5" xfId="614"/>
    <cellStyle name="Input 7 5 10" xfId="4592"/>
    <cellStyle name="Input 7 5 10 2" xfId="13920"/>
    <cellStyle name="Input 7 5 10 3" xfId="18330"/>
    <cellStyle name="Input 7 5 10_Table" xfId="6336"/>
    <cellStyle name="Input 7 5 11" xfId="9942"/>
    <cellStyle name="Input 7 5 12" xfId="14370"/>
    <cellStyle name="Input 7 5 2" xfId="857"/>
    <cellStyle name="Input 7 5 2 10" xfId="4817"/>
    <cellStyle name="Input 7 5 2 10 2" xfId="14145"/>
    <cellStyle name="Input 7 5 2 10 3" xfId="18555"/>
    <cellStyle name="Input 7 5 2 10_Table" xfId="6338"/>
    <cellStyle name="Input 7 5 2 11" xfId="10185"/>
    <cellStyle name="Input 7 5 2 12" xfId="14595"/>
    <cellStyle name="Input 7 5 2 2" xfId="1643"/>
    <cellStyle name="Input 7 5 2 2 2" xfId="10971"/>
    <cellStyle name="Input 7 5 2 2 3" xfId="15381"/>
    <cellStyle name="Input 7 5 2 2_Table" xfId="6339"/>
    <cellStyle name="Input 7 5 2 3" xfId="2003"/>
    <cellStyle name="Input 7 5 2 3 2" xfId="11331"/>
    <cellStyle name="Input 7 5 2 3 3" xfId="15741"/>
    <cellStyle name="Input 7 5 2 3_Table" xfId="6340"/>
    <cellStyle name="Input 7 5 2 4" xfId="2433"/>
    <cellStyle name="Input 7 5 2 4 2" xfId="11761"/>
    <cellStyle name="Input 7 5 2 4 3" xfId="16171"/>
    <cellStyle name="Input 7 5 2 4_Table" xfId="6341"/>
    <cellStyle name="Input 7 5 2 5" xfId="2871"/>
    <cellStyle name="Input 7 5 2 5 2" xfId="12199"/>
    <cellStyle name="Input 7 5 2 5 3" xfId="16609"/>
    <cellStyle name="Input 7 5 2 5_Table" xfId="6342"/>
    <cellStyle name="Input 7 5 2 6" xfId="3278"/>
    <cellStyle name="Input 7 5 2 6 2" xfId="12606"/>
    <cellStyle name="Input 7 5 2 6 3" xfId="17016"/>
    <cellStyle name="Input 7 5 2 6_Table" xfId="6343"/>
    <cellStyle name="Input 7 5 2 7" xfId="3870"/>
    <cellStyle name="Input 7 5 2 7 2" xfId="13198"/>
    <cellStyle name="Input 7 5 2 7 3" xfId="17608"/>
    <cellStyle name="Input 7 5 2 7_Table" xfId="6344"/>
    <cellStyle name="Input 7 5 2 8" xfId="4095"/>
    <cellStyle name="Input 7 5 2 8 2" xfId="13423"/>
    <cellStyle name="Input 7 5 2 8 3" xfId="17833"/>
    <cellStyle name="Input 7 5 2 8_Table" xfId="6345"/>
    <cellStyle name="Input 7 5 2 9" xfId="4456"/>
    <cellStyle name="Input 7 5 2 9 2" xfId="13784"/>
    <cellStyle name="Input 7 5 2 9 3" xfId="18194"/>
    <cellStyle name="Input 7 5 2 9_Table" xfId="6346"/>
    <cellStyle name="Input 7 5 2_Table" xfId="6337"/>
    <cellStyle name="Input 7 5 3" xfId="1761"/>
    <cellStyle name="Input 7 5 3 2" xfId="11089"/>
    <cellStyle name="Input 7 5 3 3" xfId="15499"/>
    <cellStyle name="Input 7 5 3_Table" xfId="6347"/>
    <cellStyle name="Input 7 5 4" xfId="2194"/>
    <cellStyle name="Input 7 5 4 2" xfId="11522"/>
    <cellStyle name="Input 7 5 4 3" xfId="15932"/>
    <cellStyle name="Input 7 5 4_Table" xfId="6348"/>
    <cellStyle name="Input 7 5 5" xfId="2629"/>
    <cellStyle name="Input 7 5 5 2" xfId="11957"/>
    <cellStyle name="Input 7 5 5 3" xfId="16367"/>
    <cellStyle name="Input 7 5 5_Table" xfId="6349"/>
    <cellStyle name="Input 7 5 6" xfId="3042"/>
    <cellStyle name="Input 7 5 6 2" xfId="12370"/>
    <cellStyle name="Input 7 5 6 3" xfId="16780"/>
    <cellStyle name="Input 7 5 6_Table" xfId="6350"/>
    <cellStyle name="Input 7 5 7" xfId="3468"/>
    <cellStyle name="Input 7 5 7 2" xfId="12796"/>
    <cellStyle name="Input 7 5 7 3" xfId="17206"/>
    <cellStyle name="Input 7 5 7_Table" xfId="6351"/>
    <cellStyle name="Input 7 5 8" xfId="2478"/>
    <cellStyle name="Input 7 5 8 2" xfId="11806"/>
    <cellStyle name="Input 7 5 8 3" xfId="16216"/>
    <cellStyle name="Input 7 5 8_Table" xfId="6352"/>
    <cellStyle name="Input 7 5 9" xfId="4231"/>
    <cellStyle name="Input 7 5 9 2" xfId="13559"/>
    <cellStyle name="Input 7 5 9 3" xfId="17969"/>
    <cellStyle name="Input 7 5 9_Table" xfId="6353"/>
    <cellStyle name="Input 7 5_Table" xfId="6335"/>
    <cellStyle name="Input 7 6" xfId="677"/>
    <cellStyle name="Input 7 6 10" xfId="4637"/>
    <cellStyle name="Input 7 6 10 2" xfId="13965"/>
    <cellStyle name="Input 7 6 10 3" xfId="18375"/>
    <cellStyle name="Input 7 6 10_Table" xfId="6355"/>
    <cellStyle name="Input 7 6 11" xfId="10005"/>
    <cellStyle name="Input 7 6 12" xfId="14415"/>
    <cellStyle name="Input 7 6 2" xfId="1463"/>
    <cellStyle name="Input 7 6 2 2" xfId="10791"/>
    <cellStyle name="Input 7 6 2 3" xfId="15201"/>
    <cellStyle name="Input 7 6 2_Table" xfId="6356"/>
    <cellStyle name="Input 7 6 3" xfId="1823"/>
    <cellStyle name="Input 7 6 3 2" xfId="11151"/>
    <cellStyle name="Input 7 6 3 3" xfId="15561"/>
    <cellStyle name="Input 7 6 3_Table" xfId="6357"/>
    <cellStyle name="Input 7 6 4" xfId="2253"/>
    <cellStyle name="Input 7 6 4 2" xfId="11581"/>
    <cellStyle name="Input 7 6 4 3" xfId="15991"/>
    <cellStyle name="Input 7 6 4_Table" xfId="6358"/>
    <cellStyle name="Input 7 6 5" xfId="2691"/>
    <cellStyle name="Input 7 6 5 2" xfId="12019"/>
    <cellStyle name="Input 7 6 5 3" xfId="16429"/>
    <cellStyle name="Input 7 6 5_Table" xfId="6359"/>
    <cellStyle name="Input 7 6 6" xfId="3098"/>
    <cellStyle name="Input 7 6 6 2" xfId="12426"/>
    <cellStyle name="Input 7 6 6 3" xfId="16836"/>
    <cellStyle name="Input 7 6 6_Table" xfId="6360"/>
    <cellStyle name="Input 7 6 7" xfId="3690"/>
    <cellStyle name="Input 7 6 7 2" xfId="13018"/>
    <cellStyle name="Input 7 6 7 3" xfId="17428"/>
    <cellStyle name="Input 7 6 7_Table" xfId="6361"/>
    <cellStyle name="Input 7 6 8" xfId="3915"/>
    <cellStyle name="Input 7 6 8 2" xfId="13243"/>
    <cellStyle name="Input 7 6 8 3" xfId="17653"/>
    <cellStyle name="Input 7 6 8_Table" xfId="6362"/>
    <cellStyle name="Input 7 6 9" xfId="4276"/>
    <cellStyle name="Input 7 6 9 2" xfId="13604"/>
    <cellStyle name="Input 7 6 9 3" xfId="18014"/>
    <cellStyle name="Input 7 6 9_Table" xfId="6363"/>
    <cellStyle name="Input 7 6_Table" xfId="6354"/>
    <cellStyle name="Input 7 7" xfId="1088"/>
    <cellStyle name="Input 7 7 2" xfId="10416"/>
    <cellStyle name="Input 7 7 3" xfId="14826"/>
    <cellStyle name="Input 7 7_Table" xfId="6364"/>
    <cellStyle name="Input 7 8" xfId="1164"/>
    <cellStyle name="Input 7 8 2" xfId="10492"/>
    <cellStyle name="Input 7 8 3" xfId="14902"/>
    <cellStyle name="Input 7 8_Table" xfId="6365"/>
    <cellStyle name="Input 7 9" xfId="1078"/>
    <cellStyle name="Input 7 9 2" xfId="10406"/>
    <cellStyle name="Input 7 9 3" xfId="14816"/>
    <cellStyle name="Input 7 9_Table" xfId="6366"/>
    <cellStyle name="Input 7_Table" xfId="6272"/>
    <cellStyle name="Input 8" xfId="314"/>
    <cellStyle name="Input 8 10" xfId="1212"/>
    <cellStyle name="Input 8 10 2" xfId="10540"/>
    <cellStyle name="Input 8 10 3" xfId="14950"/>
    <cellStyle name="Input 8 10_Table" xfId="6368"/>
    <cellStyle name="Input 8 11" xfId="1675"/>
    <cellStyle name="Input 8 11 2" xfId="11003"/>
    <cellStyle name="Input 8 11 3" xfId="15413"/>
    <cellStyle name="Input 8 11_Table" xfId="6369"/>
    <cellStyle name="Input 8 12" xfId="1400"/>
    <cellStyle name="Input 8 12 2" xfId="10728"/>
    <cellStyle name="Input 8 12 3" xfId="15138"/>
    <cellStyle name="Input 8 12_Table" xfId="6370"/>
    <cellStyle name="Input 8 13" xfId="1025"/>
    <cellStyle name="Input 8 13 2" xfId="10353"/>
    <cellStyle name="Input 8 13 3" xfId="14763"/>
    <cellStyle name="Input 8 13_Table" xfId="6371"/>
    <cellStyle name="Input 8 14" xfId="3554"/>
    <cellStyle name="Input 8 14 2" xfId="12882"/>
    <cellStyle name="Input 8 14 3" xfId="17292"/>
    <cellStyle name="Input 8 14_Table" xfId="6372"/>
    <cellStyle name="Input 8 15" xfId="9642"/>
    <cellStyle name="Input 8 16" xfId="14191"/>
    <cellStyle name="Input 8 2" xfId="408"/>
    <cellStyle name="Input 8 2 10" xfId="3379"/>
    <cellStyle name="Input 8 2 10 2" xfId="12707"/>
    <cellStyle name="Input 8 2 10 3" xfId="17117"/>
    <cellStyle name="Input 8 2 10_Table" xfId="6374"/>
    <cellStyle name="Input 8 2 11" xfId="9736"/>
    <cellStyle name="Input 8 2 12" xfId="14236"/>
    <cellStyle name="Input 8 2 2" xfId="723"/>
    <cellStyle name="Input 8 2 2 10" xfId="4683"/>
    <cellStyle name="Input 8 2 2 10 2" xfId="14011"/>
    <cellStyle name="Input 8 2 2 10 3" xfId="18421"/>
    <cellStyle name="Input 8 2 2 10_Table" xfId="6376"/>
    <cellStyle name="Input 8 2 2 11" xfId="10051"/>
    <cellStyle name="Input 8 2 2 12" xfId="14461"/>
    <cellStyle name="Input 8 2 2 2" xfId="1509"/>
    <cellStyle name="Input 8 2 2 2 2" xfId="10837"/>
    <cellStyle name="Input 8 2 2 2 3" xfId="15247"/>
    <cellStyle name="Input 8 2 2 2_Table" xfId="6377"/>
    <cellStyle name="Input 8 2 2 3" xfId="1869"/>
    <cellStyle name="Input 8 2 2 3 2" xfId="11197"/>
    <cellStyle name="Input 8 2 2 3 3" xfId="15607"/>
    <cellStyle name="Input 8 2 2 3_Table" xfId="6378"/>
    <cellStyle name="Input 8 2 2 4" xfId="2299"/>
    <cellStyle name="Input 8 2 2 4 2" xfId="11627"/>
    <cellStyle name="Input 8 2 2 4 3" xfId="16037"/>
    <cellStyle name="Input 8 2 2 4_Table" xfId="6379"/>
    <cellStyle name="Input 8 2 2 5" xfId="2737"/>
    <cellStyle name="Input 8 2 2 5 2" xfId="12065"/>
    <cellStyle name="Input 8 2 2 5 3" xfId="16475"/>
    <cellStyle name="Input 8 2 2 5_Table" xfId="6380"/>
    <cellStyle name="Input 8 2 2 6" xfId="3144"/>
    <cellStyle name="Input 8 2 2 6 2" xfId="12472"/>
    <cellStyle name="Input 8 2 2 6 3" xfId="16882"/>
    <cellStyle name="Input 8 2 2 6_Table" xfId="6381"/>
    <cellStyle name="Input 8 2 2 7" xfId="3736"/>
    <cellStyle name="Input 8 2 2 7 2" xfId="13064"/>
    <cellStyle name="Input 8 2 2 7 3" xfId="17474"/>
    <cellStyle name="Input 8 2 2 7_Table" xfId="6382"/>
    <cellStyle name="Input 8 2 2 8" xfId="3961"/>
    <cellStyle name="Input 8 2 2 8 2" xfId="13289"/>
    <cellStyle name="Input 8 2 2 8 3" xfId="17699"/>
    <cellStyle name="Input 8 2 2 8_Table" xfId="6383"/>
    <cellStyle name="Input 8 2 2 9" xfId="4322"/>
    <cellStyle name="Input 8 2 2 9 2" xfId="13650"/>
    <cellStyle name="Input 8 2 2 9 3" xfId="18060"/>
    <cellStyle name="Input 8 2 2 9_Table" xfId="6384"/>
    <cellStyle name="Input 8 2 2_Table" xfId="6375"/>
    <cellStyle name="Input 8 2 3" xfId="1004"/>
    <cellStyle name="Input 8 2 3 2" xfId="10332"/>
    <cellStyle name="Input 8 2 3 3" xfId="14742"/>
    <cellStyle name="Input 8 2 3_Table" xfId="6385"/>
    <cellStyle name="Input 8 2 4" xfId="1337"/>
    <cellStyle name="Input 8 2 4 2" xfId="10665"/>
    <cellStyle name="Input 8 2 4 3" xfId="15075"/>
    <cellStyle name="Input 8 2 4_Table" xfId="6386"/>
    <cellStyle name="Input 8 2 5" xfId="971"/>
    <cellStyle name="Input 8 2 5 2" xfId="10299"/>
    <cellStyle name="Input 8 2 5 3" xfId="14709"/>
    <cellStyle name="Input 8 2 5_Table" xfId="6387"/>
    <cellStyle name="Input 8 2 6" xfId="2037"/>
    <cellStyle name="Input 8 2 6 2" xfId="11365"/>
    <cellStyle name="Input 8 2 6 3" xfId="15775"/>
    <cellStyle name="Input 8 2 6_Table" xfId="6388"/>
    <cellStyle name="Input 8 2 7" xfId="2467"/>
    <cellStyle name="Input 8 2 7 2" xfId="11795"/>
    <cellStyle name="Input 8 2 7 3" xfId="16205"/>
    <cellStyle name="Input 8 2 7_Table" xfId="6389"/>
    <cellStyle name="Input 8 2 8" xfId="3615"/>
    <cellStyle name="Input 8 2 8 2" xfId="12943"/>
    <cellStyle name="Input 8 2 8 3" xfId="17353"/>
    <cellStyle name="Input 8 2 8_Table" xfId="6390"/>
    <cellStyle name="Input 8 2 9" xfId="1335"/>
    <cellStyle name="Input 8 2 9 2" xfId="10663"/>
    <cellStyle name="Input 8 2 9 3" xfId="15073"/>
    <cellStyle name="Input 8 2 9_Table" xfId="6391"/>
    <cellStyle name="Input 8 2_Table" xfId="6373"/>
    <cellStyle name="Input 8 3" xfId="476"/>
    <cellStyle name="Input 8 3 10" xfId="4503"/>
    <cellStyle name="Input 8 3 10 2" xfId="13831"/>
    <cellStyle name="Input 8 3 10 3" xfId="18241"/>
    <cellStyle name="Input 8 3 10_Table" xfId="6393"/>
    <cellStyle name="Input 8 3 11" xfId="9804"/>
    <cellStyle name="Input 8 3 12" xfId="14281"/>
    <cellStyle name="Input 8 3 2" xfId="768"/>
    <cellStyle name="Input 8 3 2 10" xfId="4728"/>
    <cellStyle name="Input 8 3 2 10 2" xfId="14056"/>
    <cellStyle name="Input 8 3 2 10 3" xfId="18466"/>
    <cellStyle name="Input 8 3 2 10_Table" xfId="6395"/>
    <cellStyle name="Input 8 3 2 11" xfId="10096"/>
    <cellStyle name="Input 8 3 2 12" xfId="14506"/>
    <cellStyle name="Input 8 3 2 2" xfId="1554"/>
    <cellStyle name="Input 8 3 2 2 2" xfId="10882"/>
    <cellStyle name="Input 8 3 2 2 3" xfId="15292"/>
    <cellStyle name="Input 8 3 2 2_Table" xfId="6396"/>
    <cellStyle name="Input 8 3 2 3" xfId="1914"/>
    <cellStyle name="Input 8 3 2 3 2" xfId="11242"/>
    <cellStyle name="Input 8 3 2 3 3" xfId="15652"/>
    <cellStyle name="Input 8 3 2 3_Table" xfId="6397"/>
    <cellStyle name="Input 8 3 2 4" xfId="2344"/>
    <cellStyle name="Input 8 3 2 4 2" xfId="11672"/>
    <cellStyle name="Input 8 3 2 4 3" xfId="16082"/>
    <cellStyle name="Input 8 3 2 4_Table" xfId="6398"/>
    <cellStyle name="Input 8 3 2 5" xfId="2782"/>
    <cellStyle name="Input 8 3 2 5 2" xfId="12110"/>
    <cellStyle name="Input 8 3 2 5 3" xfId="16520"/>
    <cellStyle name="Input 8 3 2 5_Table" xfId="6399"/>
    <cellStyle name="Input 8 3 2 6" xfId="3189"/>
    <cellStyle name="Input 8 3 2 6 2" xfId="12517"/>
    <cellStyle name="Input 8 3 2 6 3" xfId="16927"/>
    <cellStyle name="Input 8 3 2 6_Table" xfId="6400"/>
    <cellStyle name="Input 8 3 2 7" xfId="3781"/>
    <cellStyle name="Input 8 3 2 7 2" xfId="13109"/>
    <cellStyle name="Input 8 3 2 7 3" xfId="17519"/>
    <cellStyle name="Input 8 3 2 7_Table" xfId="6401"/>
    <cellStyle name="Input 8 3 2 8" xfId="4006"/>
    <cellStyle name="Input 8 3 2 8 2" xfId="13334"/>
    <cellStyle name="Input 8 3 2 8 3" xfId="17744"/>
    <cellStyle name="Input 8 3 2 8_Table" xfId="6402"/>
    <cellStyle name="Input 8 3 2 9" xfId="4367"/>
    <cellStyle name="Input 8 3 2 9 2" xfId="13695"/>
    <cellStyle name="Input 8 3 2 9 3" xfId="18105"/>
    <cellStyle name="Input 8 3 2 9_Table" xfId="6403"/>
    <cellStyle name="Input 8 3 2_Table" xfId="6394"/>
    <cellStyle name="Input 8 3 3" xfId="938"/>
    <cellStyle name="Input 8 3 3 2" xfId="10266"/>
    <cellStyle name="Input 8 3 3 3" xfId="14676"/>
    <cellStyle name="Input 8 3 3_Table" xfId="6404"/>
    <cellStyle name="Input 8 3 4" xfId="2067"/>
    <cellStyle name="Input 8 3 4 2" xfId="11395"/>
    <cellStyle name="Input 8 3 4 3" xfId="15805"/>
    <cellStyle name="Input 8 3 4_Table" xfId="6405"/>
    <cellStyle name="Input 8 3 5" xfId="2499"/>
    <cellStyle name="Input 8 3 5 2" xfId="11827"/>
    <cellStyle name="Input 8 3 5 3" xfId="16237"/>
    <cellStyle name="Input 8 3 5_Table" xfId="6406"/>
    <cellStyle name="Input 8 3 6" xfId="2928"/>
    <cellStyle name="Input 8 3 6 2" xfId="12256"/>
    <cellStyle name="Input 8 3 6 3" xfId="16666"/>
    <cellStyle name="Input 8 3 6_Table" xfId="6407"/>
    <cellStyle name="Input 8 3 7" xfId="3340"/>
    <cellStyle name="Input 8 3 7 2" xfId="12668"/>
    <cellStyle name="Input 8 3 7 3" xfId="17078"/>
    <cellStyle name="Input 8 3 7_Table" xfId="6408"/>
    <cellStyle name="Input 8 3 8" xfId="3440"/>
    <cellStyle name="Input 8 3 8 2" xfId="12768"/>
    <cellStyle name="Input 8 3 8 3" xfId="17178"/>
    <cellStyle name="Input 8 3 8_Table" xfId="6409"/>
    <cellStyle name="Input 8 3 9" xfId="4142"/>
    <cellStyle name="Input 8 3 9 2" xfId="13470"/>
    <cellStyle name="Input 8 3 9 3" xfId="17880"/>
    <cellStyle name="Input 8 3 9_Table" xfId="6410"/>
    <cellStyle name="Input 8 3_Table" xfId="6392"/>
    <cellStyle name="Input 8 4" xfId="540"/>
    <cellStyle name="Input 8 4 10" xfId="4548"/>
    <cellStyle name="Input 8 4 10 2" xfId="13876"/>
    <cellStyle name="Input 8 4 10 3" xfId="18286"/>
    <cellStyle name="Input 8 4 10_Table" xfId="6412"/>
    <cellStyle name="Input 8 4 11" xfId="9868"/>
    <cellStyle name="Input 8 4 12" xfId="14326"/>
    <cellStyle name="Input 8 4 2" xfId="813"/>
    <cellStyle name="Input 8 4 2 10" xfId="4773"/>
    <cellStyle name="Input 8 4 2 10 2" xfId="14101"/>
    <cellStyle name="Input 8 4 2 10 3" xfId="18511"/>
    <cellStyle name="Input 8 4 2 10_Table" xfId="6414"/>
    <cellStyle name="Input 8 4 2 11" xfId="10141"/>
    <cellStyle name="Input 8 4 2 12" xfId="14551"/>
    <cellStyle name="Input 8 4 2 2" xfId="1599"/>
    <cellStyle name="Input 8 4 2 2 2" xfId="10927"/>
    <cellStyle name="Input 8 4 2 2 3" xfId="15337"/>
    <cellStyle name="Input 8 4 2 2_Table" xfId="6415"/>
    <cellStyle name="Input 8 4 2 3" xfId="1959"/>
    <cellStyle name="Input 8 4 2 3 2" xfId="11287"/>
    <cellStyle name="Input 8 4 2 3 3" xfId="15697"/>
    <cellStyle name="Input 8 4 2 3_Table" xfId="6416"/>
    <cellStyle name="Input 8 4 2 4" xfId="2389"/>
    <cellStyle name="Input 8 4 2 4 2" xfId="11717"/>
    <cellStyle name="Input 8 4 2 4 3" xfId="16127"/>
    <cellStyle name="Input 8 4 2 4_Table" xfId="6417"/>
    <cellStyle name="Input 8 4 2 5" xfId="2827"/>
    <cellStyle name="Input 8 4 2 5 2" xfId="12155"/>
    <cellStyle name="Input 8 4 2 5 3" xfId="16565"/>
    <cellStyle name="Input 8 4 2 5_Table" xfId="6418"/>
    <cellStyle name="Input 8 4 2 6" xfId="3234"/>
    <cellStyle name="Input 8 4 2 6 2" xfId="12562"/>
    <cellStyle name="Input 8 4 2 6 3" xfId="16972"/>
    <cellStyle name="Input 8 4 2 6_Table" xfId="6419"/>
    <cellStyle name="Input 8 4 2 7" xfId="3826"/>
    <cellStyle name="Input 8 4 2 7 2" xfId="13154"/>
    <cellStyle name="Input 8 4 2 7 3" xfId="17564"/>
    <cellStyle name="Input 8 4 2 7_Table" xfId="6420"/>
    <cellStyle name="Input 8 4 2 8" xfId="4051"/>
    <cellStyle name="Input 8 4 2 8 2" xfId="13379"/>
    <cellStyle name="Input 8 4 2 8 3" xfId="17789"/>
    <cellStyle name="Input 8 4 2 8_Table" xfId="6421"/>
    <cellStyle name="Input 8 4 2 9" xfId="4412"/>
    <cellStyle name="Input 8 4 2 9 2" xfId="13740"/>
    <cellStyle name="Input 8 4 2 9 3" xfId="18150"/>
    <cellStyle name="Input 8 4 2 9_Table" xfId="6422"/>
    <cellStyle name="Input 8 4 2_Table" xfId="6413"/>
    <cellStyle name="Input 8 4 3" xfId="1692"/>
    <cellStyle name="Input 8 4 3 2" xfId="11020"/>
    <cellStyle name="Input 8 4 3 3" xfId="15430"/>
    <cellStyle name="Input 8 4 3_Table" xfId="6423"/>
    <cellStyle name="Input 8 4 4" xfId="2126"/>
    <cellStyle name="Input 8 4 4 2" xfId="11454"/>
    <cellStyle name="Input 8 4 4 3" xfId="15864"/>
    <cellStyle name="Input 8 4 4_Table" xfId="6424"/>
    <cellStyle name="Input 8 4 5" xfId="2558"/>
    <cellStyle name="Input 8 4 5 2" xfId="11886"/>
    <cellStyle name="Input 8 4 5 3" xfId="16296"/>
    <cellStyle name="Input 8 4 5_Table" xfId="6425"/>
    <cellStyle name="Input 8 4 6" xfId="2985"/>
    <cellStyle name="Input 8 4 6 2" xfId="12313"/>
    <cellStyle name="Input 8 4 6 3" xfId="16723"/>
    <cellStyle name="Input 8 4 6_Table" xfId="6426"/>
    <cellStyle name="Input 8 4 7" xfId="3398"/>
    <cellStyle name="Input 8 4 7 2" xfId="12726"/>
    <cellStyle name="Input 8 4 7 3" xfId="17136"/>
    <cellStyle name="Input 8 4 7_Table" xfId="6427"/>
    <cellStyle name="Input 8 4 8" xfId="3527"/>
    <cellStyle name="Input 8 4 8 2" xfId="12855"/>
    <cellStyle name="Input 8 4 8 3" xfId="17265"/>
    <cellStyle name="Input 8 4 8_Table" xfId="6428"/>
    <cellStyle name="Input 8 4 9" xfId="4187"/>
    <cellStyle name="Input 8 4 9 2" xfId="13515"/>
    <cellStyle name="Input 8 4 9 3" xfId="17925"/>
    <cellStyle name="Input 8 4 9_Table" xfId="6429"/>
    <cellStyle name="Input 8 4_Table" xfId="6411"/>
    <cellStyle name="Input 8 5" xfId="615"/>
    <cellStyle name="Input 8 5 10" xfId="4593"/>
    <cellStyle name="Input 8 5 10 2" xfId="13921"/>
    <cellStyle name="Input 8 5 10 3" xfId="18331"/>
    <cellStyle name="Input 8 5 10_Table" xfId="6431"/>
    <cellStyle name="Input 8 5 11" xfId="9943"/>
    <cellStyle name="Input 8 5 12" xfId="14371"/>
    <cellStyle name="Input 8 5 2" xfId="858"/>
    <cellStyle name="Input 8 5 2 10" xfId="4818"/>
    <cellStyle name="Input 8 5 2 10 2" xfId="14146"/>
    <cellStyle name="Input 8 5 2 10 3" xfId="18556"/>
    <cellStyle name="Input 8 5 2 10_Table" xfId="6433"/>
    <cellStyle name="Input 8 5 2 11" xfId="10186"/>
    <cellStyle name="Input 8 5 2 12" xfId="14596"/>
    <cellStyle name="Input 8 5 2 2" xfId="1644"/>
    <cellStyle name="Input 8 5 2 2 2" xfId="10972"/>
    <cellStyle name="Input 8 5 2 2 3" xfId="15382"/>
    <cellStyle name="Input 8 5 2 2_Table" xfId="6434"/>
    <cellStyle name="Input 8 5 2 3" xfId="2004"/>
    <cellStyle name="Input 8 5 2 3 2" xfId="11332"/>
    <cellStyle name="Input 8 5 2 3 3" xfId="15742"/>
    <cellStyle name="Input 8 5 2 3_Table" xfId="6435"/>
    <cellStyle name="Input 8 5 2 4" xfId="2434"/>
    <cellStyle name="Input 8 5 2 4 2" xfId="11762"/>
    <cellStyle name="Input 8 5 2 4 3" xfId="16172"/>
    <cellStyle name="Input 8 5 2 4_Table" xfId="6436"/>
    <cellStyle name="Input 8 5 2 5" xfId="2872"/>
    <cellStyle name="Input 8 5 2 5 2" xfId="12200"/>
    <cellStyle name="Input 8 5 2 5 3" xfId="16610"/>
    <cellStyle name="Input 8 5 2 5_Table" xfId="6437"/>
    <cellStyle name="Input 8 5 2 6" xfId="3279"/>
    <cellStyle name="Input 8 5 2 6 2" xfId="12607"/>
    <cellStyle name="Input 8 5 2 6 3" xfId="17017"/>
    <cellStyle name="Input 8 5 2 6_Table" xfId="6438"/>
    <cellStyle name="Input 8 5 2 7" xfId="3871"/>
    <cellStyle name="Input 8 5 2 7 2" xfId="13199"/>
    <cellStyle name="Input 8 5 2 7 3" xfId="17609"/>
    <cellStyle name="Input 8 5 2 7_Table" xfId="6439"/>
    <cellStyle name="Input 8 5 2 8" xfId="4096"/>
    <cellStyle name="Input 8 5 2 8 2" xfId="13424"/>
    <cellStyle name="Input 8 5 2 8 3" xfId="17834"/>
    <cellStyle name="Input 8 5 2 8_Table" xfId="6440"/>
    <cellStyle name="Input 8 5 2 9" xfId="4457"/>
    <cellStyle name="Input 8 5 2 9 2" xfId="13785"/>
    <cellStyle name="Input 8 5 2 9 3" xfId="18195"/>
    <cellStyle name="Input 8 5 2 9_Table" xfId="6441"/>
    <cellStyle name="Input 8 5 2_Table" xfId="6432"/>
    <cellStyle name="Input 8 5 3" xfId="1762"/>
    <cellStyle name="Input 8 5 3 2" xfId="11090"/>
    <cellStyle name="Input 8 5 3 3" xfId="15500"/>
    <cellStyle name="Input 8 5 3_Table" xfId="6442"/>
    <cellStyle name="Input 8 5 4" xfId="2195"/>
    <cellStyle name="Input 8 5 4 2" xfId="11523"/>
    <cellStyle name="Input 8 5 4 3" xfId="15933"/>
    <cellStyle name="Input 8 5 4_Table" xfId="6443"/>
    <cellStyle name="Input 8 5 5" xfId="2630"/>
    <cellStyle name="Input 8 5 5 2" xfId="11958"/>
    <cellStyle name="Input 8 5 5 3" xfId="16368"/>
    <cellStyle name="Input 8 5 5_Table" xfId="6444"/>
    <cellStyle name="Input 8 5 6" xfId="3043"/>
    <cellStyle name="Input 8 5 6 2" xfId="12371"/>
    <cellStyle name="Input 8 5 6 3" xfId="16781"/>
    <cellStyle name="Input 8 5 6_Table" xfId="6445"/>
    <cellStyle name="Input 8 5 7" xfId="3469"/>
    <cellStyle name="Input 8 5 7 2" xfId="12797"/>
    <cellStyle name="Input 8 5 7 3" xfId="17207"/>
    <cellStyle name="Input 8 5 7_Table" xfId="6446"/>
    <cellStyle name="Input 8 5 8" xfId="2539"/>
    <cellStyle name="Input 8 5 8 2" xfId="11867"/>
    <cellStyle name="Input 8 5 8 3" xfId="16277"/>
    <cellStyle name="Input 8 5 8_Table" xfId="6447"/>
    <cellStyle name="Input 8 5 9" xfId="4232"/>
    <cellStyle name="Input 8 5 9 2" xfId="13560"/>
    <cellStyle name="Input 8 5 9 3" xfId="17970"/>
    <cellStyle name="Input 8 5 9_Table" xfId="6448"/>
    <cellStyle name="Input 8 5_Table" xfId="6430"/>
    <cellStyle name="Input 8 6" xfId="678"/>
    <cellStyle name="Input 8 6 10" xfId="4638"/>
    <cellStyle name="Input 8 6 10 2" xfId="13966"/>
    <cellStyle name="Input 8 6 10 3" xfId="18376"/>
    <cellStyle name="Input 8 6 10_Table" xfId="6450"/>
    <cellStyle name="Input 8 6 11" xfId="10006"/>
    <cellStyle name="Input 8 6 12" xfId="14416"/>
    <cellStyle name="Input 8 6 2" xfId="1464"/>
    <cellStyle name="Input 8 6 2 2" xfId="10792"/>
    <cellStyle name="Input 8 6 2 3" xfId="15202"/>
    <cellStyle name="Input 8 6 2_Table" xfId="6451"/>
    <cellStyle name="Input 8 6 3" xfId="1824"/>
    <cellStyle name="Input 8 6 3 2" xfId="11152"/>
    <cellStyle name="Input 8 6 3 3" xfId="15562"/>
    <cellStyle name="Input 8 6 3_Table" xfId="6452"/>
    <cellStyle name="Input 8 6 4" xfId="2254"/>
    <cellStyle name="Input 8 6 4 2" xfId="11582"/>
    <cellStyle name="Input 8 6 4 3" xfId="15992"/>
    <cellStyle name="Input 8 6 4_Table" xfId="6453"/>
    <cellStyle name="Input 8 6 5" xfId="2692"/>
    <cellStyle name="Input 8 6 5 2" xfId="12020"/>
    <cellStyle name="Input 8 6 5 3" xfId="16430"/>
    <cellStyle name="Input 8 6 5_Table" xfId="6454"/>
    <cellStyle name="Input 8 6 6" xfId="3099"/>
    <cellStyle name="Input 8 6 6 2" xfId="12427"/>
    <cellStyle name="Input 8 6 6 3" xfId="16837"/>
    <cellStyle name="Input 8 6 6_Table" xfId="6455"/>
    <cellStyle name="Input 8 6 7" xfId="3691"/>
    <cellStyle name="Input 8 6 7 2" xfId="13019"/>
    <cellStyle name="Input 8 6 7 3" xfId="17429"/>
    <cellStyle name="Input 8 6 7_Table" xfId="6456"/>
    <cellStyle name="Input 8 6 8" xfId="3916"/>
    <cellStyle name="Input 8 6 8 2" xfId="13244"/>
    <cellStyle name="Input 8 6 8 3" xfId="17654"/>
    <cellStyle name="Input 8 6 8_Table" xfId="6457"/>
    <cellStyle name="Input 8 6 9" xfId="4277"/>
    <cellStyle name="Input 8 6 9 2" xfId="13605"/>
    <cellStyle name="Input 8 6 9 3" xfId="18015"/>
    <cellStyle name="Input 8 6 9_Table" xfId="6458"/>
    <cellStyle name="Input 8 6_Table" xfId="6449"/>
    <cellStyle name="Input 8 7" xfId="1087"/>
    <cellStyle name="Input 8 7 2" xfId="10415"/>
    <cellStyle name="Input 8 7 3" xfId="14825"/>
    <cellStyle name="Input 8 7_Table" xfId="6459"/>
    <cellStyle name="Input 8 8" xfId="1165"/>
    <cellStyle name="Input 8 8 2" xfId="10493"/>
    <cellStyle name="Input 8 8 3" xfId="14903"/>
    <cellStyle name="Input 8 8_Table" xfId="6460"/>
    <cellStyle name="Input 8 9" xfId="1077"/>
    <cellStyle name="Input 8 9 2" xfId="10405"/>
    <cellStyle name="Input 8 9 3" xfId="14815"/>
    <cellStyle name="Input 8 9_Table" xfId="6461"/>
    <cellStyle name="Input 8_Table" xfId="6367"/>
    <cellStyle name="Input 9" xfId="315"/>
    <cellStyle name="Input 9 10" xfId="1260"/>
    <cellStyle name="Input 9 10 2" xfId="10588"/>
    <cellStyle name="Input 9 10 3" xfId="14998"/>
    <cellStyle name="Input 9 10_Table" xfId="6463"/>
    <cellStyle name="Input 9 11" xfId="1736"/>
    <cellStyle name="Input 9 11 2" xfId="11064"/>
    <cellStyle name="Input 9 11 3" xfId="15474"/>
    <cellStyle name="Input 9 11_Table" xfId="6464"/>
    <cellStyle name="Input 9 12" xfId="3581"/>
    <cellStyle name="Input 9 12 2" xfId="12909"/>
    <cellStyle name="Input 9 12 3" xfId="17319"/>
    <cellStyle name="Input 9 12_Table" xfId="6465"/>
    <cellStyle name="Input 9 13" xfId="3016"/>
    <cellStyle name="Input 9 13 2" xfId="12344"/>
    <cellStyle name="Input 9 13 3" xfId="16754"/>
    <cellStyle name="Input 9 13_Table" xfId="6466"/>
    <cellStyle name="Input 9 14" xfId="3586"/>
    <cellStyle name="Input 9 14 2" xfId="12914"/>
    <cellStyle name="Input 9 14 3" xfId="17324"/>
    <cellStyle name="Input 9 14_Table" xfId="6467"/>
    <cellStyle name="Input 9 15" xfId="9643"/>
    <cellStyle name="Input 9 16" xfId="14192"/>
    <cellStyle name="Input 9 2" xfId="409"/>
    <cellStyle name="Input 9 2 10" xfId="2098"/>
    <cellStyle name="Input 9 2 10 2" xfId="11426"/>
    <cellStyle name="Input 9 2 10 3" xfId="15836"/>
    <cellStyle name="Input 9 2 10_Table" xfId="6469"/>
    <cellStyle name="Input 9 2 11" xfId="9737"/>
    <cellStyle name="Input 9 2 12" xfId="14237"/>
    <cellStyle name="Input 9 2 2" xfId="724"/>
    <cellStyle name="Input 9 2 2 10" xfId="4684"/>
    <cellStyle name="Input 9 2 2 10 2" xfId="14012"/>
    <cellStyle name="Input 9 2 2 10 3" xfId="18422"/>
    <cellStyle name="Input 9 2 2 10_Table" xfId="6471"/>
    <cellStyle name="Input 9 2 2 11" xfId="10052"/>
    <cellStyle name="Input 9 2 2 12" xfId="14462"/>
    <cellStyle name="Input 9 2 2 2" xfId="1510"/>
    <cellStyle name="Input 9 2 2 2 2" xfId="10838"/>
    <cellStyle name="Input 9 2 2 2 3" xfId="15248"/>
    <cellStyle name="Input 9 2 2 2_Table" xfId="6472"/>
    <cellStyle name="Input 9 2 2 3" xfId="1870"/>
    <cellStyle name="Input 9 2 2 3 2" xfId="11198"/>
    <cellStyle name="Input 9 2 2 3 3" xfId="15608"/>
    <cellStyle name="Input 9 2 2 3_Table" xfId="6473"/>
    <cellStyle name="Input 9 2 2 4" xfId="2300"/>
    <cellStyle name="Input 9 2 2 4 2" xfId="11628"/>
    <cellStyle name="Input 9 2 2 4 3" xfId="16038"/>
    <cellStyle name="Input 9 2 2 4_Table" xfId="6474"/>
    <cellStyle name="Input 9 2 2 5" xfId="2738"/>
    <cellStyle name="Input 9 2 2 5 2" xfId="12066"/>
    <cellStyle name="Input 9 2 2 5 3" xfId="16476"/>
    <cellStyle name="Input 9 2 2 5_Table" xfId="6475"/>
    <cellStyle name="Input 9 2 2 6" xfId="3145"/>
    <cellStyle name="Input 9 2 2 6 2" xfId="12473"/>
    <cellStyle name="Input 9 2 2 6 3" xfId="16883"/>
    <cellStyle name="Input 9 2 2 6_Table" xfId="6476"/>
    <cellStyle name="Input 9 2 2 7" xfId="3737"/>
    <cellStyle name="Input 9 2 2 7 2" xfId="13065"/>
    <cellStyle name="Input 9 2 2 7 3" xfId="17475"/>
    <cellStyle name="Input 9 2 2 7_Table" xfId="6477"/>
    <cellStyle name="Input 9 2 2 8" xfId="3962"/>
    <cellStyle name="Input 9 2 2 8 2" xfId="13290"/>
    <cellStyle name="Input 9 2 2 8 3" xfId="17700"/>
    <cellStyle name="Input 9 2 2 8_Table" xfId="6478"/>
    <cellStyle name="Input 9 2 2 9" xfId="4323"/>
    <cellStyle name="Input 9 2 2 9 2" xfId="13651"/>
    <cellStyle name="Input 9 2 2 9 3" xfId="18061"/>
    <cellStyle name="Input 9 2 2 9_Table" xfId="6479"/>
    <cellStyle name="Input 9 2 2_Table" xfId="6470"/>
    <cellStyle name="Input 9 2 3" xfId="1003"/>
    <cellStyle name="Input 9 2 3 2" xfId="10331"/>
    <cellStyle name="Input 9 2 3 3" xfId="14741"/>
    <cellStyle name="Input 9 2 3_Table" xfId="6480"/>
    <cellStyle name="Input 9 2 4" xfId="1404"/>
    <cellStyle name="Input 9 2 4 2" xfId="10732"/>
    <cellStyle name="Input 9 2 4 3" xfId="15142"/>
    <cellStyle name="Input 9 2 4_Table" xfId="6481"/>
    <cellStyle name="Input 9 2 5" xfId="905"/>
    <cellStyle name="Input 9 2 5 2" xfId="10233"/>
    <cellStyle name="Input 9 2 5 3" xfId="14643"/>
    <cellStyle name="Input 9 2 5_Table" xfId="6482"/>
    <cellStyle name="Input 9 2 6" xfId="2100"/>
    <cellStyle name="Input 9 2 6 2" xfId="11428"/>
    <cellStyle name="Input 9 2 6 3" xfId="15838"/>
    <cellStyle name="Input 9 2 6_Table" xfId="6483"/>
    <cellStyle name="Input 9 2 7" xfId="2531"/>
    <cellStyle name="Input 9 2 7 2" xfId="11859"/>
    <cellStyle name="Input 9 2 7 3" xfId="16269"/>
    <cellStyle name="Input 9 2 7_Table" xfId="6484"/>
    <cellStyle name="Input 9 2 8" xfId="3377"/>
    <cellStyle name="Input 9 2 8 2" xfId="12705"/>
    <cellStyle name="Input 9 2 8 3" xfId="17115"/>
    <cellStyle name="Input 9 2 8_Table" xfId="6485"/>
    <cellStyle name="Input 9 2 9" xfId="2964"/>
    <cellStyle name="Input 9 2 9 2" xfId="12292"/>
    <cellStyle name="Input 9 2 9 3" xfId="16702"/>
    <cellStyle name="Input 9 2 9_Table" xfId="6486"/>
    <cellStyle name="Input 9 2_Table" xfId="6468"/>
    <cellStyle name="Input 9 3" xfId="477"/>
    <cellStyle name="Input 9 3 10" xfId="4504"/>
    <cellStyle name="Input 9 3 10 2" xfId="13832"/>
    <cellStyle name="Input 9 3 10 3" xfId="18242"/>
    <cellStyle name="Input 9 3 10_Table" xfId="6488"/>
    <cellStyle name="Input 9 3 11" xfId="9805"/>
    <cellStyle name="Input 9 3 12" xfId="14282"/>
    <cellStyle name="Input 9 3 2" xfId="769"/>
    <cellStyle name="Input 9 3 2 10" xfId="4729"/>
    <cellStyle name="Input 9 3 2 10 2" xfId="14057"/>
    <cellStyle name="Input 9 3 2 10 3" xfId="18467"/>
    <cellStyle name="Input 9 3 2 10_Table" xfId="6490"/>
    <cellStyle name="Input 9 3 2 11" xfId="10097"/>
    <cellStyle name="Input 9 3 2 12" xfId="14507"/>
    <cellStyle name="Input 9 3 2 2" xfId="1555"/>
    <cellStyle name="Input 9 3 2 2 2" xfId="10883"/>
    <cellStyle name="Input 9 3 2 2 3" xfId="15293"/>
    <cellStyle name="Input 9 3 2 2_Table" xfId="6491"/>
    <cellStyle name="Input 9 3 2 3" xfId="1915"/>
    <cellStyle name="Input 9 3 2 3 2" xfId="11243"/>
    <cellStyle name="Input 9 3 2 3 3" xfId="15653"/>
    <cellStyle name="Input 9 3 2 3_Table" xfId="6492"/>
    <cellStyle name="Input 9 3 2 4" xfId="2345"/>
    <cellStyle name="Input 9 3 2 4 2" xfId="11673"/>
    <cellStyle name="Input 9 3 2 4 3" xfId="16083"/>
    <cellStyle name="Input 9 3 2 4_Table" xfId="6493"/>
    <cellStyle name="Input 9 3 2 5" xfId="2783"/>
    <cellStyle name="Input 9 3 2 5 2" xfId="12111"/>
    <cellStyle name="Input 9 3 2 5 3" xfId="16521"/>
    <cellStyle name="Input 9 3 2 5_Table" xfId="6494"/>
    <cellStyle name="Input 9 3 2 6" xfId="3190"/>
    <cellStyle name="Input 9 3 2 6 2" xfId="12518"/>
    <cellStyle name="Input 9 3 2 6 3" xfId="16928"/>
    <cellStyle name="Input 9 3 2 6_Table" xfId="6495"/>
    <cellStyle name="Input 9 3 2 7" xfId="3782"/>
    <cellStyle name="Input 9 3 2 7 2" xfId="13110"/>
    <cellStyle name="Input 9 3 2 7 3" xfId="17520"/>
    <cellStyle name="Input 9 3 2 7_Table" xfId="6496"/>
    <cellStyle name="Input 9 3 2 8" xfId="4007"/>
    <cellStyle name="Input 9 3 2 8 2" xfId="13335"/>
    <cellStyle name="Input 9 3 2 8 3" xfId="17745"/>
    <cellStyle name="Input 9 3 2 8_Table" xfId="6497"/>
    <cellStyle name="Input 9 3 2 9" xfId="4368"/>
    <cellStyle name="Input 9 3 2 9 2" xfId="13696"/>
    <cellStyle name="Input 9 3 2 9 3" xfId="18106"/>
    <cellStyle name="Input 9 3 2 9_Table" xfId="6498"/>
    <cellStyle name="Input 9 3 2_Table" xfId="6489"/>
    <cellStyle name="Input 9 3 3" xfId="937"/>
    <cellStyle name="Input 9 3 3 2" xfId="10265"/>
    <cellStyle name="Input 9 3 3 3" xfId="14675"/>
    <cellStyle name="Input 9 3 3_Table" xfId="6499"/>
    <cellStyle name="Input 9 3 4" xfId="2068"/>
    <cellStyle name="Input 9 3 4 2" xfId="11396"/>
    <cellStyle name="Input 9 3 4 3" xfId="15806"/>
    <cellStyle name="Input 9 3 4_Table" xfId="6500"/>
    <cellStyle name="Input 9 3 5" xfId="2500"/>
    <cellStyle name="Input 9 3 5 2" xfId="11828"/>
    <cellStyle name="Input 9 3 5 3" xfId="16238"/>
    <cellStyle name="Input 9 3 5_Table" xfId="6501"/>
    <cellStyle name="Input 9 3 6" xfId="2929"/>
    <cellStyle name="Input 9 3 6 2" xfId="12257"/>
    <cellStyle name="Input 9 3 6 3" xfId="16667"/>
    <cellStyle name="Input 9 3 6_Table" xfId="6502"/>
    <cellStyle name="Input 9 3 7" xfId="3341"/>
    <cellStyle name="Input 9 3 7 2" xfId="12669"/>
    <cellStyle name="Input 9 3 7 3" xfId="17079"/>
    <cellStyle name="Input 9 3 7_Table" xfId="6503"/>
    <cellStyle name="Input 9 3 8" xfId="3511"/>
    <cellStyle name="Input 9 3 8 2" xfId="12839"/>
    <cellStyle name="Input 9 3 8 3" xfId="17249"/>
    <cellStyle name="Input 9 3 8_Table" xfId="6504"/>
    <cellStyle name="Input 9 3 9" xfId="4143"/>
    <cellStyle name="Input 9 3 9 2" xfId="13471"/>
    <cellStyle name="Input 9 3 9 3" xfId="17881"/>
    <cellStyle name="Input 9 3 9_Table" xfId="6505"/>
    <cellStyle name="Input 9 3_Table" xfId="6487"/>
    <cellStyle name="Input 9 4" xfId="541"/>
    <cellStyle name="Input 9 4 10" xfId="4549"/>
    <cellStyle name="Input 9 4 10 2" xfId="13877"/>
    <cellStyle name="Input 9 4 10 3" xfId="18287"/>
    <cellStyle name="Input 9 4 10_Table" xfId="6507"/>
    <cellStyle name="Input 9 4 11" xfId="9869"/>
    <cellStyle name="Input 9 4 12" xfId="14327"/>
    <cellStyle name="Input 9 4 2" xfId="814"/>
    <cellStyle name="Input 9 4 2 10" xfId="4774"/>
    <cellStyle name="Input 9 4 2 10 2" xfId="14102"/>
    <cellStyle name="Input 9 4 2 10 3" xfId="18512"/>
    <cellStyle name="Input 9 4 2 10_Table" xfId="6509"/>
    <cellStyle name="Input 9 4 2 11" xfId="10142"/>
    <cellStyle name="Input 9 4 2 12" xfId="14552"/>
    <cellStyle name="Input 9 4 2 2" xfId="1600"/>
    <cellStyle name="Input 9 4 2 2 2" xfId="10928"/>
    <cellStyle name="Input 9 4 2 2 3" xfId="15338"/>
    <cellStyle name="Input 9 4 2 2_Table" xfId="6510"/>
    <cellStyle name="Input 9 4 2 3" xfId="1960"/>
    <cellStyle name="Input 9 4 2 3 2" xfId="11288"/>
    <cellStyle name="Input 9 4 2 3 3" xfId="15698"/>
    <cellStyle name="Input 9 4 2 3_Table" xfId="6511"/>
    <cellStyle name="Input 9 4 2 4" xfId="2390"/>
    <cellStyle name="Input 9 4 2 4 2" xfId="11718"/>
    <cellStyle name="Input 9 4 2 4 3" xfId="16128"/>
    <cellStyle name="Input 9 4 2 4_Table" xfId="6512"/>
    <cellStyle name="Input 9 4 2 5" xfId="2828"/>
    <cellStyle name="Input 9 4 2 5 2" xfId="12156"/>
    <cellStyle name="Input 9 4 2 5 3" xfId="16566"/>
    <cellStyle name="Input 9 4 2 5_Table" xfId="6513"/>
    <cellStyle name="Input 9 4 2 6" xfId="3235"/>
    <cellStyle name="Input 9 4 2 6 2" xfId="12563"/>
    <cellStyle name="Input 9 4 2 6 3" xfId="16973"/>
    <cellStyle name="Input 9 4 2 6_Table" xfId="6514"/>
    <cellStyle name="Input 9 4 2 7" xfId="3827"/>
    <cellStyle name="Input 9 4 2 7 2" xfId="13155"/>
    <cellStyle name="Input 9 4 2 7 3" xfId="17565"/>
    <cellStyle name="Input 9 4 2 7_Table" xfId="6515"/>
    <cellStyle name="Input 9 4 2 8" xfId="4052"/>
    <cellStyle name="Input 9 4 2 8 2" xfId="13380"/>
    <cellStyle name="Input 9 4 2 8 3" xfId="17790"/>
    <cellStyle name="Input 9 4 2 8_Table" xfId="6516"/>
    <cellStyle name="Input 9 4 2 9" xfId="4413"/>
    <cellStyle name="Input 9 4 2 9 2" xfId="13741"/>
    <cellStyle name="Input 9 4 2 9 3" xfId="18151"/>
    <cellStyle name="Input 9 4 2 9_Table" xfId="6517"/>
    <cellStyle name="Input 9 4 2_Table" xfId="6508"/>
    <cellStyle name="Input 9 4 3" xfId="1693"/>
    <cellStyle name="Input 9 4 3 2" xfId="11021"/>
    <cellStyle name="Input 9 4 3 3" xfId="15431"/>
    <cellStyle name="Input 9 4 3_Table" xfId="6518"/>
    <cellStyle name="Input 9 4 4" xfId="2127"/>
    <cellStyle name="Input 9 4 4 2" xfId="11455"/>
    <cellStyle name="Input 9 4 4 3" xfId="15865"/>
    <cellStyle name="Input 9 4 4_Table" xfId="6519"/>
    <cellStyle name="Input 9 4 5" xfId="2559"/>
    <cellStyle name="Input 9 4 5 2" xfId="11887"/>
    <cellStyle name="Input 9 4 5 3" xfId="16297"/>
    <cellStyle name="Input 9 4 5_Table" xfId="6520"/>
    <cellStyle name="Input 9 4 6" xfId="2986"/>
    <cellStyle name="Input 9 4 6 2" xfId="12314"/>
    <cellStyle name="Input 9 4 6 3" xfId="16724"/>
    <cellStyle name="Input 9 4 6_Table" xfId="6521"/>
    <cellStyle name="Input 9 4 7" xfId="3399"/>
    <cellStyle name="Input 9 4 7 2" xfId="12727"/>
    <cellStyle name="Input 9 4 7 3" xfId="17137"/>
    <cellStyle name="Input 9 4 7_Table" xfId="6522"/>
    <cellStyle name="Input 9 4 8" xfId="3561"/>
    <cellStyle name="Input 9 4 8 2" xfId="12889"/>
    <cellStyle name="Input 9 4 8 3" xfId="17299"/>
    <cellStyle name="Input 9 4 8_Table" xfId="6523"/>
    <cellStyle name="Input 9 4 9" xfId="4188"/>
    <cellStyle name="Input 9 4 9 2" xfId="13516"/>
    <cellStyle name="Input 9 4 9 3" xfId="17926"/>
    <cellStyle name="Input 9 4 9_Table" xfId="6524"/>
    <cellStyle name="Input 9 4_Table" xfId="6506"/>
    <cellStyle name="Input 9 5" xfId="616"/>
    <cellStyle name="Input 9 5 10" xfId="4594"/>
    <cellStyle name="Input 9 5 10 2" xfId="13922"/>
    <cellStyle name="Input 9 5 10 3" xfId="18332"/>
    <cellStyle name="Input 9 5 10_Table" xfId="6526"/>
    <cellStyle name="Input 9 5 11" xfId="9944"/>
    <cellStyle name="Input 9 5 12" xfId="14372"/>
    <cellStyle name="Input 9 5 2" xfId="859"/>
    <cellStyle name="Input 9 5 2 10" xfId="4819"/>
    <cellStyle name="Input 9 5 2 10 2" xfId="14147"/>
    <cellStyle name="Input 9 5 2 10 3" xfId="18557"/>
    <cellStyle name="Input 9 5 2 10_Table" xfId="6528"/>
    <cellStyle name="Input 9 5 2 11" xfId="10187"/>
    <cellStyle name="Input 9 5 2 12" xfId="14597"/>
    <cellStyle name="Input 9 5 2 2" xfId="1645"/>
    <cellStyle name="Input 9 5 2 2 2" xfId="10973"/>
    <cellStyle name="Input 9 5 2 2 3" xfId="15383"/>
    <cellStyle name="Input 9 5 2 2_Table" xfId="6529"/>
    <cellStyle name="Input 9 5 2 3" xfId="2005"/>
    <cellStyle name="Input 9 5 2 3 2" xfId="11333"/>
    <cellStyle name="Input 9 5 2 3 3" xfId="15743"/>
    <cellStyle name="Input 9 5 2 3_Table" xfId="6530"/>
    <cellStyle name="Input 9 5 2 4" xfId="2435"/>
    <cellStyle name="Input 9 5 2 4 2" xfId="11763"/>
    <cellStyle name="Input 9 5 2 4 3" xfId="16173"/>
    <cellStyle name="Input 9 5 2 4_Table" xfId="6531"/>
    <cellStyle name="Input 9 5 2 5" xfId="2873"/>
    <cellStyle name="Input 9 5 2 5 2" xfId="12201"/>
    <cellStyle name="Input 9 5 2 5 3" xfId="16611"/>
    <cellStyle name="Input 9 5 2 5_Table" xfId="6532"/>
    <cellStyle name="Input 9 5 2 6" xfId="3280"/>
    <cellStyle name="Input 9 5 2 6 2" xfId="12608"/>
    <cellStyle name="Input 9 5 2 6 3" xfId="17018"/>
    <cellStyle name="Input 9 5 2 6_Table" xfId="6533"/>
    <cellStyle name="Input 9 5 2 7" xfId="3872"/>
    <cellStyle name="Input 9 5 2 7 2" xfId="13200"/>
    <cellStyle name="Input 9 5 2 7 3" xfId="17610"/>
    <cellStyle name="Input 9 5 2 7_Table" xfId="6534"/>
    <cellStyle name="Input 9 5 2 8" xfId="4097"/>
    <cellStyle name="Input 9 5 2 8 2" xfId="13425"/>
    <cellStyle name="Input 9 5 2 8 3" xfId="17835"/>
    <cellStyle name="Input 9 5 2 8_Table" xfId="6535"/>
    <cellStyle name="Input 9 5 2 9" xfId="4458"/>
    <cellStyle name="Input 9 5 2 9 2" xfId="13786"/>
    <cellStyle name="Input 9 5 2 9 3" xfId="18196"/>
    <cellStyle name="Input 9 5 2 9_Table" xfId="6536"/>
    <cellStyle name="Input 9 5 2_Table" xfId="6527"/>
    <cellStyle name="Input 9 5 3" xfId="1763"/>
    <cellStyle name="Input 9 5 3 2" xfId="11091"/>
    <cellStyle name="Input 9 5 3 3" xfId="15501"/>
    <cellStyle name="Input 9 5 3_Table" xfId="6537"/>
    <cellStyle name="Input 9 5 4" xfId="2196"/>
    <cellStyle name="Input 9 5 4 2" xfId="11524"/>
    <cellStyle name="Input 9 5 4 3" xfId="15934"/>
    <cellStyle name="Input 9 5 4_Table" xfId="6538"/>
    <cellStyle name="Input 9 5 5" xfId="2631"/>
    <cellStyle name="Input 9 5 5 2" xfId="11959"/>
    <cellStyle name="Input 9 5 5 3" xfId="16369"/>
    <cellStyle name="Input 9 5 5_Table" xfId="6539"/>
    <cellStyle name="Input 9 5 6" xfId="3044"/>
    <cellStyle name="Input 9 5 6 2" xfId="12372"/>
    <cellStyle name="Input 9 5 6 3" xfId="16782"/>
    <cellStyle name="Input 9 5 6_Table" xfId="6540"/>
    <cellStyle name="Input 9 5 7" xfId="3470"/>
    <cellStyle name="Input 9 5 7 2" xfId="12798"/>
    <cellStyle name="Input 9 5 7 3" xfId="17208"/>
    <cellStyle name="Input 9 5 7_Table" xfId="6541"/>
    <cellStyle name="Input 9 5 8" xfId="3571"/>
    <cellStyle name="Input 9 5 8 2" xfId="12899"/>
    <cellStyle name="Input 9 5 8 3" xfId="17309"/>
    <cellStyle name="Input 9 5 8_Table" xfId="6542"/>
    <cellStyle name="Input 9 5 9" xfId="4233"/>
    <cellStyle name="Input 9 5 9 2" xfId="13561"/>
    <cellStyle name="Input 9 5 9 3" xfId="17971"/>
    <cellStyle name="Input 9 5 9_Table" xfId="6543"/>
    <cellStyle name="Input 9 5_Table" xfId="6525"/>
    <cellStyle name="Input 9 6" xfId="679"/>
    <cellStyle name="Input 9 6 10" xfId="4639"/>
    <cellStyle name="Input 9 6 10 2" xfId="13967"/>
    <cellStyle name="Input 9 6 10 3" xfId="18377"/>
    <cellStyle name="Input 9 6 10_Table" xfId="6545"/>
    <cellStyle name="Input 9 6 11" xfId="10007"/>
    <cellStyle name="Input 9 6 12" xfId="14417"/>
    <cellStyle name="Input 9 6 2" xfId="1465"/>
    <cellStyle name="Input 9 6 2 2" xfId="10793"/>
    <cellStyle name="Input 9 6 2 3" xfId="15203"/>
    <cellStyle name="Input 9 6 2_Table" xfId="6546"/>
    <cellStyle name="Input 9 6 3" xfId="1825"/>
    <cellStyle name="Input 9 6 3 2" xfId="11153"/>
    <cellStyle name="Input 9 6 3 3" xfId="15563"/>
    <cellStyle name="Input 9 6 3_Table" xfId="6547"/>
    <cellStyle name="Input 9 6 4" xfId="2255"/>
    <cellStyle name="Input 9 6 4 2" xfId="11583"/>
    <cellStyle name="Input 9 6 4 3" xfId="15993"/>
    <cellStyle name="Input 9 6 4_Table" xfId="6548"/>
    <cellStyle name="Input 9 6 5" xfId="2693"/>
    <cellStyle name="Input 9 6 5 2" xfId="12021"/>
    <cellStyle name="Input 9 6 5 3" xfId="16431"/>
    <cellStyle name="Input 9 6 5_Table" xfId="6549"/>
    <cellStyle name="Input 9 6 6" xfId="3100"/>
    <cellStyle name="Input 9 6 6 2" xfId="12428"/>
    <cellStyle name="Input 9 6 6 3" xfId="16838"/>
    <cellStyle name="Input 9 6 6_Table" xfId="6550"/>
    <cellStyle name="Input 9 6 7" xfId="3692"/>
    <cellStyle name="Input 9 6 7 2" xfId="13020"/>
    <cellStyle name="Input 9 6 7 3" xfId="17430"/>
    <cellStyle name="Input 9 6 7_Table" xfId="6551"/>
    <cellStyle name="Input 9 6 8" xfId="3917"/>
    <cellStyle name="Input 9 6 8 2" xfId="13245"/>
    <cellStyle name="Input 9 6 8 3" xfId="17655"/>
    <cellStyle name="Input 9 6 8_Table" xfId="6552"/>
    <cellStyle name="Input 9 6 9" xfId="4278"/>
    <cellStyle name="Input 9 6 9 2" xfId="13606"/>
    <cellStyle name="Input 9 6 9 3" xfId="18016"/>
    <cellStyle name="Input 9 6 9_Table" xfId="6553"/>
    <cellStyle name="Input 9 6_Table" xfId="6544"/>
    <cellStyle name="Input 9 7" xfId="1086"/>
    <cellStyle name="Input 9 7 2" xfId="10414"/>
    <cellStyle name="Input 9 7 3" xfId="14824"/>
    <cellStyle name="Input 9 7_Table" xfId="6554"/>
    <cellStyle name="Input 9 8" xfId="1166"/>
    <cellStyle name="Input 9 8 2" xfId="10494"/>
    <cellStyle name="Input 9 8 3" xfId="14904"/>
    <cellStyle name="Input 9 8_Table" xfId="6555"/>
    <cellStyle name="Input 9 9" xfId="1076"/>
    <cellStyle name="Input 9 9 2" xfId="10404"/>
    <cellStyle name="Input 9 9 3" xfId="14814"/>
    <cellStyle name="Input 9 9_Table" xfId="6556"/>
    <cellStyle name="Input 9_Table" xfId="6462"/>
    <cellStyle name="Linked Cell 10" xfId="316"/>
    <cellStyle name="Linked Cell 10 2" xfId="9644"/>
    <cellStyle name="Linked Cell 10_Table" xfId="18587"/>
    <cellStyle name="Linked Cell 2" xfId="317"/>
    <cellStyle name="Linked Cell 2 2" xfId="9645"/>
    <cellStyle name="Linked Cell 2_Table" xfId="18588"/>
    <cellStyle name="Linked Cell 3" xfId="318"/>
    <cellStyle name="Linked Cell 3 2" xfId="9646"/>
    <cellStyle name="Linked Cell 3_Table" xfId="18589"/>
    <cellStyle name="Linked Cell 4" xfId="319"/>
    <cellStyle name="Linked Cell 4 2" xfId="9647"/>
    <cellStyle name="Linked Cell 4_Table" xfId="18590"/>
    <cellStyle name="Linked Cell 5" xfId="320"/>
    <cellStyle name="Linked Cell 5 2" xfId="9648"/>
    <cellStyle name="Linked Cell 5_Table" xfId="18591"/>
    <cellStyle name="Linked Cell 6" xfId="321"/>
    <cellStyle name="Linked Cell 6 2" xfId="9649"/>
    <cellStyle name="Linked Cell 6_Table" xfId="18592"/>
    <cellStyle name="Linked Cell 7" xfId="322"/>
    <cellStyle name="Linked Cell 7 2" xfId="9650"/>
    <cellStyle name="Linked Cell 7_Table" xfId="18593"/>
    <cellStyle name="Linked Cell 8" xfId="323"/>
    <cellStyle name="Linked Cell 8 2" xfId="9651"/>
    <cellStyle name="Linked Cell 8_Table" xfId="18594"/>
    <cellStyle name="Linked Cell 9" xfId="324"/>
    <cellStyle name="Linked Cell 9 2" xfId="9652"/>
    <cellStyle name="Linked Cell 9_Table" xfId="18595"/>
    <cellStyle name="Neutral 10" xfId="325"/>
    <cellStyle name="Neutral 10 2" xfId="9653"/>
    <cellStyle name="Neutral 10_Table" xfId="18596"/>
    <cellStyle name="Neutral 2" xfId="326"/>
    <cellStyle name="Neutral 2 2" xfId="9654"/>
    <cellStyle name="Neutral 2_Table" xfId="18597"/>
    <cellStyle name="Neutral 3" xfId="327"/>
    <cellStyle name="Neutral 3 2" xfId="9655"/>
    <cellStyle name="Neutral 3_Table" xfId="18598"/>
    <cellStyle name="Neutral 4" xfId="328"/>
    <cellStyle name="Neutral 4 2" xfId="9656"/>
    <cellStyle name="Neutral 4_Table" xfId="18599"/>
    <cellStyle name="Neutral 5" xfId="329"/>
    <cellStyle name="Neutral 5 2" xfId="9657"/>
    <cellStyle name="Neutral 5_Table" xfId="18600"/>
    <cellStyle name="Neutral 6" xfId="330"/>
    <cellStyle name="Neutral 6 2" xfId="9658"/>
    <cellStyle name="Neutral 6_Table" xfId="18601"/>
    <cellStyle name="Neutral 7" xfId="331"/>
    <cellStyle name="Neutral 7 2" xfId="9659"/>
    <cellStyle name="Neutral 7_Table" xfId="18602"/>
    <cellStyle name="Neutral 8" xfId="332"/>
    <cellStyle name="Neutral 8 2" xfId="9660"/>
    <cellStyle name="Neutral 8_Table" xfId="18603"/>
    <cellStyle name="Neutral 9" xfId="333"/>
    <cellStyle name="Neutral 9 2" xfId="9661"/>
    <cellStyle name="Neutral 9_Table" xfId="18604"/>
    <cellStyle name="Normal" xfId="0" builtinId="0"/>
    <cellStyle name="Normal 10" xfId="459"/>
    <cellStyle name="Normal 10 2" xfId="9787"/>
    <cellStyle name="Normal 10_Table" xfId="6557"/>
    <cellStyle name="Normal 11" xfId="523"/>
    <cellStyle name="Normal 11 2" xfId="9851"/>
    <cellStyle name="Normal 11_Table" xfId="6558"/>
    <cellStyle name="Normal 12" xfId="570"/>
    <cellStyle name="Normal 12 2" xfId="9898"/>
    <cellStyle name="Normal 12_Table" xfId="6559"/>
    <cellStyle name="Normal 13" xfId="598"/>
    <cellStyle name="Normal 13 2" xfId="9926"/>
    <cellStyle name="Normal 13_Table" xfId="6560"/>
    <cellStyle name="Normal 14" xfId="9328"/>
    <cellStyle name="Normal 2" xfId="1"/>
    <cellStyle name="Normal 2 2" xfId="3"/>
    <cellStyle name="Normal 2 2 2" xfId="4"/>
    <cellStyle name="Normal 2 2 2 2" xfId="388"/>
    <cellStyle name="Normal 2 2 2 2 2" xfId="389"/>
    <cellStyle name="Normal 2 2 2 2 2 2" xfId="446"/>
    <cellStyle name="Normal 2 2 2 2 2 2 2" xfId="447"/>
    <cellStyle name="Normal 2 2 2 2 2 2 2 2" xfId="456"/>
    <cellStyle name="Normal 2 2 2 2 2 2 2 2 2" xfId="457"/>
    <cellStyle name="Normal 2 2 2 2 2 2 2 2 2 2" xfId="596"/>
    <cellStyle name="Normal 2 2 2 2 2 2 2 2 2 2 2" xfId="597"/>
    <cellStyle name="Normal 2 2 2 2 2 2 2 2 2 2 2 2" xfId="9925"/>
    <cellStyle name="Normal 2 2 2 2 2 2 2 2 2 2 2_Table" xfId="18610"/>
    <cellStyle name="Normal 2 2 2 2 2 2 2 2 2 2 3" xfId="9924"/>
    <cellStyle name="Normal 2 2 2 2 2 2 2 2 2 2_Table" xfId="6565"/>
    <cellStyle name="Normal 2 2 2 2 2 2 2 2 2 3" xfId="9785"/>
    <cellStyle name="Normal 2 2 2 2 2 2 2 2 2_Table" xfId="18609"/>
    <cellStyle name="Normal 2 2 2 2 2 2 2 2 3" xfId="9784"/>
    <cellStyle name="Normal 2 2 2 2 2 2 2 2_Table" xfId="6564"/>
    <cellStyle name="Normal 2 2 2 2 2 2 2 3" xfId="522"/>
    <cellStyle name="Normal 2 2 2 2 2 2 2 3 2" xfId="9850"/>
    <cellStyle name="Normal 2 2 2 2 2 2 2 3_Table" xfId="18611"/>
    <cellStyle name="Normal 2 2 2 2 2 2 2 4" xfId="587"/>
    <cellStyle name="Normal 2 2 2 2 2 2 2 4 2" xfId="9915"/>
    <cellStyle name="Normal 2 2 2 2 2 2 2 4_Table" xfId="18612"/>
    <cellStyle name="Normal 2 2 2 2 2 2 2 5" xfId="661"/>
    <cellStyle name="Normal 2 2 2 2 2 2 2 5 2" xfId="9989"/>
    <cellStyle name="Normal 2 2 2 2 2 2 2 5_Table" xfId="18613"/>
    <cellStyle name="Normal 2 2 2 2 2 2 2 6" xfId="9775"/>
    <cellStyle name="Normal 2 2 2 2 2 2 2_Table" xfId="18608"/>
    <cellStyle name="Normal 2 2 2 2 2 2 3" xfId="521"/>
    <cellStyle name="Normal 2 2 2 2 2 2 3 2" xfId="594"/>
    <cellStyle name="Normal 2 2 2 2 2 2 3 2 2" xfId="9922"/>
    <cellStyle name="Normal 2 2 2 2 2 2 3 2_Table" xfId="18614"/>
    <cellStyle name="Normal 2 2 2 2 2 2 3 3" xfId="9849"/>
    <cellStyle name="Normal 2 2 2 2 2 2 3_Table" xfId="6566"/>
    <cellStyle name="Normal 2 2 2 2 2 2 4" xfId="586"/>
    <cellStyle name="Normal 2 2 2 2 2 2 4 2" xfId="9914"/>
    <cellStyle name="Normal 2 2 2 2 2 2 4_Table" xfId="6567"/>
    <cellStyle name="Normal 2 2 2 2 2 2 5" xfId="660"/>
    <cellStyle name="Normal 2 2 2 2 2 2 5 2" xfId="9988"/>
    <cellStyle name="Normal 2 2 2 2 2 2 5_Table" xfId="6568"/>
    <cellStyle name="Normal 2 2 2 2 2 2 6" xfId="9774"/>
    <cellStyle name="Normal 2 2 2 2 2 2_Table" xfId="6563"/>
    <cellStyle name="Normal 2 2 2 2 2 3" xfId="514"/>
    <cellStyle name="Normal 2 2 2 2 2 3 2" xfId="593"/>
    <cellStyle name="Normal 2 2 2 2 2 3 2 2" xfId="9921"/>
    <cellStyle name="Normal 2 2 2 2 2 3 2_Table" xfId="6569"/>
    <cellStyle name="Normal 2 2 2 2 2 3 3" xfId="9842"/>
    <cellStyle name="Normal 2 2 2 2 2 3_Table" xfId="18615"/>
    <cellStyle name="Normal 2 2 2 2 2 4" xfId="579"/>
    <cellStyle name="Normal 2 2 2 2 2 4 2" xfId="9907"/>
    <cellStyle name="Normal 2 2 2 2 2 4_Table" xfId="18616"/>
    <cellStyle name="Normal 2 2 2 2 2 5" xfId="653"/>
    <cellStyle name="Normal 2 2 2 2 2 5 2" xfId="9981"/>
    <cellStyle name="Normal 2 2 2 2 2 5_Table" xfId="18617"/>
    <cellStyle name="Normal 2 2 2 2 2 6" xfId="9717"/>
    <cellStyle name="Normal 2 2 2 2 2_Table" xfId="18607"/>
    <cellStyle name="Normal 2 2 2 2 3" xfId="450"/>
    <cellStyle name="Normal 2 2 2 2 3 2" xfId="9778"/>
    <cellStyle name="Normal 2 2 2 2 3_Table" xfId="18618"/>
    <cellStyle name="Normal 2 2 2 2 4" xfId="513"/>
    <cellStyle name="Normal 2 2 2 2 4 2" xfId="591"/>
    <cellStyle name="Normal 2 2 2 2 4 2 2" xfId="9919"/>
    <cellStyle name="Normal 2 2 2 2 4 2_Table" xfId="18619"/>
    <cellStyle name="Normal 2 2 2 2 4 3" xfId="9841"/>
    <cellStyle name="Normal 2 2 2 2 4_Table" xfId="6570"/>
    <cellStyle name="Normal 2 2 2 2 5" xfId="578"/>
    <cellStyle name="Normal 2 2 2 2 5 2" xfId="9906"/>
    <cellStyle name="Normal 2 2 2 2 5_Table" xfId="6571"/>
    <cellStyle name="Normal 2 2 2 2 6" xfId="652"/>
    <cellStyle name="Normal 2 2 2 2 6 2" xfId="9980"/>
    <cellStyle name="Normal 2 2 2 2 6_Table" xfId="6572"/>
    <cellStyle name="Normal 2 2 2 2 7" xfId="9716"/>
    <cellStyle name="Normal 2 2 2 2_Table" xfId="6562"/>
    <cellStyle name="Normal 2 2 2 3" xfId="440"/>
    <cellStyle name="Normal 2 2 2 3 2" xfId="449"/>
    <cellStyle name="Normal 2 2 2 3 2 2" xfId="453"/>
    <cellStyle name="Normal 2 2 2 3 2 2 2" xfId="9781"/>
    <cellStyle name="Normal 2 2 2 3 2 2_Table" xfId="18621"/>
    <cellStyle name="Normal 2 2 2 3 2 3" xfId="518"/>
    <cellStyle name="Normal 2 2 2 3 2 3 2" xfId="9846"/>
    <cellStyle name="Normal 2 2 2 3 2 3_Table" xfId="18622"/>
    <cellStyle name="Normal 2 2 2 3 2 4" xfId="583"/>
    <cellStyle name="Normal 2 2 2 3 2 4 2" xfId="9911"/>
    <cellStyle name="Normal 2 2 2 3 2 4_Table" xfId="18623"/>
    <cellStyle name="Normal 2 2 2 3 2 5" xfId="657"/>
    <cellStyle name="Normal 2 2 2 3 2 5 2" xfId="9985"/>
    <cellStyle name="Normal 2 2 2 3 2 5_Table" xfId="18624"/>
    <cellStyle name="Normal 2 2 2 3 2 6" xfId="9777"/>
    <cellStyle name="Normal 2 2 2 3 2_Table" xfId="6573"/>
    <cellStyle name="Normal 2 2 2 3 3" xfId="515"/>
    <cellStyle name="Normal 2 2 2 3 3 2" xfId="9843"/>
    <cellStyle name="Normal 2 2 2 3 3_Table" xfId="6574"/>
    <cellStyle name="Normal 2 2 2 3 4" xfId="580"/>
    <cellStyle name="Normal 2 2 2 3 4 2" xfId="9908"/>
    <cellStyle name="Normal 2 2 2 3 4_Table" xfId="6575"/>
    <cellStyle name="Normal 2 2 2 3 5" xfId="654"/>
    <cellStyle name="Normal 2 2 2 3 5 2" xfId="9982"/>
    <cellStyle name="Normal 2 2 2 3 5_Table" xfId="6576"/>
    <cellStyle name="Normal 2 2 2 3 6" xfId="9768"/>
    <cellStyle name="Normal 2 2 2 3_Table" xfId="18620"/>
    <cellStyle name="Normal 2 2 2 4" xfId="508"/>
    <cellStyle name="Normal 2 2 2 4 2" xfId="590"/>
    <cellStyle name="Normal 2 2 2 4 2 2" xfId="9918"/>
    <cellStyle name="Normal 2 2 2 4 2_Table" xfId="6577"/>
    <cellStyle name="Normal 2 2 2 4 3" xfId="9836"/>
    <cellStyle name="Normal 2 2 2 4_Table" xfId="18625"/>
    <cellStyle name="Normal 2 2 2 5" xfId="573"/>
    <cellStyle name="Normal 2 2 2 5 2" xfId="9901"/>
    <cellStyle name="Normal 2 2 2 5_Table" xfId="18626"/>
    <cellStyle name="Normal 2 2 2 6" xfId="647"/>
    <cellStyle name="Normal 2 2 2 6 2" xfId="9975"/>
    <cellStyle name="Normal 2 2 2 6_Table" xfId="18627"/>
    <cellStyle name="Normal 2 2 2 7" xfId="9332"/>
    <cellStyle name="Normal 2 2 2_Table" xfId="18606"/>
    <cellStyle name="Normal 2 2 3" xfId="335"/>
    <cellStyle name="Normal 2 2 3 2" xfId="439"/>
    <cellStyle name="Normal 2 2 3 2 2" xfId="444"/>
    <cellStyle name="Normal 2 2 3 2 2 2" xfId="452"/>
    <cellStyle name="Normal 2 2 3 2 2 2 2" xfId="455"/>
    <cellStyle name="Normal 2 2 3 2 2 2 2 2" xfId="9783"/>
    <cellStyle name="Normal 2 2 3 2 2 2 2_Table" xfId="18630"/>
    <cellStyle name="Normal 2 2 3 2 2 2 3" xfId="9780"/>
    <cellStyle name="Normal 2 2 3 2 2 2_Table" xfId="6579"/>
    <cellStyle name="Normal 2 2 3 2 2 3" xfId="520"/>
    <cellStyle name="Normal 2 2 3 2 2 3 2" xfId="9848"/>
    <cellStyle name="Normal 2 2 3 2 2 3_Table" xfId="18631"/>
    <cellStyle name="Normal 2 2 3 2 2 4" xfId="585"/>
    <cellStyle name="Normal 2 2 3 2 2 4 2" xfId="9913"/>
    <cellStyle name="Normal 2 2 3 2 2 4_Table" xfId="18632"/>
    <cellStyle name="Normal 2 2 3 2 2 5" xfId="659"/>
    <cellStyle name="Normal 2 2 3 2 2 5 2" xfId="9987"/>
    <cellStyle name="Normal 2 2 3 2 2 5_Table" xfId="18633"/>
    <cellStyle name="Normal 2 2 3 2 2 6" xfId="9772"/>
    <cellStyle name="Normal 2 2 3 2 2_Table" xfId="18629"/>
    <cellStyle name="Normal 2 2 3 2 3" xfId="517"/>
    <cellStyle name="Normal 2 2 3 2 3 2" xfId="9845"/>
    <cellStyle name="Normal 2 2 3 2 3_Table" xfId="6580"/>
    <cellStyle name="Normal 2 2 3 2 4" xfId="582"/>
    <cellStyle name="Normal 2 2 3 2 4 2" xfId="9910"/>
    <cellStyle name="Normal 2 2 3 2 4_Table" xfId="6581"/>
    <cellStyle name="Normal 2 2 3 2 5" xfId="656"/>
    <cellStyle name="Normal 2 2 3 2 5 2" xfId="9984"/>
    <cellStyle name="Normal 2 2 3 2 5_Table" xfId="6582"/>
    <cellStyle name="Normal 2 2 3 2 6" xfId="9767"/>
    <cellStyle name="Normal 2 2 3 2_Table" xfId="6578"/>
    <cellStyle name="Normal 2 2 3 3" xfId="511"/>
    <cellStyle name="Normal 2 2 3 3 2" xfId="9839"/>
    <cellStyle name="Normal 2 2 3 3_Table" xfId="18634"/>
    <cellStyle name="Normal 2 2 3 4" xfId="576"/>
    <cellStyle name="Normal 2 2 3 4 2" xfId="9904"/>
    <cellStyle name="Normal 2 2 3 4_Table" xfId="18635"/>
    <cellStyle name="Normal 2 2 3 5" xfId="650"/>
    <cellStyle name="Normal 2 2 3 5 2" xfId="9978"/>
    <cellStyle name="Normal 2 2 3 5_Table" xfId="18636"/>
    <cellStyle name="Normal 2 2 3 6" xfId="9663"/>
    <cellStyle name="Normal 2 2 3_Table" xfId="18628"/>
    <cellStyle name="Normal 2 2 4" xfId="443"/>
    <cellStyle name="Normal 2 2 4 2" xfId="9771"/>
    <cellStyle name="Normal 2 2 4_Table" xfId="18637"/>
    <cellStyle name="Normal 2 2 5" xfId="507"/>
    <cellStyle name="Normal 2 2 5 2" xfId="589"/>
    <cellStyle name="Normal 2 2 5 2 2" xfId="9917"/>
    <cellStyle name="Normal 2 2 5 2_Table" xfId="18638"/>
    <cellStyle name="Normal 2 2 5 3" xfId="9835"/>
    <cellStyle name="Normal 2 2 5_Table" xfId="6583"/>
    <cellStyle name="Normal 2 2 6" xfId="572"/>
    <cellStyle name="Normal 2 2 6 2" xfId="9900"/>
    <cellStyle name="Normal 2 2 6_Table" xfId="6584"/>
    <cellStyle name="Normal 2 2 7" xfId="646"/>
    <cellStyle name="Normal 2 2 7 2" xfId="9974"/>
    <cellStyle name="Normal 2 2 7_Table" xfId="6585"/>
    <cellStyle name="Normal 2 2 8" xfId="9331"/>
    <cellStyle name="Normal 2 2_Table" xfId="6561"/>
    <cellStyle name="Normal 2 3" xfId="334"/>
    <cellStyle name="Normal 2 3 2" xfId="386"/>
    <cellStyle name="Normal 2 3 2 2" xfId="442"/>
    <cellStyle name="Normal 2 3 2 2 2" xfId="451"/>
    <cellStyle name="Normal 2 3 2 2 2 2" xfId="454"/>
    <cellStyle name="Normal 2 3 2 2 2 2 2" xfId="9782"/>
    <cellStyle name="Normal 2 3 2 2 2 2_Table" xfId="6588"/>
    <cellStyle name="Normal 2 3 2 2 2 3" xfId="9779"/>
    <cellStyle name="Normal 2 3 2 2 2_Table" xfId="18640"/>
    <cellStyle name="Normal 2 3 2 2 3" xfId="519"/>
    <cellStyle name="Normal 2 3 2 2 3 2" xfId="9847"/>
    <cellStyle name="Normal 2 3 2 2 3_Table" xfId="6589"/>
    <cellStyle name="Normal 2 3 2 2 4" xfId="584"/>
    <cellStyle name="Normal 2 3 2 2 4 2" xfId="9912"/>
    <cellStyle name="Normal 2 3 2 2 4_Table" xfId="6590"/>
    <cellStyle name="Normal 2 3 2 2 5" xfId="658"/>
    <cellStyle name="Normal 2 3 2 2 5 2" xfId="9986"/>
    <cellStyle name="Normal 2 3 2 2 5_Table" xfId="6591"/>
    <cellStyle name="Normal 2 3 2 2 6" xfId="9770"/>
    <cellStyle name="Normal 2 3 2 2_Table" xfId="6587"/>
    <cellStyle name="Normal 2 3 2 3" xfId="516"/>
    <cellStyle name="Normal 2 3 2 3 2" xfId="9844"/>
    <cellStyle name="Normal 2 3 2 3_Table" xfId="18641"/>
    <cellStyle name="Normal 2 3 2 4" xfId="581"/>
    <cellStyle name="Normal 2 3 2 4 2" xfId="9909"/>
    <cellStyle name="Normal 2 3 2 4_Table" xfId="18642"/>
    <cellStyle name="Normal 2 3 2 5" xfId="655"/>
    <cellStyle name="Normal 2 3 2 5 2" xfId="9983"/>
    <cellStyle name="Normal 2 3 2 5_Table" xfId="18643"/>
    <cellStyle name="Normal 2 3 2 6" xfId="9714"/>
    <cellStyle name="Normal 2 3 2_Table" xfId="18639"/>
    <cellStyle name="Normal 2 3 3" xfId="510"/>
    <cellStyle name="Normal 2 3 3 2" xfId="9838"/>
    <cellStyle name="Normal 2 3 3_Table" xfId="6592"/>
    <cellStyle name="Normal 2 3 4" xfId="575"/>
    <cellStyle name="Normal 2 3 4 2" xfId="9903"/>
    <cellStyle name="Normal 2 3 4_Table" xfId="6593"/>
    <cellStyle name="Normal 2 3 5" xfId="649"/>
    <cellStyle name="Normal 2 3 5 2" xfId="9977"/>
    <cellStyle name="Normal 2 3 5_Table" xfId="6594"/>
    <cellStyle name="Normal 2 3 6" xfId="9662"/>
    <cellStyle name="Normal 2 3_Table" xfId="6586"/>
    <cellStyle name="Normal 2 4" xfId="410"/>
    <cellStyle name="Normal 2 4 2" xfId="445"/>
    <cellStyle name="Normal 2 4 2 2" xfId="9773"/>
    <cellStyle name="Normal 2 4 2_Table" xfId="6595"/>
    <cellStyle name="Normal 2 4 3" xfId="512"/>
    <cellStyle name="Normal 2 4 3 2" xfId="9840"/>
    <cellStyle name="Normal 2 4 3_Table" xfId="6596"/>
    <cellStyle name="Normal 2 4 4" xfId="577"/>
    <cellStyle name="Normal 2 4 4 2" xfId="9905"/>
    <cellStyle name="Normal 2 4 4_Table" xfId="6597"/>
    <cellStyle name="Normal 2 4 5" xfId="651"/>
    <cellStyle name="Normal 2 4 5 2" xfId="9979"/>
    <cellStyle name="Normal 2 4 5_Table" xfId="6598"/>
    <cellStyle name="Normal 2 4 6" xfId="9738"/>
    <cellStyle name="Normal 2 4_Table" xfId="18644"/>
    <cellStyle name="Normal 2 5" xfId="478"/>
    <cellStyle name="Normal 2 5 2" xfId="588"/>
    <cellStyle name="Normal 2 5 2 2" xfId="9916"/>
    <cellStyle name="Normal 2 5 2_Table" xfId="6599"/>
    <cellStyle name="Normal 2 5 3" xfId="9806"/>
    <cellStyle name="Normal 2 5_Table" xfId="18645"/>
    <cellStyle name="Normal 2 6" xfId="542"/>
    <cellStyle name="Normal 2 6 2" xfId="9870"/>
    <cellStyle name="Normal 2 6_Table" xfId="18646"/>
    <cellStyle name="Normal 2 7" xfId="617"/>
    <cellStyle name="Normal 2 7 2" xfId="9945"/>
    <cellStyle name="Normal 2 7_Table" xfId="18647"/>
    <cellStyle name="Normal 2 8" xfId="9329"/>
    <cellStyle name="Normal 2_Table" xfId="18605"/>
    <cellStyle name="Normal 27" xfId="336"/>
    <cellStyle name="Normal 27 2" xfId="9664"/>
    <cellStyle name="Normal 3" xfId="5"/>
    <cellStyle name="Normal 3 2" xfId="337"/>
    <cellStyle name="Normal 3 2 2" xfId="387"/>
    <cellStyle name="Normal 3 2 2 2" xfId="390"/>
    <cellStyle name="Normal 3 2 2 2 2" xfId="9718"/>
    <cellStyle name="Normal 3 2 2 2_Table" xfId="6602"/>
    <cellStyle name="Normal 3 2 2 3" xfId="9715"/>
    <cellStyle name="Normal 3 2 2_Table" xfId="6601"/>
    <cellStyle name="Normal 3 2 3" xfId="441"/>
    <cellStyle name="Normal 3 2 3 2" xfId="9769"/>
    <cellStyle name="Normal 3 2 3_Table" xfId="6603"/>
    <cellStyle name="Normal 3 2 4" xfId="509"/>
    <cellStyle name="Normal 3 2 4 2" xfId="9837"/>
    <cellStyle name="Normal 3 2 4_Table" xfId="6604"/>
    <cellStyle name="Normal 3 2 5" xfId="574"/>
    <cellStyle name="Normal 3 2 5 2" xfId="9902"/>
    <cellStyle name="Normal 3 2 5_Table" xfId="6605"/>
    <cellStyle name="Normal 3 2 6" xfId="648"/>
    <cellStyle name="Normal 3 2 6 2" xfId="9976"/>
    <cellStyle name="Normal 3 2 6_Table" xfId="6606"/>
    <cellStyle name="Normal 3 2 7" xfId="9665"/>
    <cellStyle name="Normal 3 2_Table" xfId="6600"/>
    <cellStyle name="Normal 3 3" xfId="438"/>
    <cellStyle name="Normal 3 3 2" xfId="592"/>
    <cellStyle name="Normal 3 3 2 2" xfId="9920"/>
    <cellStyle name="Normal 3 3 2_Table" xfId="6608"/>
    <cellStyle name="Normal 3 3 3" xfId="9766"/>
    <cellStyle name="Normal 3 3_Table" xfId="6607"/>
    <cellStyle name="Normal 3 4" xfId="448"/>
    <cellStyle name="Normal 3 4 2" xfId="595"/>
    <cellStyle name="Normal 3 4 2 2" xfId="9923"/>
    <cellStyle name="Normal 3 4 2_Table" xfId="6610"/>
    <cellStyle name="Normal 3 4 3" xfId="9776"/>
    <cellStyle name="Normal 3 4_Table" xfId="6609"/>
    <cellStyle name="Normal 3 5" xfId="506"/>
    <cellStyle name="Normal 3 5 2" xfId="9834"/>
    <cellStyle name="Normal 3 5_Table" xfId="6611"/>
    <cellStyle name="Normal 3 6" xfId="571"/>
    <cellStyle name="Normal 3 6 2" xfId="9899"/>
    <cellStyle name="Normal 3 6_Table" xfId="6612"/>
    <cellStyle name="Normal 3 7" xfId="645"/>
    <cellStyle name="Normal 3 7 2" xfId="9973"/>
    <cellStyle name="Normal 3 7_Table" xfId="6613"/>
    <cellStyle name="Normal 3 8" xfId="9333"/>
    <cellStyle name="Normal 3_Table" xfId="18648"/>
    <cellStyle name="Normal 4" xfId="8"/>
    <cellStyle name="Normal 4 2" xfId="385"/>
    <cellStyle name="Normal 4 2 2" xfId="9713"/>
    <cellStyle name="Normal 4 2_Table" xfId="6615"/>
    <cellStyle name="Normal 4 3" xfId="9336"/>
    <cellStyle name="Normal 4_Table" xfId="6614"/>
    <cellStyle name="Normal 5" xfId="338"/>
    <cellStyle name="Normal 5 2" xfId="9666"/>
    <cellStyle name="Normal 5_Table" xfId="18649"/>
    <cellStyle name="Normal 6" xfId="339"/>
    <cellStyle name="Normal 6 2" xfId="9667"/>
    <cellStyle name="Normal 6_Table" xfId="18650"/>
    <cellStyle name="Normal 7" xfId="6"/>
    <cellStyle name="Normal 7 2" xfId="9334"/>
    <cellStyle name="Normal 7_Table" xfId="6616"/>
    <cellStyle name="Normal 8" xfId="391"/>
    <cellStyle name="Normal 8 2" xfId="9719"/>
    <cellStyle name="Normal 8_Table" xfId="6617"/>
    <cellStyle name="Normal 9" xfId="458"/>
    <cellStyle name="Normal 9 2" xfId="9786"/>
    <cellStyle name="Normal 9_Table" xfId="6618"/>
    <cellStyle name="Note 10" xfId="340"/>
    <cellStyle name="Note 10 10" xfId="1741"/>
    <cellStyle name="Note 10 10 2" xfId="11069"/>
    <cellStyle name="Note 10 10 3" xfId="15479"/>
    <cellStyle name="Note 10 10_Table" xfId="6620"/>
    <cellStyle name="Note 10 11" xfId="2175"/>
    <cellStyle name="Note 10 11 2" xfId="11503"/>
    <cellStyle name="Note 10 11 3" xfId="15913"/>
    <cellStyle name="Note 10 11_Table" xfId="6621"/>
    <cellStyle name="Note 10 12" xfId="2608"/>
    <cellStyle name="Note 10 12 2" xfId="11936"/>
    <cellStyle name="Note 10 12 3" xfId="16346"/>
    <cellStyle name="Note 10 12_Table" xfId="6622"/>
    <cellStyle name="Note 10 13" xfId="3650"/>
    <cellStyle name="Note 10 13 2" xfId="12978"/>
    <cellStyle name="Note 10 13 3" xfId="17388"/>
    <cellStyle name="Note 10 13_Table" xfId="6623"/>
    <cellStyle name="Note 10 14" xfId="3045"/>
    <cellStyle name="Note 10 14 2" xfId="12373"/>
    <cellStyle name="Note 10 14 3" xfId="16783"/>
    <cellStyle name="Note 10 14_Table" xfId="6624"/>
    <cellStyle name="Note 10 15" xfId="3634"/>
    <cellStyle name="Note 10 15 2" xfId="12962"/>
    <cellStyle name="Note 10 15 3" xfId="17372"/>
    <cellStyle name="Note 10 15_Table" xfId="6625"/>
    <cellStyle name="Note 10 16" xfId="9668"/>
    <cellStyle name="Note 10 17" xfId="14193"/>
    <cellStyle name="Note 10 2" xfId="411"/>
    <cellStyle name="Note 10 2 10" xfId="1272"/>
    <cellStyle name="Note 10 2 10 2" xfId="10600"/>
    <cellStyle name="Note 10 2 10 3" xfId="15010"/>
    <cellStyle name="Note 10 2 10_Table" xfId="6627"/>
    <cellStyle name="Note 10 2 11" xfId="3642"/>
    <cellStyle name="Note 10 2 11 2" xfId="12970"/>
    <cellStyle name="Note 10 2 11 3" xfId="17380"/>
    <cellStyle name="Note 10 2 11_Table" xfId="6628"/>
    <cellStyle name="Note 10 2 12" xfId="9739"/>
    <cellStyle name="Note 10 2 13" xfId="14238"/>
    <cellStyle name="Note 10 2 2" xfId="725"/>
    <cellStyle name="Note 10 2 2 10" xfId="4685"/>
    <cellStyle name="Note 10 2 2 10 2" xfId="14013"/>
    <cellStyle name="Note 10 2 2 10 3" xfId="18423"/>
    <cellStyle name="Note 10 2 2 10_Table" xfId="6630"/>
    <cellStyle name="Note 10 2 2 11" xfId="10053"/>
    <cellStyle name="Note 10 2 2 12" xfId="14463"/>
    <cellStyle name="Note 10 2 2 2" xfId="1511"/>
    <cellStyle name="Note 10 2 2 2 2" xfId="10839"/>
    <cellStyle name="Note 10 2 2 2 3" xfId="15249"/>
    <cellStyle name="Note 10 2 2 2_Table" xfId="6631"/>
    <cellStyle name="Note 10 2 2 3" xfId="1871"/>
    <cellStyle name="Note 10 2 2 3 2" xfId="11199"/>
    <cellStyle name="Note 10 2 2 3 3" xfId="15609"/>
    <cellStyle name="Note 10 2 2 3_Table" xfId="6632"/>
    <cellStyle name="Note 10 2 2 4" xfId="2301"/>
    <cellStyle name="Note 10 2 2 4 2" xfId="11629"/>
    <cellStyle name="Note 10 2 2 4 3" xfId="16039"/>
    <cellStyle name="Note 10 2 2 4_Table" xfId="6633"/>
    <cellStyle name="Note 10 2 2 5" xfId="2739"/>
    <cellStyle name="Note 10 2 2 5 2" xfId="12067"/>
    <cellStyle name="Note 10 2 2 5 3" xfId="16477"/>
    <cellStyle name="Note 10 2 2 5_Table" xfId="6634"/>
    <cellStyle name="Note 10 2 2 6" xfId="3146"/>
    <cellStyle name="Note 10 2 2 6 2" xfId="12474"/>
    <cellStyle name="Note 10 2 2 6 3" xfId="16884"/>
    <cellStyle name="Note 10 2 2 6_Table" xfId="6635"/>
    <cellStyle name="Note 10 2 2 7" xfId="3738"/>
    <cellStyle name="Note 10 2 2 7 2" xfId="13066"/>
    <cellStyle name="Note 10 2 2 7 3" xfId="17476"/>
    <cellStyle name="Note 10 2 2 7_Table" xfId="6636"/>
    <cellStyle name="Note 10 2 2 8" xfId="3963"/>
    <cellStyle name="Note 10 2 2 8 2" xfId="13291"/>
    <cellStyle name="Note 10 2 2 8 3" xfId="17701"/>
    <cellStyle name="Note 10 2 2 8_Table" xfId="6637"/>
    <cellStyle name="Note 10 2 2 9" xfId="4324"/>
    <cellStyle name="Note 10 2 2 9 2" xfId="13652"/>
    <cellStyle name="Note 10 2 2 9 3" xfId="18062"/>
    <cellStyle name="Note 10 2 2 9_Table" xfId="6638"/>
    <cellStyle name="Note 10 2 2_Table" xfId="6629"/>
    <cellStyle name="Note 10 2 3" xfId="1225"/>
    <cellStyle name="Note 10 2 3 2" xfId="10553"/>
    <cellStyle name="Note 10 2 3 3" xfId="14963"/>
    <cellStyle name="Note 10 2 3_Table" xfId="6639"/>
    <cellStyle name="Note 10 2 4" xfId="1001"/>
    <cellStyle name="Note 10 2 4 2" xfId="10329"/>
    <cellStyle name="Note 10 2 4 3" xfId="14739"/>
    <cellStyle name="Note 10 2 4_Table" xfId="6640"/>
    <cellStyle name="Note 10 2 5" xfId="892"/>
    <cellStyle name="Note 10 2 5 2" xfId="10220"/>
    <cellStyle name="Note 10 2 5 3" xfId="14630"/>
    <cellStyle name="Note 10 2 5_Table" xfId="6641"/>
    <cellStyle name="Note 10 2 6" xfId="1795"/>
    <cellStyle name="Note 10 2 6 2" xfId="11123"/>
    <cellStyle name="Note 10 2 6 3" xfId="15533"/>
    <cellStyle name="Note 10 2 6_Table" xfId="6642"/>
    <cellStyle name="Note 10 2 7" xfId="2227"/>
    <cellStyle name="Note 10 2 7 2" xfId="11555"/>
    <cellStyle name="Note 10 2 7 3" xfId="15965"/>
    <cellStyle name="Note 10 2 7_Table" xfId="6643"/>
    <cellStyle name="Note 10 2 8" xfId="2662"/>
    <cellStyle name="Note 10 2 8 2" xfId="11990"/>
    <cellStyle name="Note 10 2 8 3" xfId="16400"/>
    <cellStyle name="Note 10 2 8_Table" xfId="6644"/>
    <cellStyle name="Note 10 2 9" xfId="1027"/>
    <cellStyle name="Note 10 2 9 2" xfId="10355"/>
    <cellStyle name="Note 10 2 9 3" xfId="14765"/>
    <cellStyle name="Note 10 2 9_Table" xfId="6645"/>
    <cellStyle name="Note 10 2_Table" xfId="6626"/>
    <cellStyle name="Note 10 3" xfId="479"/>
    <cellStyle name="Note 10 3 10" xfId="4144"/>
    <cellStyle name="Note 10 3 10 2" xfId="13472"/>
    <cellStyle name="Note 10 3 10 3" xfId="17882"/>
    <cellStyle name="Note 10 3 10_Table" xfId="6647"/>
    <cellStyle name="Note 10 3 11" xfId="4505"/>
    <cellStyle name="Note 10 3 11 2" xfId="13833"/>
    <cellStyle name="Note 10 3 11 3" xfId="18243"/>
    <cellStyle name="Note 10 3 11_Table" xfId="6648"/>
    <cellStyle name="Note 10 3 12" xfId="9807"/>
    <cellStyle name="Note 10 3 13" xfId="14283"/>
    <cellStyle name="Note 10 3 2" xfId="770"/>
    <cellStyle name="Note 10 3 2 10" xfId="4730"/>
    <cellStyle name="Note 10 3 2 10 2" xfId="14058"/>
    <cellStyle name="Note 10 3 2 10 3" xfId="18468"/>
    <cellStyle name="Note 10 3 2 10_Table" xfId="6650"/>
    <cellStyle name="Note 10 3 2 11" xfId="10098"/>
    <cellStyle name="Note 10 3 2 12" xfId="14508"/>
    <cellStyle name="Note 10 3 2 2" xfId="1556"/>
    <cellStyle name="Note 10 3 2 2 2" xfId="10884"/>
    <cellStyle name="Note 10 3 2 2 3" xfId="15294"/>
    <cellStyle name="Note 10 3 2 2_Table" xfId="6651"/>
    <cellStyle name="Note 10 3 2 3" xfId="1916"/>
    <cellStyle name="Note 10 3 2 3 2" xfId="11244"/>
    <cellStyle name="Note 10 3 2 3 3" xfId="15654"/>
    <cellStyle name="Note 10 3 2 3_Table" xfId="6652"/>
    <cellStyle name="Note 10 3 2 4" xfId="2346"/>
    <cellStyle name="Note 10 3 2 4 2" xfId="11674"/>
    <cellStyle name="Note 10 3 2 4 3" xfId="16084"/>
    <cellStyle name="Note 10 3 2 4_Table" xfId="6653"/>
    <cellStyle name="Note 10 3 2 5" xfId="2784"/>
    <cellStyle name="Note 10 3 2 5 2" xfId="12112"/>
    <cellStyle name="Note 10 3 2 5 3" xfId="16522"/>
    <cellStyle name="Note 10 3 2 5_Table" xfId="6654"/>
    <cellStyle name="Note 10 3 2 6" xfId="3191"/>
    <cellStyle name="Note 10 3 2 6 2" xfId="12519"/>
    <cellStyle name="Note 10 3 2 6 3" xfId="16929"/>
    <cellStyle name="Note 10 3 2 6_Table" xfId="6655"/>
    <cellStyle name="Note 10 3 2 7" xfId="3783"/>
    <cellStyle name="Note 10 3 2 7 2" xfId="13111"/>
    <cellStyle name="Note 10 3 2 7 3" xfId="17521"/>
    <cellStyle name="Note 10 3 2 7_Table" xfId="6656"/>
    <cellStyle name="Note 10 3 2 8" xfId="4008"/>
    <cellStyle name="Note 10 3 2 8 2" xfId="13336"/>
    <cellStyle name="Note 10 3 2 8 3" xfId="17746"/>
    <cellStyle name="Note 10 3 2 8_Table" xfId="6657"/>
    <cellStyle name="Note 10 3 2 9" xfId="4369"/>
    <cellStyle name="Note 10 3 2 9 2" xfId="13697"/>
    <cellStyle name="Note 10 3 2 9 3" xfId="18107"/>
    <cellStyle name="Note 10 3 2 9_Table" xfId="6658"/>
    <cellStyle name="Note 10 3 2_Table" xfId="6649"/>
    <cellStyle name="Note 10 3 3" xfId="1282"/>
    <cellStyle name="Note 10 3 3 2" xfId="10610"/>
    <cellStyle name="Note 10 3 3 3" xfId="15020"/>
    <cellStyle name="Note 10 3 3_Table" xfId="6659"/>
    <cellStyle name="Note 10 3 4" xfId="935"/>
    <cellStyle name="Note 10 3 4 2" xfId="10263"/>
    <cellStyle name="Note 10 3 4 3" xfId="14673"/>
    <cellStyle name="Note 10 3 4_Table" xfId="6660"/>
    <cellStyle name="Note 10 3 5" xfId="2070"/>
    <cellStyle name="Note 10 3 5 2" xfId="11398"/>
    <cellStyle name="Note 10 3 5 3" xfId="15808"/>
    <cellStyle name="Note 10 3 5_Table" xfId="6661"/>
    <cellStyle name="Note 10 3 6" xfId="2502"/>
    <cellStyle name="Note 10 3 6 2" xfId="11830"/>
    <cellStyle name="Note 10 3 6 3" xfId="16240"/>
    <cellStyle name="Note 10 3 6_Table" xfId="6662"/>
    <cellStyle name="Note 10 3 7" xfId="2930"/>
    <cellStyle name="Note 10 3 7 2" xfId="12258"/>
    <cellStyle name="Note 10 3 7 3" xfId="16668"/>
    <cellStyle name="Note 10 3 7_Table" xfId="6663"/>
    <cellStyle name="Note 10 3 8" xfId="3343"/>
    <cellStyle name="Note 10 3 8 2" xfId="12671"/>
    <cellStyle name="Note 10 3 8 3" xfId="17081"/>
    <cellStyle name="Note 10 3 8_Table" xfId="6664"/>
    <cellStyle name="Note 10 3 9" xfId="3438"/>
    <cellStyle name="Note 10 3 9 2" xfId="12766"/>
    <cellStyle name="Note 10 3 9 3" xfId="17176"/>
    <cellStyle name="Note 10 3 9_Table" xfId="6665"/>
    <cellStyle name="Note 10 3_Table" xfId="6646"/>
    <cellStyle name="Note 10 4" xfId="543"/>
    <cellStyle name="Note 10 4 10" xfId="4189"/>
    <cellStyle name="Note 10 4 10 2" xfId="13517"/>
    <cellStyle name="Note 10 4 10 3" xfId="17927"/>
    <cellStyle name="Note 10 4 10_Table" xfId="6667"/>
    <cellStyle name="Note 10 4 11" xfId="4550"/>
    <cellStyle name="Note 10 4 11 2" xfId="13878"/>
    <cellStyle name="Note 10 4 11 3" xfId="18288"/>
    <cellStyle name="Note 10 4 11_Table" xfId="6668"/>
    <cellStyle name="Note 10 4 12" xfId="9871"/>
    <cellStyle name="Note 10 4 13" xfId="14328"/>
    <cellStyle name="Note 10 4 2" xfId="815"/>
    <cellStyle name="Note 10 4 2 10" xfId="4775"/>
    <cellStyle name="Note 10 4 2 10 2" xfId="14103"/>
    <cellStyle name="Note 10 4 2 10 3" xfId="18513"/>
    <cellStyle name="Note 10 4 2 10_Table" xfId="6670"/>
    <cellStyle name="Note 10 4 2 11" xfId="10143"/>
    <cellStyle name="Note 10 4 2 12" xfId="14553"/>
    <cellStyle name="Note 10 4 2 2" xfId="1601"/>
    <cellStyle name="Note 10 4 2 2 2" xfId="10929"/>
    <cellStyle name="Note 10 4 2 2 3" xfId="15339"/>
    <cellStyle name="Note 10 4 2 2_Table" xfId="6671"/>
    <cellStyle name="Note 10 4 2 3" xfId="1961"/>
    <cellStyle name="Note 10 4 2 3 2" xfId="11289"/>
    <cellStyle name="Note 10 4 2 3 3" xfId="15699"/>
    <cellStyle name="Note 10 4 2 3_Table" xfId="6672"/>
    <cellStyle name="Note 10 4 2 4" xfId="2391"/>
    <cellStyle name="Note 10 4 2 4 2" xfId="11719"/>
    <cellStyle name="Note 10 4 2 4 3" xfId="16129"/>
    <cellStyle name="Note 10 4 2 4_Table" xfId="6673"/>
    <cellStyle name="Note 10 4 2 5" xfId="2829"/>
    <cellStyle name="Note 10 4 2 5 2" xfId="12157"/>
    <cellStyle name="Note 10 4 2 5 3" xfId="16567"/>
    <cellStyle name="Note 10 4 2 5_Table" xfId="6674"/>
    <cellStyle name="Note 10 4 2 6" xfId="3236"/>
    <cellStyle name="Note 10 4 2 6 2" xfId="12564"/>
    <cellStyle name="Note 10 4 2 6 3" xfId="16974"/>
    <cellStyle name="Note 10 4 2 6_Table" xfId="6675"/>
    <cellStyle name="Note 10 4 2 7" xfId="3828"/>
    <cellStyle name="Note 10 4 2 7 2" xfId="13156"/>
    <cellStyle name="Note 10 4 2 7 3" xfId="17566"/>
    <cellStyle name="Note 10 4 2 7_Table" xfId="6676"/>
    <cellStyle name="Note 10 4 2 8" xfId="4053"/>
    <cellStyle name="Note 10 4 2 8 2" xfId="13381"/>
    <cellStyle name="Note 10 4 2 8 3" xfId="17791"/>
    <cellStyle name="Note 10 4 2 8_Table" xfId="6677"/>
    <cellStyle name="Note 10 4 2 9" xfId="4414"/>
    <cellStyle name="Note 10 4 2 9 2" xfId="13742"/>
    <cellStyle name="Note 10 4 2 9 3" xfId="18152"/>
    <cellStyle name="Note 10 4 2 9_Table" xfId="6678"/>
    <cellStyle name="Note 10 4 2_Table" xfId="6669"/>
    <cellStyle name="Note 10 4 3" xfId="1338"/>
    <cellStyle name="Note 10 4 3 2" xfId="10666"/>
    <cellStyle name="Note 10 4 3 3" xfId="15076"/>
    <cellStyle name="Note 10 4 3_Table" xfId="6679"/>
    <cellStyle name="Note 10 4 4" xfId="1695"/>
    <cellStyle name="Note 10 4 4 2" xfId="11023"/>
    <cellStyle name="Note 10 4 4 3" xfId="15433"/>
    <cellStyle name="Note 10 4 4_Table" xfId="6680"/>
    <cellStyle name="Note 10 4 5" xfId="2129"/>
    <cellStyle name="Note 10 4 5 2" xfId="11457"/>
    <cellStyle name="Note 10 4 5 3" xfId="15867"/>
    <cellStyle name="Note 10 4 5_Table" xfId="6681"/>
    <cellStyle name="Note 10 4 6" xfId="2561"/>
    <cellStyle name="Note 10 4 6 2" xfId="11889"/>
    <cellStyle name="Note 10 4 6 3" xfId="16299"/>
    <cellStyle name="Note 10 4 6_Table" xfId="6682"/>
    <cellStyle name="Note 10 4 7" xfId="2987"/>
    <cellStyle name="Note 10 4 7 2" xfId="12315"/>
    <cellStyle name="Note 10 4 7 3" xfId="16725"/>
    <cellStyle name="Note 10 4 7_Table" xfId="6683"/>
    <cellStyle name="Note 10 4 8" xfId="3401"/>
    <cellStyle name="Note 10 4 8 2" xfId="12729"/>
    <cellStyle name="Note 10 4 8 3" xfId="17139"/>
    <cellStyle name="Note 10 4 8_Table" xfId="6684"/>
    <cellStyle name="Note 10 4 9" xfId="3625"/>
    <cellStyle name="Note 10 4 9 2" xfId="12953"/>
    <cellStyle name="Note 10 4 9 3" xfId="17363"/>
    <cellStyle name="Note 10 4 9_Table" xfId="6685"/>
    <cellStyle name="Note 10 4_Table" xfId="6666"/>
    <cellStyle name="Note 10 5" xfId="618"/>
    <cellStyle name="Note 10 5 10" xfId="4234"/>
    <cellStyle name="Note 10 5 10 2" xfId="13562"/>
    <cellStyle name="Note 10 5 10 3" xfId="17972"/>
    <cellStyle name="Note 10 5 10_Table" xfId="6687"/>
    <cellStyle name="Note 10 5 11" xfId="4595"/>
    <cellStyle name="Note 10 5 11 2" xfId="13923"/>
    <cellStyle name="Note 10 5 11 3" xfId="18333"/>
    <cellStyle name="Note 10 5 11_Table" xfId="6688"/>
    <cellStyle name="Note 10 5 12" xfId="9946"/>
    <cellStyle name="Note 10 5 13" xfId="14373"/>
    <cellStyle name="Note 10 5 2" xfId="860"/>
    <cellStyle name="Note 10 5 2 10" xfId="4820"/>
    <cellStyle name="Note 10 5 2 10 2" xfId="14148"/>
    <cellStyle name="Note 10 5 2 10 3" xfId="18558"/>
    <cellStyle name="Note 10 5 2 10_Table" xfId="6690"/>
    <cellStyle name="Note 10 5 2 11" xfId="10188"/>
    <cellStyle name="Note 10 5 2 12" xfId="14598"/>
    <cellStyle name="Note 10 5 2 2" xfId="1646"/>
    <cellStyle name="Note 10 5 2 2 2" xfId="10974"/>
    <cellStyle name="Note 10 5 2 2 3" xfId="15384"/>
    <cellStyle name="Note 10 5 2 2_Table" xfId="6691"/>
    <cellStyle name="Note 10 5 2 3" xfId="2006"/>
    <cellStyle name="Note 10 5 2 3 2" xfId="11334"/>
    <cellStyle name="Note 10 5 2 3 3" xfId="15744"/>
    <cellStyle name="Note 10 5 2 3_Table" xfId="6692"/>
    <cellStyle name="Note 10 5 2 4" xfId="2436"/>
    <cellStyle name="Note 10 5 2 4 2" xfId="11764"/>
    <cellStyle name="Note 10 5 2 4 3" xfId="16174"/>
    <cellStyle name="Note 10 5 2 4_Table" xfId="6693"/>
    <cellStyle name="Note 10 5 2 5" xfId="2874"/>
    <cellStyle name="Note 10 5 2 5 2" xfId="12202"/>
    <cellStyle name="Note 10 5 2 5 3" xfId="16612"/>
    <cellStyle name="Note 10 5 2 5_Table" xfId="6694"/>
    <cellStyle name="Note 10 5 2 6" xfId="3281"/>
    <cellStyle name="Note 10 5 2 6 2" xfId="12609"/>
    <cellStyle name="Note 10 5 2 6 3" xfId="17019"/>
    <cellStyle name="Note 10 5 2 6_Table" xfId="6695"/>
    <cellStyle name="Note 10 5 2 7" xfId="3873"/>
    <cellStyle name="Note 10 5 2 7 2" xfId="13201"/>
    <cellStyle name="Note 10 5 2 7 3" xfId="17611"/>
    <cellStyle name="Note 10 5 2 7_Table" xfId="6696"/>
    <cellStyle name="Note 10 5 2 8" xfId="4098"/>
    <cellStyle name="Note 10 5 2 8 2" xfId="13426"/>
    <cellStyle name="Note 10 5 2 8 3" xfId="17836"/>
    <cellStyle name="Note 10 5 2 8_Table" xfId="6697"/>
    <cellStyle name="Note 10 5 2 9" xfId="4459"/>
    <cellStyle name="Note 10 5 2 9 2" xfId="13787"/>
    <cellStyle name="Note 10 5 2 9 3" xfId="18197"/>
    <cellStyle name="Note 10 5 2 9_Table" xfId="6698"/>
    <cellStyle name="Note 10 5 2_Table" xfId="6689"/>
    <cellStyle name="Note 10 5 3" xfId="1405"/>
    <cellStyle name="Note 10 5 3 2" xfId="10733"/>
    <cellStyle name="Note 10 5 3 3" xfId="15143"/>
    <cellStyle name="Note 10 5 3_Table" xfId="6699"/>
    <cellStyle name="Note 10 5 4" xfId="1765"/>
    <cellStyle name="Note 10 5 4 2" xfId="11093"/>
    <cellStyle name="Note 10 5 4 3" xfId="15503"/>
    <cellStyle name="Note 10 5 4_Table" xfId="6700"/>
    <cellStyle name="Note 10 5 5" xfId="2198"/>
    <cellStyle name="Note 10 5 5 2" xfId="11526"/>
    <cellStyle name="Note 10 5 5 3" xfId="15936"/>
    <cellStyle name="Note 10 5 5_Table" xfId="6701"/>
    <cellStyle name="Note 10 5 6" xfId="2633"/>
    <cellStyle name="Note 10 5 6 2" xfId="11961"/>
    <cellStyle name="Note 10 5 6 3" xfId="16371"/>
    <cellStyle name="Note 10 5 6_Table" xfId="6702"/>
    <cellStyle name="Note 10 5 7" xfId="3046"/>
    <cellStyle name="Note 10 5 7 2" xfId="12374"/>
    <cellStyle name="Note 10 5 7 3" xfId="16784"/>
    <cellStyle name="Note 10 5 7_Table" xfId="6703"/>
    <cellStyle name="Note 10 5 8" xfId="3472"/>
    <cellStyle name="Note 10 5 8 2" xfId="12800"/>
    <cellStyle name="Note 10 5 8 3" xfId="17210"/>
    <cellStyle name="Note 10 5 8_Table" xfId="6704"/>
    <cellStyle name="Note 10 5 9" xfId="3636"/>
    <cellStyle name="Note 10 5 9 2" xfId="12964"/>
    <cellStyle name="Note 10 5 9 3" xfId="17374"/>
    <cellStyle name="Note 10 5 9_Table" xfId="6705"/>
    <cellStyle name="Note 10 5_Table" xfId="6686"/>
    <cellStyle name="Note 10 6" xfId="680"/>
    <cellStyle name="Note 10 6 10" xfId="4640"/>
    <cellStyle name="Note 10 6 10 2" xfId="13968"/>
    <cellStyle name="Note 10 6 10 3" xfId="18378"/>
    <cellStyle name="Note 10 6 10_Table" xfId="6707"/>
    <cellStyle name="Note 10 6 11" xfId="10008"/>
    <cellStyle name="Note 10 6 12" xfId="14418"/>
    <cellStyle name="Note 10 6 2" xfId="1466"/>
    <cellStyle name="Note 10 6 2 2" xfId="10794"/>
    <cellStyle name="Note 10 6 2 3" xfId="15204"/>
    <cellStyle name="Note 10 6 2_Table" xfId="6708"/>
    <cellStyle name="Note 10 6 3" xfId="1826"/>
    <cellStyle name="Note 10 6 3 2" xfId="11154"/>
    <cellStyle name="Note 10 6 3 3" xfId="15564"/>
    <cellStyle name="Note 10 6 3_Table" xfId="6709"/>
    <cellStyle name="Note 10 6 4" xfId="2256"/>
    <cellStyle name="Note 10 6 4 2" xfId="11584"/>
    <cellStyle name="Note 10 6 4 3" xfId="15994"/>
    <cellStyle name="Note 10 6 4_Table" xfId="6710"/>
    <cellStyle name="Note 10 6 5" xfId="2694"/>
    <cellStyle name="Note 10 6 5 2" xfId="12022"/>
    <cellStyle name="Note 10 6 5 3" xfId="16432"/>
    <cellStyle name="Note 10 6 5_Table" xfId="6711"/>
    <cellStyle name="Note 10 6 6" xfId="3101"/>
    <cellStyle name="Note 10 6 6 2" xfId="12429"/>
    <cellStyle name="Note 10 6 6 3" xfId="16839"/>
    <cellStyle name="Note 10 6 6_Table" xfId="6712"/>
    <cellStyle name="Note 10 6 7" xfId="3693"/>
    <cellStyle name="Note 10 6 7 2" xfId="13021"/>
    <cellStyle name="Note 10 6 7 3" xfId="17431"/>
    <cellStyle name="Note 10 6 7_Table" xfId="6713"/>
    <cellStyle name="Note 10 6 8" xfId="3918"/>
    <cellStyle name="Note 10 6 8 2" xfId="13246"/>
    <cellStyle name="Note 10 6 8 3" xfId="17656"/>
    <cellStyle name="Note 10 6 8_Table" xfId="6714"/>
    <cellStyle name="Note 10 6 9" xfId="4279"/>
    <cellStyle name="Note 10 6 9 2" xfId="13607"/>
    <cellStyle name="Note 10 6 9 3" xfId="18017"/>
    <cellStyle name="Note 10 6 9_Table" xfId="6715"/>
    <cellStyle name="Note 10 6_Table" xfId="6706"/>
    <cellStyle name="Note 10 7" xfId="1174"/>
    <cellStyle name="Note 10 7 2" xfId="10502"/>
    <cellStyle name="Note 10 7 3" xfId="14912"/>
    <cellStyle name="Note 10 7_Table" xfId="6716"/>
    <cellStyle name="Note 10 8" xfId="1070"/>
    <cellStyle name="Note 10 8 2" xfId="10398"/>
    <cellStyle name="Note 10 8 3" xfId="14808"/>
    <cellStyle name="Note 10 8_Table" xfId="6717"/>
    <cellStyle name="Note 10 9" xfId="1382"/>
    <cellStyle name="Note 10 9 2" xfId="10710"/>
    <cellStyle name="Note 10 9 3" xfId="15120"/>
    <cellStyle name="Note 10 9_Table" xfId="6718"/>
    <cellStyle name="Note 10_Table" xfId="6619"/>
    <cellStyle name="Note 2" xfId="341"/>
    <cellStyle name="Note 2 10" xfId="1729"/>
    <cellStyle name="Note 2 10 2" xfId="11057"/>
    <cellStyle name="Note 2 10 3" xfId="15467"/>
    <cellStyle name="Note 2 10_Table" xfId="6720"/>
    <cellStyle name="Note 2 11" xfId="2164"/>
    <cellStyle name="Note 2 11 2" xfId="11492"/>
    <cellStyle name="Note 2 11 3" xfId="15902"/>
    <cellStyle name="Note 2 11_Table" xfId="6721"/>
    <cellStyle name="Note 2 12" xfId="2596"/>
    <cellStyle name="Note 2 12 2" xfId="11924"/>
    <cellStyle name="Note 2 12 3" xfId="16334"/>
    <cellStyle name="Note 2 12_Table" xfId="6722"/>
    <cellStyle name="Note 2 13" xfId="3521"/>
    <cellStyle name="Note 2 13 2" xfId="12849"/>
    <cellStyle name="Note 2 13 3" xfId="17259"/>
    <cellStyle name="Note 2 13_Table" xfId="6723"/>
    <cellStyle name="Note 2 14" xfId="1095"/>
    <cellStyle name="Note 2 14 2" xfId="10423"/>
    <cellStyle name="Note 2 14 3" xfId="14833"/>
    <cellStyle name="Note 2 14_Table" xfId="6724"/>
    <cellStyle name="Note 2 15" xfId="3663"/>
    <cellStyle name="Note 2 15 2" xfId="12991"/>
    <cellStyle name="Note 2 15 3" xfId="17401"/>
    <cellStyle name="Note 2 15_Table" xfId="6725"/>
    <cellStyle name="Note 2 16" xfId="9669"/>
    <cellStyle name="Note 2 17" xfId="14194"/>
    <cellStyle name="Note 2 2" xfId="412"/>
    <cellStyle name="Note 2 2 10" xfId="3579"/>
    <cellStyle name="Note 2 2 10 2" xfId="12907"/>
    <cellStyle name="Note 2 2 10 3" xfId="17317"/>
    <cellStyle name="Note 2 2 10_Table" xfId="6727"/>
    <cellStyle name="Note 2 2 11" xfId="3310"/>
    <cellStyle name="Note 2 2 11 2" xfId="12638"/>
    <cellStyle name="Note 2 2 11 3" xfId="17048"/>
    <cellStyle name="Note 2 2 11_Table" xfId="6728"/>
    <cellStyle name="Note 2 2 12" xfId="9740"/>
    <cellStyle name="Note 2 2 13" xfId="14239"/>
    <cellStyle name="Note 2 2 2" xfId="726"/>
    <cellStyle name="Note 2 2 2 10" xfId="4686"/>
    <cellStyle name="Note 2 2 2 10 2" xfId="14014"/>
    <cellStyle name="Note 2 2 2 10 3" xfId="18424"/>
    <cellStyle name="Note 2 2 2 10_Table" xfId="6730"/>
    <cellStyle name="Note 2 2 2 11" xfId="10054"/>
    <cellStyle name="Note 2 2 2 12" xfId="14464"/>
    <cellStyle name="Note 2 2 2 2" xfId="1512"/>
    <cellStyle name="Note 2 2 2 2 2" xfId="10840"/>
    <cellStyle name="Note 2 2 2 2 3" xfId="15250"/>
    <cellStyle name="Note 2 2 2 2_Table" xfId="6731"/>
    <cellStyle name="Note 2 2 2 3" xfId="1872"/>
    <cellStyle name="Note 2 2 2 3 2" xfId="11200"/>
    <cellStyle name="Note 2 2 2 3 3" xfId="15610"/>
    <cellStyle name="Note 2 2 2 3_Table" xfId="6732"/>
    <cellStyle name="Note 2 2 2 4" xfId="2302"/>
    <cellStyle name="Note 2 2 2 4 2" xfId="11630"/>
    <cellStyle name="Note 2 2 2 4 3" xfId="16040"/>
    <cellStyle name="Note 2 2 2 4_Table" xfId="6733"/>
    <cellStyle name="Note 2 2 2 5" xfId="2740"/>
    <cellStyle name="Note 2 2 2 5 2" xfId="12068"/>
    <cellStyle name="Note 2 2 2 5 3" xfId="16478"/>
    <cellStyle name="Note 2 2 2 5_Table" xfId="6734"/>
    <cellStyle name="Note 2 2 2 6" xfId="3147"/>
    <cellStyle name="Note 2 2 2 6 2" xfId="12475"/>
    <cellStyle name="Note 2 2 2 6 3" xfId="16885"/>
    <cellStyle name="Note 2 2 2 6_Table" xfId="6735"/>
    <cellStyle name="Note 2 2 2 7" xfId="3739"/>
    <cellStyle name="Note 2 2 2 7 2" xfId="13067"/>
    <cellStyle name="Note 2 2 2 7 3" xfId="17477"/>
    <cellStyle name="Note 2 2 2 7_Table" xfId="6736"/>
    <cellStyle name="Note 2 2 2 8" xfId="3964"/>
    <cellStyle name="Note 2 2 2 8 2" xfId="13292"/>
    <cellStyle name="Note 2 2 2 8 3" xfId="17702"/>
    <cellStyle name="Note 2 2 2 8_Table" xfId="6737"/>
    <cellStyle name="Note 2 2 2 9" xfId="4325"/>
    <cellStyle name="Note 2 2 2 9 2" xfId="13653"/>
    <cellStyle name="Note 2 2 2 9 3" xfId="18063"/>
    <cellStyle name="Note 2 2 2 9_Table" xfId="6738"/>
    <cellStyle name="Note 2 2 2_Table" xfId="6729"/>
    <cellStyle name="Note 2 2 3" xfId="1226"/>
    <cellStyle name="Note 2 2 3 2" xfId="10554"/>
    <cellStyle name="Note 2 2 3 3" xfId="14964"/>
    <cellStyle name="Note 2 2 3_Table" xfId="6739"/>
    <cellStyle name="Note 2 2 4" xfId="1000"/>
    <cellStyle name="Note 2 2 4 2" xfId="10328"/>
    <cellStyle name="Note 2 2 4 3" xfId="14738"/>
    <cellStyle name="Note 2 2 4_Table" xfId="6740"/>
    <cellStyle name="Note 2 2 5" xfId="1171"/>
    <cellStyle name="Note 2 2 5 2" xfId="10499"/>
    <cellStyle name="Note 2 2 5 3" xfId="14909"/>
    <cellStyle name="Note 2 2 5_Table" xfId="6741"/>
    <cellStyle name="Note 2 2 6" xfId="974"/>
    <cellStyle name="Note 2 2 6 2" xfId="10302"/>
    <cellStyle name="Note 2 2 6 3" xfId="14712"/>
    <cellStyle name="Note 2 2 6_Table" xfId="6742"/>
    <cellStyle name="Note 2 2 7" xfId="2034"/>
    <cellStyle name="Note 2 2 7 2" xfId="11362"/>
    <cellStyle name="Note 2 2 7 3" xfId="15772"/>
    <cellStyle name="Note 2 2 7_Table" xfId="6743"/>
    <cellStyle name="Note 2 2 8" xfId="2464"/>
    <cellStyle name="Note 2 2 8 2" xfId="11792"/>
    <cellStyle name="Note 2 2 8 3" xfId="16202"/>
    <cellStyle name="Note 2 2 8_Table" xfId="6744"/>
    <cellStyle name="Note 2 2 9" xfId="1148"/>
    <cellStyle name="Note 2 2 9 2" xfId="10476"/>
    <cellStyle name="Note 2 2 9 3" xfId="14886"/>
    <cellStyle name="Note 2 2 9_Table" xfId="6745"/>
    <cellStyle name="Note 2 2_Table" xfId="6726"/>
    <cellStyle name="Note 2 3" xfId="480"/>
    <cellStyle name="Note 2 3 10" xfId="4145"/>
    <cellStyle name="Note 2 3 10 2" xfId="13473"/>
    <cellStyle name="Note 2 3 10 3" xfId="17883"/>
    <cellStyle name="Note 2 3 10_Table" xfId="6747"/>
    <cellStyle name="Note 2 3 11" xfId="4506"/>
    <cellStyle name="Note 2 3 11 2" xfId="13834"/>
    <cellStyle name="Note 2 3 11 3" xfId="18244"/>
    <cellStyle name="Note 2 3 11_Table" xfId="6748"/>
    <cellStyle name="Note 2 3 12" xfId="9808"/>
    <cellStyle name="Note 2 3 13" xfId="14284"/>
    <cellStyle name="Note 2 3 2" xfId="771"/>
    <cellStyle name="Note 2 3 2 10" xfId="4731"/>
    <cellStyle name="Note 2 3 2 10 2" xfId="14059"/>
    <cellStyle name="Note 2 3 2 10 3" xfId="18469"/>
    <cellStyle name="Note 2 3 2 10_Table" xfId="6750"/>
    <cellStyle name="Note 2 3 2 11" xfId="10099"/>
    <cellStyle name="Note 2 3 2 12" xfId="14509"/>
    <cellStyle name="Note 2 3 2 2" xfId="1557"/>
    <cellStyle name="Note 2 3 2 2 2" xfId="10885"/>
    <cellStyle name="Note 2 3 2 2 3" xfId="15295"/>
    <cellStyle name="Note 2 3 2 2_Table" xfId="6751"/>
    <cellStyle name="Note 2 3 2 3" xfId="1917"/>
    <cellStyle name="Note 2 3 2 3 2" xfId="11245"/>
    <cellStyle name="Note 2 3 2 3 3" xfId="15655"/>
    <cellStyle name="Note 2 3 2 3_Table" xfId="6752"/>
    <cellStyle name="Note 2 3 2 4" xfId="2347"/>
    <cellStyle name="Note 2 3 2 4 2" xfId="11675"/>
    <cellStyle name="Note 2 3 2 4 3" xfId="16085"/>
    <cellStyle name="Note 2 3 2 4_Table" xfId="6753"/>
    <cellStyle name="Note 2 3 2 5" xfId="2785"/>
    <cellStyle name="Note 2 3 2 5 2" xfId="12113"/>
    <cellStyle name="Note 2 3 2 5 3" xfId="16523"/>
    <cellStyle name="Note 2 3 2 5_Table" xfId="6754"/>
    <cellStyle name="Note 2 3 2 6" xfId="3192"/>
    <cellStyle name="Note 2 3 2 6 2" xfId="12520"/>
    <cellStyle name="Note 2 3 2 6 3" xfId="16930"/>
    <cellStyle name="Note 2 3 2 6_Table" xfId="6755"/>
    <cellStyle name="Note 2 3 2 7" xfId="3784"/>
    <cellStyle name="Note 2 3 2 7 2" xfId="13112"/>
    <cellStyle name="Note 2 3 2 7 3" xfId="17522"/>
    <cellStyle name="Note 2 3 2 7_Table" xfId="6756"/>
    <cellStyle name="Note 2 3 2 8" xfId="4009"/>
    <cellStyle name="Note 2 3 2 8 2" xfId="13337"/>
    <cellStyle name="Note 2 3 2 8 3" xfId="17747"/>
    <cellStyle name="Note 2 3 2 8_Table" xfId="6757"/>
    <cellStyle name="Note 2 3 2 9" xfId="4370"/>
    <cellStyle name="Note 2 3 2 9 2" xfId="13698"/>
    <cellStyle name="Note 2 3 2 9 3" xfId="18108"/>
    <cellStyle name="Note 2 3 2 9_Table" xfId="6758"/>
    <cellStyle name="Note 2 3 2_Table" xfId="6749"/>
    <cellStyle name="Note 2 3 3" xfId="1283"/>
    <cellStyle name="Note 2 3 3 2" xfId="10611"/>
    <cellStyle name="Note 2 3 3 3" xfId="15021"/>
    <cellStyle name="Note 2 3 3_Table" xfId="6759"/>
    <cellStyle name="Note 2 3 4" xfId="934"/>
    <cellStyle name="Note 2 3 4 2" xfId="10262"/>
    <cellStyle name="Note 2 3 4 3" xfId="14672"/>
    <cellStyle name="Note 2 3 4_Table" xfId="6760"/>
    <cellStyle name="Note 2 3 5" xfId="2071"/>
    <cellStyle name="Note 2 3 5 2" xfId="11399"/>
    <cellStyle name="Note 2 3 5 3" xfId="15809"/>
    <cellStyle name="Note 2 3 5_Table" xfId="6761"/>
    <cellStyle name="Note 2 3 6" xfId="2503"/>
    <cellStyle name="Note 2 3 6 2" xfId="11831"/>
    <cellStyle name="Note 2 3 6 3" xfId="16241"/>
    <cellStyle name="Note 2 3 6_Table" xfId="6762"/>
    <cellStyle name="Note 2 3 7" xfId="2931"/>
    <cellStyle name="Note 2 3 7 2" xfId="12259"/>
    <cellStyle name="Note 2 3 7 3" xfId="16669"/>
    <cellStyle name="Note 2 3 7_Table" xfId="6763"/>
    <cellStyle name="Note 2 3 8" xfId="3344"/>
    <cellStyle name="Note 2 3 8 2" xfId="12672"/>
    <cellStyle name="Note 2 3 8 3" xfId="17082"/>
    <cellStyle name="Note 2 3 8_Table" xfId="6764"/>
    <cellStyle name="Note 2 3 9" xfId="3508"/>
    <cellStyle name="Note 2 3 9 2" xfId="12836"/>
    <cellStyle name="Note 2 3 9 3" xfId="17246"/>
    <cellStyle name="Note 2 3 9_Table" xfId="6765"/>
    <cellStyle name="Note 2 3_Table" xfId="6746"/>
    <cellStyle name="Note 2 4" xfId="544"/>
    <cellStyle name="Note 2 4 10" xfId="4190"/>
    <cellStyle name="Note 2 4 10 2" xfId="13518"/>
    <cellStyle name="Note 2 4 10 3" xfId="17928"/>
    <cellStyle name="Note 2 4 10_Table" xfId="6767"/>
    <cellStyle name="Note 2 4 11" xfId="4551"/>
    <cellStyle name="Note 2 4 11 2" xfId="13879"/>
    <cellStyle name="Note 2 4 11 3" xfId="18289"/>
    <cellStyle name="Note 2 4 11_Table" xfId="6768"/>
    <cellStyle name="Note 2 4 12" xfId="9872"/>
    <cellStyle name="Note 2 4 13" xfId="14329"/>
    <cellStyle name="Note 2 4 2" xfId="816"/>
    <cellStyle name="Note 2 4 2 10" xfId="4776"/>
    <cellStyle name="Note 2 4 2 10 2" xfId="14104"/>
    <cellStyle name="Note 2 4 2 10 3" xfId="18514"/>
    <cellStyle name="Note 2 4 2 10_Table" xfId="6770"/>
    <cellStyle name="Note 2 4 2 11" xfId="10144"/>
    <cellStyle name="Note 2 4 2 12" xfId="14554"/>
    <cellStyle name="Note 2 4 2 2" xfId="1602"/>
    <cellStyle name="Note 2 4 2 2 2" xfId="10930"/>
    <cellStyle name="Note 2 4 2 2 3" xfId="15340"/>
    <cellStyle name="Note 2 4 2 2_Table" xfId="6771"/>
    <cellStyle name="Note 2 4 2 3" xfId="1962"/>
    <cellStyle name="Note 2 4 2 3 2" xfId="11290"/>
    <cellStyle name="Note 2 4 2 3 3" xfId="15700"/>
    <cellStyle name="Note 2 4 2 3_Table" xfId="6772"/>
    <cellStyle name="Note 2 4 2 4" xfId="2392"/>
    <cellStyle name="Note 2 4 2 4 2" xfId="11720"/>
    <cellStyle name="Note 2 4 2 4 3" xfId="16130"/>
    <cellStyle name="Note 2 4 2 4_Table" xfId="6773"/>
    <cellStyle name="Note 2 4 2 5" xfId="2830"/>
    <cellStyle name="Note 2 4 2 5 2" xfId="12158"/>
    <cellStyle name="Note 2 4 2 5 3" xfId="16568"/>
    <cellStyle name="Note 2 4 2 5_Table" xfId="6774"/>
    <cellStyle name="Note 2 4 2 6" xfId="3237"/>
    <cellStyle name="Note 2 4 2 6 2" xfId="12565"/>
    <cellStyle name="Note 2 4 2 6 3" xfId="16975"/>
    <cellStyle name="Note 2 4 2 6_Table" xfId="6775"/>
    <cellStyle name="Note 2 4 2 7" xfId="3829"/>
    <cellStyle name="Note 2 4 2 7 2" xfId="13157"/>
    <cellStyle name="Note 2 4 2 7 3" xfId="17567"/>
    <cellStyle name="Note 2 4 2 7_Table" xfId="6776"/>
    <cellStyle name="Note 2 4 2 8" xfId="4054"/>
    <cellStyle name="Note 2 4 2 8 2" xfId="13382"/>
    <cellStyle name="Note 2 4 2 8 3" xfId="17792"/>
    <cellStyle name="Note 2 4 2 8_Table" xfId="6777"/>
    <cellStyle name="Note 2 4 2 9" xfId="4415"/>
    <cellStyle name="Note 2 4 2 9 2" xfId="13743"/>
    <cellStyle name="Note 2 4 2 9 3" xfId="18153"/>
    <cellStyle name="Note 2 4 2 9_Table" xfId="6778"/>
    <cellStyle name="Note 2 4 2_Table" xfId="6769"/>
    <cellStyle name="Note 2 4 3" xfId="1339"/>
    <cellStyle name="Note 2 4 3 2" xfId="10667"/>
    <cellStyle name="Note 2 4 3 3" xfId="15077"/>
    <cellStyle name="Note 2 4 3_Table" xfId="6779"/>
    <cellStyle name="Note 2 4 4" xfId="1696"/>
    <cellStyle name="Note 2 4 4 2" xfId="11024"/>
    <cellStyle name="Note 2 4 4 3" xfId="15434"/>
    <cellStyle name="Note 2 4 4_Table" xfId="6780"/>
    <cellStyle name="Note 2 4 5" xfId="2130"/>
    <cellStyle name="Note 2 4 5 2" xfId="11458"/>
    <cellStyle name="Note 2 4 5 3" xfId="15868"/>
    <cellStyle name="Note 2 4 5_Table" xfId="6781"/>
    <cellStyle name="Note 2 4 6" xfId="2562"/>
    <cellStyle name="Note 2 4 6 2" xfId="11890"/>
    <cellStyle name="Note 2 4 6 3" xfId="16300"/>
    <cellStyle name="Note 2 4 6_Table" xfId="6782"/>
    <cellStyle name="Note 2 4 7" xfId="2988"/>
    <cellStyle name="Note 2 4 7 2" xfId="12316"/>
    <cellStyle name="Note 2 4 7 3" xfId="16726"/>
    <cellStyle name="Note 2 4 7_Table" xfId="6783"/>
    <cellStyle name="Note 2 4 8" xfId="3402"/>
    <cellStyle name="Note 2 4 8 2" xfId="12730"/>
    <cellStyle name="Note 2 4 8 3" xfId="17140"/>
    <cellStyle name="Note 2 4 8_Table" xfId="6784"/>
    <cellStyle name="Note 2 4 9" xfId="3657"/>
    <cellStyle name="Note 2 4 9 2" xfId="12985"/>
    <cellStyle name="Note 2 4 9 3" xfId="17395"/>
    <cellStyle name="Note 2 4 9_Table" xfId="6785"/>
    <cellStyle name="Note 2 4_Table" xfId="6766"/>
    <cellStyle name="Note 2 5" xfId="619"/>
    <cellStyle name="Note 2 5 10" xfId="4235"/>
    <cellStyle name="Note 2 5 10 2" xfId="13563"/>
    <cellStyle name="Note 2 5 10 3" xfId="17973"/>
    <cellStyle name="Note 2 5 10_Table" xfId="6787"/>
    <cellStyle name="Note 2 5 11" xfId="4596"/>
    <cellStyle name="Note 2 5 11 2" xfId="13924"/>
    <cellStyle name="Note 2 5 11 3" xfId="18334"/>
    <cellStyle name="Note 2 5 11_Table" xfId="6788"/>
    <cellStyle name="Note 2 5 12" xfId="9947"/>
    <cellStyle name="Note 2 5 13" xfId="14374"/>
    <cellStyle name="Note 2 5 2" xfId="861"/>
    <cellStyle name="Note 2 5 2 10" xfId="4821"/>
    <cellStyle name="Note 2 5 2 10 2" xfId="14149"/>
    <cellStyle name="Note 2 5 2 10 3" xfId="18559"/>
    <cellStyle name="Note 2 5 2 10_Table" xfId="6790"/>
    <cellStyle name="Note 2 5 2 11" xfId="10189"/>
    <cellStyle name="Note 2 5 2 12" xfId="14599"/>
    <cellStyle name="Note 2 5 2 2" xfId="1647"/>
    <cellStyle name="Note 2 5 2 2 2" xfId="10975"/>
    <cellStyle name="Note 2 5 2 2 3" xfId="15385"/>
    <cellStyle name="Note 2 5 2 2_Table" xfId="6791"/>
    <cellStyle name="Note 2 5 2 3" xfId="2007"/>
    <cellStyle name="Note 2 5 2 3 2" xfId="11335"/>
    <cellStyle name="Note 2 5 2 3 3" xfId="15745"/>
    <cellStyle name="Note 2 5 2 3_Table" xfId="6792"/>
    <cellStyle name="Note 2 5 2 4" xfId="2437"/>
    <cellStyle name="Note 2 5 2 4 2" xfId="11765"/>
    <cellStyle name="Note 2 5 2 4 3" xfId="16175"/>
    <cellStyle name="Note 2 5 2 4_Table" xfId="6793"/>
    <cellStyle name="Note 2 5 2 5" xfId="2875"/>
    <cellStyle name="Note 2 5 2 5 2" xfId="12203"/>
    <cellStyle name="Note 2 5 2 5 3" xfId="16613"/>
    <cellStyle name="Note 2 5 2 5_Table" xfId="6794"/>
    <cellStyle name="Note 2 5 2 6" xfId="3282"/>
    <cellStyle name="Note 2 5 2 6 2" xfId="12610"/>
    <cellStyle name="Note 2 5 2 6 3" xfId="17020"/>
    <cellStyle name="Note 2 5 2 6_Table" xfId="6795"/>
    <cellStyle name="Note 2 5 2 7" xfId="3874"/>
    <cellStyle name="Note 2 5 2 7 2" xfId="13202"/>
    <cellStyle name="Note 2 5 2 7 3" xfId="17612"/>
    <cellStyle name="Note 2 5 2 7_Table" xfId="6796"/>
    <cellStyle name="Note 2 5 2 8" xfId="4099"/>
    <cellStyle name="Note 2 5 2 8 2" xfId="13427"/>
    <cellStyle name="Note 2 5 2 8 3" xfId="17837"/>
    <cellStyle name="Note 2 5 2 8_Table" xfId="6797"/>
    <cellStyle name="Note 2 5 2 9" xfId="4460"/>
    <cellStyle name="Note 2 5 2 9 2" xfId="13788"/>
    <cellStyle name="Note 2 5 2 9 3" xfId="18198"/>
    <cellStyle name="Note 2 5 2 9_Table" xfId="6798"/>
    <cellStyle name="Note 2 5 2_Table" xfId="6789"/>
    <cellStyle name="Note 2 5 3" xfId="1406"/>
    <cellStyle name="Note 2 5 3 2" xfId="10734"/>
    <cellStyle name="Note 2 5 3 3" xfId="15144"/>
    <cellStyle name="Note 2 5 3_Table" xfId="6799"/>
    <cellStyle name="Note 2 5 4" xfId="1766"/>
    <cellStyle name="Note 2 5 4 2" xfId="11094"/>
    <cellStyle name="Note 2 5 4 3" xfId="15504"/>
    <cellStyle name="Note 2 5 4_Table" xfId="6800"/>
    <cellStyle name="Note 2 5 5" xfId="2199"/>
    <cellStyle name="Note 2 5 5 2" xfId="11527"/>
    <cellStyle name="Note 2 5 5 3" xfId="15937"/>
    <cellStyle name="Note 2 5 5_Table" xfId="6801"/>
    <cellStyle name="Note 2 5 6" xfId="2634"/>
    <cellStyle name="Note 2 5 6 2" xfId="11962"/>
    <cellStyle name="Note 2 5 6 3" xfId="16372"/>
    <cellStyle name="Note 2 5 6_Table" xfId="6802"/>
    <cellStyle name="Note 2 5 7" xfId="3047"/>
    <cellStyle name="Note 2 5 7 2" xfId="12375"/>
    <cellStyle name="Note 2 5 7 3" xfId="16785"/>
    <cellStyle name="Note 2 5 7_Table" xfId="6803"/>
    <cellStyle name="Note 2 5 8" xfId="3473"/>
    <cellStyle name="Note 2 5 8 2" xfId="12801"/>
    <cellStyle name="Note 2 5 8 3" xfId="17211"/>
    <cellStyle name="Note 2 5 8_Table" xfId="6804"/>
    <cellStyle name="Note 2 5 9" xfId="3666"/>
    <cellStyle name="Note 2 5 9 2" xfId="12994"/>
    <cellStyle name="Note 2 5 9 3" xfId="17404"/>
    <cellStyle name="Note 2 5 9_Table" xfId="6805"/>
    <cellStyle name="Note 2 5_Table" xfId="6786"/>
    <cellStyle name="Note 2 6" xfId="681"/>
    <cellStyle name="Note 2 6 10" xfId="4641"/>
    <cellStyle name="Note 2 6 10 2" xfId="13969"/>
    <cellStyle name="Note 2 6 10 3" xfId="18379"/>
    <cellStyle name="Note 2 6 10_Table" xfId="6807"/>
    <cellStyle name="Note 2 6 11" xfId="10009"/>
    <cellStyle name="Note 2 6 12" xfId="14419"/>
    <cellStyle name="Note 2 6 2" xfId="1467"/>
    <cellStyle name="Note 2 6 2 2" xfId="10795"/>
    <cellStyle name="Note 2 6 2 3" xfId="15205"/>
    <cellStyle name="Note 2 6 2_Table" xfId="6808"/>
    <cellStyle name="Note 2 6 3" xfId="1827"/>
    <cellStyle name="Note 2 6 3 2" xfId="11155"/>
    <cellStyle name="Note 2 6 3 3" xfId="15565"/>
    <cellStyle name="Note 2 6 3_Table" xfId="6809"/>
    <cellStyle name="Note 2 6 4" xfId="2257"/>
    <cellStyle name="Note 2 6 4 2" xfId="11585"/>
    <cellStyle name="Note 2 6 4 3" xfId="15995"/>
    <cellStyle name="Note 2 6 4_Table" xfId="6810"/>
    <cellStyle name="Note 2 6 5" xfId="2695"/>
    <cellStyle name="Note 2 6 5 2" xfId="12023"/>
    <cellStyle name="Note 2 6 5 3" xfId="16433"/>
    <cellStyle name="Note 2 6 5_Table" xfId="6811"/>
    <cellStyle name="Note 2 6 6" xfId="3102"/>
    <cellStyle name="Note 2 6 6 2" xfId="12430"/>
    <cellStyle name="Note 2 6 6 3" xfId="16840"/>
    <cellStyle name="Note 2 6 6_Table" xfId="6812"/>
    <cellStyle name="Note 2 6 7" xfId="3694"/>
    <cellStyle name="Note 2 6 7 2" xfId="13022"/>
    <cellStyle name="Note 2 6 7 3" xfId="17432"/>
    <cellStyle name="Note 2 6 7_Table" xfId="6813"/>
    <cellStyle name="Note 2 6 8" xfId="3919"/>
    <cellStyle name="Note 2 6 8 2" xfId="13247"/>
    <cellStyle name="Note 2 6 8 3" xfId="17657"/>
    <cellStyle name="Note 2 6 8_Table" xfId="6814"/>
    <cellStyle name="Note 2 6 9" xfId="4280"/>
    <cellStyle name="Note 2 6 9 2" xfId="13608"/>
    <cellStyle name="Note 2 6 9 3" xfId="18018"/>
    <cellStyle name="Note 2 6 9_Table" xfId="6815"/>
    <cellStyle name="Note 2 6_Table" xfId="6806"/>
    <cellStyle name="Note 2 7" xfId="1175"/>
    <cellStyle name="Note 2 7 2" xfId="10503"/>
    <cellStyle name="Note 2 7 3" xfId="14913"/>
    <cellStyle name="Note 2 7_Table" xfId="6816"/>
    <cellStyle name="Note 2 8" xfId="1069"/>
    <cellStyle name="Note 2 8 2" xfId="10397"/>
    <cellStyle name="Note 2 8 3" xfId="14807"/>
    <cellStyle name="Note 2 8_Table" xfId="6817"/>
    <cellStyle name="Note 2 9" xfId="1447"/>
    <cellStyle name="Note 2 9 2" xfId="10775"/>
    <cellStyle name="Note 2 9 3" xfId="15185"/>
    <cellStyle name="Note 2 9_Table" xfId="6818"/>
    <cellStyle name="Note 2_Table" xfId="6719"/>
    <cellStyle name="Note 3" xfId="342"/>
    <cellStyle name="Note 3 10" xfId="1800"/>
    <cellStyle name="Note 3 10 2" xfId="11128"/>
    <cellStyle name="Note 3 10 3" xfId="15538"/>
    <cellStyle name="Note 3 10_Table" xfId="6820"/>
    <cellStyle name="Note 3 11" xfId="2232"/>
    <cellStyle name="Note 3 11 2" xfId="11560"/>
    <cellStyle name="Note 3 11 3" xfId="15970"/>
    <cellStyle name="Note 3 11_Table" xfId="6821"/>
    <cellStyle name="Note 3 12" xfId="2667"/>
    <cellStyle name="Note 3 12 2" xfId="11995"/>
    <cellStyle name="Note 3 12 3" xfId="16405"/>
    <cellStyle name="Note 3 12_Table" xfId="6822"/>
    <cellStyle name="Note 3 13" xfId="3556"/>
    <cellStyle name="Note 3 13 2" xfId="12884"/>
    <cellStyle name="Note 3 13 3" xfId="17294"/>
    <cellStyle name="Note 3 13_Table" xfId="6823"/>
    <cellStyle name="Note 3 14" xfId="3646"/>
    <cellStyle name="Note 3 14 2" xfId="12974"/>
    <cellStyle name="Note 3 14 3" xfId="17384"/>
    <cellStyle name="Note 3 14_Table" xfId="6824"/>
    <cellStyle name="Note 3 15" xfId="3643"/>
    <cellStyle name="Note 3 15 2" xfId="12971"/>
    <cellStyle name="Note 3 15 3" xfId="17381"/>
    <cellStyle name="Note 3 15_Table" xfId="6825"/>
    <cellStyle name="Note 3 16" xfId="9670"/>
    <cellStyle name="Note 3 17" xfId="14195"/>
    <cellStyle name="Note 3 2" xfId="413"/>
    <cellStyle name="Note 3 2 10" xfId="1402"/>
    <cellStyle name="Note 3 2 10 2" xfId="10730"/>
    <cellStyle name="Note 3 2 10 3" xfId="15140"/>
    <cellStyle name="Note 3 2 10_Table" xfId="6827"/>
    <cellStyle name="Note 3 2 11" xfId="3602"/>
    <cellStyle name="Note 3 2 11 2" xfId="12930"/>
    <cellStyle name="Note 3 2 11 3" xfId="17340"/>
    <cellStyle name="Note 3 2 11_Table" xfId="6828"/>
    <cellStyle name="Note 3 2 12" xfId="9741"/>
    <cellStyle name="Note 3 2 13" xfId="14240"/>
    <cellStyle name="Note 3 2 2" xfId="727"/>
    <cellStyle name="Note 3 2 2 10" xfId="4687"/>
    <cellStyle name="Note 3 2 2 10 2" xfId="14015"/>
    <cellStyle name="Note 3 2 2 10 3" xfId="18425"/>
    <cellStyle name="Note 3 2 2 10_Table" xfId="6830"/>
    <cellStyle name="Note 3 2 2 11" xfId="10055"/>
    <cellStyle name="Note 3 2 2 12" xfId="14465"/>
    <cellStyle name="Note 3 2 2 2" xfId="1513"/>
    <cellStyle name="Note 3 2 2 2 2" xfId="10841"/>
    <cellStyle name="Note 3 2 2 2 3" xfId="15251"/>
    <cellStyle name="Note 3 2 2 2_Table" xfId="6831"/>
    <cellStyle name="Note 3 2 2 3" xfId="1873"/>
    <cellStyle name="Note 3 2 2 3 2" xfId="11201"/>
    <cellStyle name="Note 3 2 2 3 3" xfId="15611"/>
    <cellStyle name="Note 3 2 2 3_Table" xfId="6832"/>
    <cellStyle name="Note 3 2 2 4" xfId="2303"/>
    <cellStyle name="Note 3 2 2 4 2" xfId="11631"/>
    <cellStyle name="Note 3 2 2 4 3" xfId="16041"/>
    <cellStyle name="Note 3 2 2 4_Table" xfId="6833"/>
    <cellStyle name="Note 3 2 2 5" xfId="2741"/>
    <cellStyle name="Note 3 2 2 5 2" xfId="12069"/>
    <cellStyle name="Note 3 2 2 5 3" xfId="16479"/>
    <cellStyle name="Note 3 2 2 5_Table" xfId="6834"/>
    <cellStyle name="Note 3 2 2 6" xfId="3148"/>
    <cellStyle name="Note 3 2 2 6 2" xfId="12476"/>
    <cellStyle name="Note 3 2 2 6 3" xfId="16886"/>
    <cellStyle name="Note 3 2 2 6_Table" xfId="6835"/>
    <cellStyle name="Note 3 2 2 7" xfId="3740"/>
    <cellStyle name="Note 3 2 2 7 2" xfId="13068"/>
    <cellStyle name="Note 3 2 2 7 3" xfId="17478"/>
    <cellStyle name="Note 3 2 2 7_Table" xfId="6836"/>
    <cellStyle name="Note 3 2 2 8" xfId="3965"/>
    <cellStyle name="Note 3 2 2 8 2" xfId="13293"/>
    <cellStyle name="Note 3 2 2 8 3" xfId="17703"/>
    <cellStyle name="Note 3 2 2 8_Table" xfId="6837"/>
    <cellStyle name="Note 3 2 2 9" xfId="4326"/>
    <cellStyle name="Note 3 2 2 9 2" xfId="13654"/>
    <cellStyle name="Note 3 2 2 9 3" xfId="18064"/>
    <cellStyle name="Note 3 2 2 9_Table" xfId="6838"/>
    <cellStyle name="Note 3 2 2_Table" xfId="6829"/>
    <cellStyle name="Note 3 2 3" xfId="1227"/>
    <cellStyle name="Note 3 2 3 2" xfId="10555"/>
    <cellStyle name="Note 3 2 3 3" xfId="14965"/>
    <cellStyle name="Note 3 2 3_Table" xfId="6839"/>
    <cellStyle name="Note 3 2 4" xfId="999"/>
    <cellStyle name="Note 3 2 4 2" xfId="10327"/>
    <cellStyle name="Note 3 2 4 3" xfId="14737"/>
    <cellStyle name="Note 3 2 4_Table" xfId="6840"/>
    <cellStyle name="Note 3 2 5" xfId="1210"/>
    <cellStyle name="Note 3 2 5 2" xfId="10538"/>
    <cellStyle name="Note 3 2 5 3" xfId="14948"/>
    <cellStyle name="Note 3 2 5_Table" xfId="6841"/>
    <cellStyle name="Note 3 2 6" xfId="1740"/>
    <cellStyle name="Note 3 2 6 2" xfId="11068"/>
    <cellStyle name="Note 3 2 6 3" xfId="15478"/>
    <cellStyle name="Note 3 2 6_Table" xfId="6842"/>
    <cellStyle name="Note 3 2 7" xfId="2174"/>
    <cellStyle name="Note 3 2 7 2" xfId="11502"/>
    <cellStyle name="Note 3 2 7 3" xfId="15912"/>
    <cellStyle name="Note 3 2 7_Table" xfId="6843"/>
    <cellStyle name="Note 3 2 8" xfId="2607"/>
    <cellStyle name="Note 3 2 8 2" xfId="11935"/>
    <cellStyle name="Note 3 2 8 3" xfId="16345"/>
    <cellStyle name="Note 3 2 8_Table" xfId="6844"/>
    <cellStyle name="Note 3 2 9" xfId="3648"/>
    <cellStyle name="Note 3 2 9 2" xfId="12976"/>
    <cellStyle name="Note 3 2 9 3" xfId="17386"/>
    <cellStyle name="Note 3 2 9_Table" xfId="6845"/>
    <cellStyle name="Note 3 2_Table" xfId="6826"/>
    <cellStyle name="Note 3 3" xfId="481"/>
    <cellStyle name="Note 3 3 10" xfId="4146"/>
    <cellStyle name="Note 3 3 10 2" xfId="13474"/>
    <cellStyle name="Note 3 3 10 3" xfId="17884"/>
    <cellStyle name="Note 3 3 10_Table" xfId="6847"/>
    <cellStyle name="Note 3 3 11" xfId="4507"/>
    <cellStyle name="Note 3 3 11 2" xfId="13835"/>
    <cellStyle name="Note 3 3 11 3" xfId="18245"/>
    <cellStyle name="Note 3 3 11_Table" xfId="6848"/>
    <cellStyle name="Note 3 3 12" xfId="9809"/>
    <cellStyle name="Note 3 3 13" xfId="14285"/>
    <cellStyle name="Note 3 3 2" xfId="772"/>
    <cellStyle name="Note 3 3 2 10" xfId="4732"/>
    <cellStyle name="Note 3 3 2 10 2" xfId="14060"/>
    <cellStyle name="Note 3 3 2 10 3" xfId="18470"/>
    <cellStyle name="Note 3 3 2 10_Table" xfId="6850"/>
    <cellStyle name="Note 3 3 2 11" xfId="10100"/>
    <cellStyle name="Note 3 3 2 12" xfId="14510"/>
    <cellStyle name="Note 3 3 2 2" xfId="1558"/>
    <cellStyle name="Note 3 3 2 2 2" xfId="10886"/>
    <cellStyle name="Note 3 3 2 2 3" xfId="15296"/>
    <cellStyle name="Note 3 3 2 2_Table" xfId="6851"/>
    <cellStyle name="Note 3 3 2 3" xfId="1918"/>
    <cellStyle name="Note 3 3 2 3 2" xfId="11246"/>
    <cellStyle name="Note 3 3 2 3 3" xfId="15656"/>
    <cellStyle name="Note 3 3 2 3_Table" xfId="6852"/>
    <cellStyle name="Note 3 3 2 4" xfId="2348"/>
    <cellStyle name="Note 3 3 2 4 2" xfId="11676"/>
    <cellStyle name="Note 3 3 2 4 3" xfId="16086"/>
    <cellStyle name="Note 3 3 2 4_Table" xfId="6853"/>
    <cellStyle name="Note 3 3 2 5" xfId="2786"/>
    <cellStyle name="Note 3 3 2 5 2" xfId="12114"/>
    <cellStyle name="Note 3 3 2 5 3" xfId="16524"/>
    <cellStyle name="Note 3 3 2 5_Table" xfId="6854"/>
    <cellStyle name="Note 3 3 2 6" xfId="3193"/>
    <cellStyle name="Note 3 3 2 6 2" xfId="12521"/>
    <cellStyle name="Note 3 3 2 6 3" xfId="16931"/>
    <cellStyle name="Note 3 3 2 6_Table" xfId="6855"/>
    <cellStyle name="Note 3 3 2 7" xfId="3785"/>
    <cellStyle name="Note 3 3 2 7 2" xfId="13113"/>
    <cellStyle name="Note 3 3 2 7 3" xfId="17523"/>
    <cellStyle name="Note 3 3 2 7_Table" xfId="6856"/>
    <cellStyle name="Note 3 3 2 8" xfId="4010"/>
    <cellStyle name="Note 3 3 2 8 2" xfId="13338"/>
    <cellStyle name="Note 3 3 2 8 3" xfId="17748"/>
    <cellStyle name="Note 3 3 2 8_Table" xfId="6857"/>
    <cellStyle name="Note 3 3 2 9" xfId="4371"/>
    <cellStyle name="Note 3 3 2 9 2" xfId="13699"/>
    <cellStyle name="Note 3 3 2 9 3" xfId="18109"/>
    <cellStyle name="Note 3 3 2 9_Table" xfId="6858"/>
    <cellStyle name="Note 3 3 2_Table" xfId="6849"/>
    <cellStyle name="Note 3 3 3" xfId="1284"/>
    <cellStyle name="Note 3 3 3 2" xfId="10612"/>
    <cellStyle name="Note 3 3 3 3" xfId="15022"/>
    <cellStyle name="Note 3 3 3_Table" xfId="6859"/>
    <cellStyle name="Note 3 3 4" xfId="933"/>
    <cellStyle name="Note 3 3 4 2" xfId="10261"/>
    <cellStyle name="Note 3 3 4 3" xfId="14671"/>
    <cellStyle name="Note 3 3 4_Table" xfId="6860"/>
    <cellStyle name="Note 3 3 5" xfId="2072"/>
    <cellStyle name="Note 3 3 5 2" xfId="11400"/>
    <cellStyle name="Note 3 3 5 3" xfId="15810"/>
    <cellStyle name="Note 3 3 5_Table" xfId="6861"/>
    <cellStyle name="Note 3 3 6" xfId="2504"/>
    <cellStyle name="Note 3 3 6 2" xfId="11832"/>
    <cellStyle name="Note 3 3 6 3" xfId="16242"/>
    <cellStyle name="Note 3 3 6_Table" xfId="6862"/>
    <cellStyle name="Note 3 3 7" xfId="2932"/>
    <cellStyle name="Note 3 3 7 2" xfId="12260"/>
    <cellStyle name="Note 3 3 7 3" xfId="16670"/>
    <cellStyle name="Note 3 3 7_Table" xfId="6863"/>
    <cellStyle name="Note 3 3 8" xfId="3345"/>
    <cellStyle name="Note 3 3 8 2" xfId="12673"/>
    <cellStyle name="Note 3 3 8 3" xfId="17083"/>
    <cellStyle name="Note 3 3 8_Table" xfId="6864"/>
    <cellStyle name="Note 3 3 9" xfId="3373"/>
    <cellStyle name="Note 3 3 9 2" xfId="12701"/>
    <cellStyle name="Note 3 3 9 3" xfId="17111"/>
    <cellStyle name="Note 3 3 9_Table" xfId="6865"/>
    <cellStyle name="Note 3 3_Table" xfId="6846"/>
    <cellStyle name="Note 3 4" xfId="545"/>
    <cellStyle name="Note 3 4 10" xfId="4191"/>
    <cellStyle name="Note 3 4 10 2" xfId="13519"/>
    <cellStyle name="Note 3 4 10 3" xfId="17929"/>
    <cellStyle name="Note 3 4 10_Table" xfId="6867"/>
    <cellStyle name="Note 3 4 11" xfId="4552"/>
    <cellStyle name="Note 3 4 11 2" xfId="13880"/>
    <cellStyle name="Note 3 4 11 3" xfId="18290"/>
    <cellStyle name="Note 3 4 11_Table" xfId="6868"/>
    <cellStyle name="Note 3 4 12" xfId="9873"/>
    <cellStyle name="Note 3 4 13" xfId="14330"/>
    <cellStyle name="Note 3 4 2" xfId="817"/>
    <cellStyle name="Note 3 4 2 10" xfId="4777"/>
    <cellStyle name="Note 3 4 2 10 2" xfId="14105"/>
    <cellStyle name="Note 3 4 2 10 3" xfId="18515"/>
    <cellStyle name="Note 3 4 2 10_Table" xfId="6870"/>
    <cellStyle name="Note 3 4 2 11" xfId="10145"/>
    <cellStyle name="Note 3 4 2 12" xfId="14555"/>
    <cellStyle name="Note 3 4 2 2" xfId="1603"/>
    <cellStyle name="Note 3 4 2 2 2" xfId="10931"/>
    <cellStyle name="Note 3 4 2 2 3" xfId="15341"/>
    <cellStyle name="Note 3 4 2 2_Table" xfId="6871"/>
    <cellStyle name="Note 3 4 2 3" xfId="1963"/>
    <cellStyle name="Note 3 4 2 3 2" xfId="11291"/>
    <cellStyle name="Note 3 4 2 3 3" xfId="15701"/>
    <cellStyle name="Note 3 4 2 3_Table" xfId="6872"/>
    <cellStyle name="Note 3 4 2 4" xfId="2393"/>
    <cellStyle name="Note 3 4 2 4 2" xfId="11721"/>
    <cellStyle name="Note 3 4 2 4 3" xfId="16131"/>
    <cellStyle name="Note 3 4 2 4_Table" xfId="6873"/>
    <cellStyle name="Note 3 4 2 5" xfId="2831"/>
    <cellStyle name="Note 3 4 2 5 2" xfId="12159"/>
    <cellStyle name="Note 3 4 2 5 3" xfId="16569"/>
    <cellStyle name="Note 3 4 2 5_Table" xfId="6874"/>
    <cellStyle name="Note 3 4 2 6" xfId="3238"/>
    <cellStyle name="Note 3 4 2 6 2" xfId="12566"/>
    <cellStyle name="Note 3 4 2 6 3" xfId="16976"/>
    <cellStyle name="Note 3 4 2 6_Table" xfId="6875"/>
    <cellStyle name="Note 3 4 2 7" xfId="3830"/>
    <cellStyle name="Note 3 4 2 7 2" xfId="13158"/>
    <cellStyle name="Note 3 4 2 7 3" xfId="17568"/>
    <cellStyle name="Note 3 4 2 7_Table" xfId="6876"/>
    <cellStyle name="Note 3 4 2 8" xfId="4055"/>
    <cellStyle name="Note 3 4 2 8 2" xfId="13383"/>
    <cellStyle name="Note 3 4 2 8 3" xfId="17793"/>
    <cellStyle name="Note 3 4 2 8_Table" xfId="6877"/>
    <cellStyle name="Note 3 4 2 9" xfId="4416"/>
    <cellStyle name="Note 3 4 2 9 2" xfId="13744"/>
    <cellStyle name="Note 3 4 2 9 3" xfId="18154"/>
    <cellStyle name="Note 3 4 2 9_Table" xfId="6878"/>
    <cellStyle name="Note 3 4 2_Table" xfId="6869"/>
    <cellStyle name="Note 3 4 3" xfId="1340"/>
    <cellStyle name="Note 3 4 3 2" xfId="10668"/>
    <cellStyle name="Note 3 4 3 3" xfId="15078"/>
    <cellStyle name="Note 3 4 3_Table" xfId="6879"/>
    <cellStyle name="Note 3 4 4" xfId="1697"/>
    <cellStyle name="Note 3 4 4 2" xfId="11025"/>
    <cellStyle name="Note 3 4 4 3" xfId="15435"/>
    <cellStyle name="Note 3 4 4_Table" xfId="6880"/>
    <cellStyle name="Note 3 4 5" xfId="2131"/>
    <cellStyle name="Note 3 4 5 2" xfId="11459"/>
    <cellStyle name="Note 3 4 5 3" xfId="15869"/>
    <cellStyle name="Note 3 4 5_Table" xfId="6881"/>
    <cellStyle name="Note 3 4 6" xfId="2563"/>
    <cellStyle name="Note 3 4 6 2" xfId="11891"/>
    <cellStyle name="Note 3 4 6 3" xfId="16301"/>
    <cellStyle name="Note 3 4 6_Table" xfId="6882"/>
    <cellStyle name="Note 3 4 7" xfId="2989"/>
    <cellStyle name="Note 3 4 7 2" xfId="12317"/>
    <cellStyle name="Note 3 4 7 3" xfId="16727"/>
    <cellStyle name="Note 3 4 7_Table" xfId="6883"/>
    <cellStyle name="Note 3 4 8" xfId="3403"/>
    <cellStyle name="Note 3 4 8 2" xfId="12731"/>
    <cellStyle name="Note 3 4 8 3" xfId="17141"/>
    <cellStyle name="Note 3 4 8_Table" xfId="6884"/>
    <cellStyle name="Note 3 4 9" xfId="3528"/>
    <cellStyle name="Note 3 4 9 2" xfId="12856"/>
    <cellStyle name="Note 3 4 9 3" xfId="17266"/>
    <cellStyle name="Note 3 4 9_Table" xfId="6885"/>
    <cellStyle name="Note 3 4_Table" xfId="6866"/>
    <cellStyle name="Note 3 5" xfId="620"/>
    <cellStyle name="Note 3 5 10" xfId="4236"/>
    <cellStyle name="Note 3 5 10 2" xfId="13564"/>
    <cellStyle name="Note 3 5 10 3" xfId="17974"/>
    <cellStyle name="Note 3 5 10_Table" xfId="6887"/>
    <cellStyle name="Note 3 5 11" xfId="4597"/>
    <cellStyle name="Note 3 5 11 2" xfId="13925"/>
    <cellStyle name="Note 3 5 11 3" xfId="18335"/>
    <cellStyle name="Note 3 5 11_Table" xfId="6888"/>
    <cellStyle name="Note 3 5 12" xfId="9948"/>
    <cellStyle name="Note 3 5 13" xfId="14375"/>
    <cellStyle name="Note 3 5 2" xfId="862"/>
    <cellStyle name="Note 3 5 2 10" xfId="4822"/>
    <cellStyle name="Note 3 5 2 10 2" xfId="14150"/>
    <cellStyle name="Note 3 5 2 10 3" xfId="18560"/>
    <cellStyle name="Note 3 5 2 10_Table" xfId="6890"/>
    <cellStyle name="Note 3 5 2 11" xfId="10190"/>
    <cellStyle name="Note 3 5 2 12" xfId="14600"/>
    <cellStyle name="Note 3 5 2 2" xfId="1648"/>
    <cellStyle name="Note 3 5 2 2 2" xfId="10976"/>
    <cellStyle name="Note 3 5 2 2 3" xfId="15386"/>
    <cellStyle name="Note 3 5 2 2_Table" xfId="6891"/>
    <cellStyle name="Note 3 5 2 3" xfId="2008"/>
    <cellStyle name="Note 3 5 2 3 2" xfId="11336"/>
    <cellStyle name="Note 3 5 2 3 3" xfId="15746"/>
    <cellStyle name="Note 3 5 2 3_Table" xfId="6892"/>
    <cellStyle name="Note 3 5 2 4" xfId="2438"/>
    <cellStyle name="Note 3 5 2 4 2" xfId="11766"/>
    <cellStyle name="Note 3 5 2 4 3" xfId="16176"/>
    <cellStyle name="Note 3 5 2 4_Table" xfId="6893"/>
    <cellStyle name="Note 3 5 2 5" xfId="2876"/>
    <cellStyle name="Note 3 5 2 5 2" xfId="12204"/>
    <cellStyle name="Note 3 5 2 5 3" xfId="16614"/>
    <cellStyle name="Note 3 5 2 5_Table" xfId="6894"/>
    <cellStyle name="Note 3 5 2 6" xfId="3283"/>
    <cellStyle name="Note 3 5 2 6 2" xfId="12611"/>
    <cellStyle name="Note 3 5 2 6 3" xfId="17021"/>
    <cellStyle name="Note 3 5 2 6_Table" xfId="6895"/>
    <cellStyle name="Note 3 5 2 7" xfId="3875"/>
    <cellStyle name="Note 3 5 2 7 2" xfId="13203"/>
    <cellStyle name="Note 3 5 2 7 3" xfId="17613"/>
    <cellStyle name="Note 3 5 2 7_Table" xfId="6896"/>
    <cellStyle name="Note 3 5 2 8" xfId="4100"/>
    <cellStyle name="Note 3 5 2 8 2" xfId="13428"/>
    <cellStyle name="Note 3 5 2 8 3" xfId="17838"/>
    <cellStyle name="Note 3 5 2 8_Table" xfId="6897"/>
    <cellStyle name="Note 3 5 2 9" xfId="4461"/>
    <cellStyle name="Note 3 5 2 9 2" xfId="13789"/>
    <cellStyle name="Note 3 5 2 9 3" xfId="18199"/>
    <cellStyle name="Note 3 5 2 9_Table" xfId="6898"/>
    <cellStyle name="Note 3 5 2_Table" xfId="6889"/>
    <cellStyle name="Note 3 5 3" xfId="1407"/>
    <cellStyle name="Note 3 5 3 2" xfId="10735"/>
    <cellStyle name="Note 3 5 3 3" xfId="15145"/>
    <cellStyle name="Note 3 5 3_Table" xfId="6899"/>
    <cellStyle name="Note 3 5 4" xfId="1767"/>
    <cellStyle name="Note 3 5 4 2" xfId="11095"/>
    <cellStyle name="Note 3 5 4 3" xfId="15505"/>
    <cellStyle name="Note 3 5 4_Table" xfId="6900"/>
    <cellStyle name="Note 3 5 5" xfId="2200"/>
    <cellStyle name="Note 3 5 5 2" xfId="11528"/>
    <cellStyle name="Note 3 5 5 3" xfId="15938"/>
    <cellStyle name="Note 3 5 5_Table" xfId="6901"/>
    <cellStyle name="Note 3 5 6" xfId="2635"/>
    <cellStyle name="Note 3 5 6 2" xfId="11963"/>
    <cellStyle name="Note 3 5 6 3" xfId="16373"/>
    <cellStyle name="Note 3 5 6_Table" xfId="6902"/>
    <cellStyle name="Note 3 5 7" xfId="3048"/>
    <cellStyle name="Note 3 5 7 2" xfId="12376"/>
    <cellStyle name="Note 3 5 7 3" xfId="16786"/>
    <cellStyle name="Note 3 5 7_Table" xfId="6903"/>
    <cellStyle name="Note 3 5 8" xfId="3474"/>
    <cellStyle name="Note 3 5 8 2" xfId="12802"/>
    <cellStyle name="Note 3 5 8 3" xfId="17212"/>
    <cellStyle name="Note 3 5 8_Table" xfId="6904"/>
    <cellStyle name="Note 3 5 9" xfId="3539"/>
    <cellStyle name="Note 3 5 9 2" xfId="12867"/>
    <cellStyle name="Note 3 5 9 3" xfId="17277"/>
    <cellStyle name="Note 3 5 9_Table" xfId="6905"/>
    <cellStyle name="Note 3 5_Table" xfId="6886"/>
    <cellStyle name="Note 3 6" xfId="682"/>
    <cellStyle name="Note 3 6 10" xfId="4642"/>
    <cellStyle name="Note 3 6 10 2" xfId="13970"/>
    <cellStyle name="Note 3 6 10 3" xfId="18380"/>
    <cellStyle name="Note 3 6 10_Table" xfId="6907"/>
    <cellStyle name="Note 3 6 11" xfId="10010"/>
    <cellStyle name="Note 3 6 12" xfId="14420"/>
    <cellStyle name="Note 3 6 2" xfId="1468"/>
    <cellStyle name="Note 3 6 2 2" xfId="10796"/>
    <cellStyle name="Note 3 6 2 3" xfId="15206"/>
    <cellStyle name="Note 3 6 2_Table" xfId="6908"/>
    <cellStyle name="Note 3 6 3" xfId="1828"/>
    <cellStyle name="Note 3 6 3 2" xfId="11156"/>
    <cellStyle name="Note 3 6 3 3" xfId="15566"/>
    <cellStyle name="Note 3 6 3_Table" xfId="6909"/>
    <cellStyle name="Note 3 6 4" xfId="2258"/>
    <cellStyle name="Note 3 6 4 2" xfId="11586"/>
    <cellStyle name="Note 3 6 4 3" xfId="15996"/>
    <cellStyle name="Note 3 6 4_Table" xfId="6910"/>
    <cellStyle name="Note 3 6 5" xfId="2696"/>
    <cellStyle name="Note 3 6 5 2" xfId="12024"/>
    <cellStyle name="Note 3 6 5 3" xfId="16434"/>
    <cellStyle name="Note 3 6 5_Table" xfId="6911"/>
    <cellStyle name="Note 3 6 6" xfId="3103"/>
    <cellStyle name="Note 3 6 6 2" xfId="12431"/>
    <cellStyle name="Note 3 6 6 3" xfId="16841"/>
    <cellStyle name="Note 3 6 6_Table" xfId="6912"/>
    <cellStyle name="Note 3 6 7" xfId="3695"/>
    <cellStyle name="Note 3 6 7 2" xfId="13023"/>
    <cellStyle name="Note 3 6 7 3" xfId="17433"/>
    <cellStyle name="Note 3 6 7_Table" xfId="6913"/>
    <cellStyle name="Note 3 6 8" xfId="3920"/>
    <cellStyle name="Note 3 6 8 2" xfId="13248"/>
    <cellStyle name="Note 3 6 8 3" xfId="17658"/>
    <cellStyle name="Note 3 6 8_Table" xfId="6914"/>
    <cellStyle name="Note 3 6 9" xfId="4281"/>
    <cellStyle name="Note 3 6 9 2" xfId="13609"/>
    <cellStyle name="Note 3 6 9 3" xfId="18019"/>
    <cellStyle name="Note 3 6 9_Table" xfId="6915"/>
    <cellStyle name="Note 3 6_Table" xfId="6906"/>
    <cellStyle name="Note 3 7" xfId="1176"/>
    <cellStyle name="Note 3 7 2" xfId="10504"/>
    <cellStyle name="Note 3 7 3" xfId="14914"/>
    <cellStyle name="Note 3 7_Table" xfId="6916"/>
    <cellStyle name="Note 3 8" xfId="1068"/>
    <cellStyle name="Note 3 8 2" xfId="10396"/>
    <cellStyle name="Note 3 8 3" xfId="14806"/>
    <cellStyle name="Note 3 8_Table" xfId="6917"/>
    <cellStyle name="Note 3 9" xfId="1324"/>
    <cellStyle name="Note 3 9 2" xfId="10652"/>
    <cellStyle name="Note 3 9 3" xfId="15062"/>
    <cellStyle name="Note 3 9_Table" xfId="6918"/>
    <cellStyle name="Note 3_Table" xfId="6819"/>
    <cellStyle name="Note 4" xfId="343"/>
    <cellStyle name="Note 4 10" xfId="962"/>
    <cellStyle name="Note 4 10 2" xfId="10290"/>
    <cellStyle name="Note 4 10 3" xfId="14700"/>
    <cellStyle name="Note 4 10_Table" xfId="6920"/>
    <cellStyle name="Note 4 11" xfId="2043"/>
    <cellStyle name="Note 4 11 2" xfId="11371"/>
    <cellStyle name="Note 4 11 3" xfId="15781"/>
    <cellStyle name="Note 4 11_Table" xfId="6921"/>
    <cellStyle name="Note 4 12" xfId="2475"/>
    <cellStyle name="Note 4 12 2" xfId="11803"/>
    <cellStyle name="Note 4 12 3" xfId="16213"/>
    <cellStyle name="Note 4 12_Table" xfId="6922"/>
    <cellStyle name="Note 4 13" xfId="3588"/>
    <cellStyle name="Note 4 13 2" xfId="12916"/>
    <cellStyle name="Note 4 13 3" xfId="17326"/>
    <cellStyle name="Note 4 13_Table" xfId="6923"/>
    <cellStyle name="Note 4 14" xfId="1277"/>
    <cellStyle name="Note 4 14 2" xfId="10605"/>
    <cellStyle name="Note 4 14 3" xfId="15015"/>
    <cellStyle name="Note 4 14_Table" xfId="6924"/>
    <cellStyle name="Note 4 15" xfId="3501"/>
    <cellStyle name="Note 4 15 2" xfId="12829"/>
    <cellStyle name="Note 4 15 3" xfId="17239"/>
    <cellStyle name="Note 4 15_Table" xfId="6925"/>
    <cellStyle name="Note 4 16" xfId="9671"/>
    <cellStyle name="Note 4 17" xfId="14196"/>
    <cellStyle name="Note 4 2" xfId="414"/>
    <cellStyle name="Note 4 2 10" xfId="3023"/>
    <cellStyle name="Note 4 2 10 2" xfId="12351"/>
    <cellStyle name="Note 4 2 10 3" xfId="16761"/>
    <cellStyle name="Note 4 2 10_Table" xfId="6927"/>
    <cellStyle name="Note 4 2 11" xfId="3445"/>
    <cellStyle name="Note 4 2 11 2" xfId="12773"/>
    <cellStyle name="Note 4 2 11 3" xfId="17183"/>
    <cellStyle name="Note 4 2 11_Table" xfId="6928"/>
    <cellStyle name="Note 4 2 12" xfId="9742"/>
    <cellStyle name="Note 4 2 13" xfId="14241"/>
    <cellStyle name="Note 4 2 2" xfId="728"/>
    <cellStyle name="Note 4 2 2 10" xfId="4688"/>
    <cellStyle name="Note 4 2 2 10 2" xfId="14016"/>
    <cellStyle name="Note 4 2 2 10 3" xfId="18426"/>
    <cellStyle name="Note 4 2 2 10_Table" xfId="6930"/>
    <cellStyle name="Note 4 2 2 11" xfId="10056"/>
    <cellStyle name="Note 4 2 2 12" xfId="14466"/>
    <cellStyle name="Note 4 2 2 2" xfId="1514"/>
    <cellStyle name="Note 4 2 2 2 2" xfId="10842"/>
    <cellStyle name="Note 4 2 2 2 3" xfId="15252"/>
    <cellStyle name="Note 4 2 2 2_Table" xfId="6931"/>
    <cellStyle name="Note 4 2 2 3" xfId="1874"/>
    <cellStyle name="Note 4 2 2 3 2" xfId="11202"/>
    <cellStyle name="Note 4 2 2 3 3" xfId="15612"/>
    <cellStyle name="Note 4 2 2 3_Table" xfId="6932"/>
    <cellStyle name="Note 4 2 2 4" xfId="2304"/>
    <cellStyle name="Note 4 2 2 4 2" xfId="11632"/>
    <cellStyle name="Note 4 2 2 4 3" xfId="16042"/>
    <cellStyle name="Note 4 2 2 4_Table" xfId="6933"/>
    <cellStyle name="Note 4 2 2 5" xfId="2742"/>
    <cellStyle name="Note 4 2 2 5 2" xfId="12070"/>
    <cellStyle name="Note 4 2 2 5 3" xfId="16480"/>
    <cellStyle name="Note 4 2 2 5_Table" xfId="6934"/>
    <cellStyle name="Note 4 2 2 6" xfId="3149"/>
    <cellStyle name="Note 4 2 2 6 2" xfId="12477"/>
    <cellStyle name="Note 4 2 2 6 3" xfId="16887"/>
    <cellStyle name="Note 4 2 2 6_Table" xfId="6935"/>
    <cellStyle name="Note 4 2 2 7" xfId="3741"/>
    <cellStyle name="Note 4 2 2 7 2" xfId="13069"/>
    <cellStyle name="Note 4 2 2 7 3" xfId="17479"/>
    <cellStyle name="Note 4 2 2 7_Table" xfId="6936"/>
    <cellStyle name="Note 4 2 2 8" xfId="3966"/>
    <cellStyle name="Note 4 2 2 8 2" xfId="13294"/>
    <cellStyle name="Note 4 2 2 8 3" xfId="17704"/>
    <cellStyle name="Note 4 2 2 8_Table" xfId="6937"/>
    <cellStyle name="Note 4 2 2 9" xfId="4327"/>
    <cellStyle name="Note 4 2 2 9 2" xfId="13655"/>
    <cellStyle name="Note 4 2 2 9 3" xfId="18065"/>
    <cellStyle name="Note 4 2 2 9_Table" xfId="6938"/>
    <cellStyle name="Note 4 2 2_Table" xfId="6929"/>
    <cellStyle name="Note 4 2 3" xfId="1228"/>
    <cellStyle name="Note 4 2 3 2" xfId="10556"/>
    <cellStyle name="Note 4 2 3 3" xfId="14966"/>
    <cellStyle name="Note 4 2 3_Table" xfId="6939"/>
    <cellStyle name="Note 4 2 4" xfId="998"/>
    <cellStyle name="Note 4 2 4 2" xfId="10326"/>
    <cellStyle name="Note 4 2 4 3" xfId="14736"/>
    <cellStyle name="Note 4 2 4_Table" xfId="6940"/>
    <cellStyle name="Note 4 2 5" xfId="1213"/>
    <cellStyle name="Note 4 2 5 2" xfId="10541"/>
    <cellStyle name="Note 4 2 5 3" xfId="14951"/>
    <cellStyle name="Note 4 2 5_Table" xfId="6941"/>
    <cellStyle name="Note 4 2 6" xfId="964"/>
    <cellStyle name="Note 4 2 6 2" xfId="10292"/>
    <cellStyle name="Note 4 2 6 3" xfId="14702"/>
    <cellStyle name="Note 4 2 6_Table" xfId="6942"/>
    <cellStyle name="Note 4 2 7" xfId="2041"/>
    <cellStyle name="Note 4 2 7 2" xfId="11369"/>
    <cellStyle name="Note 4 2 7 3" xfId="15779"/>
    <cellStyle name="Note 4 2 7_Table" xfId="6943"/>
    <cellStyle name="Note 4 2 8" xfId="2473"/>
    <cellStyle name="Note 4 2 8 2" xfId="11801"/>
    <cellStyle name="Note 4 2 8 3" xfId="16211"/>
    <cellStyle name="Note 4 2 8_Table" xfId="6944"/>
    <cellStyle name="Note 4 2 9" xfId="3448"/>
    <cellStyle name="Note 4 2 9 2" xfId="12776"/>
    <cellStyle name="Note 4 2 9 3" xfId="17186"/>
    <cellStyle name="Note 4 2 9_Table" xfId="6945"/>
    <cellStyle name="Note 4 2_Table" xfId="6926"/>
    <cellStyle name="Note 4 3" xfId="482"/>
    <cellStyle name="Note 4 3 10" xfId="4147"/>
    <cellStyle name="Note 4 3 10 2" xfId="13475"/>
    <cellStyle name="Note 4 3 10 3" xfId="17885"/>
    <cellStyle name="Note 4 3 10_Table" xfId="6947"/>
    <cellStyle name="Note 4 3 11" xfId="4508"/>
    <cellStyle name="Note 4 3 11 2" xfId="13836"/>
    <cellStyle name="Note 4 3 11 3" xfId="18246"/>
    <cellStyle name="Note 4 3 11_Table" xfId="6948"/>
    <cellStyle name="Note 4 3 12" xfId="9810"/>
    <cellStyle name="Note 4 3 13" xfId="14286"/>
    <cellStyle name="Note 4 3 2" xfId="773"/>
    <cellStyle name="Note 4 3 2 10" xfId="4733"/>
    <cellStyle name="Note 4 3 2 10 2" xfId="14061"/>
    <cellStyle name="Note 4 3 2 10 3" xfId="18471"/>
    <cellStyle name="Note 4 3 2 10_Table" xfId="6950"/>
    <cellStyle name="Note 4 3 2 11" xfId="10101"/>
    <cellStyle name="Note 4 3 2 12" xfId="14511"/>
    <cellStyle name="Note 4 3 2 2" xfId="1559"/>
    <cellStyle name="Note 4 3 2 2 2" xfId="10887"/>
    <cellStyle name="Note 4 3 2 2 3" xfId="15297"/>
    <cellStyle name="Note 4 3 2 2_Table" xfId="6951"/>
    <cellStyle name="Note 4 3 2 3" xfId="1919"/>
    <cellStyle name="Note 4 3 2 3 2" xfId="11247"/>
    <cellStyle name="Note 4 3 2 3 3" xfId="15657"/>
    <cellStyle name="Note 4 3 2 3_Table" xfId="6952"/>
    <cellStyle name="Note 4 3 2 4" xfId="2349"/>
    <cellStyle name="Note 4 3 2 4 2" xfId="11677"/>
    <cellStyle name="Note 4 3 2 4 3" xfId="16087"/>
    <cellStyle name="Note 4 3 2 4_Table" xfId="6953"/>
    <cellStyle name="Note 4 3 2 5" xfId="2787"/>
    <cellStyle name="Note 4 3 2 5 2" xfId="12115"/>
    <cellStyle name="Note 4 3 2 5 3" xfId="16525"/>
    <cellStyle name="Note 4 3 2 5_Table" xfId="6954"/>
    <cellStyle name="Note 4 3 2 6" xfId="3194"/>
    <cellStyle name="Note 4 3 2 6 2" xfId="12522"/>
    <cellStyle name="Note 4 3 2 6 3" xfId="16932"/>
    <cellStyle name="Note 4 3 2 6_Table" xfId="6955"/>
    <cellStyle name="Note 4 3 2 7" xfId="3786"/>
    <cellStyle name="Note 4 3 2 7 2" xfId="13114"/>
    <cellStyle name="Note 4 3 2 7 3" xfId="17524"/>
    <cellStyle name="Note 4 3 2 7_Table" xfId="6956"/>
    <cellStyle name="Note 4 3 2 8" xfId="4011"/>
    <cellStyle name="Note 4 3 2 8 2" xfId="13339"/>
    <cellStyle name="Note 4 3 2 8 3" xfId="17749"/>
    <cellStyle name="Note 4 3 2 8_Table" xfId="6957"/>
    <cellStyle name="Note 4 3 2 9" xfId="4372"/>
    <cellStyle name="Note 4 3 2 9 2" xfId="13700"/>
    <cellStyle name="Note 4 3 2 9 3" xfId="18110"/>
    <cellStyle name="Note 4 3 2 9_Table" xfId="6958"/>
    <cellStyle name="Note 4 3 2_Table" xfId="6949"/>
    <cellStyle name="Note 4 3 3" xfId="1285"/>
    <cellStyle name="Note 4 3 3 2" xfId="10613"/>
    <cellStyle name="Note 4 3 3 3" xfId="15023"/>
    <cellStyle name="Note 4 3 3_Table" xfId="6959"/>
    <cellStyle name="Note 4 3 4" xfId="932"/>
    <cellStyle name="Note 4 3 4 2" xfId="10260"/>
    <cellStyle name="Note 4 3 4 3" xfId="14670"/>
    <cellStyle name="Note 4 3 4_Table" xfId="6960"/>
    <cellStyle name="Note 4 3 5" xfId="2073"/>
    <cellStyle name="Note 4 3 5 2" xfId="11401"/>
    <cellStyle name="Note 4 3 5 3" xfId="15811"/>
    <cellStyle name="Note 4 3 5_Table" xfId="6961"/>
    <cellStyle name="Note 4 3 6" xfId="2505"/>
    <cellStyle name="Note 4 3 6 2" xfId="11833"/>
    <cellStyle name="Note 4 3 6 3" xfId="16243"/>
    <cellStyle name="Note 4 3 6_Table" xfId="6962"/>
    <cellStyle name="Note 4 3 7" xfId="2933"/>
    <cellStyle name="Note 4 3 7 2" xfId="12261"/>
    <cellStyle name="Note 4 3 7 3" xfId="16671"/>
    <cellStyle name="Note 4 3 7_Table" xfId="6963"/>
    <cellStyle name="Note 4 3 8" xfId="3346"/>
    <cellStyle name="Note 4 3 8 2" xfId="12674"/>
    <cellStyle name="Note 4 3 8 3" xfId="17084"/>
    <cellStyle name="Note 4 3 8_Table" xfId="6964"/>
    <cellStyle name="Note 4 3 9" xfId="3432"/>
    <cellStyle name="Note 4 3 9 2" xfId="12760"/>
    <cellStyle name="Note 4 3 9 3" xfId="17170"/>
    <cellStyle name="Note 4 3 9_Table" xfId="6965"/>
    <cellStyle name="Note 4 3_Table" xfId="6946"/>
    <cellStyle name="Note 4 4" xfId="546"/>
    <cellStyle name="Note 4 4 10" xfId="4192"/>
    <cellStyle name="Note 4 4 10 2" xfId="13520"/>
    <cellStyle name="Note 4 4 10 3" xfId="17930"/>
    <cellStyle name="Note 4 4 10_Table" xfId="6967"/>
    <cellStyle name="Note 4 4 11" xfId="4553"/>
    <cellStyle name="Note 4 4 11 2" xfId="13881"/>
    <cellStyle name="Note 4 4 11 3" xfId="18291"/>
    <cellStyle name="Note 4 4 11_Table" xfId="6968"/>
    <cellStyle name="Note 4 4 12" xfId="9874"/>
    <cellStyle name="Note 4 4 13" xfId="14331"/>
    <cellStyle name="Note 4 4 2" xfId="818"/>
    <cellStyle name="Note 4 4 2 10" xfId="4778"/>
    <cellStyle name="Note 4 4 2 10 2" xfId="14106"/>
    <cellStyle name="Note 4 4 2 10 3" xfId="18516"/>
    <cellStyle name="Note 4 4 2 10_Table" xfId="6970"/>
    <cellStyle name="Note 4 4 2 11" xfId="10146"/>
    <cellStyle name="Note 4 4 2 12" xfId="14556"/>
    <cellStyle name="Note 4 4 2 2" xfId="1604"/>
    <cellStyle name="Note 4 4 2 2 2" xfId="10932"/>
    <cellStyle name="Note 4 4 2 2 3" xfId="15342"/>
    <cellStyle name="Note 4 4 2 2_Table" xfId="6971"/>
    <cellStyle name="Note 4 4 2 3" xfId="1964"/>
    <cellStyle name="Note 4 4 2 3 2" xfId="11292"/>
    <cellStyle name="Note 4 4 2 3 3" xfId="15702"/>
    <cellStyle name="Note 4 4 2 3_Table" xfId="6972"/>
    <cellStyle name="Note 4 4 2 4" xfId="2394"/>
    <cellStyle name="Note 4 4 2 4 2" xfId="11722"/>
    <cellStyle name="Note 4 4 2 4 3" xfId="16132"/>
    <cellStyle name="Note 4 4 2 4_Table" xfId="6973"/>
    <cellStyle name="Note 4 4 2 5" xfId="2832"/>
    <cellStyle name="Note 4 4 2 5 2" xfId="12160"/>
    <cellStyle name="Note 4 4 2 5 3" xfId="16570"/>
    <cellStyle name="Note 4 4 2 5_Table" xfId="6974"/>
    <cellStyle name="Note 4 4 2 6" xfId="3239"/>
    <cellStyle name="Note 4 4 2 6 2" xfId="12567"/>
    <cellStyle name="Note 4 4 2 6 3" xfId="16977"/>
    <cellStyle name="Note 4 4 2 6_Table" xfId="6975"/>
    <cellStyle name="Note 4 4 2 7" xfId="3831"/>
    <cellStyle name="Note 4 4 2 7 2" xfId="13159"/>
    <cellStyle name="Note 4 4 2 7 3" xfId="17569"/>
    <cellStyle name="Note 4 4 2 7_Table" xfId="6976"/>
    <cellStyle name="Note 4 4 2 8" xfId="4056"/>
    <cellStyle name="Note 4 4 2 8 2" xfId="13384"/>
    <cellStyle name="Note 4 4 2 8 3" xfId="17794"/>
    <cellStyle name="Note 4 4 2 8_Table" xfId="6977"/>
    <cellStyle name="Note 4 4 2 9" xfId="4417"/>
    <cellStyle name="Note 4 4 2 9 2" xfId="13745"/>
    <cellStyle name="Note 4 4 2 9 3" xfId="18155"/>
    <cellStyle name="Note 4 4 2 9_Table" xfId="6978"/>
    <cellStyle name="Note 4 4 2_Table" xfId="6969"/>
    <cellStyle name="Note 4 4 3" xfId="1341"/>
    <cellStyle name="Note 4 4 3 2" xfId="10669"/>
    <cellStyle name="Note 4 4 3 3" xfId="15079"/>
    <cellStyle name="Note 4 4 3_Table" xfId="6979"/>
    <cellStyle name="Note 4 4 4" xfId="1698"/>
    <cellStyle name="Note 4 4 4 2" xfId="11026"/>
    <cellStyle name="Note 4 4 4 3" xfId="15436"/>
    <cellStyle name="Note 4 4 4_Table" xfId="6980"/>
    <cellStyle name="Note 4 4 5" xfId="2132"/>
    <cellStyle name="Note 4 4 5 2" xfId="11460"/>
    <cellStyle name="Note 4 4 5 3" xfId="15870"/>
    <cellStyle name="Note 4 4 5_Table" xfId="6981"/>
    <cellStyle name="Note 4 4 6" xfId="2564"/>
    <cellStyle name="Note 4 4 6 2" xfId="11892"/>
    <cellStyle name="Note 4 4 6 3" xfId="16302"/>
    <cellStyle name="Note 4 4 6_Table" xfId="6982"/>
    <cellStyle name="Note 4 4 7" xfId="2990"/>
    <cellStyle name="Note 4 4 7 2" xfId="12318"/>
    <cellStyle name="Note 4 4 7 3" xfId="16728"/>
    <cellStyle name="Note 4 4 7_Table" xfId="6983"/>
    <cellStyle name="Note 4 4 8" xfId="3404"/>
    <cellStyle name="Note 4 4 8 2" xfId="12732"/>
    <cellStyle name="Note 4 4 8 3" xfId="17142"/>
    <cellStyle name="Note 4 4 8_Table" xfId="6984"/>
    <cellStyle name="Note 4 4 9" xfId="3562"/>
    <cellStyle name="Note 4 4 9 2" xfId="12890"/>
    <cellStyle name="Note 4 4 9 3" xfId="17300"/>
    <cellStyle name="Note 4 4 9_Table" xfId="6985"/>
    <cellStyle name="Note 4 4_Table" xfId="6966"/>
    <cellStyle name="Note 4 5" xfId="621"/>
    <cellStyle name="Note 4 5 10" xfId="4237"/>
    <cellStyle name="Note 4 5 10 2" xfId="13565"/>
    <cellStyle name="Note 4 5 10 3" xfId="17975"/>
    <cellStyle name="Note 4 5 10_Table" xfId="6987"/>
    <cellStyle name="Note 4 5 11" xfId="4598"/>
    <cellStyle name="Note 4 5 11 2" xfId="13926"/>
    <cellStyle name="Note 4 5 11 3" xfId="18336"/>
    <cellStyle name="Note 4 5 11_Table" xfId="6988"/>
    <cellStyle name="Note 4 5 12" xfId="9949"/>
    <cellStyle name="Note 4 5 13" xfId="14376"/>
    <cellStyle name="Note 4 5 2" xfId="863"/>
    <cellStyle name="Note 4 5 2 10" xfId="4823"/>
    <cellStyle name="Note 4 5 2 10 2" xfId="14151"/>
    <cellStyle name="Note 4 5 2 10 3" xfId="18561"/>
    <cellStyle name="Note 4 5 2 10_Table" xfId="6990"/>
    <cellStyle name="Note 4 5 2 11" xfId="10191"/>
    <cellStyle name="Note 4 5 2 12" xfId="14601"/>
    <cellStyle name="Note 4 5 2 2" xfId="1649"/>
    <cellStyle name="Note 4 5 2 2 2" xfId="10977"/>
    <cellStyle name="Note 4 5 2 2 3" xfId="15387"/>
    <cellStyle name="Note 4 5 2 2_Table" xfId="6991"/>
    <cellStyle name="Note 4 5 2 3" xfId="2009"/>
    <cellStyle name="Note 4 5 2 3 2" xfId="11337"/>
    <cellStyle name="Note 4 5 2 3 3" xfId="15747"/>
    <cellStyle name="Note 4 5 2 3_Table" xfId="6992"/>
    <cellStyle name="Note 4 5 2 4" xfId="2439"/>
    <cellStyle name="Note 4 5 2 4 2" xfId="11767"/>
    <cellStyle name="Note 4 5 2 4 3" xfId="16177"/>
    <cellStyle name="Note 4 5 2 4_Table" xfId="6993"/>
    <cellStyle name="Note 4 5 2 5" xfId="2877"/>
    <cellStyle name="Note 4 5 2 5 2" xfId="12205"/>
    <cellStyle name="Note 4 5 2 5 3" xfId="16615"/>
    <cellStyle name="Note 4 5 2 5_Table" xfId="6994"/>
    <cellStyle name="Note 4 5 2 6" xfId="3284"/>
    <cellStyle name="Note 4 5 2 6 2" xfId="12612"/>
    <cellStyle name="Note 4 5 2 6 3" xfId="17022"/>
    <cellStyle name="Note 4 5 2 6_Table" xfId="6995"/>
    <cellStyle name="Note 4 5 2 7" xfId="3876"/>
    <cellStyle name="Note 4 5 2 7 2" xfId="13204"/>
    <cellStyle name="Note 4 5 2 7 3" xfId="17614"/>
    <cellStyle name="Note 4 5 2 7_Table" xfId="6996"/>
    <cellStyle name="Note 4 5 2 8" xfId="4101"/>
    <cellStyle name="Note 4 5 2 8 2" xfId="13429"/>
    <cellStyle name="Note 4 5 2 8 3" xfId="17839"/>
    <cellStyle name="Note 4 5 2 8_Table" xfId="6997"/>
    <cellStyle name="Note 4 5 2 9" xfId="4462"/>
    <cellStyle name="Note 4 5 2 9 2" xfId="13790"/>
    <cellStyle name="Note 4 5 2 9 3" xfId="18200"/>
    <cellStyle name="Note 4 5 2 9_Table" xfId="6998"/>
    <cellStyle name="Note 4 5 2_Table" xfId="6989"/>
    <cellStyle name="Note 4 5 3" xfId="1408"/>
    <cellStyle name="Note 4 5 3 2" xfId="10736"/>
    <cellStyle name="Note 4 5 3 3" xfId="15146"/>
    <cellStyle name="Note 4 5 3_Table" xfId="6999"/>
    <cellStyle name="Note 4 5 4" xfId="1768"/>
    <cellStyle name="Note 4 5 4 2" xfId="11096"/>
    <cellStyle name="Note 4 5 4 3" xfId="15506"/>
    <cellStyle name="Note 4 5 4_Table" xfId="7000"/>
    <cellStyle name="Note 4 5 5" xfId="2201"/>
    <cellStyle name="Note 4 5 5 2" xfId="11529"/>
    <cellStyle name="Note 4 5 5 3" xfId="15939"/>
    <cellStyle name="Note 4 5 5_Table" xfId="7001"/>
    <cellStyle name="Note 4 5 6" xfId="2636"/>
    <cellStyle name="Note 4 5 6 2" xfId="11964"/>
    <cellStyle name="Note 4 5 6 3" xfId="16374"/>
    <cellStyle name="Note 4 5 6_Table" xfId="7002"/>
    <cellStyle name="Note 4 5 7" xfId="3049"/>
    <cellStyle name="Note 4 5 7 2" xfId="12377"/>
    <cellStyle name="Note 4 5 7 3" xfId="16787"/>
    <cellStyle name="Note 4 5 7_Table" xfId="7003"/>
    <cellStyle name="Note 4 5 8" xfId="3475"/>
    <cellStyle name="Note 4 5 8 2" xfId="12803"/>
    <cellStyle name="Note 4 5 8 3" xfId="17213"/>
    <cellStyle name="Note 4 5 8_Table" xfId="7004"/>
    <cellStyle name="Note 4 5 9" xfId="3572"/>
    <cellStyle name="Note 4 5 9 2" xfId="12900"/>
    <cellStyle name="Note 4 5 9 3" xfId="17310"/>
    <cellStyle name="Note 4 5 9_Table" xfId="7005"/>
    <cellStyle name="Note 4 5_Table" xfId="6986"/>
    <cellStyle name="Note 4 6" xfId="683"/>
    <cellStyle name="Note 4 6 10" xfId="4643"/>
    <cellStyle name="Note 4 6 10 2" xfId="13971"/>
    <cellStyle name="Note 4 6 10 3" xfId="18381"/>
    <cellStyle name="Note 4 6 10_Table" xfId="7007"/>
    <cellStyle name="Note 4 6 11" xfId="10011"/>
    <cellStyle name="Note 4 6 12" xfId="14421"/>
    <cellStyle name="Note 4 6 2" xfId="1469"/>
    <cellStyle name="Note 4 6 2 2" xfId="10797"/>
    <cellStyle name="Note 4 6 2 3" xfId="15207"/>
    <cellStyle name="Note 4 6 2_Table" xfId="7008"/>
    <cellStyle name="Note 4 6 3" xfId="1829"/>
    <cellStyle name="Note 4 6 3 2" xfId="11157"/>
    <cellStyle name="Note 4 6 3 3" xfId="15567"/>
    <cellStyle name="Note 4 6 3_Table" xfId="7009"/>
    <cellStyle name="Note 4 6 4" xfId="2259"/>
    <cellStyle name="Note 4 6 4 2" xfId="11587"/>
    <cellStyle name="Note 4 6 4 3" xfId="15997"/>
    <cellStyle name="Note 4 6 4_Table" xfId="7010"/>
    <cellStyle name="Note 4 6 5" xfId="2697"/>
    <cellStyle name="Note 4 6 5 2" xfId="12025"/>
    <cellStyle name="Note 4 6 5 3" xfId="16435"/>
    <cellStyle name="Note 4 6 5_Table" xfId="7011"/>
    <cellStyle name="Note 4 6 6" xfId="3104"/>
    <cellStyle name="Note 4 6 6 2" xfId="12432"/>
    <cellStyle name="Note 4 6 6 3" xfId="16842"/>
    <cellStyle name="Note 4 6 6_Table" xfId="7012"/>
    <cellStyle name="Note 4 6 7" xfId="3696"/>
    <cellStyle name="Note 4 6 7 2" xfId="13024"/>
    <cellStyle name="Note 4 6 7 3" xfId="17434"/>
    <cellStyle name="Note 4 6 7_Table" xfId="7013"/>
    <cellStyle name="Note 4 6 8" xfId="3921"/>
    <cellStyle name="Note 4 6 8 2" xfId="13249"/>
    <cellStyle name="Note 4 6 8 3" xfId="17659"/>
    <cellStyle name="Note 4 6 8_Table" xfId="7014"/>
    <cellStyle name="Note 4 6 9" xfId="4282"/>
    <cellStyle name="Note 4 6 9 2" xfId="13610"/>
    <cellStyle name="Note 4 6 9 3" xfId="18020"/>
    <cellStyle name="Note 4 6 9_Table" xfId="7015"/>
    <cellStyle name="Note 4 6_Table" xfId="7006"/>
    <cellStyle name="Note 4 7" xfId="1177"/>
    <cellStyle name="Note 4 7 2" xfId="10505"/>
    <cellStyle name="Note 4 7 3" xfId="14915"/>
    <cellStyle name="Note 4 7_Table" xfId="7016"/>
    <cellStyle name="Note 4 8" xfId="1067"/>
    <cellStyle name="Note 4 8 2" xfId="10395"/>
    <cellStyle name="Note 4 8 3" xfId="14805"/>
    <cellStyle name="Note 4 8_Table" xfId="7017"/>
    <cellStyle name="Note 4 9" xfId="1389"/>
    <cellStyle name="Note 4 9 2" xfId="10717"/>
    <cellStyle name="Note 4 9 3" xfId="15127"/>
    <cellStyle name="Note 4 9_Table" xfId="7018"/>
    <cellStyle name="Note 4_Table" xfId="6919"/>
    <cellStyle name="Note 5" xfId="344"/>
    <cellStyle name="Note 5 10" xfId="901"/>
    <cellStyle name="Note 5 10 2" xfId="10229"/>
    <cellStyle name="Note 5 10 3" xfId="14639"/>
    <cellStyle name="Note 5 10_Table" xfId="7020"/>
    <cellStyle name="Note 5 11" xfId="2103"/>
    <cellStyle name="Note 5 11 2" xfId="11431"/>
    <cellStyle name="Note 5 11 3" xfId="15841"/>
    <cellStyle name="Note 5 11_Table" xfId="7021"/>
    <cellStyle name="Note 5 12" xfId="2534"/>
    <cellStyle name="Note 5 12 2" xfId="11862"/>
    <cellStyle name="Note 5 12 3" xfId="16272"/>
    <cellStyle name="Note 5 12_Table" xfId="7022"/>
    <cellStyle name="Note 5 13" xfId="3619"/>
    <cellStyle name="Note 5 13 2" xfId="12947"/>
    <cellStyle name="Note 5 13 3" xfId="17357"/>
    <cellStyle name="Note 5 13_Table" xfId="7023"/>
    <cellStyle name="Note 5 14" xfId="2909"/>
    <cellStyle name="Note 5 14 2" xfId="12237"/>
    <cellStyle name="Note 5 14 3" xfId="16647"/>
    <cellStyle name="Note 5 14_Table" xfId="7024"/>
    <cellStyle name="Note 5 15" xfId="2158"/>
    <cellStyle name="Note 5 15 2" xfId="11486"/>
    <cellStyle name="Note 5 15 3" xfId="15896"/>
    <cellStyle name="Note 5 15_Table" xfId="7025"/>
    <cellStyle name="Note 5 16" xfId="9672"/>
    <cellStyle name="Note 5 17" xfId="14197"/>
    <cellStyle name="Note 5 2" xfId="415"/>
    <cellStyle name="Note 5 2 10" xfId="3025"/>
    <cellStyle name="Note 5 2 10 2" xfId="12353"/>
    <cellStyle name="Note 5 2 10 3" xfId="16763"/>
    <cellStyle name="Note 5 2 10_Table" xfId="7027"/>
    <cellStyle name="Note 5 2 11" xfId="3536"/>
    <cellStyle name="Note 5 2 11 2" xfId="12864"/>
    <cellStyle name="Note 5 2 11 3" xfId="17274"/>
    <cellStyle name="Note 5 2 11_Table" xfId="7028"/>
    <cellStyle name="Note 5 2 12" xfId="9743"/>
    <cellStyle name="Note 5 2 13" xfId="14242"/>
    <cellStyle name="Note 5 2 2" xfId="729"/>
    <cellStyle name="Note 5 2 2 10" xfId="4689"/>
    <cellStyle name="Note 5 2 2 10 2" xfId="14017"/>
    <cellStyle name="Note 5 2 2 10 3" xfId="18427"/>
    <cellStyle name="Note 5 2 2 10_Table" xfId="7030"/>
    <cellStyle name="Note 5 2 2 11" xfId="10057"/>
    <cellStyle name="Note 5 2 2 12" xfId="14467"/>
    <cellStyle name="Note 5 2 2 2" xfId="1515"/>
    <cellStyle name="Note 5 2 2 2 2" xfId="10843"/>
    <cellStyle name="Note 5 2 2 2 3" xfId="15253"/>
    <cellStyle name="Note 5 2 2 2_Table" xfId="7031"/>
    <cellStyle name="Note 5 2 2 3" xfId="1875"/>
    <cellStyle name="Note 5 2 2 3 2" xfId="11203"/>
    <cellStyle name="Note 5 2 2 3 3" xfId="15613"/>
    <cellStyle name="Note 5 2 2 3_Table" xfId="7032"/>
    <cellStyle name="Note 5 2 2 4" xfId="2305"/>
    <cellStyle name="Note 5 2 2 4 2" xfId="11633"/>
    <cellStyle name="Note 5 2 2 4 3" xfId="16043"/>
    <cellStyle name="Note 5 2 2 4_Table" xfId="7033"/>
    <cellStyle name="Note 5 2 2 5" xfId="2743"/>
    <cellStyle name="Note 5 2 2 5 2" xfId="12071"/>
    <cellStyle name="Note 5 2 2 5 3" xfId="16481"/>
    <cellStyle name="Note 5 2 2 5_Table" xfId="7034"/>
    <cellStyle name="Note 5 2 2 6" xfId="3150"/>
    <cellStyle name="Note 5 2 2 6 2" xfId="12478"/>
    <cellStyle name="Note 5 2 2 6 3" xfId="16888"/>
    <cellStyle name="Note 5 2 2 6_Table" xfId="7035"/>
    <cellStyle name="Note 5 2 2 7" xfId="3742"/>
    <cellStyle name="Note 5 2 2 7 2" xfId="13070"/>
    <cellStyle name="Note 5 2 2 7 3" xfId="17480"/>
    <cellStyle name="Note 5 2 2 7_Table" xfId="7036"/>
    <cellStyle name="Note 5 2 2 8" xfId="3967"/>
    <cellStyle name="Note 5 2 2 8 2" xfId="13295"/>
    <cellStyle name="Note 5 2 2 8 3" xfId="17705"/>
    <cellStyle name="Note 5 2 2 8_Table" xfId="7037"/>
    <cellStyle name="Note 5 2 2 9" xfId="4328"/>
    <cellStyle name="Note 5 2 2 9 2" xfId="13656"/>
    <cellStyle name="Note 5 2 2 9 3" xfId="18066"/>
    <cellStyle name="Note 5 2 2 9_Table" xfId="7038"/>
    <cellStyle name="Note 5 2 2_Table" xfId="7029"/>
    <cellStyle name="Note 5 2 3" xfId="1229"/>
    <cellStyle name="Note 5 2 3 2" xfId="10557"/>
    <cellStyle name="Note 5 2 3 3" xfId="14967"/>
    <cellStyle name="Note 5 2 3_Table" xfId="7039"/>
    <cellStyle name="Note 5 2 4" xfId="997"/>
    <cellStyle name="Note 5 2 4 2" xfId="10325"/>
    <cellStyle name="Note 5 2 4 3" xfId="14735"/>
    <cellStyle name="Note 5 2 4_Table" xfId="7040"/>
    <cellStyle name="Note 5 2 5" xfId="1255"/>
    <cellStyle name="Note 5 2 5 2" xfId="10583"/>
    <cellStyle name="Note 5 2 5 3" xfId="14993"/>
    <cellStyle name="Note 5 2 5_Table" xfId="7041"/>
    <cellStyle name="Note 5 2 6" xfId="1743"/>
    <cellStyle name="Note 5 2 6 2" xfId="11071"/>
    <cellStyle name="Note 5 2 6 3" xfId="15481"/>
    <cellStyle name="Note 5 2 6_Table" xfId="7042"/>
    <cellStyle name="Note 5 2 7" xfId="2177"/>
    <cellStyle name="Note 5 2 7 2" xfId="11505"/>
    <cellStyle name="Note 5 2 7 3" xfId="15915"/>
    <cellStyle name="Note 5 2 7_Table" xfId="7043"/>
    <cellStyle name="Note 5 2 8" xfId="2610"/>
    <cellStyle name="Note 5 2 8 2" xfId="11938"/>
    <cellStyle name="Note 5 2 8 3" xfId="16348"/>
    <cellStyle name="Note 5 2 8_Table" xfId="7044"/>
    <cellStyle name="Note 5 2 9" xfId="3021"/>
    <cellStyle name="Note 5 2 9 2" xfId="12349"/>
    <cellStyle name="Note 5 2 9 3" xfId="16759"/>
    <cellStyle name="Note 5 2 9_Table" xfId="7045"/>
    <cellStyle name="Note 5 2_Table" xfId="7026"/>
    <cellStyle name="Note 5 3" xfId="483"/>
    <cellStyle name="Note 5 3 10" xfId="4148"/>
    <cellStyle name="Note 5 3 10 2" xfId="13476"/>
    <cellStyle name="Note 5 3 10 3" xfId="17886"/>
    <cellStyle name="Note 5 3 10_Table" xfId="7047"/>
    <cellStyle name="Note 5 3 11" xfId="4509"/>
    <cellStyle name="Note 5 3 11 2" xfId="13837"/>
    <cellStyle name="Note 5 3 11 3" xfId="18247"/>
    <cellStyle name="Note 5 3 11_Table" xfId="7048"/>
    <cellStyle name="Note 5 3 12" xfId="9811"/>
    <cellStyle name="Note 5 3 13" xfId="14287"/>
    <cellStyle name="Note 5 3 2" xfId="774"/>
    <cellStyle name="Note 5 3 2 10" xfId="4734"/>
    <cellStyle name="Note 5 3 2 10 2" xfId="14062"/>
    <cellStyle name="Note 5 3 2 10 3" xfId="18472"/>
    <cellStyle name="Note 5 3 2 10_Table" xfId="7050"/>
    <cellStyle name="Note 5 3 2 11" xfId="10102"/>
    <cellStyle name="Note 5 3 2 12" xfId="14512"/>
    <cellStyle name="Note 5 3 2 2" xfId="1560"/>
    <cellStyle name="Note 5 3 2 2 2" xfId="10888"/>
    <cellStyle name="Note 5 3 2 2 3" xfId="15298"/>
    <cellStyle name="Note 5 3 2 2_Table" xfId="7051"/>
    <cellStyle name="Note 5 3 2 3" xfId="1920"/>
    <cellStyle name="Note 5 3 2 3 2" xfId="11248"/>
    <cellStyle name="Note 5 3 2 3 3" xfId="15658"/>
    <cellStyle name="Note 5 3 2 3_Table" xfId="7052"/>
    <cellStyle name="Note 5 3 2 4" xfId="2350"/>
    <cellStyle name="Note 5 3 2 4 2" xfId="11678"/>
    <cellStyle name="Note 5 3 2 4 3" xfId="16088"/>
    <cellStyle name="Note 5 3 2 4_Table" xfId="7053"/>
    <cellStyle name="Note 5 3 2 5" xfId="2788"/>
    <cellStyle name="Note 5 3 2 5 2" xfId="12116"/>
    <cellStyle name="Note 5 3 2 5 3" xfId="16526"/>
    <cellStyle name="Note 5 3 2 5_Table" xfId="7054"/>
    <cellStyle name="Note 5 3 2 6" xfId="3195"/>
    <cellStyle name="Note 5 3 2 6 2" xfId="12523"/>
    <cellStyle name="Note 5 3 2 6 3" xfId="16933"/>
    <cellStyle name="Note 5 3 2 6_Table" xfId="7055"/>
    <cellStyle name="Note 5 3 2 7" xfId="3787"/>
    <cellStyle name="Note 5 3 2 7 2" xfId="13115"/>
    <cellStyle name="Note 5 3 2 7 3" xfId="17525"/>
    <cellStyle name="Note 5 3 2 7_Table" xfId="7056"/>
    <cellStyle name="Note 5 3 2 8" xfId="4012"/>
    <cellStyle name="Note 5 3 2 8 2" xfId="13340"/>
    <cellStyle name="Note 5 3 2 8 3" xfId="17750"/>
    <cellStyle name="Note 5 3 2 8_Table" xfId="7057"/>
    <cellStyle name="Note 5 3 2 9" xfId="4373"/>
    <cellStyle name="Note 5 3 2 9 2" xfId="13701"/>
    <cellStyle name="Note 5 3 2 9 3" xfId="18111"/>
    <cellStyle name="Note 5 3 2 9_Table" xfId="7058"/>
    <cellStyle name="Note 5 3 2_Table" xfId="7049"/>
    <cellStyle name="Note 5 3 3" xfId="1286"/>
    <cellStyle name="Note 5 3 3 2" xfId="10614"/>
    <cellStyle name="Note 5 3 3 3" xfId="15024"/>
    <cellStyle name="Note 5 3 3_Table" xfId="7059"/>
    <cellStyle name="Note 5 3 4" xfId="931"/>
    <cellStyle name="Note 5 3 4 2" xfId="10259"/>
    <cellStyle name="Note 5 3 4 3" xfId="14669"/>
    <cellStyle name="Note 5 3 4_Table" xfId="7060"/>
    <cellStyle name="Note 5 3 5" xfId="2074"/>
    <cellStyle name="Note 5 3 5 2" xfId="11402"/>
    <cellStyle name="Note 5 3 5 3" xfId="15812"/>
    <cellStyle name="Note 5 3 5_Table" xfId="7061"/>
    <cellStyle name="Note 5 3 6" xfId="2506"/>
    <cellStyle name="Note 5 3 6 2" xfId="11834"/>
    <cellStyle name="Note 5 3 6 3" xfId="16244"/>
    <cellStyle name="Note 5 3 6_Table" xfId="7062"/>
    <cellStyle name="Note 5 3 7" xfId="2934"/>
    <cellStyle name="Note 5 3 7 2" xfId="12262"/>
    <cellStyle name="Note 5 3 7 3" xfId="16672"/>
    <cellStyle name="Note 5 3 7_Table" xfId="7063"/>
    <cellStyle name="Note 5 3 8" xfId="3347"/>
    <cellStyle name="Note 5 3 8 2" xfId="12675"/>
    <cellStyle name="Note 5 3 8 3" xfId="17085"/>
    <cellStyle name="Note 5 3 8_Table" xfId="7064"/>
    <cellStyle name="Note 5 3 9" xfId="3503"/>
    <cellStyle name="Note 5 3 9 2" xfId="12831"/>
    <cellStyle name="Note 5 3 9 3" xfId="17241"/>
    <cellStyle name="Note 5 3 9_Table" xfId="7065"/>
    <cellStyle name="Note 5 3_Table" xfId="7046"/>
    <cellStyle name="Note 5 4" xfId="547"/>
    <cellStyle name="Note 5 4 10" xfId="4193"/>
    <cellStyle name="Note 5 4 10 2" xfId="13521"/>
    <cellStyle name="Note 5 4 10 3" xfId="17931"/>
    <cellStyle name="Note 5 4 10_Table" xfId="7067"/>
    <cellStyle name="Note 5 4 11" xfId="4554"/>
    <cellStyle name="Note 5 4 11 2" xfId="13882"/>
    <cellStyle name="Note 5 4 11 3" xfId="18292"/>
    <cellStyle name="Note 5 4 11_Table" xfId="7068"/>
    <cellStyle name="Note 5 4 12" xfId="9875"/>
    <cellStyle name="Note 5 4 13" xfId="14332"/>
    <cellStyle name="Note 5 4 2" xfId="819"/>
    <cellStyle name="Note 5 4 2 10" xfId="4779"/>
    <cellStyle name="Note 5 4 2 10 2" xfId="14107"/>
    <cellStyle name="Note 5 4 2 10 3" xfId="18517"/>
    <cellStyle name="Note 5 4 2 10_Table" xfId="7070"/>
    <cellStyle name="Note 5 4 2 11" xfId="10147"/>
    <cellStyle name="Note 5 4 2 12" xfId="14557"/>
    <cellStyle name="Note 5 4 2 2" xfId="1605"/>
    <cellStyle name="Note 5 4 2 2 2" xfId="10933"/>
    <cellStyle name="Note 5 4 2 2 3" xfId="15343"/>
    <cellStyle name="Note 5 4 2 2_Table" xfId="7071"/>
    <cellStyle name="Note 5 4 2 3" xfId="1965"/>
    <cellStyle name="Note 5 4 2 3 2" xfId="11293"/>
    <cellStyle name="Note 5 4 2 3 3" xfId="15703"/>
    <cellStyle name="Note 5 4 2 3_Table" xfId="7072"/>
    <cellStyle name="Note 5 4 2 4" xfId="2395"/>
    <cellStyle name="Note 5 4 2 4 2" xfId="11723"/>
    <cellStyle name="Note 5 4 2 4 3" xfId="16133"/>
    <cellStyle name="Note 5 4 2 4_Table" xfId="7073"/>
    <cellStyle name="Note 5 4 2 5" xfId="2833"/>
    <cellStyle name="Note 5 4 2 5 2" xfId="12161"/>
    <cellStyle name="Note 5 4 2 5 3" xfId="16571"/>
    <cellStyle name="Note 5 4 2 5_Table" xfId="7074"/>
    <cellStyle name="Note 5 4 2 6" xfId="3240"/>
    <cellStyle name="Note 5 4 2 6 2" xfId="12568"/>
    <cellStyle name="Note 5 4 2 6 3" xfId="16978"/>
    <cellStyle name="Note 5 4 2 6_Table" xfId="7075"/>
    <cellStyle name="Note 5 4 2 7" xfId="3832"/>
    <cellStyle name="Note 5 4 2 7 2" xfId="13160"/>
    <cellStyle name="Note 5 4 2 7 3" xfId="17570"/>
    <cellStyle name="Note 5 4 2 7_Table" xfId="7076"/>
    <cellStyle name="Note 5 4 2 8" xfId="4057"/>
    <cellStyle name="Note 5 4 2 8 2" xfId="13385"/>
    <cellStyle name="Note 5 4 2 8 3" xfId="17795"/>
    <cellStyle name="Note 5 4 2 8_Table" xfId="7077"/>
    <cellStyle name="Note 5 4 2 9" xfId="4418"/>
    <cellStyle name="Note 5 4 2 9 2" xfId="13746"/>
    <cellStyle name="Note 5 4 2 9 3" xfId="18156"/>
    <cellStyle name="Note 5 4 2 9_Table" xfId="7078"/>
    <cellStyle name="Note 5 4 2_Table" xfId="7069"/>
    <cellStyle name="Note 5 4 3" xfId="1342"/>
    <cellStyle name="Note 5 4 3 2" xfId="10670"/>
    <cellStyle name="Note 5 4 3 3" xfId="15080"/>
    <cellStyle name="Note 5 4 3_Table" xfId="7079"/>
    <cellStyle name="Note 5 4 4" xfId="1699"/>
    <cellStyle name="Note 5 4 4 2" xfId="11027"/>
    <cellStyle name="Note 5 4 4 3" xfId="15437"/>
    <cellStyle name="Note 5 4 4_Table" xfId="7080"/>
    <cellStyle name="Note 5 4 5" xfId="2133"/>
    <cellStyle name="Note 5 4 5 2" xfId="11461"/>
    <cellStyle name="Note 5 4 5 3" xfId="15871"/>
    <cellStyle name="Note 5 4 5_Table" xfId="7081"/>
    <cellStyle name="Note 5 4 6" xfId="2565"/>
    <cellStyle name="Note 5 4 6 2" xfId="11893"/>
    <cellStyle name="Note 5 4 6 3" xfId="16303"/>
    <cellStyle name="Note 5 4 6_Table" xfId="7082"/>
    <cellStyle name="Note 5 4 7" xfId="2991"/>
    <cellStyle name="Note 5 4 7 2" xfId="12319"/>
    <cellStyle name="Note 5 4 7 3" xfId="16729"/>
    <cellStyle name="Note 5 4 7_Table" xfId="7083"/>
    <cellStyle name="Note 5 4 8" xfId="3405"/>
    <cellStyle name="Note 5 4 8 2" xfId="12733"/>
    <cellStyle name="Note 5 4 8 3" xfId="17143"/>
    <cellStyle name="Note 5 4 8_Table" xfId="7084"/>
    <cellStyle name="Note 5 4 9" xfId="3595"/>
    <cellStyle name="Note 5 4 9 2" xfId="12923"/>
    <cellStyle name="Note 5 4 9 3" xfId="17333"/>
    <cellStyle name="Note 5 4 9_Table" xfId="7085"/>
    <cellStyle name="Note 5 4_Table" xfId="7066"/>
    <cellStyle name="Note 5 5" xfId="622"/>
    <cellStyle name="Note 5 5 10" xfId="4238"/>
    <cellStyle name="Note 5 5 10 2" xfId="13566"/>
    <cellStyle name="Note 5 5 10 3" xfId="17976"/>
    <cellStyle name="Note 5 5 10_Table" xfId="7087"/>
    <cellStyle name="Note 5 5 11" xfId="4599"/>
    <cellStyle name="Note 5 5 11 2" xfId="13927"/>
    <cellStyle name="Note 5 5 11 3" xfId="18337"/>
    <cellStyle name="Note 5 5 11_Table" xfId="7088"/>
    <cellStyle name="Note 5 5 12" xfId="9950"/>
    <cellStyle name="Note 5 5 13" xfId="14377"/>
    <cellStyle name="Note 5 5 2" xfId="864"/>
    <cellStyle name="Note 5 5 2 10" xfId="4824"/>
    <cellStyle name="Note 5 5 2 10 2" xfId="14152"/>
    <cellStyle name="Note 5 5 2 10 3" xfId="18562"/>
    <cellStyle name="Note 5 5 2 10_Table" xfId="7090"/>
    <cellStyle name="Note 5 5 2 11" xfId="10192"/>
    <cellStyle name="Note 5 5 2 12" xfId="14602"/>
    <cellStyle name="Note 5 5 2 2" xfId="1650"/>
    <cellStyle name="Note 5 5 2 2 2" xfId="10978"/>
    <cellStyle name="Note 5 5 2 2 3" xfId="15388"/>
    <cellStyle name="Note 5 5 2 2_Table" xfId="7091"/>
    <cellStyle name="Note 5 5 2 3" xfId="2010"/>
    <cellStyle name="Note 5 5 2 3 2" xfId="11338"/>
    <cellStyle name="Note 5 5 2 3 3" xfId="15748"/>
    <cellStyle name="Note 5 5 2 3_Table" xfId="7092"/>
    <cellStyle name="Note 5 5 2 4" xfId="2440"/>
    <cellStyle name="Note 5 5 2 4 2" xfId="11768"/>
    <cellStyle name="Note 5 5 2 4 3" xfId="16178"/>
    <cellStyle name="Note 5 5 2 4_Table" xfId="7093"/>
    <cellStyle name="Note 5 5 2 5" xfId="2878"/>
    <cellStyle name="Note 5 5 2 5 2" xfId="12206"/>
    <cellStyle name="Note 5 5 2 5 3" xfId="16616"/>
    <cellStyle name="Note 5 5 2 5_Table" xfId="7094"/>
    <cellStyle name="Note 5 5 2 6" xfId="3285"/>
    <cellStyle name="Note 5 5 2 6 2" xfId="12613"/>
    <cellStyle name="Note 5 5 2 6 3" xfId="17023"/>
    <cellStyle name="Note 5 5 2 6_Table" xfId="7095"/>
    <cellStyle name="Note 5 5 2 7" xfId="3877"/>
    <cellStyle name="Note 5 5 2 7 2" xfId="13205"/>
    <cellStyle name="Note 5 5 2 7 3" xfId="17615"/>
    <cellStyle name="Note 5 5 2 7_Table" xfId="7096"/>
    <cellStyle name="Note 5 5 2 8" xfId="4102"/>
    <cellStyle name="Note 5 5 2 8 2" xfId="13430"/>
    <cellStyle name="Note 5 5 2 8 3" xfId="17840"/>
    <cellStyle name="Note 5 5 2 8_Table" xfId="7097"/>
    <cellStyle name="Note 5 5 2 9" xfId="4463"/>
    <cellStyle name="Note 5 5 2 9 2" xfId="13791"/>
    <cellStyle name="Note 5 5 2 9 3" xfId="18201"/>
    <cellStyle name="Note 5 5 2 9_Table" xfId="7098"/>
    <cellStyle name="Note 5 5 2_Table" xfId="7089"/>
    <cellStyle name="Note 5 5 3" xfId="1409"/>
    <cellStyle name="Note 5 5 3 2" xfId="10737"/>
    <cellStyle name="Note 5 5 3 3" xfId="15147"/>
    <cellStyle name="Note 5 5 3_Table" xfId="7099"/>
    <cellStyle name="Note 5 5 4" xfId="1769"/>
    <cellStyle name="Note 5 5 4 2" xfId="11097"/>
    <cellStyle name="Note 5 5 4 3" xfId="15507"/>
    <cellStyle name="Note 5 5 4_Table" xfId="7100"/>
    <cellStyle name="Note 5 5 5" xfId="2202"/>
    <cellStyle name="Note 5 5 5 2" xfId="11530"/>
    <cellStyle name="Note 5 5 5 3" xfId="15940"/>
    <cellStyle name="Note 5 5 5_Table" xfId="7101"/>
    <cellStyle name="Note 5 5 6" xfId="2637"/>
    <cellStyle name="Note 5 5 6 2" xfId="11965"/>
    <cellStyle name="Note 5 5 6 3" xfId="16375"/>
    <cellStyle name="Note 5 5 6_Table" xfId="7102"/>
    <cellStyle name="Note 5 5 7" xfId="3050"/>
    <cellStyle name="Note 5 5 7 2" xfId="12378"/>
    <cellStyle name="Note 5 5 7 3" xfId="16788"/>
    <cellStyle name="Note 5 5 7_Table" xfId="7103"/>
    <cellStyle name="Note 5 5 8" xfId="3476"/>
    <cellStyle name="Note 5 5 8 2" xfId="12804"/>
    <cellStyle name="Note 5 5 8 3" xfId="17214"/>
    <cellStyle name="Note 5 5 8_Table" xfId="7104"/>
    <cellStyle name="Note 5 5 9" xfId="3605"/>
    <cellStyle name="Note 5 5 9 2" xfId="12933"/>
    <cellStyle name="Note 5 5 9 3" xfId="17343"/>
    <cellStyle name="Note 5 5 9_Table" xfId="7105"/>
    <cellStyle name="Note 5 5_Table" xfId="7086"/>
    <cellStyle name="Note 5 6" xfId="684"/>
    <cellStyle name="Note 5 6 10" xfId="4644"/>
    <cellStyle name="Note 5 6 10 2" xfId="13972"/>
    <cellStyle name="Note 5 6 10 3" xfId="18382"/>
    <cellStyle name="Note 5 6 10_Table" xfId="7107"/>
    <cellStyle name="Note 5 6 11" xfId="10012"/>
    <cellStyle name="Note 5 6 12" xfId="14422"/>
    <cellStyle name="Note 5 6 2" xfId="1470"/>
    <cellStyle name="Note 5 6 2 2" xfId="10798"/>
    <cellStyle name="Note 5 6 2 3" xfId="15208"/>
    <cellStyle name="Note 5 6 2_Table" xfId="7108"/>
    <cellStyle name="Note 5 6 3" xfId="1830"/>
    <cellStyle name="Note 5 6 3 2" xfId="11158"/>
    <cellStyle name="Note 5 6 3 3" xfId="15568"/>
    <cellStyle name="Note 5 6 3_Table" xfId="7109"/>
    <cellStyle name="Note 5 6 4" xfId="2260"/>
    <cellStyle name="Note 5 6 4 2" xfId="11588"/>
    <cellStyle name="Note 5 6 4 3" xfId="15998"/>
    <cellStyle name="Note 5 6 4_Table" xfId="7110"/>
    <cellStyle name="Note 5 6 5" xfId="2698"/>
    <cellStyle name="Note 5 6 5 2" xfId="12026"/>
    <cellStyle name="Note 5 6 5 3" xfId="16436"/>
    <cellStyle name="Note 5 6 5_Table" xfId="7111"/>
    <cellStyle name="Note 5 6 6" xfId="3105"/>
    <cellStyle name="Note 5 6 6 2" xfId="12433"/>
    <cellStyle name="Note 5 6 6 3" xfId="16843"/>
    <cellStyle name="Note 5 6 6_Table" xfId="7112"/>
    <cellStyle name="Note 5 6 7" xfId="3697"/>
    <cellStyle name="Note 5 6 7 2" xfId="13025"/>
    <cellStyle name="Note 5 6 7 3" xfId="17435"/>
    <cellStyle name="Note 5 6 7_Table" xfId="7113"/>
    <cellStyle name="Note 5 6 8" xfId="3922"/>
    <cellStyle name="Note 5 6 8 2" xfId="13250"/>
    <cellStyle name="Note 5 6 8 3" xfId="17660"/>
    <cellStyle name="Note 5 6 8_Table" xfId="7114"/>
    <cellStyle name="Note 5 6 9" xfId="4283"/>
    <cellStyle name="Note 5 6 9 2" xfId="13611"/>
    <cellStyle name="Note 5 6 9 3" xfId="18021"/>
    <cellStyle name="Note 5 6 9_Table" xfId="7115"/>
    <cellStyle name="Note 5 6_Table" xfId="7106"/>
    <cellStyle name="Note 5 7" xfId="1178"/>
    <cellStyle name="Note 5 7 2" xfId="10506"/>
    <cellStyle name="Note 5 7 3" xfId="14916"/>
    <cellStyle name="Note 5 7_Table" xfId="7116"/>
    <cellStyle name="Note 5 8" xfId="1066"/>
    <cellStyle name="Note 5 8 2" xfId="10394"/>
    <cellStyle name="Note 5 8 3" xfId="14804"/>
    <cellStyle name="Note 5 8_Table" xfId="7117"/>
    <cellStyle name="Note 5 9" xfId="1381"/>
    <cellStyle name="Note 5 9 2" xfId="10709"/>
    <cellStyle name="Note 5 9 3" xfId="15119"/>
    <cellStyle name="Note 5 9_Table" xfId="7118"/>
    <cellStyle name="Note 5_Table" xfId="7019"/>
    <cellStyle name="Note 6" xfId="345"/>
    <cellStyle name="Note 6 10" xfId="1739"/>
    <cellStyle name="Note 6 10 2" xfId="11067"/>
    <cellStyle name="Note 6 10 3" xfId="15477"/>
    <cellStyle name="Note 6 10_Table" xfId="7120"/>
    <cellStyle name="Note 6 11" xfId="2173"/>
    <cellStyle name="Note 6 11 2" xfId="11501"/>
    <cellStyle name="Note 6 11 3" xfId="15911"/>
    <cellStyle name="Note 6 11_Table" xfId="7121"/>
    <cellStyle name="Note 6 12" xfId="2606"/>
    <cellStyle name="Note 6 12 2" xfId="11934"/>
    <cellStyle name="Note 6 12 3" xfId="16344"/>
    <cellStyle name="Note 6 12_Table" xfId="7122"/>
    <cellStyle name="Note 6 13" xfId="3651"/>
    <cellStyle name="Note 6 13 2" xfId="12979"/>
    <cellStyle name="Note 6 13 3" xfId="17389"/>
    <cellStyle name="Note 6 13_Table" xfId="7123"/>
    <cellStyle name="Note 6 14" xfId="2176"/>
    <cellStyle name="Note 6 14 2" xfId="11504"/>
    <cellStyle name="Note 6 14 3" xfId="15914"/>
    <cellStyle name="Note 6 14_Table" xfId="7124"/>
    <cellStyle name="Note 6 15" xfId="3569"/>
    <cellStyle name="Note 6 15 2" xfId="12897"/>
    <cellStyle name="Note 6 15 3" xfId="17307"/>
    <cellStyle name="Note 6 15_Table" xfId="7125"/>
    <cellStyle name="Note 6 16" xfId="9673"/>
    <cellStyle name="Note 6 17" xfId="14198"/>
    <cellStyle name="Note 6 2" xfId="416"/>
    <cellStyle name="Note 6 2 10" xfId="1327"/>
    <cellStyle name="Note 6 2 10 2" xfId="10655"/>
    <cellStyle name="Note 6 2 10 3" xfId="15065"/>
    <cellStyle name="Note 6 2 10_Table" xfId="7127"/>
    <cellStyle name="Note 6 2 11" xfId="3370"/>
    <cellStyle name="Note 6 2 11 2" xfId="12698"/>
    <cellStyle name="Note 6 2 11 3" xfId="17108"/>
    <cellStyle name="Note 6 2 11_Table" xfId="7128"/>
    <cellStyle name="Note 6 2 12" xfId="9744"/>
    <cellStyle name="Note 6 2 13" xfId="14243"/>
    <cellStyle name="Note 6 2 2" xfId="730"/>
    <cellStyle name="Note 6 2 2 10" xfId="4690"/>
    <cellStyle name="Note 6 2 2 10 2" xfId="14018"/>
    <cellStyle name="Note 6 2 2 10 3" xfId="18428"/>
    <cellStyle name="Note 6 2 2 10_Table" xfId="7130"/>
    <cellStyle name="Note 6 2 2 11" xfId="10058"/>
    <cellStyle name="Note 6 2 2 12" xfId="14468"/>
    <cellStyle name="Note 6 2 2 2" xfId="1516"/>
    <cellStyle name="Note 6 2 2 2 2" xfId="10844"/>
    <cellStyle name="Note 6 2 2 2 3" xfId="15254"/>
    <cellStyle name="Note 6 2 2 2_Table" xfId="7131"/>
    <cellStyle name="Note 6 2 2 3" xfId="1876"/>
    <cellStyle name="Note 6 2 2 3 2" xfId="11204"/>
    <cellStyle name="Note 6 2 2 3 3" xfId="15614"/>
    <cellStyle name="Note 6 2 2 3_Table" xfId="7132"/>
    <cellStyle name="Note 6 2 2 4" xfId="2306"/>
    <cellStyle name="Note 6 2 2 4 2" xfId="11634"/>
    <cellStyle name="Note 6 2 2 4 3" xfId="16044"/>
    <cellStyle name="Note 6 2 2 4_Table" xfId="7133"/>
    <cellStyle name="Note 6 2 2 5" xfId="2744"/>
    <cellStyle name="Note 6 2 2 5 2" xfId="12072"/>
    <cellStyle name="Note 6 2 2 5 3" xfId="16482"/>
    <cellStyle name="Note 6 2 2 5_Table" xfId="7134"/>
    <cellStyle name="Note 6 2 2 6" xfId="3151"/>
    <cellStyle name="Note 6 2 2 6 2" xfId="12479"/>
    <cellStyle name="Note 6 2 2 6 3" xfId="16889"/>
    <cellStyle name="Note 6 2 2 6_Table" xfId="7135"/>
    <cellStyle name="Note 6 2 2 7" xfId="3743"/>
    <cellStyle name="Note 6 2 2 7 2" xfId="13071"/>
    <cellStyle name="Note 6 2 2 7 3" xfId="17481"/>
    <cellStyle name="Note 6 2 2 7_Table" xfId="7136"/>
    <cellStyle name="Note 6 2 2 8" xfId="3968"/>
    <cellStyle name="Note 6 2 2 8 2" xfId="13296"/>
    <cellStyle name="Note 6 2 2 8 3" xfId="17706"/>
    <cellStyle name="Note 6 2 2 8_Table" xfId="7137"/>
    <cellStyle name="Note 6 2 2 9" xfId="4329"/>
    <cellStyle name="Note 6 2 2 9 2" xfId="13657"/>
    <cellStyle name="Note 6 2 2 9 3" xfId="18067"/>
    <cellStyle name="Note 6 2 2 9_Table" xfId="7138"/>
    <cellStyle name="Note 6 2 2_Table" xfId="7129"/>
    <cellStyle name="Note 6 2 3" xfId="1230"/>
    <cellStyle name="Note 6 2 3 2" xfId="10558"/>
    <cellStyle name="Note 6 2 3 3" xfId="14968"/>
    <cellStyle name="Note 6 2 3_Table" xfId="7139"/>
    <cellStyle name="Note 6 2 4" xfId="996"/>
    <cellStyle name="Note 6 2 4 2" xfId="10324"/>
    <cellStyle name="Note 6 2 4 3" xfId="14734"/>
    <cellStyle name="Note 6 2 4_Table" xfId="7140"/>
    <cellStyle name="Note 6 2 5" xfId="1312"/>
    <cellStyle name="Note 6 2 5 2" xfId="10640"/>
    <cellStyle name="Note 6 2 5 3" xfId="15050"/>
    <cellStyle name="Note 6 2 5_Table" xfId="7141"/>
    <cellStyle name="Note 6 2 6" xfId="908"/>
    <cellStyle name="Note 6 2 6 2" xfId="10236"/>
    <cellStyle name="Note 6 2 6 3" xfId="14646"/>
    <cellStyle name="Note 6 2 6_Table" xfId="7142"/>
    <cellStyle name="Note 6 2 7" xfId="2097"/>
    <cellStyle name="Note 6 2 7 2" xfId="11425"/>
    <cellStyle name="Note 6 2 7 3" xfId="15835"/>
    <cellStyle name="Note 6 2 7_Table" xfId="7143"/>
    <cellStyle name="Note 6 2 8" xfId="2529"/>
    <cellStyle name="Note 6 2 8 2" xfId="11857"/>
    <cellStyle name="Note 6 2 8 3" xfId="16267"/>
    <cellStyle name="Note 6 2 8_Table" xfId="7144"/>
    <cellStyle name="Note 6 2 9" xfId="2178"/>
    <cellStyle name="Note 6 2 9 2" xfId="11506"/>
    <cellStyle name="Note 6 2 9 3" xfId="15916"/>
    <cellStyle name="Note 6 2 9_Table" xfId="7145"/>
    <cellStyle name="Note 6 2_Table" xfId="7126"/>
    <cellStyle name="Note 6 3" xfId="484"/>
    <cellStyle name="Note 6 3 10" xfId="4149"/>
    <cellStyle name="Note 6 3 10 2" xfId="13477"/>
    <cellStyle name="Note 6 3 10 3" xfId="17887"/>
    <cellStyle name="Note 6 3 10_Table" xfId="7147"/>
    <cellStyle name="Note 6 3 11" xfId="4510"/>
    <cellStyle name="Note 6 3 11 2" xfId="13838"/>
    <cellStyle name="Note 6 3 11 3" xfId="18248"/>
    <cellStyle name="Note 6 3 11_Table" xfId="7148"/>
    <cellStyle name="Note 6 3 12" xfId="9812"/>
    <cellStyle name="Note 6 3 13" xfId="14288"/>
    <cellStyle name="Note 6 3 2" xfId="775"/>
    <cellStyle name="Note 6 3 2 10" xfId="4735"/>
    <cellStyle name="Note 6 3 2 10 2" xfId="14063"/>
    <cellStyle name="Note 6 3 2 10 3" xfId="18473"/>
    <cellStyle name="Note 6 3 2 10_Table" xfId="7150"/>
    <cellStyle name="Note 6 3 2 11" xfId="10103"/>
    <cellStyle name="Note 6 3 2 12" xfId="14513"/>
    <cellStyle name="Note 6 3 2 2" xfId="1561"/>
    <cellStyle name="Note 6 3 2 2 2" xfId="10889"/>
    <cellStyle name="Note 6 3 2 2 3" xfId="15299"/>
    <cellStyle name="Note 6 3 2 2_Table" xfId="7151"/>
    <cellStyle name="Note 6 3 2 3" xfId="1921"/>
    <cellStyle name="Note 6 3 2 3 2" xfId="11249"/>
    <cellStyle name="Note 6 3 2 3 3" xfId="15659"/>
    <cellStyle name="Note 6 3 2 3_Table" xfId="7152"/>
    <cellStyle name="Note 6 3 2 4" xfId="2351"/>
    <cellStyle name="Note 6 3 2 4 2" xfId="11679"/>
    <cellStyle name="Note 6 3 2 4 3" xfId="16089"/>
    <cellStyle name="Note 6 3 2 4_Table" xfId="7153"/>
    <cellStyle name="Note 6 3 2 5" xfId="2789"/>
    <cellStyle name="Note 6 3 2 5 2" xfId="12117"/>
    <cellStyle name="Note 6 3 2 5 3" xfId="16527"/>
    <cellStyle name="Note 6 3 2 5_Table" xfId="7154"/>
    <cellStyle name="Note 6 3 2 6" xfId="3196"/>
    <cellStyle name="Note 6 3 2 6 2" xfId="12524"/>
    <cellStyle name="Note 6 3 2 6 3" xfId="16934"/>
    <cellStyle name="Note 6 3 2 6_Table" xfId="7155"/>
    <cellStyle name="Note 6 3 2 7" xfId="3788"/>
    <cellStyle name="Note 6 3 2 7 2" xfId="13116"/>
    <cellStyle name="Note 6 3 2 7 3" xfId="17526"/>
    <cellStyle name="Note 6 3 2 7_Table" xfId="7156"/>
    <cellStyle name="Note 6 3 2 8" xfId="4013"/>
    <cellStyle name="Note 6 3 2 8 2" xfId="13341"/>
    <cellStyle name="Note 6 3 2 8 3" xfId="17751"/>
    <cellStyle name="Note 6 3 2 8_Table" xfId="7157"/>
    <cellStyle name="Note 6 3 2 9" xfId="4374"/>
    <cellStyle name="Note 6 3 2 9 2" xfId="13702"/>
    <cellStyle name="Note 6 3 2 9 3" xfId="18112"/>
    <cellStyle name="Note 6 3 2 9_Table" xfId="7158"/>
    <cellStyle name="Note 6 3 2_Table" xfId="7149"/>
    <cellStyle name="Note 6 3 3" xfId="1287"/>
    <cellStyle name="Note 6 3 3 2" xfId="10615"/>
    <cellStyle name="Note 6 3 3 3" xfId="15025"/>
    <cellStyle name="Note 6 3 3_Table" xfId="7159"/>
    <cellStyle name="Note 6 3 4" xfId="930"/>
    <cellStyle name="Note 6 3 4 2" xfId="10258"/>
    <cellStyle name="Note 6 3 4 3" xfId="14668"/>
    <cellStyle name="Note 6 3 4_Table" xfId="7160"/>
    <cellStyle name="Note 6 3 5" xfId="2075"/>
    <cellStyle name="Note 6 3 5 2" xfId="11403"/>
    <cellStyle name="Note 6 3 5 3" xfId="15813"/>
    <cellStyle name="Note 6 3 5_Table" xfId="7161"/>
    <cellStyle name="Note 6 3 6" xfId="2507"/>
    <cellStyle name="Note 6 3 6 2" xfId="11835"/>
    <cellStyle name="Note 6 3 6 3" xfId="16245"/>
    <cellStyle name="Note 6 3 6_Table" xfId="7162"/>
    <cellStyle name="Note 6 3 7" xfId="2935"/>
    <cellStyle name="Note 6 3 7 2" xfId="12263"/>
    <cellStyle name="Note 6 3 7 3" xfId="16673"/>
    <cellStyle name="Note 6 3 7_Table" xfId="7163"/>
    <cellStyle name="Note 6 3 8" xfId="3348"/>
    <cellStyle name="Note 6 3 8 2" xfId="12676"/>
    <cellStyle name="Note 6 3 8 3" xfId="17086"/>
    <cellStyle name="Note 6 3 8_Table" xfId="7164"/>
    <cellStyle name="Note 6 3 9" xfId="2591"/>
    <cellStyle name="Note 6 3 9 2" xfId="11919"/>
    <cellStyle name="Note 6 3 9 3" xfId="16329"/>
    <cellStyle name="Note 6 3 9_Table" xfId="7165"/>
    <cellStyle name="Note 6 3_Table" xfId="7146"/>
    <cellStyle name="Note 6 4" xfId="548"/>
    <cellStyle name="Note 6 4 10" xfId="4194"/>
    <cellStyle name="Note 6 4 10 2" xfId="13522"/>
    <cellStyle name="Note 6 4 10 3" xfId="17932"/>
    <cellStyle name="Note 6 4 10_Table" xfId="7167"/>
    <cellStyle name="Note 6 4 11" xfId="4555"/>
    <cellStyle name="Note 6 4 11 2" xfId="13883"/>
    <cellStyle name="Note 6 4 11 3" xfId="18293"/>
    <cellStyle name="Note 6 4 11_Table" xfId="7168"/>
    <cellStyle name="Note 6 4 12" xfId="9876"/>
    <cellStyle name="Note 6 4 13" xfId="14333"/>
    <cellStyle name="Note 6 4 2" xfId="820"/>
    <cellStyle name="Note 6 4 2 10" xfId="4780"/>
    <cellStyle name="Note 6 4 2 10 2" xfId="14108"/>
    <cellStyle name="Note 6 4 2 10 3" xfId="18518"/>
    <cellStyle name="Note 6 4 2 10_Table" xfId="7170"/>
    <cellStyle name="Note 6 4 2 11" xfId="10148"/>
    <cellStyle name="Note 6 4 2 12" xfId="14558"/>
    <cellStyle name="Note 6 4 2 2" xfId="1606"/>
    <cellStyle name="Note 6 4 2 2 2" xfId="10934"/>
    <cellStyle name="Note 6 4 2 2 3" xfId="15344"/>
    <cellStyle name="Note 6 4 2 2_Table" xfId="7171"/>
    <cellStyle name="Note 6 4 2 3" xfId="1966"/>
    <cellStyle name="Note 6 4 2 3 2" xfId="11294"/>
    <cellStyle name="Note 6 4 2 3 3" xfId="15704"/>
    <cellStyle name="Note 6 4 2 3_Table" xfId="7172"/>
    <cellStyle name="Note 6 4 2 4" xfId="2396"/>
    <cellStyle name="Note 6 4 2 4 2" xfId="11724"/>
    <cellStyle name="Note 6 4 2 4 3" xfId="16134"/>
    <cellStyle name="Note 6 4 2 4_Table" xfId="7173"/>
    <cellStyle name="Note 6 4 2 5" xfId="2834"/>
    <cellStyle name="Note 6 4 2 5 2" xfId="12162"/>
    <cellStyle name="Note 6 4 2 5 3" xfId="16572"/>
    <cellStyle name="Note 6 4 2 5_Table" xfId="7174"/>
    <cellStyle name="Note 6 4 2 6" xfId="3241"/>
    <cellStyle name="Note 6 4 2 6 2" xfId="12569"/>
    <cellStyle name="Note 6 4 2 6 3" xfId="16979"/>
    <cellStyle name="Note 6 4 2 6_Table" xfId="7175"/>
    <cellStyle name="Note 6 4 2 7" xfId="3833"/>
    <cellStyle name="Note 6 4 2 7 2" xfId="13161"/>
    <cellStyle name="Note 6 4 2 7 3" xfId="17571"/>
    <cellStyle name="Note 6 4 2 7_Table" xfId="7176"/>
    <cellStyle name="Note 6 4 2 8" xfId="4058"/>
    <cellStyle name="Note 6 4 2 8 2" xfId="13386"/>
    <cellStyle name="Note 6 4 2 8 3" xfId="17796"/>
    <cellStyle name="Note 6 4 2 8_Table" xfId="7177"/>
    <cellStyle name="Note 6 4 2 9" xfId="4419"/>
    <cellStyle name="Note 6 4 2 9 2" xfId="13747"/>
    <cellStyle name="Note 6 4 2 9 3" xfId="18157"/>
    <cellStyle name="Note 6 4 2 9_Table" xfId="7178"/>
    <cellStyle name="Note 6 4 2_Table" xfId="7169"/>
    <cellStyle name="Note 6 4 3" xfId="1343"/>
    <cellStyle name="Note 6 4 3 2" xfId="10671"/>
    <cellStyle name="Note 6 4 3 3" xfId="15081"/>
    <cellStyle name="Note 6 4 3_Table" xfId="7179"/>
    <cellStyle name="Note 6 4 4" xfId="1700"/>
    <cellStyle name="Note 6 4 4 2" xfId="11028"/>
    <cellStyle name="Note 6 4 4 3" xfId="15438"/>
    <cellStyle name="Note 6 4 4_Table" xfId="7180"/>
    <cellStyle name="Note 6 4 5" xfId="2134"/>
    <cellStyle name="Note 6 4 5 2" xfId="11462"/>
    <cellStyle name="Note 6 4 5 3" xfId="15872"/>
    <cellStyle name="Note 6 4 5_Table" xfId="7181"/>
    <cellStyle name="Note 6 4 6" xfId="2566"/>
    <cellStyle name="Note 6 4 6 2" xfId="11894"/>
    <cellStyle name="Note 6 4 6 3" xfId="16304"/>
    <cellStyle name="Note 6 4 6_Table" xfId="7182"/>
    <cellStyle name="Note 6 4 7" xfId="2992"/>
    <cellStyle name="Note 6 4 7 2" xfId="12320"/>
    <cellStyle name="Note 6 4 7 3" xfId="16730"/>
    <cellStyle name="Note 6 4 7_Table" xfId="7183"/>
    <cellStyle name="Note 6 4 8" xfId="3406"/>
    <cellStyle name="Note 6 4 8 2" xfId="12734"/>
    <cellStyle name="Note 6 4 8 3" xfId="17144"/>
    <cellStyle name="Note 6 4 8_Table" xfId="7184"/>
    <cellStyle name="Note 6 4 9" xfId="3626"/>
    <cellStyle name="Note 6 4 9 2" xfId="12954"/>
    <cellStyle name="Note 6 4 9 3" xfId="17364"/>
    <cellStyle name="Note 6 4 9_Table" xfId="7185"/>
    <cellStyle name="Note 6 4_Table" xfId="7166"/>
    <cellStyle name="Note 6 5" xfId="623"/>
    <cellStyle name="Note 6 5 10" xfId="4239"/>
    <cellStyle name="Note 6 5 10 2" xfId="13567"/>
    <cellStyle name="Note 6 5 10 3" xfId="17977"/>
    <cellStyle name="Note 6 5 10_Table" xfId="7187"/>
    <cellStyle name="Note 6 5 11" xfId="4600"/>
    <cellStyle name="Note 6 5 11 2" xfId="13928"/>
    <cellStyle name="Note 6 5 11 3" xfId="18338"/>
    <cellStyle name="Note 6 5 11_Table" xfId="7188"/>
    <cellStyle name="Note 6 5 12" xfId="9951"/>
    <cellStyle name="Note 6 5 13" xfId="14378"/>
    <cellStyle name="Note 6 5 2" xfId="865"/>
    <cellStyle name="Note 6 5 2 10" xfId="4825"/>
    <cellStyle name="Note 6 5 2 10 2" xfId="14153"/>
    <cellStyle name="Note 6 5 2 10 3" xfId="18563"/>
    <cellStyle name="Note 6 5 2 10_Table" xfId="7190"/>
    <cellStyle name="Note 6 5 2 11" xfId="10193"/>
    <cellStyle name="Note 6 5 2 12" xfId="14603"/>
    <cellStyle name="Note 6 5 2 2" xfId="1651"/>
    <cellStyle name="Note 6 5 2 2 2" xfId="10979"/>
    <cellStyle name="Note 6 5 2 2 3" xfId="15389"/>
    <cellStyle name="Note 6 5 2 2_Table" xfId="7191"/>
    <cellStyle name="Note 6 5 2 3" xfId="2011"/>
    <cellStyle name="Note 6 5 2 3 2" xfId="11339"/>
    <cellStyle name="Note 6 5 2 3 3" xfId="15749"/>
    <cellStyle name="Note 6 5 2 3_Table" xfId="7192"/>
    <cellStyle name="Note 6 5 2 4" xfId="2441"/>
    <cellStyle name="Note 6 5 2 4 2" xfId="11769"/>
    <cellStyle name="Note 6 5 2 4 3" xfId="16179"/>
    <cellStyle name="Note 6 5 2 4_Table" xfId="7193"/>
    <cellStyle name="Note 6 5 2 5" xfId="2879"/>
    <cellStyle name="Note 6 5 2 5 2" xfId="12207"/>
    <cellStyle name="Note 6 5 2 5 3" xfId="16617"/>
    <cellStyle name="Note 6 5 2 5_Table" xfId="7194"/>
    <cellStyle name="Note 6 5 2 6" xfId="3286"/>
    <cellStyle name="Note 6 5 2 6 2" xfId="12614"/>
    <cellStyle name="Note 6 5 2 6 3" xfId="17024"/>
    <cellStyle name="Note 6 5 2 6_Table" xfId="7195"/>
    <cellStyle name="Note 6 5 2 7" xfId="3878"/>
    <cellStyle name="Note 6 5 2 7 2" xfId="13206"/>
    <cellStyle name="Note 6 5 2 7 3" xfId="17616"/>
    <cellStyle name="Note 6 5 2 7_Table" xfId="7196"/>
    <cellStyle name="Note 6 5 2 8" xfId="4103"/>
    <cellStyle name="Note 6 5 2 8 2" xfId="13431"/>
    <cellStyle name="Note 6 5 2 8 3" xfId="17841"/>
    <cellStyle name="Note 6 5 2 8_Table" xfId="7197"/>
    <cellStyle name="Note 6 5 2 9" xfId="4464"/>
    <cellStyle name="Note 6 5 2 9 2" xfId="13792"/>
    <cellStyle name="Note 6 5 2 9 3" xfId="18202"/>
    <cellStyle name="Note 6 5 2 9_Table" xfId="7198"/>
    <cellStyle name="Note 6 5 2_Table" xfId="7189"/>
    <cellStyle name="Note 6 5 3" xfId="1410"/>
    <cellStyle name="Note 6 5 3 2" xfId="10738"/>
    <cellStyle name="Note 6 5 3 3" xfId="15148"/>
    <cellStyle name="Note 6 5 3_Table" xfId="7199"/>
    <cellStyle name="Note 6 5 4" xfId="1770"/>
    <cellStyle name="Note 6 5 4 2" xfId="11098"/>
    <cellStyle name="Note 6 5 4 3" xfId="15508"/>
    <cellStyle name="Note 6 5 4_Table" xfId="7200"/>
    <cellStyle name="Note 6 5 5" xfId="2203"/>
    <cellStyle name="Note 6 5 5 2" xfId="11531"/>
    <cellStyle name="Note 6 5 5 3" xfId="15941"/>
    <cellStyle name="Note 6 5 5_Table" xfId="7201"/>
    <cellStyle name="Note 6 5 6" xfId="2638"/>
    <cellStyle name="Note 6 5 6 2" xfId="11966"/>
    <cellStyle name="Note 6 5 6 3" xfId="16376"/>
    <cellStyle name="Note 6 5 6_Table" xfId="7202"/>
    <cellStyle name="Note 6 5 7" xfId="3051"/>
    <cellStyle name="Note 6 5 7 2" xfId="12379"/>
    <cellStyle name="Note 6 5 7 3" xfId="16789"/>
    <cellStyle name="Note 6 5 7_Table" xfId="7203"/>
    <cellStyle name="Note 6 5 8" xfId="3477"/>
    <cellStyle name="Note 6 5 8 2" xfId="12805"/>
    <cellStyle name="Note 6 5 8 3" xfId="17215"/>
    <cellStyle name="Note 6 5 8_Table" xfId="7204"/>
    <cellStyle name="Note 6 5 9" xfId="3637"/>
    <cellStyle name="Note 6 5 9 2" xfId="12965"/>
    <cellStyle name="Note 6 5 9 3" xfId="17375"/>
    <cellStyle name="Note 6 5 9_Table" xfId="7205"/>
    <cellStyle name="Note 6 5_Table" xfId="7186"/>
    <cellStyle name="Note 6 6" xfId="685"/>
    <cellStyle name="Note 6 6 10" xfId="4645"/>
    <cellStyle name="Note 6 6 10 2" xfId="13973"/>
    <cellStyle name="Note 6 6 10 3" xfId="18383"/>
    <cellStyle name="Note 6 6 10_Table" xfId="7207"/>
    <cellStyle name="Note 6 6 11" xfId="10013"/>
    <cellStyle name="Note 6 6 12" xfId="14423"/>
    <cellStyle name="Note 6 6 2" xfId="1471"/>
    <cellStyle name="Note 6 6 2 2" xfId="10799"/>
    <cellStyle name="Note 6 6 2 3" xfId="15209"/>
    <cellStyle name="Note 6 6 2_Table" xfId="7208"/>
    <cellStyle name="Note 6 6 3" xfId="1831"/>
    <cellStyle name="Note 6 6 3 2" xfId="11159"/>
    <cellStyle name="Note 6 6 3 3" xfId="15569"/>
    <cellStyle name="Note 6 6 3_Table" xfId="7209"/>
    <cellStyle name="Note 6 6 4" xfId="2261"/>
    <cellStyle name="Note 6 6 4 2" xfId="11589"/>
    <cellStyle name="Note 6 6 4 3" xfId="15999"/>
    <cellStyle name="Note 6 6 4_Table" xfId="7210"/>
    <cellStyle name="Note 6 6 5" xfId="2699"/>
    <cellStyle name="Note 6 6 5 2" xfId="12027"/>
    <cellStyle name="Note 6 6 5 3" xfId="16437"/>
    <cellStyle name="Note 6 6 5_Table" xfId="7211"/>
    <cellStyle name="Note 6 6 6" xfId="3106"/>
    <cellStyle name="Note 6 6 6 2" xfId="12434"/>
    <cellStyle name="Note 6 6 6 3" xfId="16844"/>
    <cellStyle name="Note 6 6 6_Table" xfId="7212"/>
    <cellStyle name="Note 6 6 7" xfId="3698"/>
    <cellStyle name="Note 6 6 7 2" xfId="13026"/>
    <cellStyle name="Note 6 6 7 3" xfId="17436"/>
    <cellStyle name="Note 6 6 7_Table" xfId="7213"/>
    <cellStyle name="Note 6 6 8" xfId="3923"/>
    <cellStyle name="Note 6 6 8 2" xfId="13251"/>
    <cellStyle name="Note 6 6 8 3" xfId="17661"/>
    <cellStyle name="Note 6 6 8_Table" xfId="7214"/>
    <cellStyle name="Note 6 6 9" xfId="4284"/>
    <cellStyle name="Note 6 6 9 2" xfId="13612"/>
    <cellStyle name="Note 6 6 9 3" xfId="18022"/>
    <cellStyle name="Note 6 6 9_Table" xfId="7215"/>
    <cellStyle name="Note 6 6_Table" xfId="7206"/>
    <cellStyle name="Note 6 7" xfId="1179"/>
    <cellStyle name="Note 6 7 2" xfId="10507"/>
    <cellStyle name="Note 6 7 3" xfId="14917"/>
    <cellStyle name="Note 6 7_Table" xfId="7216"/>
    <cellStyle name="Note 6 8" xfId="1065"/>
    <cellStyle name="Note 6 8 2" xfId="10393"/>
    <cellStyle name="Note 6 8 3" xfId="14803"/>
    <cellStyle name="Note 6 8_Table" xfId="7217"/>
    <cellStyle name="Note 6 9" xfId="1446"/>
    <cellStyle name="Note 6 9 2" xfId="10774"/>
    <cellStyle name="Note 6 9 3" xfId="15184"/>
    <cellStyle name="Note 6 9_Table" xfId="7218"/>
    <cellStyle name="Note 6_Table" xfId="7119"/>
    <cellStyle name="Note 7" xfId="346"/>
    <cellStyle name="Note 7 10" xfId="1728"/>
    <cellStyle name="Note 7 10 2" xfId="11056"/>
    <cellStyle name="Note 7 10 3" xfId="15466"/>
    <cellStyle name="Note 7 10_Table" xfId="7220"/>
    <cellStyle name="Note 7 11" xfId="2163"/>
    <cellStyle name="Note 7 11 2" xfId="11491"/>
    <cellStyle name="Note 7 11 3" xfId="15901"/>
    <cellStyle name="Note 7 11_Table" xfId="7221"/>
    <cellStyle name="Note 7 12" xfId="2595"/>
    <cellStyle name="Note 7 12 2" xfId="11923"/>
    <cellStyle name="Note 7 12 3" xfId="16333"/>
    <cellStyle name="Note 7 12_Table" xfId="7222"/>
    <cellStyle name="Note 7 13" xfId="3522"/>
    <cellStyle name="Note 7 13 2" xfId="12850"/>
    <cellStyle name="Note 7 13 3" xfId="17260"/>
    <cellStyle name="Note 7 13_Table" xfId="7223"/>
    <cellStyle name="Note 7 14" xfId="1096"/>
    <cellStyle name="Note 7 14 2" xfId="10424"/>
    <cellStyle name="Note 7 14 3" xfId="14834"/>
    <cellStyle name="Note 7 14_Table" xfId="7224"/>
    <cellStyle name="Note 7 15" xfId="3631"/>
    <cellStyle name="Note 7 15 2" xfId="12959"/>
    <cellStyle name="Note 7 15 3" xfId="17369"/>
    <cellStyle name="Note 7 15_Table" xfId="7225"/>
    <cellStyle name="Note 7 16" xfId="9674"/>
    <cellStyle name="Note 7 17" xfId="14199"/>
    <cellStyle name="Note 7 2" xfId="417"/>
    <cellStyle name="Note 7 2 10" xfId="3546"/>
    <cellStyle name="Note 7 2 10 2" xfId="12874"/>
    <cellStyle name="Note 7 2 10 3" xfId="17284"/>
    <cellStyle name="Note 7 2 10_Table" xfId="7227"/>
    <cellStyle name="Note 7 2 11" xfId="3567"/>
    <cellStyle name="Note 7 2 11 2" xfId="12895"/>
    <cellStyle name="Note 7 2 11 3" xfId="17305"/>
    <cellStyle name="Note 7 2 11_Table" xfId="7228"/>
    <cellStyle name="Note 7 2 12" xfId="9745"/>
    <cellStyle name="Note 7 2 13" xfId="14244"/>
    <cellStyle name="Note 7 2 2" xfId="731"/>
    <cellStyle name="Note 7 2 2 10" xfId="4691"/>
    <cellStyle name="Note 7 2 2 10 2" xfId="14019"/>
    <cellStyle name="Note 7 2 2 10 3" xfId="18429"/>
    <cellStyle name="Note 7 2 2 10_Table" xfId="7230"/>
    <cellStyle name="Note 7 2 2 11" xfId="10059"/>
    <cellStyle name="Note 7 2 2 12" xfId="14469"/>
    <cellStyle name="Note 7 2 2 2" xfId="1517"/>
    <cellStyle name="Note 7 2 2 2 2" xfId="10845"/>
    <cellStyle name="Note 7 2 2 2 3" xfId="15255"/>
    <cellStyle name="Note 7 2 2 2_Table" xfId="7231"/>
    <cellStyle name="Note 7 2 2 3" xfId="1877"/>
    <cellStyle name="Note 7 2 2 3 2" xfId="11205"/>
    <cellStyle name="Note 7 2 2 3 3" xfId="15615"/>
    <cellStyle name="Note 7 2 2 3_Table" xfId="7232"/>
    <cellStyle name="Note 7 2 2 4" xfId="2307"/>
    <cellStyle name="Note 7 2 2 4 2" xfId="11635"/>
    <cellStyle name="Note 7 2 2 4 3" xfId="16045"/>
    <cellStyle name="Note 7 2 2 4_Table" xfId="7233"/>
    <cellStyle name="Note 7 2 2 5" xfId="2745"/>
    <cellStyle name="Note 7 2 2 5 2" xfId="12073"/>
    <cellStyle name="Note 7 2 2 5 3" xfId="16483"/>
    <cellStyle name="Note 7 2 2 5_Table" xfId="7234"/>
    <cellStyle name="Note 7 2 2 6" xfId="3152"/>
    <cellStyle name="Note 7 2 2 6 2" xfId="12480"/>
    <cellStyle name="Note 7 2 2 6 3" xfId="16890"/>
    <cellStyle name="Note 7 2 2 6_Table" xfId="7235"/>
    <cellStyle name="Note 7 2 2 7" xfId="3744"/>
    <cellStyle name="Note 7 2 2 7 2" xfId="13072"/>
    <cellStyle name="Note 7 2 2 7 3" xfId="17482"/>
    <cellStyle name="Note 7 2 2 7_Table" xfId="7236"/>
    <cellStyle name="Note 7 2 2 8" xfId="3969"/>
    <cellStyle name="Note 7 2 2 8 2" xfId="13297"/>
    <cellStyle name="Note 7 2 2 8 3" xfId="17707"/>
    <cellStyle name="Note 7 2 2 8_Table" xfId="7237"/>
    <cellStyle name="Note 7 2 2 9" xfId="4330"/>
    <cellStyle name="Note 7 2 2 9 2" xfId="13658"/>
    <cellStyle name="Note 7 2 2 9 3" xfId="18068"/>
    <cellStyle name="Note 7 2 2 9_Table" xfId="7238"/>
    <cellStyle name="Note 7 2 2_Table" xfId="7229"/>
    <cellStyle name="Note 7 2 3" xfId="1231"/>
    <cellStyle name="Note 7 2 3 2" xfId="10559"/>
    <cellStyle name="Note 7 2 3 3" xfId="14969"/>
    <cellStyle name="Note 7 2 3_Table" xfId="7239"/>
    <cellStyle name="Note 7 2 4" xfId="995"/>
    <cellStyle name="Note 7 2 4 2" xfId="10323"/>
    <cellStyle name="Note 7 2 4 3" xfId="14733"/>
    <cellStyle name="Note 7 2 4_Table" xfId="7240"/>
    <cellStyle name="Note 7 2 5" xfId="1369"/>
    <cellStyle name="Note 7 2 5 2" xfId="10697"/>
    <cellStyle name="Note 7 2 5 3" xfId="15107"/>
    <cellStyle name="Note 7 2 5_Table" xfId="7241"/>
    <cellStyle name="Note 7 2 6" xfId="1722"/>
    <cellStyle name="Note 7 2 6 2" xfId="11050"/>
    <cellStyle name="Note 7 2 6 3" xfId="15460"/>
    <cellStyle name="Note 7 2 6_Table" xfId="7242"/>
    <cellStyle name="Note 7 2 7" xfId="2157"/>
    <cellStyle name="Note 7 2 7 2" xfId="11485"/>
    <cellStyle name="Note 7 2 7 3" xfId="15895"/>
    <cellStyle name="Note 7 2 7_Table" xfId="7243"/>
    <cellStyle name="Note 7 2 8" xfId="2589"/>
    <cellStyle name="Note 7 2 8 2" xfId="11917"/>
    <cellStyle name="Note 7 2 8 3" xfId="16327"/>
    <cellStyle name="Note 7 2 8_Table" xfId="7244"/>
    <cellStyle name="Note 7 2 9" xfId="1147"/>
    <cellStyle name="Note 7 2 9 2" xfId="10475"/>
    <cellStyle name="Note 7 2 9 3" xfId="14885"/>
    <cellStyle name="Note 7 2 9_Table" xfId="7245"/>
    <cellStyle name="Note 7 2_Table" xfId="7226"/>
    <cellStyle name="Note 7 3" xfId="485"/>
    <cellStyle name="Note 7 3 10" xfId="4150"/>
    <cellStyle name="Note 7 3 10 2" xfId="13478"/>
    <cellStyle name="Note 7 3 10 3" xfId="17888"/>
    <cellStyle name="Note 7 3 10_Table" xfId="7247"/>
    <cellStyle name="Note 7 3 11" xfId="4511"/>
    <cellStyle name="Note 7 3 11 2" xfId="13839"/>
    <cellStyle name="Note 7 3 11 3" xfId="18249"/>
    <cellStyle name="Note 7 3 11_Table" xfId="7248"/>
    <cellStyle name="Note 7 3 12" xfId="9813"/>
    <cellStyle name="Note 7 3 13" xfId="14289"/>
    <cellStyle name="Note 7 3 2" xfId="776"/>
    <cellStyle name="Note 7 3 2 10" xfId="4736"/>
    <cellStyle name="Note 7 3 2 10 2" xfId="14064"/>
    <cellStyle name="Note 7 3 2 10 3" xfId="18474"/>
    <cellStyle name="Note 7 3 2 10_Table" xfId="7250"/>
    <cellStyle name="Note 7 3 2 11" xfId="10104"/>
    <cellStyle name="Note 7 3 2 12" xfId="14514"/>
    <cellStyle name="Note 7 3 2 2" xfId="1562"/>
    <cellStyle name="Note 7 3 2 2 2" xfId="10890"/>
    <cellStyle name="Note 7 3 2 2 3" xfId="15300"/>
    <cellStyle name="Note 7 3 2 2_Table" xfId="7251"/>
    <cellStyle name="Note 7 3 2 3" xfId="1922"/>
    <cellStyle name="Note 7 3 2 3 2" xfId="11250"/>
    <cellStyle name="Note 7 3 2 3 3" xfId="15660"/>
    <cellStyle name="Note 7 3 2 3_Table" xfId="7252"/>
    <cellStyle name="Note 7 3 2 4" xfId="2352"/>
    <cellStyle name="Note 7 3 2 4 2" xfId="11680"/>
    <cellStyle name="Note 7 3 2 4 3" xfId="16090"/>
    <cellStyle name="Note 7 3 2 4_Table" xfId="7253"/>
    <cellStyle name="Note 7 3 2 5" xfId="2790"/>
    <cellStyle name="Note 7 3 2 5 2" xfId="12118"/>
    <cellStyle name="Note 7 3 2 5 3" xfId="16528"/>
    <cellStyle name="Note 7 3 2 5_Table" xfId="7254"/>
    <cellStyle name="Note 7 3 2 6" xfId="3197"/>
    <cellStyle name="Note 7 3 2 6 2" xfId="12525"/>
    <cellStyle name="Note 7 3 2 6 3" xfId="16935"/>
    <cellStyle name="Note 7 3 2 6_Table" xfId="7255"/>
    <cellStyle name="Note 7 3 2 7" xfId="3789"/>
    <cellStyle name="Note 7 3 2 7 2" xfId="13117"/>
    <cellStyle name="Note 7 3 2 7 3" xfId="17527"/>
    <cellStyle name="Note 7 3 2 7_Table" xfId="7256"/>
    <cellStyle name="Note 7 3 2 8" xfId="4014"/>
    <cellStyle name="Note 7 3 2 8 2" xfId="13342"/>
    <cellStyle name="Note 7 3 2 8 3" xfId="17752"/>
    <cellStyle name="Note 7 3 2 8_Table" xfId="7257"/>
    <cellStyle name="Note 7 3 2 9" xfId="4375"/>
    <cellStyle name="Note 7 3 2 9 2" xfId="13703"/>
    <cellStyle name="Note 7 3 2 9 3" xfId="18113"/>
    <cellStyle name="Note 7 3 2 9_Table" xfId="7258"/>
    <cellStyle name="Note 7 3 2_Table" xfId="7249"/>
    <cellStyle name="Note 7 3 3" xfId="1288"/>
    <cellStyle name="Note 7 3 3 2" xfId="10616"/>
    <cellStyle name="Note 7 3 3 3" xfId="15026"/>
    <cellStyle name="Note 7 3 3_Table" xfId="7259"/>
    <cellStyle name="Note 7 3 4" xfId="929"/>
    <cellStyle name="Note 7 3 4 2" xfId="10257"/>
    <cellStyle name="Note 7 3 4 3" xfId="14667"/>
    <cellStyle name="Note 7 3 4_Table" xfId="7260"/>
    <cellStyle name="Note 7 3 5" xfId="2076"/>
    <cellStyle name="Note 7 3 5 2" xfId="11404"/>
    <cellStyle name="Note 7 3 5 3" xfId="15814"/>
    <cellStyle name="Note 7 3 5_Table" xfId="7261"/>
    <cellStyle name="Note 7 3 6" xfId="2508"/>
    <cellStyle name="Note 7 3 6 2" xfId="11836"/>
    <cellStyle name="Note 7 3 6 3" xfId="16246"/>
    <cellStyle name="Note 7 3 6_Table" xfId="7262"/>
    <cellStyle name="Note 7 3 7" xfId="2936"/>
    <cellStyle name="Note 7 3 7 2" xfId="12264"/>
    <cellStyle name="Note 7 3 7 3" xfId="16674"/>
    <cellStyle name="Note 7 3 7_Table" xfId="7263"/>
    <cellStyle name="Note 7 3 8" xfId="3349"/>
    <cellStyle name="Note 7 3 8 2" xfId="12677"/>
    <cellStyle name="Note 7 3 8 3" xfId="17087"/>
    <cellStyle name="Note 7 3 8_Table" xfId="7264"/>
    <cellStyle name="Note 7 3 9" xfId="3315"/>
    <cellStyle name="Note 7 3 9 2" xfId="12643"/>
    <cellStyle name="Note 7 3 9 3" xfId="17053"/>
    <cellStyle name="Note 7 3 9_Table" xfId="7265"/>
    <cellStyle name="Note 7 3_Table" xfId="7246"/>
    <cellStyle name="Note 7 4" xfId="549"/>
    <cellStyle name="Note 7 4 10" xfId="4195"/>
    <cellStyle name="Note 7 4 10 2" xfId="13523"/>
    <cellStyle name="Note 7 4 10 3" xfId="17933"/>
    <cellStyle name="Note 7 4 10_Table" xfId="7267"/>
    <cellStyle name="Note 7 4 11" xfId="4556"/>
    <cellStyle name="Note 7 4 11 2" xfId="13884"/>
    <cellStyle name="Note 7 4 11 3" xfId="18294"/>
    <cellStyle name="Note 7 4 11_Table" xfId="7268"/>
    <cellStyle name="Note 7 4 12" xfId="9877"/>
    <cellStyle name="Note 7 4 13" xfId="14334"/>
    <cellStyle name="Note 7 4 2" xfId="821"/>
    <cellStyle name="Note 7 4 2 10" xfId="4781"/>
    <cellStyle name="Note 7 4 2 10 2" xfId="14109"/>
    <cellStyle name="Note 7 4 2 10 3" xfId="18519"/>
    <cellStyle name="Note 7 4 2 10_Table" xfId="7270"/>
    <cellStyle name="Note 7 4 2 11" xfId="10149"/>
    <cellStyle name="Note 7 4 2 12" xfId="14559"/>
    <cellStyle name="Note 7 4 2 2" xfId="1607"/>
    <cellStyle name="Note 7 4 2 2 2" xfId="10935"/>
    <cellStyle name="Note 7 4 2 2 3" xfId="15345"/>
    <cellStyle name="Note 7 4 2 2_Table" xfId="7271"/>
    <cellStyle name="Note 7 4 2 3" xfId="1967"/>
    <cellStyle name="Note 7 4 2 3 2" xfId="11295"/>
    <cellStyle name="Note 7 4 2 3 3" xfId="15705"/>
    <cellStyle name="Note 7 4 2 3_Table" xfId="7272"/>
    <cellStyle name="Note 7 4 2 4" xfId="2397"/>
    <cellStyle name="Note 7 4 2 4 2" xfId="11725"/>
    <cellStyle name="Note 7 4 2 4 3" xfId="16135"/>
    <cellStyle name="Note 7 4 2 4_Table" xfId="7273"/>
    <cellStyle name="Note 7 4 2 5" xfId="2835"/>
    <cellStyle name="Note 7 4 2 5 2" xfId="12163"/>
    <cellStyle name="Note 7 4 2 5 3" xfId="16573"/>
    <cellStyle name="Note 7 4 2 5_Table" xfId="7274"/>
    <cellStyle name="Note 7 4 2 6" xfId="3242"/>
    <cellStyle name="Note 7 4 2 6 2" xfId="12570"/>
    <cellStyle name="Note 7 4 2 6 3" xfId="16980"/>
    <cellStyle name="Note 7 4 2 6_Table" xfId="7275"/>
    <cellStyle name="Note 7 4 2 7" xfId="3834"/>
    <cellStyle name="Note 7 4 2 7 2" xfId="13162"/>
    <cellStyle name="Note 7 4 2 7 3" xfId="17572"/>
    <cellStyle name="Note 7 4 2 7_Table" xfId="7276"/>
    <cellStyle name="Note 7 4 2 8" xfId="4059"/>
    <cellStyle name="Note 7 4 2 8 2" xfId="13387"/>
    <cellStyle name="Note 7 4 2 8 3" xfId="17797"/>
    <cellStyle name="Note 7 4 2 8_Table" xfId="7277"/>
    <cellStyle name="Note 7 4 2 9" xfId="4420"/>
    <cellStyle name="Note 7 4 2 9 2" xfId="13748"/>
    <cellStyle name="Note 7 4 2 9 3" xfId="18158"/>
    <cellStyle name="Note 7 4 2 9_Table" xfId="7278"/>
    <cellStyle name="Note 7 4 2_Table" xfId="7269"/>
    <cellStyle name="Note 7 4 3" xfId="1344"/>
    <cellStyle name="Note 7 4 3 2" xfId="10672"/>
    <cellStyle name="Note 7 4 3 3" xfId="15082"/>
    <cellStyle name="Note 7 4 3_Table" xfId="7279"/>
    <cellStyle name="Note 7 4 4" xfId="1701"/>
    <cellStyle name="Note 7 4 4 2" xfId="11029"/>
    <cellStyle name="Note 7 4 4 3" xfId="15439"/>
    <cellStyle name="Note 7 4 4_Table" xfId="7280"/>
    <cellStyle name="Note 7 4 5" xfId="2135"/>
    <cellStyle name="Note 7 4 5 2" xfId="11463"/>
    <cellStyle name="Note 7 4 5 3" xfId="15873"/>
    <cellStyle name="Note 7 4 5_Table" xfId="7281"/>
    <cellStyle name="Note 7 4 6" xfId="2567"/>
    <cellStyle name="Note 7 4 6 2" xfId="11895"/>
    <cellStyle name="Note 7 4 6 3" xfId="16305"/>
    <cellStyle name="Note 7 4 6_Table" xfId="7282"/>
    <cellStyle name="Note 7 4 7" xfId="2993"/>
    <cellStyle name="Note 7 4 7 2" xfId="12321"/>
    <cellStyle name="Note 7 4 7 3" xfId="16731"/>
    <cellStyle name="Note 7 4 7_Table" xfId="7283"/>
    <cellStyle name="Note 7 4 8" xfId="3407"/>
    <cellStyle name="Note 7 4 8 2" xfId="12735"/>
    <cellStyle name="Note 7 4 8 3" xfId="17145"/>
    <cellStyle name="Note 7 4 8_Table" xfId="7284"/>
    <cellStyle name="Note 7 4 9" xfId="3658"/>
    <cellStyle name="Note 7 4 9 2" xfId="12986"/>
    <cellStyle name="Note 7 4 9 3" xfId="17396"/>
    <cellStyle name="Note 7 4 9_Table" xfId="7285"/>
    <cellStyle name="Note 7 4_Table" xfId="7266"/>
    <cellStyle name="Note 7 5" xfId="624"/>
    <cellStyle name="Note 7 5 10" xfId="4240"/>
    <cellStyle name="Note 7 5 10 2" xfId="13568"/>
    <cellStyle name="Note 7 5 10 3" xfId="17978"/>
    <cellStyle name="Note 7 5 10_Table" xfId="7287"/>
    <cellStyle name="Note 7 5 11" xfId="4601"/>
    <cellStyle name="Note 7 5 11 2" xfId="13929"/>
    <cellStyle name="Note 7 5 11 3" xfId="18339"/>
    <cellStyle name="Note 7 5 11_Table" xfId="7288"/>
    <cellStyle name="Note 7 5 12" xfId="9952"/>
    <cellStyle name="Note 7 5 13" xfId="14379"/>
    <cellStyle name="Note 7 5 2" xfId="866"/>
    <cellStyle name="Note 7 5 2 10" xfId="4826"/>
    <cellStyle name="Note 7 5 2 10 2" xfId="14154"/>
    <cellStyle name="Note 7 5 2 10 3" xfId="18564"/>
    <cellStyle name="Note 7 5 2 10_Table" xfId="7290"/>
    <cellStyle name="Note 7 5 2 11" xfId="10194"/>
    <cellStyle name="Note 7 5 2 12" xfId="14604"/>
    <cellStyle name="Note 7 5 2 2" xfId="1652"/>
    <cellStyle name="Note 7 5 2 2 2" xfId="10980"/>
    <cellStyle name="Note 7 5 2 2 3" xfId="15390"/>
    <cellStyle name="Note 7 5 2 2_Table" xfId="7291"/>
    <cellStyle name="Note 7 5 2 3" xfId="2012"/>
    <cellStyle name="Note 7 5 2 3 2" xfId="11340"/>
    <cellStyle name="Note 7 5 2 3 3" xfId="15750"/>
    <cellStyle name="Note 7 5 2 3_Table" xfId="7292"/>
    <cellStyle name="Note 7 5 2 4" xfId="2442"/>
    <cellStyle name="Note 7 5 2 4 2" xfId="11770"/>
    <cellStyle name="Note 7 5 2 4 3" xfId="16180"/>
    <cellStyle name="Note 7 5 2 4_Table" xfId="7293"/>
    <cellStyle name="Note 7 5 2 5" xfId="2880"/>
    <cellStyle name="Note 7 5 2 5 2" xfId="12208"/>
    <cellStyle name="Note 7 5 2 5 3" xfId="16618"/>
    <cellStyle name="Note 7 5 2 5_Table" xfId="7294"/>
    <cellStyle name="Note 7 5 2 6" xfId="3287"/>
    <cellStyle name="Note 7 5 2 6 2" xfId="12615"/>
    <cellStyle name="Note 7 5 2 6 3" xfId="17025"/>
    <cellStyle name="Note 7 5 2 6_Table" xfId="7295"/>
    <cellStyle name="Note 7 5 2 7" xfId="3879"/>
    <cellStyle name="Note 7 5 2 7 2" xfId="13207"/>
    <cellStyle name="Note 7 5 2 7 3" xfId="17617"/>
    <cellStyle name="Note 7 5 2 7_Table" xfId="7296"/>
    <cellStyle name="Note 7 5 2 8" xfId="4104"/>
    <cellStyle name="Note 7 5 2 8 2" xfId="13432"/>
    <cellStyle name="Note 7 5 2 8 3" xfId="17842"/>
    <cellStyle name="Note 7 5 2 8_Table" xfId="7297"/>
    <cellStyle name="Note 7 5 2 9" xfId="4465"/>
    <cellStyle name="Note 7 5 2 9 2" xfId="13793"/>
    <cellStyle name="Note 7 5 2 9 3" xfId="18203"/>
    <cellStyle name="Note 7 5 2 9_Table" xfId="7298"/>
    <cellStyle name="Note 7 5 2_Table" xfId="7289"/>
    <cellStyle name="Note 7 5 3" xfId="1411"/>
    <cellStyle name="Note 7 5 3 2" xfId="10739"/>
    <cellStyle name="Note 7 5 3 3" xfId="15149"/>
    <cellStyle name="Note 7 5 3_Table" xfId="7299"/>
    <cellStyle name="Note 7 5 4" xfId="1771"/>
    <cellStyle name="Note 7 5 4 2" xfId="11099"/>
    <cellStyle name="Note 7 5 4 3" xfId="15509"/>
    <cellStyle name="Note 7 5 4_Table" xfId="7300"/>
    <cellStyle name="Note 7 5 5" xfId="2204"/>
    <cellStyle name="Note 7 5 5 2" xfId="11532"/>
    <cellStyle name="Note 7 5 5 3" xfId="15942"/>
    <cellStyle name="Note 7 5 5_Table" xfId="7301"/>
    <cellStyle name="Note 7 5 6" xfId="2639"/>
    <cellStyle name="Note 7 5 6 2" xfId="11967"/>
    <cellStyle name="Note 7 5 6 3" xfId="16377"/>
    <cellStyle name="Note 7 5 6_Table" xfId="7302"/>
    <cellStyle name="Note 7 5 7" xfId="3052"/>
    <cellStyle name="Note 7 5 7 2" xfId="12380"/>
    <cellStyle name="Note 7 5 7 3" xfId="16790"/>
    <cellStyle name="Note 7 5 7_Table" xfId="7303"/>
    <cellStyle name="Note 7 5 8" xfId="3478"/>
    <cellStyle name="Note 7 5 8 2" xfId="12806"/>
    <cellStyle name="Note 7 5 8 3" xfId="17216"/>
    <cellStyle name="Note 7 5 8_Table" xfId="7304"/>
    <cellStyle name="Note 7 5 9" xfId="3667"/>
    <cellStyle name="Note 7 5 9 2" xfId="12995"/>
    <cellStyle name="Note 7 5 9 3" xfId="17405"/>
    <cellStyle name="Note 7 5 9_Table" xfId="7305"/>
    <cellStyle name="Note 7 5_Table" xfId="7286"/>
    <cellStyle name="Note 7 6" xfId="686"/>
    <cellStyle name="Note 7 6 10" xfId="4646"/>
    <cellStyle name="Note 7 6 10 2" xfId="13974"/>
    <cellStyle name="Note 7 6 10 3" xfId="18384"/>
    <cellStyle name="Note 7 6 10_Table" xfId="7307"/>
    <cellStyle name="Note 7 6 11" xfId="10014"/>
    <cellStyle name="Note 7 6 12" xfId="14424"/>
    <cellStyle name="Note 7 6 2" xfId="1472"/>
    <cellStyle name="Note 7 6 2 2" xfId="10800"/>
    <cellStyle name="Note 7 6 2 3" xfId="15210"/>
    <cellStyle name="Note 7 6 2_Table" xfId="7308"/>
    <cellStyle name="Note 7 6 3" xfId="1832"/>
    <cellStyle name="Note 7 6 3 2" xfId="11160"/>
    <cellStyle name="Note 7 6 3 3" xfId="15570"/>
    <cellStyle name="Note 7 6 3_Table" xfId="7309"/>
    <cellStyle name="Note 7 6 4" xfId="2262"/>
    <cellStyle name="Note 7 6 4 2" xfId="11590"/>
    <cellStyle name="Note 7 6 4 3" xfId="16000"/>
    <cellStyle name="Note 7 6 4_Table" xfId="7310"/>
    <cellStyle name="Note 7 6 5" xfId="2700"/>
    <cellStyle name="Note 7 6 5 2" xfId="12028"/>
    <cellStyle name="Note 7 6 5 3" xfId="16438"/>
    <cellStyle name="Note 7 6 5_Table" xfId="7311"/>
    <cellStyle name="Note 7 6 6" xfId="3107"/>
    <cellStyle name="Note 7 6 6 2" xfId="12435"/>
    <cellStyle name="Note 7 6 6 3" xfId="16845"/>
    <cellStyle name="Note 7 6 6_Table" xfId="7312"/>
    <cellStyle name="Note 7 6 7" xfId="3699"/>
    <cellStyle name="Note 7 6 7 2" xfId="13027"/>
    <cellStyle name="Note 7 6 7 3" xfId="17437"/>
    <cellStyle name="Note 7 6 7_Table" xfId="7313"/>
    <cellStyle name="Note 7 6 8" xfId="3924"/>
    <cellStyle name="Note 7 6 8 2" xfId="13252"/>
    <cellStyle name="Note 7 6 8 3" xfId="17662"/>
    <cellStyle name="Note 7 6 8_Table" xfId="7314"/>
    <cellStyle name="Note 7 6 9" xfId="4285"/>
    <cellStyle name="Note 7 6 9 2" xfId="13613"/>
    <cellStyle name="Note 7 6 9 3" xfId="18023"/>
    <cellStyle name="Note 7 6 9_Table" xfId="7315"/>
    <cellStyle name="Note 7 6_Table" xfId="7306"/>
    <cellStyle name="Note 7 7" xfId="1180"/>
    <cellStyle name="Note 7 7 2" xfId="10508"/>
    <cellStyle name="Note 7 7 3" xfId="14918"/>
    <cellStyle name="Note 7 7_Table" xfId="7316"/>
    <cellStyle name="Note 7 8" xfId="1064"/>
    <cellStyle name="Note 7 8 2" xfId="10392"/>
    <cellStyle name="Note 7 8 3" xfId="14802"/>
    <cellStyle name="Note 7 8_Table" xfId="7317"/>
    <cellStyle name="Note 7 9" xfId="1317"/>
    <cellStyle name="Note 7 9 2" xfId="10645"/>
    <cellStyle name="Note 7 9 3" xfId="15055"/>
    <cellStyle name="Note 7 9_Table" xfId="7318"/>
    <cellStyle name="Note 7_Table" xfId="7219"/>
    <cellStyle name="Note 8" xfId="347"/>
    <cellStyle name="Note 8 10" xfId="1799"/>
    <cellStyle name="Note 8 10 2" xfId="11127"/>
    <cellStyle name="Note 8 10 3" xfId="15537"/>
    <cellStyle name="Note 8 10_Table" xfId="7320"/>
    <cellStyle name="Note 8 11" xfId="2231"/>
    <cellStyle name="Note 8 11 2" xfId="11559"/>
    <cellStyle name="Note 8 11 3" xfId="15969"/>
    <cellStyle name="Note 8 11_Table" xfId="7321"/>
    <cellStyle name="Note 8 12" xfId="2666"/>
    <cellStyle name="Note 8 12 2" xfId="11994"/>
    <cellStyle name="Note 8 12 3" xfId="16404"/>
    <cellStyle name="Note 8 12_Table" xfId="7322"/>
    <cellStyle name="Note 8 13" xfId="3557"/>
    <cellStyle name="Note 8 13 2" xfId="12885"/>
    <cellStyle name="Note 8 13 3" xfId="17295"/>
    <cellStyle name="Note 8 13_Table" xfId="7323"/>
    <cellStyle name="Note 8 14" xfId="3614"/>
    <cellStyle name="Note 8 14 2" xfId="12942"/>
    <cellStyle name="Note 8 14 3" xfId="17352"/>
    <cellStyle name="Note 8 14_Table" xfId="7324"/>
    <cellStyle name="Note 8 15" xfId="3610"/>
    <cellStyle name="Note 8 15 2" xfId="12938"/>
    <cellStyle name="Note 8 15 3" xfId="17348"/>
    <cellStyle name="Note 8 15_Table" xfId="7325"/>
    <cellStyle name="Note 8 16" xfId="9675"/>
    <cellStyle name="Note 8 17" xfId="14200"/>
    <cellStyle name="Note 8 2" xfId="418"/>
    <cellStyle name="Note 8 2 10" xfId="1155"/>
    <cellStyle name="Note 8 2 10 2" xfId="10483"/>
    <cellStyle name="Note 8 2 10 3" xfId="14893"/>
    <cellStyle name="Note 8 2 10_Table" xfId="7327"/>
    <cellStyle name="Note 8 2 11" xfId="3544"/>
    <cellStyle name="Note 8 2 11 2" xfId="12872"/>
    <cellStyle name="Note 8 2 11 3" xfId="17282"/>
    <cellStyle name="Note 8 2 11_Table" xfId="7328"/>
    <cellStyle name="Note 8 2 12" xfId="9746"/>
    <cellStyle name="Note 8 2 13" xfId="14245"/>
    <cellStyle name="Note 8 2 2" xfId="732"/>
    <cellStyle name="Note 8 2 2 10" xfId="4692"/>
    <cellStyle name="Note 8 2 2 10 2" xfId="14020"/>
    <cellStyle name="Note 8 2 2 10 3" xfId="18430"/>
    <cellStyle name="Note 8 2 2 10_Table" xfId="7330"/>
    <cellStyle name="Note 8 2 2 11" xfId="10060"/>
    <cellStyle name="Note 8 2 2 12" xfId="14470"/>
    <cellStyle name="Note 8 2 2 2" xfId="1518"/>
    <cellStyle name="Note 8 2 2 2 2" xfId="10846"/>
    <cellStyle name="Note 8 2 2 2 3" xfId="15256"/>
    <cellStyle name="Note 8 2 2 2_Table" xfId="7331"/>
    <cellStyle name="Note 8 2 2 3" xfId="1878"/>
    <cellStyle name="Note 8 2 2 3 2" xfId="11206"/>
    <cellStyle name="Note 8 2 2 3 3" xfId="15616"/>
    <cellStyle name="Note 8 2 2 3_Table" xfId="7332"/>
    <cellStyle name="Note 8 2 2 4" xfId="2308"/>
    <cellStyle name="Note 8 2 2 4 2" xfId="11636"/>
    <cellStyle name="Note 8 2 2 4 3" xfId="16046"/>
    <cellStyle name="Note 8 2 2 4_Table" xfId="7333"/>
    <cellStyle name="Note 8 2 2 5" xfId="2746"/>
    <cellStyle name="Note 8 2 2 5 2" xfId="12074"/>
    <cellStyle name="Note 8 2 2 5 3" xfId="16484"/>
    <cellStyle name="Note 8 2 2 5_Table" xfId="7334"/>
    <cellStyle name="Note 8 2 2 6" xfId="3153"/>
    <cellStyle name="Note 8 2 2 6 2" xfId="12481"/>
    <cellStyle name="Note 8 2 2 6 3" xfId="16891"/>
    <cellStyle name="Note 8 2 2 6_Table" xfId="7335"/>
    <cellStyle name="Note 8 2 2 7" xfId="3745"/>
    <cellStyle name="Note 8 2 2 7 2" xfId="13073"/>
    <cellStyle name="Note 8 2 2 7 3" xfId="17483"/>
    <cellStyle name="Note 8 2 2 7_Table" xfId="7336"/>
    <cellStyle name="Note 8 2 2 8" xfId="3970"/>
    <cellStyle name="Note 8 2 2 8 2" xfId="13298"/>
    <cellStyle name="Note 8 2 2 8 3" xfId="17708"/>
    <cellStyle name="Note 8 2 2 8_Table" xfId="7337"/>
    <cellStyle name="Note 8 2 2 9" xfId="4331"/>
    <cellStyle name="Note 8 2 2 9 2" xfId="13659"/>
    <cellStyle name="Note 8 2 2 9 3" xfId="18069"/>
    <cellStyle name="Note 8 2 2 9_Table" xfId="7338"/>
    <cellStyle name="Note 8 2 2_Table" xfId="7329"/>
    <cellStyle name="Note 8 2 3" xfId="1232"/>
    <cellStyle name="Note 8 2 3 2" xfId="10560"/>
    <cellStyle name="Note 8 2 3 3" xfId="14970"/>
    <cellStyle name="Note 8 2 3_Table" xfId="7339"/>
    <cellStyle name="Note 8 2 4" xfId="994"/>
    <cellStyle name="Note 8 2 4 2" xfId="10322"/>
    <cellStyle name="Note 8 2 4 3" xfId="14732"/>
    <cellStyle name="Note 8 2 4_Table" xfId="7340"/>
    <cellStyle name="Note 8 2 5" xfId="1434"/>
    <cellStyle name="Note 8 2 5 2" xfId="10762"/>
    <cellStyle name="Note 8 2 5 3" xfId="15172"/>
    <cellStyle name="Note 8 2 5_Table" xfId="7341"/>
    <cellStyle name="Note 8 2 6" xfId="1792"/>
    <cellStyle name="Note 8 2 6 2" xfId="11120"/>
    <cellStyle name="Note 8 2 6 3" xfId="15530"/>
    <cellStyle name="Note 8 2 6_Table" xfId="7342"/>
    <cellStyle name="Note 8 2 7" xfId="2225"/>
    <cellStyle name="Note 8 2 7 2" xfId="11553"/>
    <cellStyle name="Note 8 2 7 3" xfId="15963"/>
    <cellStyle name="Note 8 2 7_Table" xfId="7343"/>
    <cellStyle name="Note 8 2 8" xfId="2660"/>
    <cellStyle name="Note 8 2 8 2" xfId="11988"/>
    <cellStyle name="Note 8 2 8 3" xfId="16398"/>
    <cellStyle name="Note 8 2 8_Table" xfId="7344"/>
    <cellStyle name="Note 8 2 9" xfId="3517"/>
    <cellStyle name="Note 8 2 9 2" xfId="12845"/>
    <cellStyle name="Note 8 2 9 3" xfId="17255"/>
    <cellStyle name="Note 8 2 9_Table" xfId="7345"/>
    <cellStyle name="Note 8 2_Table" xfId="7326"/>
    <cellStyle name="Note 8 3" xfId="486"/>
    <cellStyle name="Note 8 3 10" xfId="4151"/>
    <cellStyle name="Note 8 3 10 2" xfId="13479"/>
    <cellStyle name="Note 8 3 10 3" xfId="17889"/>
    <cellStyle name="Note 8 3 10_Table" xfId="7347"/>
    <cellStyle name="Note 8 3 11" xfId="4512"/>
    <cellStyle name="Note 8 3 11 2" xfId="13840"/>
    <cellStyle name="Note 8 3 11 3" xfId="18250"/>
    <cellStyle name="Note 8 3 11_Table" xfId="7348"/>
    <cellStyle name="Note 8 3 12" xfId="9814"/>
    <cellStyle name="Note 8 3 13" xfId="14290"/>
    <cellStyle name="Note 8 3 2" xfId="777"/>
    <cellStyle name="Note 8 3 2 10" xfId="4737"/>
    <cellStyle name="Note 8 3 2 10 2" xfId="14065"/>
    <cellStyle name="Note 8 3 2 10 3" xfId="18475"/>
    <cellStyle name="Note 8 3 2 10_Table" xfId="7350"/>
    <cellStyle name="Note 8 3 2 11" xfId="10105"/>
    <cellStyle name="Note 8 3 2 12" xfId="14515"/>
    <cellStyle name="Note 8 3 2 2" xfId="1563"/>
    <cellStyle name="Note 8 3 2 2 2" xfId="10891"/>
    <cellStyle name="Note 8 3 2 2 3" xfId="15301"/>
    <cellStyle name="Note 8 3 2 2_Table" xfId="7351"/>
    <cellStyle name="Note 8 3 2 3" xfId="1923"/>
    <cellStyle name="Note 8 3 2 3 2" xfId="11251"/>
    <cellStyle name="Note 8 3 2 3 3" xfId="15661"/>
    <cellStyle name="Note 8 3 2 3_Table" xfId="7352"/>
    <cellStyle name="Note 8 3 2 4" xfId="2353"/>
    <cellStyle name="Note 8 3 2 4 2" xfId="11681"/>
    <cellStyle name="Note 8 3 2 4 3" xfId="16091"/>
    <cellStyle name="Note 8 3 2 4_Table" xfId="7353"/>
    <cellStyle name="Note 8 3 2 5" xfId="2791"/>
    <cellStyle name="Note 8 3 2 5 2" xfId="12119"/>
    <cellStyle name="Note 8 3 2 5 3" xfId="16529"/>
    <cellStyle name="Note 8 3 2 5_Table" xfId="7354"/>
    <cellStyle name="Note 8 3 2 6" xfId="3198"/>
    <cellStyle name="Note 8 3 2 6 2" xfId="12526"/>
    <cellStyle name="Note 8 3 2 6 3" xfId="16936"/>
    <cellStyle name="Note 8 3 2 6_Table" xfId="7355"/>
    <cellStyle name="Note 8 3 2 7" xfId="3790"/>
    <cellStyle name="Note 8 3 2 7 2" xfId="13118"/>
    <cellStyle name="Note 8 3 2 7 3" xfId="17528"/>
    <cellStyle name="Note 8 3 2 7_Table" xfId="7356"/>
    <cellStyle name="Note 8 3 2 8" xfId="4015"/>
    <cellStyle name="Note 8 3 2 8 2" xfId="13343"/>
    <cellStyle name="Note 8 3 2 8 3" xfId="17753"/>
    <cellStyle name="Note 8 3 2 8_Table" xfId="7357"/>
    <cellStyle name="Note 8 3 2 9" xfId="4376"/>
    <cellStyle name="Note 8 3 2 9 2" xfId="13704"/>
    <cellStyle name="Note 8 3 2 9 3" xfId="18114"/>
    <cellStyle name="Note 8 3 2 9_Table" xfId="7358"/>
    <cellStyle name="Note 8 3 2_Table" xfId="7349"/>
    <cellStyle name="Note 8 3 3" xfId="1289"/>
    <cellStyle name="Note 8 3 3 2" xfId="10617"/>
    <cellStyle name="Note 8 3 3 3" xfId="15027"/>
    <cellStyle name="Note 8 3 3_Table" xfId="7359"/>
    <cellStyle name="Note 8 3 4" xfId="928"/>
    <cellStyle name="Note 8 3 4 2" xfId="10256"/>
    <cellStyle name="Note 8 3 4 3" xfId="14666"/>
    <cellStyle name="Note 8 3 4_Table" xfId="7360"/>
    <cellStyle name="Note 8 3 5" xfId="2077"/>
    <cellStyle name="Note 8 3 5 2" xfId="11405"/>
    <cellStyle name="Note 8 3 5 3" xfId="15815"/>
    <cellStyle name="Note 8 3 5_Table" xfId="7361"/>
    <cellStyle name="Note 8 3 6" xfId="2509"/>
    <cellStyle name="Note 8 3 6 2" xfId="11837"/>
    <cellStyle name="Note 8 3 6 3" xfId="16247"/>
    <cellStyle name="Note 8 3 6_Table" xfId="7362"/>
    <cellStyle name="Note 8 3 7" xfId="2937"/>
    <cellStyle name="Note 8 3 7 2" xfId="12265"/>
    <cellStyle name="Note 8 3 7 3" xfId="16675"/>
    <cellStyle name="Note 8 3 7_Table" xfId="7363"/>
    <cellStyle name="Note 8 3 8" xfId="3350"/>
    <cellStyle name="Note 8 3 8 2" xfId="12678"/>
    <cellStyle name="Note 8 3 8 3" xfId="17088"/>
    <cellStyle name="Note 8 3 8_Table" xfId="7364"/>
    <cellStyle name="Note 8 3 9" xfId="3375"/>
    <cellStyle name="Note 8 3 9 2" xfId="12703"/>
    <cellStyle name="Note 8 3 9 3" xfId="17113"/>
    <cellStyle name="Note 8 3 9_Table" xfId="7365"/>
    <cellStyle name="Note 8 3_Table" xfId="7346"/>
    <cellStyle name="Note 8 4" xfId="550"/>
    <cellStyle name="Note 8 4 10" xfId="4196"/>
    <cellStyle name="Note 8 4 10 2" xfId="13524"/>
    <cellStyle name="Note 8 4 10 3" xfId="17934"/>
    <cellStyle name="Note 8 4 10_Table" xfId="7367"/>
    <cellStyle name="Note 8 4 11" xfId="4557"/>
    <cellStyle name="Note 8 4 11 2" xfId="13885"/>
    <cellStyle name="Note 8 4 11 3" xfId="18295"/>
    <cellStyle name="Note 8 4 11_Table" xfId="7368"/>
    <cellStyle name="Note 8 4 12" xfId="9878"/>
    <cellStyle name="Note 8 4 13" xfId="14335"/>
    <cellStyle name="Note 8 4 2" xfId="822"/>
    <cellStyle name="Note 8 4 2 10" xfId="4782"/>
    <cellStyle name="Note 8 4 2 10 2" xfId="14110"/>
    <cellStyle name="Note 8 4 2 10 3" xfId="18520"/>
    <cellStyle name="Note 8 4 2 10_Table" xfId="7370"/>
    <cellStyle name="Note 8 4 2 11" xfId="10150"/>
    <cellStyle name="Note 8 4 2 12" xfId="14560"/>
    <cellStyle name="Note 8 4 2 2" xfId="1608"/>
    <cellStyle name="Note 8 4 2 2 2" xfId="10936"/>
    <cellStyle name="Note 8 4 2 2 3" xfId="15346"/>
    <cellStyle name="Note 8 4 2 2_Table" xfId="7371"/>
    <cellStyle name="Note 8 4 2 3" xfId="1968"/>
    <cellStyle name="Note 8 4 2 3 2" xfId="11296"/>
    <cellStyle name="Note 8 4 2 3 3" xfId="15706"/>
    <cellStyle name="Note 8 4 2 3_Table" xfId="7372"/>
    <cellStyle name="Note 8 4 2 4" xfId="2398"/>
    <cellStyle name="Note 8 4 2 4 2" xfId="11726"/>
    <cellStyle name="Note 8 4 2 4 3" xfId="16136"/>
    <cellStyle name="Note 8 4 2 4_Table" xfId="7373"/>
    <cellStyle name="Note 8 4 2 5" xfId="2836"/>
    <cellStyle name="Note 8 4 2 5 2" xfId="12164"/>
    <cellStyle name="Note 8 4 2 5 3" xfId="16574"/>
    <cellStyle name="Note 8 4 2 5_Table" xfId="7374"/>
    <cellStyle name="Note 8 4 2 6" xfId="3243"/>
    <cellStyle name="Note 8 4 2 6 2" xfId="12571"/>
    <cellStyle name="Note 8 4 2 6 3" xfId="16981"/>
    <cellStyle name="Note 8 4 2 6_Table" xfId="7375"/>
    <cellStyle name="Note 8 4 2 7" xfId="3835"/>
    <cellStyle name="Note 8 4 2 7 2" xfId="13163"/>
    <cellStyle name="Note 8 4 2 7 3" xfId="17573"/>
    <cellStyle name="Note 8 4 2 7_Table" xfId="7376"/>
    <cellStyle name="Note 8 4 2 8" xfId="4060"/>
    <cellStyle name="Note 8 4 2 8 2" xfId="13388"/>
    <cellStyle name="Note 8 4 2 8 3" xfId="17798"/>
    <cellStyle name="Note 8 4 2 8_Table" xfId="7377"/>
    <cellStyle name="Note 8 4 2 9" xfId="4421"/>
    <cellStyle name="Note 8 4 2 9 2" xfId="13749"/>
    <cellStyle name="Note 8 4 2 9 3" xfId="18159"/>
    <cellStyle name="Note 8 4 2 9_Table" xfId="7378"/>
    <cellStyle name="Note 8 4 2_Table" xfId="7369"/>
    <cellStyle name="Note 8 4 3" xfId="1345"/>
    <cellStyle name="Note 8 4 3 2" xfId="10673"/>
    <cellStyle name="Note 8 4 3 3" xfId="15083"/>
    <cellStyle name="Note 8 4 3_Table" xfId="7379"/>
    <cellStyle name="Note 8 4 4" xfId="1702"/>
    <cellStyle name="Note 8 4 4 2" xfId="11030"/>
    <cellStyle name="Note 8 4 4 3" xfId="15440"/>
    <cellStyle name="Note 8 4 4_Table" xfId="7380"/>
    <cellStyle name="Note 8 4 5" xfId="2136"/>
    <cellStyle name="Note 8 4 5 2" xfId="11464"/>
    <cellStyle name="Note 8 4 5 3" xfId="15874"/>
    <cellStyle name="Note 8 4 5_Table" xfId="7381"/>
    <cellStyle name="Note 8 4 6" xfId="2568"/>
    <cellStyle name="Note 8 4 6 2" xfId="11896"/>
    <cellStyle name="Note 8 4 6 3" xfId="16306"/>
    <cellStyle name="Note 8 4 6_Table" xfId="7382"/>
    <cellStyle name="Note 8 4 7" xfId="2994"/>
    <cellStyle name="Note 8 4 7 2" xfId="12322"/>
    <cellStyle name="Note 8 4 7 3" xfId="16732"/>
    <cellStyle name="Note 8 4 7_Table" xfId="7383"/>
    <cellStyle name="Note 8 4 8" xfId="3408"/>
    <cellStyle name="Note 8 4 8 2" xfId="12736"/>
    <cellStyle name="Note 8 4 8 3" xfId="17146"/>
    <cellStyle name="Note 8 4 8_Table" xfId="7384"/>
    <cellStyle name="Note 8 4 9" xfId="3529"/>
    <cellStyle name="Note 8 4 9 2" xfId="12857"/>
    <cellStyle name="Note 8 4 9 3" xfId="17267"/>
    <cellStyle name="Note 8 4 9_Table" xfId="7385"/>
    <cellStyle name="Note 8 4_Table" xfId="7366"/>
    <cellStyle name="Note 8 5" xfId="625"/>
    <cellStyle name="Note 8 5 10" xfId="4241"/>
    <cellStyle name="Note 8 5 10 2" xfId="13569"/>
    <cellStyle name="Note 8 5 10 3" xfId="17979"/>
    <cellStyle name="Note 8 5 10_Table" xfId="7387"/>
    <cellStyle name="Note 8 5 11" xfId="4602"/>
    <cellStyle name="Note 8 5 11 2" xfId="13930"/>
    <cellStyle name="Note 8 5 11 3" xfId="18340"/>
    <cellStyle name="Note 8 5 11_Table" xfId="7388"/>
    <cellStyle name="Note 8 5 12" xfId="9953"/>
    <cellStyle name="Note 8 5 13" xfId="14380"/>
    <cellStyle name="Note 8 5 2" xfId="867"/>
    <cellStyle name="Note 8 5 2 10" xfId="4827"/>
    <cellStyle name="Note 8 5 2 10 2" xfId="14155"/>
    <cellStyle name="Note 8 5 2 10 3" xfId="18565"/>
    <cellStyle name="Note 8 5 2 10_Table" xfId="7390"/>
    <cellStyle name="Note 8 5 2 11" xfId="10195"/>
    <cellStyle name="Note 8 5 2 12" xfId="14605"/>
    <cellStyle name="Note 8 5 2 2" xfId="1653"/>
    <cellStyle name="Note 8 5 2 2 2" xfId="10981"/>
    <cellStyle name="Note 8 5 2 2 3" xfId="15391"/>
    <cellStyle name="Note 8 5 2 2_Table" xfId="7391"/>
    <cellStyle name="Note 8 5 2 3" xfId="2013"/>
    <cellStyle name="Note 8 5 2 3 2" xfId="11341"/>
    <cellStyle name="Note 8 5 2 3 3" xfId="15751"/>
    <cellStyle name="Note 8 5 2 3_Table" xfId="7392"/>
    <cellStyle name="Note 8 5 2 4" xfId="2443"/>
    <cellStyle name="Note 8 5 2 4 2" xfId="11771"/>
    <cellStyle name="Note 8 5 2 4 3" xfId="16181"/>
    <cellStyle name="Note 8 5 2 4_Table" xfId="7393"/>
    <cellStyle name="Note 8 5 2 5" xfId="2881"/>
    <cellStyle name="Note 8 5 2 5 2" xfId="12209"/>
    <cellStyle name="Note 8 5 2 5 3" xfId="16619"/>
    <cellStyle name="Note 8 5 2 5_Table" xfId="7394"/>
    <cellStyle name="Note 8 5 2 6" xfId="3288"/>
    <cellStyle name="Note 8 5 2 6 2" xfId="12616"/>
    <cellStyle name="Note 8 5 2 6 3" xfId="17026"/>
    <cellStyle name="Note 8 5 2 6_Table" xfId="7395"/>
    <cellStyle name="Note 8 5 2 7" xfId="3880"/>
    <cellStyle name="Note 8 5 2 7 2" xfId="13208"/>
    <cellStyle name="Note 8 5 2 7 3" xfId="17618"/>
    <cellStyle name="Note 8 5 2 7_Table" xfId="7396"/>
    <cellStyle name="Note 8 5 2 8" xfId="4105"/>
    <cellStyle name="Note 8 5 2 8 2" xfId="13433"/>
    <cellStyle name="Note 8 5 2 8 3" xfId="17843"/>
    <cellStyle name="Note 8 5 2 8_Table" xfId="7397"/>
    <cellStyle name="Note 8 5 2 9" xfId="4466"/>
    <cellStyle name="Note 8 5 2 9 2" xfId="13794"/>
    <cellStyle name="Note 8 5 2 9 3" xfId="18204"/>
    <cellStyle name="Note 8 5 2 9_Table" xfId="7398"/>
    <cellStyle name="Note 8 5 2_Table" xfId="7389"/>
    <cellStyle name="Note 8 5 3" xfId="1412"/>
    <cellStyle name="Note 8 5 3 2" xfId="10740"/>
    <cellStyle name="Note 8 5 3 3" xfId="15150"/>
    <cellStyle name="Note 8 5 3_Table" xfId="7399"/>
    <cellStyle name="Note 8 5 4" xfId="1772"/>
    <cellStyle name="Note 8 5 4 2" xfId="11100"/>
    <cellStyle name="Note 8 5 4 3" xfId="15510"/>
    <cellStyle name="Note 8 5 4_Table" xfId="7400"/>
    <cellStyle name="Note 8 5 5" xfId="2205"/>
    <cellStyle name="Note 8 5 5 2" xfId="11533"/>
    <cellStyle name="Note 8 5 5 3" xfId="15943"/>
    <cellStyle name="Note 8 5 5_Table" xfId="7401"/>
    <cellStyle name="Note 8 5 6" xfId="2640"/>
    <cellStyle name="Note 8 5 6 2" xfId="11968"/>
    <cellStyle name="Note 8 5 6 3" xfId="16378"/>
    <cellStyle name="Note 8 5 6_Table" xfId="7402"/>
    <cellStyle name="Note 8 5 7" xfId="3053"/>
    <cellStyle name="Note 8 5 7 2" xfId="12381"/>
    <cellStyle name="Note 8 5 7 3" xfId="16791"/>
    <cellStyle name="Note 8 5 7_Table" xfId="7403"/>
    <cellStyle name="Note 8 5 8" xfId="3479"/>
    <cellStyle name="Note 8 5 8 2" xfId="12807"/>
    <cellStyle name="Note 8 5 8 3" xfId="17217"/>
    <cellStyle name="Note 8 5 8_Table" xfId="7404"/>
    <cellStyle name="Note 8 5 9" xfId="3540"/>
    <cellStyle name="Note 8 5 9 2" xfId="12868"/>
    <cellStyle name="Note 8 5 9 3" xfId="17278"/>
    <cellStyle name="Note 8 5 9_Table" xfId="7405"/>
    <cellStyle name="Note 8 5_Table" xfId="7386"/>
    <cellStyle name="Note 8 6" xfId="687"/>
    <cellStyle name="Note 8 6 10" xfId="4647"/>
    <cellStyle name="Note 8 6 10 2" xfId="13975"/>
    <cellStyle name="Note 8 6 10 3" xfId="18385"/>
    <cellStyle name="Note 8 6 10_Table" xfId="7407"/>
    <cellStyle name="Note 8 6 11" xfId="10015"/>
    <cellStyle name="Note 8 6 12" xfId="14425"/>
    <cellStyle name="Note 8 6 2" xfId="1473"/>
    <cellStyle name="Note 8 6 2 2" xfId="10801"/>
    <cellStyle name="Note 8 6 2 3" xfId="15211"/>
    <cellStyle name="Note 8 6 2_Table" xfId="7408"/>
    <cellStyle name="Note 8 6 3" xfId="1833"/>
    <cellStyle name="Note 8 6 3 2" xfId="11161"/>
    <cellStyle name="Note 8 6 3 3" xfId="15571"/>
    <cellStyle name="Note 8 6 3_Table" xfId="7409"/>
    <cellStyle name="Note 8 6 4" xfId="2263"/>
    <cellStyle name="Note 8 6 4 2" xfId="11591"/>
    <cellStyle name="Note 8 6 4 3" xfId="16001"/>
    <cellStyle name="Note 8 6 4_Table" xfId="7410"/>
    <cellStyle name="Note 8 6 5" xfId="2701"/>
    <cellStyle name="Note 8 6 5 2" xfId="12029"/>
    <cellStyle name="Note 8 6 5 3" xfId="16439"/>
    <cellStyle name="Note 8 6 5_Table" xfId="7411"/>
    <cellStyle name="Note 8 6 6" xfId="3108"/>
    <cellStyle name="Note 8 6 6 2" xfId="12436"/>
    <cellStyle name="Note 8 6 6 3" xfId="16846"/>
    <cellStyle name="Note 8 6 6_Table" xfId="7412"/>
    <cellStyle name="Note 8 6 7" xfId="3700"/>
    <cellStyle name="Note 8 6 7 2" xfId="13028"/>
    <cellStyle name="Note 8 6 7 3" xfId="17438"/>
    <cellStyle name="Note 8 6 7_Table" xfId="7413"/>
    <cellStyle name="Note 8 6 8" xfId="3925"/>
    <cellStyle name="Note 8 6 8 2" xfId="13253"/>
    <cellStyle name="Note 8 6 8 3" xfId="17663"/>
    <cellStyle name="Note 8 6 8_Table" xfId="7414"/>
    <cellStyle name="Note 8 6 9" xfId="4286"/>
    <cellStyle name="Note 8 6 9 2" xfId="13614"/>
    <cellStyle name="Note 8 6 9 3" xfId="18024"/>
    <cellStyle name="Note 8 6 9_Table" xfId="7415"/>
    <cellStyle name="Note 8 6_Table" xfId="7406"/>
    <cellStyle name="Note 8 7" xfId="1181"/>
    <cellStyle name="Note 8 7 2" xfId="10509"/>
    <cellStyle name="Note 8 7 3" xfId="14919"/>
    <cellStyle name="Note 8 7_Table" xfId="7416"/>
    <cellStyle name="Note 8 8" xfId="1063"/>
    <cellStyle name="Note 8 8 2" xfId="10391"/>
    <cellStyle name="Note 8 8 3" xfId="14801"/>
    <cellStyle name="Note 8 8_Table" xfId="7417"/>
    <cellStyle name="Note 8 9" xfId="1388"/>
    <cellStyle name="Note 8 9 2" xfId="10716"/>
    <cellStyle name="Note 8 9 3" xfId="15126"/>
    <cellStyle name="Note 8 9_Table" xfId="7418"/>
    <cellStyle name="Note 8_Table" xfId="7319"/>
    <cellStyle name="Note 9" xfId="348"/>
    <cellStyle name="Note 9 10" xfId="972"/>
    <cellStyle name="Note 9 10 2" xfId="10300"/>
    <cellStyle name="Note 9 10 3" xfId="14710"/>
    <cellStyle name="Note 9 10_Table" xfId="7420"/>
    <cellStyle name="Note 9 11" xfId="2036"/>
    <cellStyle name="Note 9 11 2" xfId="11364"/>
    <cellStyle name="Note 9 11 3" xfId="15774"/>
    <cellStyle name="Note 9 11_Table" xfId="7421"/>
    <cellStyle name="Note 9 12" xfId="2466"/>
    <cellStyle name="Note 9 12 2" xfId="11794"/>
    <cellStyle name="Note 9 12 3" xfId="16204"/>
    <cellStyle name="Note 9 12_Table" xfId="7422"/>
    <cellStyle name="Note 9 13" xfId="3589"/>
    <cellStyle name="Note 9 13 2" xfId="12917"/>
    <cellStyle name="Note 9 13 3" xfId="17327"/>
    <cellStyle name="Note 9 13_Table" xfId="7423"/>
    <cellStyle name="Note 9 14" xfId="1333"/>
    <cellStyle name="Note 9 14 2" xfId="10661"/>
    <cellStyle name="Note 9 14 3" xfId="15071"/>
    <cellStyle name="Note 9 14_Table" xfId="7424"/>
    <cellStyle name="Note 9 15" xfId="3319"/>
    <cellStyle name="Note 9 15 2" xfId="12647"/>
    <cellStyle name="Note 9 15 3" xfId="17057"/>
    <cellStyle name="Note 9 15_Table" xfId="7425"/>
    <cellStyle name="Note 9 16" xfId="9676"/>
    <cellStyle name="Note 9 17" xfId="14201"/>
    <cellStyle name="Note 9 2" xfId="419"/>
    <cellStyle name="Note 9 2 10" xfId="3017"/>
    <cellStyle name="Note 9 2 10 2" xfId="12345"/>
    <cellStyle name="Note 9 2 10 3" xfId="16755"/>
    <cellStyle name="Note 9 2 10_Table" xfId="7427"/>
    <cellStyle name="Note 9 2 11" xfId="1273"/>
    <cellStyle name="Note 9 2 11 2" xfId="10601"/>
    <cellStyle name="Note 9 2 11 3" xfId="15011"/>
    <cellStyle name="Note 9 2 11_Table" xfId="7428"/>
    <cellStyle name="Note 9 2 12" xfId="9747"/>
    <cellStyle name="Note 9 2 13" xfId="14246"/>
    <cellStyle name="Note 9 2 2" xfId="733"/>
    <cellStyle name="Note 9 2 2 10" xfId="4693"/>
    <cellStyle name="Note 9 2 2 10 2" xfId="14021"/>
    <cellStyle name="Note 9 2 2 10 3" xfId="18431"/>
    <cellStyle name="Note 9 2 2 10_Table" xfId="7430"/>
    <cellStyle name="Note 9 2 2 11" xfId="10061"/>
    <cellStyle name="Note 9 2 2 12" xfId="14471"/>
    <cellStyle name="Note 9 2 2 2" xfId="1519"/>
    <cellStyle name="Note 9 2 2 2 2" xfId="10847"/>
    <cellStyle name="Note 9 2 2 2 3" xfId="15257"/>
    <cellStyle name="Note 9 2 2 2_Table" xfId="7431"/>
    <cellStyle name="Note 9 2 2 3" xfId="1879"/>
    <cellStyle name="Note 9 2 2 3 2" xfId="11207"/>
    <cellStyle name="Note 9 2 2 3 3" xfId="15617"/>
    <cellStyle name="Note 9 2 2 3_Table" xfId="7432"/>
    <cellStyle name="Note 9 2 2 4" xfId="2309"/>
    <cellStyle name="Note 9 2 2 4 2" xfId="11637"/>
    <cellStyle name="Note 9 2 2 4 3" xfId="16047"/>
    <cellStyle name="Note 9 2 2 4_Table" xfId="7433"/>
    <cellStyle name="Note 9 2 2 5" xfId="2747"/>
    <cellStyle name="Note 9 2 2 5 2" xfId="12075"/>
    <cellStyle name="Note 9 2 2 5 3" xfId="16485"/>
    <cellStyle name="Note 9 2 2 5_Table" xfId="7434"/>
    <cellStyle name="Note 9 2 2 6" xfId="3154"/>
    <cellStyle name="Note 9 2 2 6 2" xfId="12482"/>
    <cellStyle name="Note 9 2 2 6 3" xfId="16892"/>
    <cellStyle name="Note 9 2 2 6_Table" xfId="7435"/>
    <cellStyle name="Note 9 2 2 7" xfId="3746"/>
    <cellStyle name="Note 9 2 2 7 2" xfId="13074"/>
    <cellStyle name="Note 9 2 2 7 3" xfId="17484"/>
    <cellStyle name="Note 9 2 2 7_Table" xfId="7436"/>
    <cellStyle name="Note 9 2 2 8" xfId="3971"/>
    <cellStyle name="Note 9 2 2 8 2" xfId="13299"/>
    <cellStyle name="Note 9 2 2 8 3" xfId="17709"/>
    <cellStyle name="Note 9 2 2 8_Table" xfId="7437"/>
    <cellStyle name="Note 9 2 2 9" xfId="4332"/>
    <cellStyle name="Note 9 2 2 9 2" xfId="13660"/>
    <cellStyle name="Note 9 2 2 9 3" xfId="18070"/>
    <cellStyle name="Note 9 2 2 9_Table" xfId="7438"/>
    <cellStyle name="Note 9 2 2_Table" xfId="7429"/>
    <cellStyle name="Note 9 2 3" xfId="1233"/>
    <cellStyle name="Note 9 2 3 2" xfId="10561"/>
    <cellStyle name="Note 9 2 3 3" xfId="14971"/>
    <cellStyle name="Note 9 2 3_Table" xfId="7439"/>
    <cellStyle name="Note 9 2 4" xfId="993"/>
    <cellStyle name="Note 9 2 4 2" xfId="10321"/>
    <cellStyle name="Note 9 2 4 3" xfId="14731"/>
    <cellStyle name="Note 9 2 4_Table" xfId="7440"/>
    <cellStyle name="Note 9 2 5" xfId="1252"/>
    <cellStyle name="Note 9 2 5 2" xfId="10580"/>
    <cellStyle name="Note 9 2 5 3" xfId="14990"/>
    <cellStyle name="Note 9 2 5_Table" xfId="7441"/>
    <cellStyle name="Note 9 2 6" xfId="1194"/>
    <cellStyle name="Note 9 2 6 2" xfId="10522"/>
    <cellStyle name="Note 9 2 6 3" xfId="14932"/>
    <cellStyle name="Note 9 2 6_Table" xfId="7442"/>
    <cellStyle name="Note 9 2 7" xfId="1034"/>
    <cellStyle name="Note 9 2 7 2" xfId="10362"/>
    <cellStyle name="Note 9 2 7 3" xfId="14772"/>
    <cellStyle name="Note 9 2 7_Table" xfId="7443"/>
    <cellStyle name="Note 9 2 8" xfId="1320"/>
    <cellStyle name="Note 9 2 8 2" xfId="10648"/>
    <cellStyle name="Note 9 2 8 3" xfId="15058"/>
    <cellStyle name="Note 9 2 8_Table" xfId="7444"/>
    <cellStyle name="Note 9 2 9" xfId="3436"/>
    <cellStyle name="Note 9 2 9 2" xfId="12764"/>
    <cellStyle name="Note 9 2 9 3" xfId="17174"/>
    <cellStyle name="Note 9 2 9_Table" xfId="7445"/>
    <cellStyle name="Note 9 2_Table" xfId="7426"/>
    <cellStyle name="Note 9 3" xfId="487"/>
    <cellStyle name="Note 9 3 10" xfId="4152"/>
    <cellStyle name="Note 9 3 10 2" xfId="13480"/>
    <cellStyle name="Note 9 3 10 3" xfId="17890"/>
    <cellStyle name="Note 9 3 10_Table" xfId="7447"/>
    <cellStyle name="Note 9 3 11" xfId="4513"/>
    <cellStyle name="Note 9 3 11 2" xfId="13841"/>
    <cellStyle name="Note 9 3 11 3" xfId="18251"/>
    <cellStyle name="Note 9 3 11_Table" xfId="7448"/>
    <cellStyle name="Note 9 3 12" xfId="9815"/>
    <cellStyle name="Note 9 3 13" xfId="14291"/>
    <cellStyle name="Note 9 3 2" xfId="778"/>
    <cellStyle name="Note 9 3 2 10" xfId="4738"/>
    <cellStyle name="Note 9 3 2 10 2" xfId="14066"/>
    <cellStyle name="Note 9 3 2 10 3" xfId="18476"/>
    <cellStyle name="Note 9 3 2 10_Table" xfId="7450"/>
    <cellStyle name="Note 9 3 2 11" xfId="10106"/>
    <cellStyle name="Note 9 3 2 12" xfId="14516"/>
    <cellStyle name="Note 9 3 2 2" xfId="1564"/>
    <cellStyle name="Note 9 3 2 2 2" xfId="10892"/>
    <cellStyle name="Note 9 3 2 2 3" xfId="15302"/>
    <cellStyle name="Note 9 3 2 2_Table" xfId="7451"/>
    <cellStyle name="Note 9 3 2 3" xfId="1924"/>
    <cellStyle name="Note 9 3 2 3 2" xfId="11252"/>
    <cellStyle name="Note 9 3 2 3 3" xfId="15662"/>
    <cellStyle name="Note 9 3 2 3_Table" xfId="7452"/>
    <cellStyle name="Note 9 3 2 4" xfId="2354"/>
    <cellStyle name="Note 9 3 2 4 2" xfId="11682"/>
    <cellStyle name="Note 9 3 2 4 3" xfId="16092"/>
    <cellStyle name="Note 9 3 2 4_Table" xfId="7453"/>
    <cellStyle name="Note 9 3 2 5" xfId="2792"/>
    <cellStyle name="Note 9 3 2 5 2" xfId="12120"/>
    <cellStyle name="Note 9 3 2 5 3" xfId="16530"/>
    <cellStyle name="Note 9 3 2 5_Table" xfId="7454"/>
    <cellStyle name="Note 9 3 2 6" xfId="3199"/>
    <cellStyle name="Note 9 3 2 6 2" xfId="12527"/>
    <cellStyle name="Note 9 3 2 6 3" xfId="16937"/>
    <cellStyle name="Note 9 3 2 6_Table" xfId="7455"/>
    <cellStyle name="Note 9 3 2 7" xfId="3791"/>
    <cellStyle name="Note 9 3 2 7 2" xfId="13119"/>
    <cellStyle name="Note 9 3 2 7 3" xfId="17529"/>
    <cellStyle name="Note 9 3 2 7_Table" xfId="7456"/>
    <cellStyle name="Note 9 3 2 8" xfId="4016"/>
    <cellStyle name="Note 9 3 2 8 2" xfId="13344"/>
    <cellStyle name="Note 9 3 2 8 3" xfId="17754"/>
    <cellStyle name="Note 9 3 2 8_Table" xfId="7457"/>
    <cellStyle name="Note 9 3 2 9" xfId="4377"/>
    <cellStyle name="Note 9 3 2 9 2" xfId="13705"/>
    <cellStyle name="Note 9 3 2 9 3" xfId="18115"/>
    <cellStyle name="Note 9 3 2 9_Table" xfId="7458"/>
    <cellStyle name="Note 9 3 2_Table" xfId="7449"/>
    <cellStyle name="Note 9 3 3" xfId="1290"/>
    <cellStyle name="Note 9 3 3 2" xfId="10618"/>
    <cellStyle name="Note 9 3 3 3" xfId="15028"/>
    <cellStyle name="Note 9 3 3_Table" xfId="7459"/>
    <cellStyle name="Note 9 3 4" xfId="927"/>
    <cellStyle name="Note 9 3 4 2" xfId="10255"/>
    <cellStyle name="Note 9 3 4 3" xfId="14665"/>
    <cellStyle name="Note 9 3 4_Table" xfId="7460"/>
    <cellStyle name="Note 9 3 5" xfId="2078"/>
    <cellStyle name="Note 9 3 5 2" xfId="11406"/>
    <cellStyle name="Note 9 3 5 3" xfId="15816"/>
    <cellStyle name="Note 9 3 5_Table" xfId="7461"/>
    <cellStyle name="Note 9 3 6" xfId="2510"/>
    <cellStyle name="Note 9 3 6 2" xfId="11838"/>
    <cellStyle name="Note 9 3 6 3" xfId="16248"/>
    <cellStyle name="Note 9 3 6_Table" xfId="7462"/>
    <cellStyle name="Note 9 3 7" xfId="2938"/>
    <cellStyle name="Note 9 3 7 2" xfId="12266"/>
    <cellStyle name="Note 9 3 7 3" xfId="16676"/>
    <cellStyle name="Note 9 3 7_Table" xfId="7463"/>
    <cellStyle name="Note 9 3 8" xfId="3351"/>
    <cellStyle name="Note 9 3 8 2" xfId="12679"/>
    <cellStyle name="Note 9 3 8 3" xfId="17089"/>
    <cellStyle name="Note 9 3 8_Table" xfId="7464"/>
    <cellStyle name="Note 9 3 9" xfId="3434"/>
    <cellStyle name="Note 9 3 9 2" xfId="12762"/>
    <cellStyle name="Note 9 3 9 3" xfId="17172"/>
    <cellStyle name="Note 9 3 9_Table" xfId="7465"/>
    <cellStyle name="Note 9 3_Table" xfId="7446"/>
    <cellStyle name="Note 9 4" xfId="551"/>
    <cellStyle name="Note 9 4 10" xfId="4197"/>
    <cellStyle name="Note 9 4 10 2" xfId="13525"/>
    <cellStyle name="Note 9 4 10 3" xfId="17935"/>
    <cellStyle name="Note 9 4 10_Table" xfId="7467"/>
    <cellStyle name="Note 9 4 11" xfId="4558"/>
    <cellStyle name="Note 9 4 11 2" xfId="13886"/>
    <cellStyle name="Note 9 4 11 3" xfId="18296"/>
    <cellStyle name="Note 9 4 11_Table" xfId="7468"/>
    <cellStyle name="Note 9 4 12" xfId="9879"/>
    <cellStyle name="Note 9 4 13" xfId="14336"/>
    <cellStyle name="Note 9 4 2" xfId="823"/>
    <cellStyle name="Note 9 4 2 10" xfId="4783"/>
    <cellStyle name="Note 9 4 2 10 2" xfId="14111"/>
    <cellStyle name="Note 9 4 2 10 3" xfId="18521"/>
    <cellStyle name="Note 9 4 2 10_Table" xfId="7470"/>
    <cellStyle name="Note 9 4 2 11" xfId="10151"/>
    <cellStyle name="Note 9 4 2 12" xfId="14561"/>
    <cellStyle name="Note 9 4 2 2" xfId="1609"/>
    <cellStyle name="Note 9 4 2 2 2" xfId="10937"/>
    <cellStyle name="Note 9 4 2 2 3" xfId="15347"/>
    <cellStyle name="Note 9 4 2 2_Table" xfId="7471"/>
    <cellStyle name="Note 9 4 2 3" xfId="1969"/>
    <cellStyle name="Note 9 4 2 3 2" xfId="11297"/>
    <cellStyle name="Note 9 4 2 3 3" xfId="15707"/>
    <cellStyle name="Note 9 4 2 3_Table" xfId="7472"/>
    <cellStyle name="Note 9 4 2 4" xfId="2399"/>
    <cellStyle name="Note 9 4 2 4 2" xfId="11727"/>
    <cellStyle name="Note 9 4 2 4 3" xfId="16137"/>
    <cellStyle name="Note 9 4 2 4_Table" xfId="7473"/>
    <cellStyle name="Note 9 4 2 5" xfId="2837"/>
    <cellStyle name="Note 9 4 2 5 2" xfId="12165"/>
    <cellStyle name="Note 9 4 2 5 3" xfId="16575"/>
    <cellStyle name="Note 9 4 2 5_Table" xfId="7474"/>
    <cellStyle name="Note 9 4 2 6" xfId="3244"/>
    <cellStyle name="Note 9 4 2 6 2" xfId="12572"/>
    <cellStyle name="Note 9 4 2 6 3" xfId="16982"/>
    <cellStyle name="Note 9 4 2 6_Table" xfId="7475"/>
    <cellStyle name="Note 9 4 2 7" xfId="3836"/>
    <cellStyle name="Note 9 4 2 7 2" xfId="13164"/>
    <cellStyle name="Note 9 4 2 7 3" xfId="17574"/>
    <cellStyle name="Note 9 4 2 7_Table" xfId="7476"/>
    <cellStyle name="Note 9 4 2 8" xfId="4061"/>
    <cellStyle name="Note 9 4 2 8 2" xfId="13389"/>
    <cellStyle name="Note 9 4 2 8 3" xfId="17799"/>
    <cellStyle name="Note 9 4 2 8_Table" xfId="7477"/>
    <cellStyle name="Note 9 4 2 9" xfId="4422"/>
    <cellStyle name="Note 9 4 2 9 2" xfId="13750"/>
    <cellStyle name="Note 9 4 2 9 3" xfId="18160"/>
    <cellStyle name="Note 9 4 2 9_Table" xfId="7478"/>
    <cellStyle name="Note 9 4 2_Table" xfId="7469"/>
    <cellStyle name="Note 9 4 3" xfId="1346"/>
    <cellStyle name="Note 9 4 3 2" xfId="10674"/>
    <cellStyle name="Note 9 4 3 3" xfId="15084"/>
    <cellStyle name="Note 9 4 3_Table" xfId="7479"/>
    <cellStyle name="Note 9 4 4" xfId="1703"/>
    <cellStyle name="Note 9 4 4 2" xfId="11031"/>
    <cellStyle name="Note 9 4 4 3" xfId="15441"/>
    <cellStyle name="Note 9 4 4_Table" xfId="7480"/>
    <cellStyle name="Note 9 4 5" xfId="2137"/>
    <cellStyle name="Note 9 4 5 2" xfId="11465"/>
    <cellStyle name="Note 9 4 5 3" xfId="15875"/>
    <cellStyle name="Note 9 4 5_Table" xfId="7481"/>
    <cellStyle name="Note 9 4 6" xfId="2569"/>
    <cellStyle name="Note 9 4 6 2" xfId="11897"/>
    <cellStyle name="Note 9 4 6 3" xfId="16307"/>
    <cellStyle name="Note 9 4 6_Table" xfId="7482"/>
    <cellStyle name="Note 9 4 7" xfId="2995"/>
    <cellStyle name="Note 9 4 7 2" xfId="12323"/>
    <cellStyle name="Note 9 4 7 3" xfId="16733"/>
    <cellStyle name="Note 9 4 7_Table" xfId="7483"/>
    <cellStyle name="Note 9 4 8" xfId="3409"/>
    <cellStyle name="Note 9 4 8 2" xfId="12737"/>
    <cellStyle name="Note 9 4 8 3" xfId="17147"/>
    <cellStyle name="Note 9 4 8_Table" xfId="7484"/>
    <cellStyle name="Note 9 4 9" xfId="3563"/>
    <cellStyle name="Note 9 4 9 2" xfId="12891"/>
    <cellStyle name="Note 9 4 9 3" xfId="17301"/>
    <cellStyle name="Note 9 4 9_Table" xfId="7485"/>
    <cellStyle name="Note 9 4_Table" xfId="7466"/>
    <cellStyle name="Note 9 5" xfId="626"/>
    <cellStyle name="Note 9 5 10" xfId="4242"/>
    <cellStyle name="Note 9 5 10 2" xfId="13570"/>
    <cellStyle name="Note 9 5 10 3" xfId="17980"/>
    <cellStyle name="Note 9 5 10_Table" xfId="7487"/>
    <cellStyle name="Note 9 5 11" xfId="4603"/>
    <cellStyle name="Note 9 5 11 2" xfId="13931"/>
    <cellStyle name="Note 9 5 11 3" xfId="18341"/>
    <cellStyle name="Note 9 5 11_Table" xfId="7488"/>
    <cellStyle name="Note 9 5 12" xfId="9954"/>
    <cellStyle name="Note 9 5 13" xfId="14381"/>
    <cellStyle name="Note 9 5 2" xfId="868"/>
    <cellStyle name="Note 9 5 2 10" xfId="4828"/>
    <cellStyle name="Note 9 5 2 10 2" xfId="14156"/>
    <cellStyle name="Note 9 5 2 10 3" xfId="18566"/>
    <cellStyle name="Note 9 5 2 10_Table" xfId="7490"/>
    <cellStyle name="Note 9 5 2 11" xfId="10196"/>
    <cellStyle name="Note 9 5 2 12" xfId="14606"/>
    <cellStyle name="Note 9 5 2 2" xfId="1654"/>
    <cellStyle name="Note 9 5 2 2 2" xfId="10982"/>
    <cellStyle name="Note 9 5 2 2 3" xfId="15392"/>
    <cellStyle name="Note 9 5 2 2_Table" xfId="7491"/>
    <cellStyle name="Note 9 5 2 3" xfId="2014"/>
    <cellStyle name="Note 9 5 2 3 2" xfId="11342"/>
    <cellStyle name="Note 9 5 2 3 3" xfId="15752"/>
    <cellStyle name="Note 9 5 2 3_Table" xfId="7492"/>
    <cellStyle name="Note 9 5 2 4" xfId="2444"/>
    <cellStyle name="Note 9 5 2 4 2" xfId="11772"/>
    <cellStyle name="Note 9 5 2 4 3" xfId="16182"/>
    <cellStyle name="Note 9 5 2 4_Table" xfId="7493"/>
    <cellStyle name="Note 9 5 2 5" xfId="2882"/>
    <cellStyle name="Note 9 5 2 5 2" xfId="12210"/>
    <cellStyle name="Note 9 5 2 5 3" xfId="16620"/>
    <cellStyle name="Note 9 5 2 5_Table" xfId="7494"/>
    <cellStyle name="Note 9 5 2 6" xfId="3289"/>
    <cellStyle name="Note 9 5 2 6 2" xfId="12617"/>
    <cellStyle name="Note 9 5 2 6 3" xfId="17027"/>
    <cellStyle name="Note 9 5 2 6_Table" xfId="7495"/>
    <cellStyle name="Note 9 5 2 7" xfId="3881"/>
    <cellStyle name="Note 9 5 2 7 2" xfId="13209"/>
    <cellStyle name="Note 9 5 2 7 3" xfId="17619"/>
    <cellStyle name="Note 9 5 2 7_Table" xfId="7496"/>
    <cellStyle name="Note 9 5 2 8" xfId="4106"/>
    <cellStyle name="Note 9 5 2 8 2" xfId="13434"/>
    <cellStyle name="Note 9 5 2 8 3" xfId="17844"/>
    <cellStyle name="Note 9 5 2 8_Table" xfId="7497"/>
    <cellStyle name="Note 9 5 2 9" xfId="4467"/>
    <cellStyle name="Note 9 5 2 9 2" xfId="13795"/>
    <cellStyle name="Note 9 5 2 9 3" xfId="18205"/>
    <cellStyle name="Note 9 5 2 9_Table" xfId="7498"/>
    <cellStyle name="Note 9 5 2_Table" xfId="7489"/>
    <cellStyle name="Note 9 5 3" xfId="1413"/>
    <cellStyle name="Note 9 5 3 2" xfId="10741"/>
    <cellStyle name="Note 9 5 3 3" xfId="15151"/>
    <cellStyle name="Note 9 5 3_Table" xfId="7499"/>
    <cellStyle name="Note 9 5 4" xfId="1773"/>
    <cellStyle name="Note 9 5 4 2" xfId="11101"/>
    <cellStyle name="Note 9 5 4 3" xfId="15511"/>
    <cellStyle name="Note 9 5 4_Table" xfId="7500"/>
    <cellStyle name="Note 9 5 5" xfId="2206"/>
    <cellStyle name="Note 9 5 5 2" xfId="11534"/>
    <cellStyle name="Note 9 5 5 3" xfId="15944"/>
    <cellStyle name="Note 9 5 5_Table" xfId="7501"/>
    <cellStyle name="Note 9 5 6" xfId="2641"/>
    <cellStyle name="Note 9 5 6 2" xfId="11969"/>
    <cellStyle name="Note 9 5 6 3" xfId="16379"/>
    <cellStyle name="Note 9 5 6_Table" xfId="7502"/>
    <cellStyle name="Note 9 5 7" xfId="3054"/>
    <cellStyle name="Note 9 5 7 2" xfId="12382"/>
    <cellStyle name="Note 9 5 7 3" xfId="16792"/>
    <cellStyle name="Note 9 5 7_Table" xfId="7503"/>
    <cellStyle name="Note 9 5 8" xfId="3480"/>
    <cellStyle name="Note 9 5 8 2" xfId="12808"/>
    <cellStyle name="Note 9 5 8 3" xfId="17218"/>
    <cellStyle name="Note 9 5 8_Table" xfId="7504"/>
    <cellStyle name="Note 9 5 9" xfId="3573"/>
    <cellStyle name="Note 9 5 9 2" xfId="12901"/>
    <cellStyle name="Note 9 5 9 3" xfId="17311"/>
    <cellStyle name="Note 9 5 9_Table" xfId="7505"/>
    <cellStyle name="Note 9 5_Table" xfId="7486"/>
    <cellStyle name="Note 9 6" xfId="688"/>
    <cellStyle name="Note 9 6 10" xfId="4648"/>
    <cellStyle name="Note 9 6 10 2" xfId="13976"/>
    <cellStyle name="Note 9 6 10 3" xfId="18386"/>
    <cellStyle name="Note 9 6 10_Table" xfId="7507"/>
    <cellStyle name="Note 9 6 11" xfId="10016"/>
    <cellStyle name="Note 9 6 12" xfId="14426"/>
    <cellStyle name="Note 9 6 2" xfId="1474"/>
    <cellStyle name="Note 9 6 2 2" xfId="10802"/>
    <cellStyle name="Note 9 6 2 3" xfId="15212"/>
    <cellStyle name="Note 9 6 2_Table" xfId="7508"/>
    <cellStyle name="Note 9 6 3" xfId="1834"/>
    <cellStyle name="Note 9 6 3 2" xfId="11162"/>
    <cellStyle name="Note 9 6 3 3" xfId="15572"/>
    <cellStyle name="Note 9 6 3_Table" xfId="7509"/>
    <cellStyle name="Note 9 6 4" xfId="2264"/>
    <cellStyle name="Note 9 6 4 2" xfId="11592"/>
    <cellStyle name="Note 9 6 4 3" xfId="16002"/>
    <cellStyle name="Note 9 6 4_Table" xfId="7510"/>
    <cellStyle name="Note 9 6 5" xfId="2702"/>
    <cellStyle name="Note 9 6 5 2" xfId="12030"/>
    <cellStyle name="Note 9 6 5 3" xfId="16440"/>
    <cellStyle name="Note 9 6 5_Table" xfId="7511"/>
    <cellStyle name="Note 9 6 6" xfId="3109"/>
    <cellStyle name="Note 9 6 6 2" xfId="12437"/>
    <cellStyle name="Note 9 6 6 3" xfId="16847"/>
    <cellStyle name="Note 9 6 6_Table" xfId="7512"/>
    <cellStyle name="Note 9 6 7" xfId="3701"/>
    <cellStyle name="Note 9 6 7 2" xfId="13029"/>
    <cellStyle name="Note 9 6 7 3" xfId="17439"/>
    <cellStyle name="Note 9 6 7_Table" xfId="7513"/>
    <cellStyle name="Note 9 6 8" xfId="3926"/>
    <cellStyle name="Note 9 6 8 2" xfId="13254"/>
    <cellStyle name="Note 9 6 8 3" xfId="17664"/>
    <cellStyle name="Note 9 6 8_Table" xfId="7514"/>
    <cellStyle name="Note 9 6 9" xfId="4287"/>
    <cellStyle name="Note 9 6 9 2" xfId="13615"/>
    <cellStyle name="Note 9 6 9 3" xfId="18025"/>
    <cellStyle name="Note 9 6 9_Table" xfId="7515"/>
    <cellStyle name="Note 9 6_Table" xfId="7506"/>
    <cellStyle name="Note 9 7" xfId="1182"/>
    <cellStyle name="Note 9 7 2" xfId="10510"/>
    <cellStyle name="Note 9 7 3" xfId="14920"/>
    <cellStyle name="Note 9 7_Table" xfId="7516"/>
    <cellStyle name="Note 9 8" xfId="1062"/>
    <cellStyle name="Note 9 8 2" xfId="10390"/>
    <cellStyle name="Note 9 8 3" xfId="14800"/>
    <cellStyle name="Note 9 8_Table" xfId="7517"/>
    <cellStyle name="Note 9 9" xfId="1374"/>
    <cellStyle name="Note 9 9 2" xfId="10702"/>
    <cellStyle name="Note 9 9 3" xfId="15112"/>
    <cellStyle name="Note 9 9_Table" xfId="7518"/>
    <cellStyle name="Note 9_Table" xfId="7419"/>
    <cellStyle name="Output 10" xfId="349"/>
    <cellStyle name="Output 10 10" xfId="963"/>
    <cellStyle name="Output 10 10 2" xfId="10291"/>
    <cellStyle name="Output 10 10 3" xfId="14701"/>
    <cellStyle name="Output 10 10_Table" xfId="7520"/>
    <cellStyle name="Output 10 11" xfId="2042"/>
    <cellStyle name="Output 10 11 2" xfId="11370"/>
    <cellStyle name="Output 10 11 3" xfId="15780"/>
    <cellStyle name="Output 10 11_Table" xfId="7521"/>
    <cellStyle name="Output 10 12" xfId="2474"/>
    <cellStyle name="Output 10 12 2" xfId="11802"/>
    <cellStyle name="Output 10 12 3" xfId="16212"/>
    <cellStyle name="Output 10 12_Table" xfId="7522"/>
    <cellStyle name="Output 10 13" xfId="3620"/>
    <cellStyle name="Output 10 13 2" xfId="12948"/>
    <cellStyle name="Output 10 13 3" xfId="17358"/>
    <cellStyle name="Output 10 13_Table" xfId="7523"/>
    <cellStyle name="Output 10 14" xfId="2910"/>
    <cellStyle name="Output 10 14 2" xfId="12238"/>
    <cellStyle name="Output 10 14 3" xfId="16648"/>
    <cellStyle name="Output 10 14_Table" xfId="7524"/>
    <cellStyle name="Output 10 15" xfId="3430"/>
    <cellStyle name="Output 10 15 2" xfId="12758"/>
    <cellStyle name="Output 10 15 3" xfId="17168"/>
    <cellStyle name="Output 10 15_Table" xfId="7525"/>
    <cellStyle name="Output 10 16" xfId="9677"/>
    <cellStyle name="Output 10 17" xfId="14202"/>
    <cellStyle name="Output 10 2" xfId="420"/>
    <cellStyle name="Output 10 2 10" xfId="2957"/>
    <cellStyle name="Output 10 2 10 2" xfId="12285"/>
    <cellStyle name="Output 10 2 10 3" xfId="16695"/>
    <cellStyle name="Output 10 2 10_Table" xfId="7527"/>
    <cellStyle name="Output 10 2 11" xfId="3451"/>
    <cellStyle name="Output 10 2 11 2" xfId="12779"/>
    <cellStyle name="Output 10 2 11 3" xfId="17189"/>
    <cellStyle name="Output 10 2 11_Table" xfId="7528"/>
    <cellStyle name="Output 10 2 12" xfId="9748"/>
    <cellStyle name="Output 10 2 13" xfId="14247"/>
    <cellStyle name="Output 10 2 2" xfId="734"/>
    <cellStyle name="Output 10 2 2 10" xfId="4694"/>
    <cellStyle name="Output 10 2 2 10 2" xfId="14022"/>
    <cellStyle name="Output 10 2 2 10 3" xfId="18432"/>
    <cellStyle name="Output 10 2 2 10_Table" xfId="7530"/>
    <cellStyle name="Output 10 2 2 11" xfId="10062"/>
    <cellStyle name="Output 10 2 2 12" xfId="14472"/>
    <cellStyle name="Output 10 2 2 2" xfId="1520"/>
    <cellStyle name="Output 10 2 2 2 2" xfId="10848"/>
    <cellStyle name="Output 10 2 2 2 3" xfId="15258"/>
    <cellStyle name="Output 10 2 2 2_Table" xfId="7531"/>
    <cellStyle name="Output 10 2 2 3" xfId="1880"/>
    <cellStyle name="Output 10 2 2 3 2" xfId="11208"/>
    <cellStyle name="Output 10 2 2 3 3" xfId="15618"/>
    <cellStyle name="Output 10 2 2 3_Table" xfId="7532"/>
    <cellStyle name="Output 10 2 2 4" xfId="2310"/>
    <cellStyle name="Output 10 2 2 4 2" xfId="11638"/>
    <cellStyle name="Output 10 2 2 4 3" xfId="16048"/>
    <cellStyle name="Output 10 2 2 4_Table" xfId="7533"/>
    <cellStyle name="Output 10 2 2 5" xfId="2748"/>
    <cellStyle name="Output 10 2 2 5 2" xfId="12076"/>
    <cellStyle name="Output 10 2 2 5 3" xfId="16486"/>
    <cellStyle name="Output 10 2 2 5_Table" xfId="7534"/>
    <cellStyle name="Output 10 2 2 6" xfId="3155"/>
    <cellStyle name="Output 10 2 2 6 2" xfId="12483"/>
    <cellStyle name="Output 10 2 2 6 3" xfId="16893"/>
    <cellStyle name="Output 10 2 2 6_Table" xfId="7535"/>
    <cellStyle name="Output 10 2 2 7" xfId="3747"/>
    <cellStyle name="Output 10 2 2 7 2" xfId="13075"/>
    <cellStyle name="Output 10 2 2 7 3" xfId="17485"/>
    <cellStyle name="Output 10 2 2 7_Table" xfId="7536"/>
    <cellStyle name="Output 10 2 2 8" xfId="3972"/>
    <cellStyle name="Output 10 2 2 8 2" xfId="13300"/>
    <cellStyle name="Output 10 2 2 8 3" xfId="17710"/>
    <cellStyle name="Output 10 2 2 8_Table" xfId="7537"/>
    <cellStyle name="Output 10 2 2 9" xfId="4333"/>
    <cellStyle name="Output 10 2 2 9 2" xfId="13661"/>
    <cellStyle name="Output 10 2 2 9 3" xfId="18071"/>
    <cellStyle name="Output 10 2 2 9_Table" xfId="7538"/>
    <cellStyle name="Output 10 2 2_Table" xfId="7529"/>
    <cellStyle name="Output 10 2 3" xfId="1234"/>
    <cellStyle name="Output 10 2 3 2" xfId="10562"/>
    <cellStyle name="Output 10 2 3 3" xfId="14972"/>
    <cellStyle name="Output 10 2 3_Table" xfId="7539"/>
    <cellStyle name="Output 10 2 4" xfId="992"/>
    <cellStyle name="Output 10 2 4 2" xfId="10320"/>
    <cellStyle name="Output 10 2 4 3" xfId="14730"/>
    <cellStyle name="Output 10 2 4_Table" xfId="7540"/>
    <cellStyle name="Output 10 2 5" xfId="1387"/>
    <cellStyle name="Output 10 2 5 2" xfId="10715"/>
    <cellStyle name="Output 10 2 5 3" xfId="15125"/>
    <cellStyle name="Output 10 2 5_Table" xfId="7541"/>
    <cellStyle name="Output 10 2 6" xfId="1026"/>
    <cellStyle name="Output 10 2 6 2" xfId="10354"/>
    <cellStyle name="Output 10 2 6 3" xfId="14764"/>
    <cellStyle name="Output 10 2 6_Table" xfId="7542"/>
    <cellStyle name="Output 10 2 7" xfId="1367"/>
    <cellStyle name="Output 10 2 7 2" xfId="10695"/>
    <cellStyle name="Output 10 2 7 3" xfId="15105"/>
    <cellStyle name="Output 10 2 7_Table" xfId="7543"/>
    <cellStyle name="Output 10 2 8" xfId="896"/>
    <cellStyle name="Output 10 2 8 2" xfId="10224"/>
    <cellStyle name="Output 10 2 8 3" xfId="14634"/>
    <cellStyle name="Output 10 2 8_Table" xfId="7544"/>
    <cellStyle name="Output 10 2 9" xfId="2958"/>
    <cellStyle name="Output 10 2 9 2" xfId="12286"/>
    <cellStyle name="Output 10 2 9 3" xfId="16696"/>
    <cellStyle name="Output 10 2 9_Table" xfId="7545"/>
    <cellStyle name="Output 10 2_Table" xfId="7526"/>
    <cellStyle name="Output 10 3" xfId="488"/>
    <cellStyle name="Output 10 3 10" xfId="4153"/>
    <cellStyle name="Output 10 3 10 2" xfId="13481"/>
    <cellStyle name="Output 10 3 10 3" xfId="17891"/>
    <cellStyle name="Output 10 3 10_Table" xfId="7547"/>
    <cellStyle name="Output 10 3 11" xfId="4514"/>
    <cellStyle name="Output 10 3 11 2" xfId="13842"/>
    <cellStyle name="Output 10 3 11 3" xfId="18252"/>
    <cellStyle name="Output 10 3 11_Table" xfId="7548"/>
    <cellStyle name="Output 10 3 12" xfId="9816"/>
    <cellStyle name="Output 10 3 13" xfId="14292"/>
    <cellStyle name="Output 10 3 2" xfId="779"/>
    <cellStyle name="Output 10 3 2 10" xfId="4739"/>
    <cellStyle name="Output 10 3 2 10 2" xfId="14067"/>
    <cellStyle name="Output 10 3 2 10 3" xfId="18477"/>
    <cellStyle name="Output 10 3 2 10_Table" xfId="7550"/>
    <cellStyle name="Output 10 3 2 11" xfId="10107"/>
    <cellStyle name="Output 10 3 2 12" xfId="14517"/>
    <cellStyle name="Output 10 3 2 2" xfId="1565"/>
    <cellStyle name="Output 10 3 2 2 2" xfId="10893"/>
    <cellStyle name="Output 10 3 2 2 3" xfId="15303"/>
    <cellStyle name="Output 10 3 2 2_Table" xfId="7551"/>
    <cellStyle name="Output 10 3 2 3" xfId="1925"/>
    <cellStyle name="Output 10 3 2 3 2" xfId="11253"/>
    <cellStyle name="Output 10 3 2 3 3" xfId="15663"/>
    <cellStyle name="Output 10 3 2 3_Table" xfId="7552"/>
    <cellStyle name="Output 10 3 2 4" xfId="2355"/>
    <cellStyle name="Output 10 3 2 4 2" xfId="11683"/>
    <cellStyle name="Output 10 3 2 4 3" xfId="16093"/>
    <cellStyle name="Output 10 3 2 4_Table" xfId="7553"/>
    <cellStyle name="Output 10 3 2 5" xfId="2793"/>
    <cellStyle name="Output 10 3 2 5 2" xfId="12121"/>
    <cellStyle name="Output 10 3 2 5 3" xfId="16531"/>
    <cellStyle name="Output 10 3 2 5_Table" xfId="7554"/>
    <cellStyle name="Output 10 3 2 6" xfId="3200"/>
    <cellStyle name="Output 10 3 2 6 2" xfId="12528"/>
    <cellStyle name="Output 10 3 2 6 3" xfId="16938"/>
    <cellStyle name="Output 10 3 2 6_Table" xfId="7555"/>
    <cellStyle name="Output 10 3 2 7" xfId="3792"/>
    <cellStyle name="Output 10 3 2 7 2" xfId="13120"/>
    <cellStyle name="Output 10 3 2 7 3" xfId="17530"/>
    <cellStyle name="Output 10 3 2 7_Table" xfId="7556"/>
    <cellStyle name="Output 10 3 2 8" xfId="4017"/>
    <cellStyle name="Output 10 3 2 8 2" xfId="13345"/>
    <cellStyle name="Output 10 3 2 8 3" xfId="17755"/>
    <cellStyle name="Output 10 3 2 8_Table" xfId="7557"/>
    <cellStyle name="Output 10 3 2 9" xfId="4378"/>
    <cellStyle name="Output 10 3 2 9 2" xfId="13706"/>
    <cellStyle name="Output 10 3 2 9 3" xfId="18116"/>
    <cellStyle name="Output 10 3 2 9_Table" xfId="7558"/>
    <cellStyle name="Output 10 3 2_Table" xfId="7549"/>
    <cellStyle name="Output 10 3 3" xfId="1291"/>
    <cellStyle name="Output 10 3 3 2" xfId="10619"/>
    <cellStyle name="Output 10 3 3 3" xfId="15029"/>
    <cellStyle name="Output 10 3 3_Table" xfId="7559"/>
    <cellStyle name="Output 10 3 4" xfId="926"/>
    <cellStyle name="Output 10 3 4 2" xfId="10254"/>
    <cellStyle name="Output 10 3 4 3" xfId="14664"/>
    <cellStyle name="Output 10 3 4_Table" xfId="7560"/>
    <cellStyle name="Output 10 3 5" xfId="2079"/>
    <cellStyle name="Output 10 3 5 2" xfId="11407"/>
    <cellStyle name="Output 10 3 5 3" xfId="15817"/>
    <cellStyle name="Output 10 3 5_Table" xfId="7561"/>
    <cellStyle name="Output 10 3 6" xfId="2511"/>
    <cellStyle name="Output 10 3 6 2" xfId="11839"/>
    <cellStyle name="Output 10 3 6 3" xfId="16249"/>
    <cellStyle name="Output 10 3 6_Table" xfId="7562"/>
    <cellStyle name="Output 10 3 7" xfId="2939"/>
    <cellStyle name="Output 10 3 7 2" xfId="12267"/>
    <cellStyle name="Output 10 3 7 3" xfId="16677"/>
    <cellStyle name="Output 10 3 7_Table" xfId="7563"/>
    <cellStyle name="Output 10 3 8" xfId="3352"/>
    <cellStyle name="Output 10 3 8 2" xfId="12680"/>
    <cellStyle name="Output 10 3 8 3" xfId="17090"/>
    <cellStyle name="Output 10 3 8_Table" xfId="7564"/>
    <cellStyle name="Output 10 3 9" xfId="3505"/>
    <cellStyle name="Output 10 3 9 2" xfId="12833"/>
    <cellStyle name="Output 10 3 9 3" xfId="17243"/>
    <cellStyle name="Output 10 3 9_Table" xfId="7565"/>
    <cellStyle name="Output 10 3_Table" xfId="7546"/>
    <cellStyle name="Output 10 4" xfId="552"/>
    <cellStyle name="Output 10 4 10" xfId="4198"/>
    <cellStyle name="Output 10 4 10 2" xfId="13526"/>
    <cellStyle name="Output 10 4 10 3" xfId="17936"/>
    <cellStyle name="Output 10 4 10_Table" xfId="7567"/>
    <cellStyle name="Output 10 4 11" xfId="4559"/>
    <cellStyle name="Output 10 4 11 2" xfId="13887"/>
    <cellStyle name="Output 10 4 11 3" xfId="18297"/>
    <cellStyle name="Output 10 4 11_Table" xfId="7568"/>
    <cellStyle name="Output 10 4 12" xfId="9880"/>
    <cellStyle name="Output 10 4 13" xfId="14337"/>
    <cellStyle name="Output 10 4 2" xfId="824"/>
    <cellStyle name="Output 10 4 2 10" xfId="4784"/>
    <cellStyle name="Output 10 4 2 10 2" xfId="14112"/>
    <cellStyle name="Output 10 4 2 10 3" xfId="18522"/>
    <cellStyle name="Output 10 4 2 10_Table" xfId="7570"/>
    <cellStyle name="Output 10 4 2 11" xfId="10152"/>
    <cellStyle name="Output 10 4 2 12" xfId="14562"/>
    <cellStyle name="Output 10 4 2 2" xfId="1610"/>
    <cellStyle name="Output 10 4 2 2 2" xfId="10938"/>
    <cellStyle name="Output 10 4 2 2 3" xfId="15348"/>
    <cellStyle name="Output 10 4 2 2_Table" xfId="7571"/>
    <cellStyle name="Output 10 4 2 3" xfId="1970"/>
    <cellStyle name="Output 10 4 2 3 2" xfId="11298"/>
    <cellStyle name="Output 10 4 2 3 3" xfId="15708"/>
    <cellStyle name="Output 10 4 2 3_Table" xfId="7572"/>
    <cellStyle name="Output 10 4 2 4" xfId="2400"/>
    <cellStyle name="Output 10 4 2 4 2" xfId="11728"/>
    <cellStyle name="Output 10 4 2 4 3" xfId="16138"/>
    <cellStyle name="Output 10 4 2 4_Table" xfId="7573"/>
    <cellStyle name="Output 10 4 2 5" xfId="2838"/>
    <cellStyle name="Output 10 4 2 5 2" xfId="12166"/>
    <cellStyle name="Output 10 4 2 5 3" xfId="16576"/>
    <cellStyle name="Output 10 4 2 5_Table" xfId="7574"/>
    <cellStyle name="Output 10 4 2 6" xfId="3245"/>
    <cellStyle name="Output 10 4 2 6 2" xfId="12573"/>
    <cellStyle name="Output 10 4 2 6 3" xfId="16983"/>
    <cellStyle name="Output 10 4 2 6_Table" xfId="7575"/>
    <cellStyle name="Output 10 4 2 7" xfId="3837"/>
    <cellStyle name="Output 10 4 2 7 2" xfId="13165"/>
    <cellStyle name="Output 10 4 2 7 3" xfId="17575"/>
    <cellStyle name="Output 10 4 2 7_Table" xfId="7576"/>
    <cellStyle name="Output 10 4 2 8" xfId="4062"/>
    <cellStyle name="Output 10 4 2 8 2" xfId="13390"/>
    <cellStyle name="Output 10 4 2 8 3" xfId="17800"/>
    <cellStyle name="Output 10 4 2 8_Table" xfId="7577"/>
    <cellStyle name="Output 10 4 2 9" xfId="4423"/>
    <cellStyle name="Output 10 4 2 9 2" xfId="13751"/>
    <cellStyle name="Output 10 4 2 9 3" xfId="18161"/>
    <cellStyle name="Output 10 4 2 9_Table" xfId="7578"/>
    <cellStyle name="Output 10 4 2_Table" xfId="7569"/>
    <cellStyle name="Output 10 4 3" xfId="1347"/>
    <cellStyle name="Output 10 4 3 2" xfId="10675"/>
    <cellStyle name="Output 10 4 3 3" xfId="15085"/>
    <cellStyle name="Output 10 4 3_Table" xfId="7579"/>
    <cellStyle name="Output 10 4 4" xfId="1704"/>
    <cellStyle name="Output 10 4 4 2" xfId="11032"/>
    <cellStyle name="Output 10 4 4 3" xfId="15442"/>
    <cellStyle name="Output 10 4 4_Table" xfId="7580"/>
    <cellStyle name="Output 10 4 5" xfId="2138"/>
    <cellStyle name="Output 10 4 5 2" xfId="11466"/>
    <cellStyle name="Output 10 4 5 3" xfId="15876"/>
    <cellStyle name="Output 10 4 5_Table" xfId="7581"/>
    <cellStyle name="Output 10 4 6" xfId="2570"/>
    <cellStyle name="Output 10 4 6 2" xfId="11898"/>
    <cellStyle name="Output 10 4 6 3" xfId="16308"/>
    <cellStyle name="Output 10 4 6_Table" xfId="7582"/>
    <cellStyle name="Output 10 4 7" xfId="2996"/>
    <cellStyle name="Output 10 4 7 2" xfId="12324"/>
    <cellStyle name="Output 10 4 7 3" xfId="16734"/>
    <cellStyle name="Output 10 4 7_Table" xfId="7583"/>
    <cellStyle name="Output 10 4 8" xfId="3410"/>
    <cellStyle name="Output 10 4 8 2" xfId="12738"/>
    <cellStyle name="Output 10 4 8 3" xfId="17148"/>
    <cellStyle name="Output 10 4 8_Table" xfId="7584"/>
    <cellStyle name="Output 10 4 9" xfId="3596"/>
    <cellStyle name="Output 10 4 9 2" xfId="12924"/>
    <cellStyle name="Output 10 4 9 3" xfId="17334"/>
    <cellStyle name="Output 10 4 9_Table" xfId="7585"/>
    <cellStyle name="Output 10 4_Table" xfId="7566"/>
    <cellStyle name="Output 10 5" xfId="627"/>
    <cellStyle name="Output 10 5 10" xfId="4243"/>
    <cellStyle name="Output 10 5 10 2" xfId="13571"/>
    <cellStyle name="Output 10 5 10 3" xfId="17981"/>
    <cellStyle name="Output 10 5 10_Table" xfId="7587"/>
    <cellStyle name="Output 10 5 11" xfId="4604"/>
    <cellStyle name="Output 10 5 11 2" xfId="13932"/>
    <cellStyle name="Output 10 5 11 3" xfId="18342"/>
    <cellStyle name="Output 10 5 11_Table" xfId="7588"/>
    <cellStyle name="Output 10 5 12" xfId="9955"/>
    <cellStyle name="Output 10 5 13" xfId="14382"/>
    <cellStyle name="Output 10 5 2" xfId="869"/>
    <cellStyle name="Output 10 5 2 10" xfId="4829"/>
    <cellStyle name="Output 10 5 2 10 2" xfId="14157"/>
    <cellStyle name="Output 10 5 2 10 3" xfId="18567"/>
    <cellStyle name="Output 10 5 2 10_Table" xfId="7590"/>
    <cellStyle name="Output 10 5 2 11" xfId="10197"/>
    <cellStyle name="Output 10 5 2 12" xfId="14607"/>
    <cellStyle name="Output 10 5 2 2" xfId="1655"/>
    <cellStyle name="Output 10 5 2 2 2" xfId="10983"/>
    <cellStyle name="Output 10 5 2 2 3" xfId="15393"/>
    <cellStyle name="Output 10 5 2 2_Table" xfId="7591"/>
    <cellStyle name="Output 10 5 2 3" xfId="2015"/>
    <cellStyle name="Output 10 5 2 3 2" xfId="11343"/>
    <cellStyle name="Output 10 5 2 3 3" xfId="15753"/>
    <cellStyle name="Output 10 5 2 3_Table" xfId="7592"/>
    <cellStyle name="Output 10 5 2 4" xfId="2445"/>
    <cellStyle name="Output 10 5 2 4 2" xfId="11773"/>
    <cellStyle name="Output 10 5 2 4 3" xfId="16183"/>
    <cellStyle name="Output 10 5 2 4_Table" xfId="7593"/>
    <cellStyle name="Output 10 5 2 5" xfId="2883"/>
    <cellStyle name="Output 10 5 2 5 2" xfId="12211"/>
    <cellStyle name="Output 10 5 2 5 3" xfId="16621"/>
    <cellStyle name="Output 10 5 2 5_Table" xfId="7594"/>
    <cellStyle name="Output 10 5 2 6" xfId="3290"/>
    <cellStyle name="Output 10 5 2 6 2" xfId="12618"/>
    <cellStyle name="Output 10 5 2 6 3" xfId="17028"/>
    <cellStyle name="Output 10 5 2 6_Table" xfId="7595"/>
    <cellStyle name="Output 10 5 2 7" xfId="3882"/>
    <cellStyle name="Output 10 5 2 7 2" xfId="13210"/>
    <cellStyle name="Output 10 5 2 7 3" xfId="17620"/>
    <cellStyle name="Output 10 5 2 7_Table" xfId="7596"/>
    <cellStyle name="Output 10 5 2 8" xfId="4107"/>
    <cellStyle name="Output 10 5 2 8 2" xfId="13435"/>
    <cellStyle name="Output 10 5 2 8 3" xfId="17845"/>
    <cellStyle name="Output 10 5 2 8_Table" xfId="7597"/>
    <cellStyle name="Output 10 5 2 9" xfId="4468"/>
    <cellStyle name="Output 10 5 2 9 2" xfId="13796"/>
    <cellStyle name="Output 10 5 2 9 3" xfId="18206"/>
    <cellStyle name="Output 10 5 2 9_Table" xfId="7598"/>
    <cellStyle name="Output 10 5 2_Table" xfId="7589"/>
    <cellStyle name="Output 10 5 3" xfId="1414"/>
    <cellStyle name="Output 10 5 3 2" xfId="10742"/>
    <cellStyle name="Output 10 5 3 3" xfId="15152"/>
    <cellStyle name="Output 10 5 3_Table" xfId="7599"/>
    <cellStyle name="Output 10 5 4" xfId="1774"/>
    <cellStyle name="Output 10 5 4 2" xfId="11102"/>
    <cellStyle name="Output 10 5 4 3" xfId="15512"/>
    <cellStyle name="Output 10 5 4_Table" xfId="7600"/>
    <cellStyle name="Output 10 5 5" xfId="2207"/>
    <cellStyle name="Output 10 5 5 2" xfId="11535"/>
    <cellStyle name="Output 10 5 5 3" xfId="15945"/>
    <cellStyle name="Output 10 5 5_Table" xfId="7601"/>
    <cellStyle name="Output 10 5 6" xfId="2642"/>
    <cellStyle name="Output 10 5 6 2" xfId="11970"/>
    <cellStyle name="Output 10 5 6 3" xfId="16380"/>
    <cellStyle name="Output 10 5 6_Table" xfId="7602"/>
    <cellStyle name="Output 10 5 7" xfId="3055"/>
    <cellStyle name="Output 10 5 7 2" xfId="12383"/>
    <cellStyle name="Output 10 5 7 3" xfId="16793"/>
    <cellStyle name="Output 10 5 7_Table" xfId="7603"/>
    <cellStyle name="Output 10 5 8" xfId="3481"/>
    <cellStyle name="Output 10 5 8 2" xfId="12809"/>
    <cellStyle name="Output 10 5 8 3" xfId="17219"/>
    <cellStyle name="Output 10 5 8_Table" xfId="7604"/>
    <cellStyle name="Output 10 5 9" xfId="3606"/>
    <cellStyle name="Output 10 5 9 2" xfId="12934"/>
    <cellStyle name="Output 10 5 9 3" xfId="17344"/>
    <cellStyle name="Output 10 5 9_Table" xfId="7605"/>
    <cellStyle name="Output 10 5_Table" xfId="7586"/>
    <cellStyle name="Output 10 6" xfId="689"/>
    <cellStyle name="Output 10 6 10" xfId="4649"/>
    <cellStyle name="Output 10 6 10 2" xfId="13977"/>
    <cellStyle name="Output 10 6 10 3" xfId="18387"/>
    <cellStyle name="Output 10 6 10_Table" xfId="7607"/>
    <cellStyle name="Output 10 6 11" xfId="10017"/>
    <cellStyle name="Output 10 6 12" xfId="14427"/>
    <cellStyle name="Output 10 6 2" xfId="1475"/>
    <cellStyle name="Output 10 6 2 2" xfId="10803"/>
    <cellStyle name="Output 10 6 2 3" xfId="15213"/>
    <cellStyle name="Output 10 6 2_Table" xfId="7608"/>
    <cellStyle name="Output 10 6 3" xfId="1835"/>
    <cellStyle name="Output 10 6 3 2" xfId="11163"/>
    <cellStyle name="Output 10 6 3 3" xfId="15573"/>
    <cellStyle name="Output 10 6 3_Table" xfId="7609"/>
    <cellStyle name="Output 10 6 4" xfId="2265"/>
    <cellStyle name="Output 10 6 4 2" xfId="11593"/>
    <cellStyle name="Output 10 6 4 3" xfId="16003"/>
    <cellStyle name="Output 10 6 4_Table" xfId="7610"/>
    <cellStyle name="Output 10 6 5" xfId="2703"/>
    <cellStyle name="Output 10 6 5 2" xfId="12031"/>
    <cellStyle name="Output 10 6 5 3" xfId="16441"/>
    <cellStyle name="Output 10 6 5_Table" xfId="7611"/>
    <cellStyle name="Output 10 6 6" xfId="3110"/>
    <cellStyle name="Output 10 6 6 2" xfId="12438"/>
    <cellStyle name="Output 10 6 6 3" xfId="16848"/>
    <cellStyle name="Output 10 6 6_Table" xfId="7612"/>
    <cellStyle name="Output 10 6 7" xfId="3702"/>
    <cellStyle name="Output 10 6 7 2" xfId="13030"/>
    <cellStyle name="Output 10 6 7 3" xfId="17440"/>
    <cellStyle name="Output 10 6 7_Table" xfId="7613"/>
    <cellStyle name="Output 10 6 8" xfId="3927"/>
    <cellStyle name="Output 10 6 8 2" xfId="13255"/>
    <cellStyle name="Output 10 6 8 3" xfId="17665"/>
    <cellStyle name="Output 10 6 8_Table" xfId="7614"/>
    <cellStyle name="Output 10 6 9" xfId="4288"/>
    <cellStyle name="Output 10 6 9 2" xfId="13616"/>
    <cellStyle name="Output 10 6 9 3" xfId="18026"/>
    <cellStyle name="Output 10 6 9_Table" xfId="7615"/>
    <cellStyle name="Output 10 6_Table" xfId="7606"/>
    <cellStyle name="Output 10 7" xfId="1183"/>
    <cellStyle name="Output 10 7 2" xfId="10511"/>
    <cellStyle name="Output 10 7 3" xfId="14921"/>
    <cellStyle name="Output 10 7_Table" xfId="7616"/>
    <cellStyle name="Output 10 8" xfId="1061"/>
    <cellStyle name="Output 10 8 2" xfId="10389"/>
    <cellStyle name="Output 10 8 3" xfId="14799"/>
    <cellStyle name="Output 10 8_Table" xfId="7617"/>
    <cellStyle name="Output 10 9" xfId="1439"/>
    <cellStyle name="Output 10 9 2" xfId="10767"/>
    <cellStyle name="Output 10 9 3" xfId="15177"/>
    <cellStyle name="Output 10 9_Table" xfId="7618"/>
    <cellStyle name="Output 10_Table" xfId="7519"/>
    <cellStyle name="Output 2" xfId="350"/>
    <cellStyle name="Output 2 10" xfId="959"/>
    <cellStyle name="Output 2 10 2" xfId="10287"/>
    <cellStyle name="Output 2 10 3" xfId="14697"/>
    <cellStyle name="Output 2 10_Table" xfId="7620"/>
    <cellStyle name="Output 2 11" xfId="2045"/>
    <cellStyle name="Output 2 11 2" xfId="11373"/>
    <cellStyle name="Output 2 11 3" xfId="15783"/>
    <cellStyle name="Output 2 11_Table" xfId="7621"/>
    <cellStyle name="Output 2 12" xfId="2477"/>
    <cellStyle name="Output 2 12 2" xfId="11805"/>
    <cellStyle name="Output 2 12 3" xfId="16215"/>
    <cellStyle name="Output 2 12_Table" xfId="7622"/>
    <cellStyle name="Output 2 13" xfId="3652"/>
    <cellStyle name="Output 2 13 2" xfId="12980"/>
    <cellStyle name="Output 2 13 3" xfId="17390"/>
    <cellStyle name="Output 2 13_Table" xfId="7623"/>
    <cellStyle name="Output 2 14" xfId="1793"/>
    <cellStyle name="Output 2 14 2" xfId="11121"/>
    <cellStyle name="Output 2 14 3" xfId="15531"/>
    <cellStyle name="Output 2 14_Table" xfId="7624"/>
    <cellStyle name="Output 2 15" xfId="3314"/>
    <cellStyle name="Output 2 15 2" xfId="12642"/>
    <cellStyle name="Output 2 15 3" xfId="17052"/>
    <cellStyle name="Output 2 15_Table" xfId="7625"/>
    <cellStyle name="Output 2 16" xfId="9678"/>
    <cellStyle name="Output 2 17" xfId="14203"/>
    <cellStyle name="Output 2 2" xfId="421"/>
    <cellStyle name="Output 2 2 10" xfId="1395"/>
    <cellStyle name="Output 2 2 10 2" xfId="10723"/>
    <cellStyle name="Output 2 2 10 3" xfId="15133"/>
    <cellStyle name="Output 2 2 10_Table" xfId="7627"/>
    <cellStyle name="Output 2 2 11" xfId="3587"/>
    <cellStyle name="Output 2 2 11 2" xfId="12915"/>
    <cellStyle name="Output 2 2 11 3" xfId="17325"/>
    <cellStyle name="Output 2 2 11_Table" xfId="7628"/>
    <cellStyle name="Output 2 2 12" xfId="9749"/>
    <cellStyle name="Output 2 2 13" xfId="14248"/>
    <cellStyle name="Output 2 2 2" xfId="735"/>
    <cellStyle name="Output 2 2 2 10" xfId="4695"/>
    <cellStyle name="Output 2 2 2 10 2" xfId="14023"/>
    <cellStyle name="Output 2 2 2 10 3" xfId="18433"/>
    <cellStyle name="Output 2 2 2 10_Table" xfId="7630"/>
    <cellStyle name="Output 2 2 2 11" xfId="10063"/>
    <cellStyle name="Output 2 2 2 12" xfId="14473"/>
    <cellStyle name="Output 2 2 2 2" xfId="1521"/>
    <cellStyle name="Output 2 2 2 2 2" xfId="10849"/>
    <cellStyle name="Output 2 2 2 2 3" xfId="15259"/>
    <cellStyle name="Output 2 2 2 2_Table" xfId="7631"/>
    <cellStyle name="Output 2 2 2 3" xfId="1881"/>
    <cellStyle name="Output 2 2 2 3 2" xfId="11209"/>
    <cellStyle name="Output 2 2 2 3 3" xfId="15619"/>
    <cellStyle name="Output 2 2 2 3_Table" xfId="7632"/>
    <cellStyle name="Output 2 2 2 4" xfId="2311"/>
    <cellStyle name="Output 2 2 2 4 2" xfId="11639"/>
    <cellStyle name="Output 2 2 2 4 3" xfId="16049"/>
    <cellStyle name="Output 2 2 2 4_Table" xfId="7633"/>
    <cellStyle name="Output 2 2 2 5" xfId="2749"/>
    <cellStyle name="Output 2 2 2 5 2" xfId="12077"/>
    <cellStyle name="Output 2 2 2 5 3" xfId="16487"/>
    <cellStyle name="Output 2 2 2 5_Table" xfId="7634"/>
    <cellStyle name="Output 2 2 2 6" xfId="3156"/>
    <cellStyle name="Output 2 2 2 6 2" xfId="12484"/>
    <cellStyle name="Output 2 2 2 6 3" xfId="16894"/>
    <cellStyle name="Output 2 2 2 6_Table" xfId="7635"/>
    <cellStyle name="Output 2 2 2 7" xfId="3748"/>
    <cellStyle name="Output 2 2 2 7 2" xfId="13076"/>
    <cellStyle name="Output 2 2 2 7 3" xfId="17486"/>
    <cellStyle name="Output 2 2 2 7_Table" xfId="7636"/>
    <cellStyle name="Output 2 2 2 8" xfId="3973"/>
    <cellStyle name="Output 2 2 2 8 2" xfId="13301"/>
    <cellStyle name="Output 2 2 2 8 3" xfId="17711"/>
    <cellStyle name="Output 2 2 2 8_Table" xfId="7637"/>
    <cellStyle name="Output 2 2 2 9" xfId="4334"/>
    <cellStyle name="Output 2 2 2 9 2" xfId="13662"/>
    <cellStyle name="Output 2 2 2 9 3" xfId="18072"/>
    <cellStyle name="Output 2 2 2 9_Table" xfId="7638"/>
    <cellStyle name="Output 2 2 2_Table" xfId="7629"/>
    <cellStyle name="Output 2 2 3" xfId="1235"/>
    <cellStyle name="Output 2 2 3 2" xfId="10563"/>
    <cellStyle name="Output 2 2 3 3" xfId="14973"/>
    <cellStyle name="Output 2 2 3_Table" xfId="7639"/>
    <cellStyle name="Output 2 2 4" xfId="991"/>
    <cellStyle name="Output 2 2 4 2" xfId="10319"/>
    <cellStyle name="Output 2 2 4 3" xfId="14729"/>
    <cellStyle name="Output 2 2 4_Table" xfId="7640"/>
    <cellStyle name="Output 2 2 5" xfId="1261"/>
    <cellStyle name="Output 2 2 5 2" xfId="10589"/>
    <cellStyle name="Output 2 2 5 3" xfId="14999"/>
    <cellStyle name="Output 2 2 5_Table" xfId="7641"/>
    <cellStyle name="Output 2 2 6" xfId="1072"/>
    <cellStyle name="Output 2 2 6 2" xfId="10400"/>
    <cellStyle name="Output 2 2 6 3" xfId="14810"/>
    <cellStyle name="Output 2 2 6_Table" xfId="7642"/>
    <cellStyle name="Output 2 2 7" xfId="1392"/>
    <cellStyle name="Output 2 2 7 2" xfId="10720"/>
    <cellStyle name="Output 2 2 7 3" xfId="15130"/>
    <cellStyle name="Output 2 2 7_Table" xfId="7643"/>
    <cellStyle name="Output 2 2 8" xfId="1807"/>
    <cellStyle name="Output 2 2 8 2" xfId="11135"/>
    <cellStyle name="Output 2 2 8 3" xfId="15545"/>
    <cellStyle name="Output 2 2 8_Table" xfId="7644"/>
    <cellStyle name="Output 2 2 9" xfId="2156"/>
    <cellStyle name="Output 2 2 9 2" xfId="11484"/>
    <cellStyle name="Output 2 2 9 3" xfId="15894"/>
    <cellStyle name="Output 2 2 9_Table" xfId="7645"/>
    <cellStyle name="Output 2 2_Table" xfId="7626"/>
    <cellStyle name="Output 2 3" xfId="489"/>
    <cellStyle name="Output 2 3 10" xfId="4154"/>
    <cellStyle name="Output 2 3 10 2" xfId="13482"/>
    <cellStyle name="Output 2 3 10 3" xfId="17892"/>
    <cellStyle name="Output 2 3 10_Table" xfId="7647"/>
    <cellStyle name="Output 2 3 11" xfId="4515"/>
    <cellStyle name="Output 2 3 11 2" xfId="13843"/>
    <cellStyle name="Output 2 3 11 3" xfId="18253"/>
    <cellStyle name="Output 2 3 11_Table" xfId="7648"/>
    <cellStyle name="Output 2 3 12" xfId="9817"/>
    <cellStyle name="Output 2 3 13" xfId="14293"/>
    <cellStyle name="Output 2 3 2" xfId="780"/>
    <cellStyle name="Output 2 3 2 10" xfId="4740"/>
    <cellStyle name="Output 2 3 2 10 2" xfId="14068"/>
    <cellStyle name="Output 2 3 2 10 3" xfId="18478"/>
    <cellStyle name="Output 2 3 2 10_Table" xfId="7650"/>
    <cellStyle name="Output 2 3 2 11" xfId="10108"/>
    <cellStyle name="Output 2 3 2 12" xfId="14518"/>
    <cellStyle name="Output 2 3 2 2" xfId="1566"/>
    <cellStyle name="Output 2 3 2 2 2" xfId="10894"/>
    <cellStyle name="Output 2 3 2 2 3" xfId="15304"/>
    <cellStyle name="Output 2 3 2 2_Table" xfId="7651"/>
    <cellStyle name="Output 2 3 2 3" xfId="1926"/>
    <cellStyle name="Output 2 3 2 3 2" xfId="11254"/>
    <cellStyle name="Output 2 3 2 3 3" xfId="15664"/>
    <cellStyle name="Output 2 3 2 3_Table" xfId="7652"/>
    <cellStyle name="Output 2 3 2 4" xfId="2356"/>
    <cellStyle name="Output 2 3 2 4 2" xfId="11684"/>
    <cellStyle name="Output 2 3 2 4 3" xfId="16094"/>
    <cellStyle name="Output 2 3 2 4_Table" xfId="7653"/>
    <cellStyle name="Output 2 3 2 5" xfId="2794"/>
    <cellStyle name="Output 2 3 2 5 2" xfId="12122"/>
    <cellStyle name="Output 2 3 2 5 3" xfId="16532"/>
    <cellStyle name="Output 2 3 2 5_Table" xfId="7654"/>
    <cellStyle name="Output 2 3 2 6" xfId="3201"/>
    <cellStyle name="Output 2 3 2 6 2" xfId="12529"/>
    <cellStyle name="Output 2 3 2 6 3" xfId="16939"/>
    <cellStyle name="Output 2 3 2 6_Table" xfId="7655"/>
    <cellStyle name="Output 2 3 2 7" xfId="3793"/>
    <cellStyle name="Output 2 3 2 7 2" xfId="13121"/>
    <cellStyle name="Output 2 3 2 7 3" xfId="17531"/>
    <cellStyle name="Output 2 3 2 7_Table" xfId="7656"/>
    <cellStyle name="Output 2 3 2 8" xfId="4018"/>
    <cellStyle name="Output 2 3 2 8 2" xfId="13346"/>
    <cellStyle name="Output 2 3 2 8 3" xfId="17756"/>
    <cellStyle name="Output 2 3 2 8_Table" xfId="7657"/>
    <cellStyle name="Output 2 3 2 9" xfId="4379"/>
    <cellStyle name="Output 2 3 2 9 2" xfId="13707"/>
    <cellStyle name="Output 2 3 2 9 3" xfId="18117"/>
    <cellStyle name="Output 2 3 2 9_Table" xfId="7658"/>
    <cellStyle name="Output 2 3 2_Table" xfId="7649"/>
    <cellStyle name="Output 2 3 3" xfId="1292"/>
    <cellStyle name="Output 2 3 3 2" xfId="10620"/>
    <cellStyle name="Output 2 3 3 3" xfId="15030"/>
    <cellStyle name="Output 2 3 3_Table" xfId="7659"/>
    <cellStyle name="Output 2 3 4" xfId="925"/>
    <cellStyle name="Output 2 3 4 2" xfId="10253"/>
    <cellStyle name="Output 2 3 4 3" xfId="14663"/>
    <cellStyle name="Output 2 3 4_Table" xfId="7660"/>
    <cellStyle name="Output 2 3 5" xfId="2080"/>
    <cellStyle name="Output 2 3 5 2" xfId="11408"/>
    <cellStyle name="Output 2 3 5 3" xfId="15818"/>
    <cellStyle name="Output 2 3 5_Table" xfId="7661"/>
    <cellStyle name="Output 2 3 6" xfId="2512"/>
    <cellStyle name="Output 2 3 6 2" xfId="11840"/>
    <cellStyle name="Output 2 3 6 3" xfId="16250"/>
    <cellStyle name="Output 2 3 6_Table" xfId="7662"/>
    <cellStyle name="Output 2 3 7" xfId="2940"/>
    <cellStyle name="Output 2 3 7 2" xfId="12268"/>
    <cellStyle name="Output 2 3 7 3" xfId="16678"/>
    <cellStyle name="Output 2 3 7_Table" xfId="7663"/>
    <cellStyle name="Output 2 3 8" xfId="3353"/>
    <cellStyle name="Output 2 3 8 2" xfId="12681"/>
    <cellStyle name="Output 2 3 8 3" xfId="17091"/>
    <cellStyle name="Output 2 3 8_Table" xfId="7664"/>
    <cellStyle name="Output 2 3 9" xfId="3342"/>
    <cellStyle name="Output 2 3 9 2" xfId="12670"/>
    <cellStyle name="Output 2 3 9 3" xfId="17080"/>
    <cellStyle name="Output 2 3 9_Table" xfId="7665"/>
    <cellStyle name="Output 2 3_Table" xfId="7646"/>
    <cellStyle name="Output 2 4" xfId="553"/>
    <cellStyle name="Output 2 4 10" xfId="4199"/>
    <cellStyle name="Output 2 4 10 2" xfId="13527"/>
    <cellStyle name="Output 2 4 10 3" xfId="17937"/>
    <cellStyle name="Output 2 4 10_Table" xfId="7667"/>
    <cellStyle name="Output 2 4 11" xfId="4560"/>
    <cellStyle name="Output 2 4 11 2" xfId="13888"/>
    <cellStyle name="Output 2 4 11 3" xfId="18298"/>
    <cellStyle name="Output 2 4 11_Table" xfId="7668"/>
    <cellStyle name="Output 2 4 12" xfId="9881"/>
    <cellStyle name="Output 2 4 13" xfId="14338"/>
    <cellStyle name="Output 2 4 2" xfId="825"/>
    <cellStyle name="Output 2 4 2 10" xfId="4785"/>
    <cellStyle name="Output 2 4 2 10 2" xfId="14113"/>
    <cellStyle name="Output 2 4 2 10 3" xfId="18523"/>
    <cellStyle name="Output 2 4 2 10_Table" xfId="7670"/>
    <cellStyle name="Output 2 4 2 11" xfId="10153"/>
    <cellStyle name="Output 2 4 2 12" xfId="14563"/>
    <cellStyle name="Output 2 4 2 2" xfId="1611"/>
    <cellStyle name="Output 2 4 2 2 2" xfId="10939"/>
    <cellStyle name="Output 2 4 2 2 3" xfId="15349"/>
    <cellStyle name="Output 2 4 2 2_Table" xfId="7671"/>
    <cellStyle name="Output 2 4 2 3" xfId="1971"/>
    <cellStyle name="Output 2 4 2 3 2" xfId="11299"/>
    <cellStyle name="Output 2 4 2 3 3" xfId="15709"/>
    <cellStyle name="Output 2 4 2 3_Table" xfId="7672"/>
    <cellStyle name="Output 2 4 2 4" xfId="2401"/>
    <cellStyle name="Output 2 4 2 4 2" xfId="11729"/>
    <cellStyle name="Output 2 4 2 4 3" xfId="16139"/>
    <cellStyle name="Output 2 4 2 4_Table" xfId="7673"/>
    <cellStyle name="Output 2 4 2 5" xfId="2839"/>
    <cellStyle name="Output 2 4 2 5 2" xfId="12167"/>
    <cellStyle name="Output 2 4 2 5 3" xfId="16577"/>
    <cellStyle name="Output 2 4 2 5_Table" xfId="7674"/>
    <cellStyle name="Output 2 4 2 6" xfId="3246"/>
    <cellStyle name="Output 2 4 2 6 2" xfId="12574"/>
    <cellStyle name="Output 2 4 2 6 3" xfId="16984"/>
    <cellStyle name="Output 2 4 2 6_Table" xfId="7675"/>
    <cellStyle name="Output 2 4 2 7" xfId="3838"/>
    <cellStyle name="Output 2 4 2 7 2" xfId="13166"/>
    <cellStyle name="Output 2 4 2 7 3" xfId="17576"/>
    <cellStyle name="Output 2 4 2 7_Table" xfId="7676"/>
    <cellStyle name="Output 2 4 2 8" xfId="4063"/>
    <cellStyle name="Output 2 4 2 8 2" xfId="13391"/>
    <cellStyle name="Output 2 4 2 8 3" xfId="17801"/>
    <cellStyle name="Output 2 4 2 8_Table" xfId="7677"/>
    <cellStyle name="Output 2 4 2 9" xfId="4424"/>
    <cellStyle name="Output 2 4 2 9 2" xfId="13752"/>
    <cellStyle name="Output 2 4 2 9 3" xfId="18162"/>
    <cellStyle name="Output 2 4 2 9_Table" xfId="7678"/>
    <cellStyle name="Output 2 4 2_Table" xfId="7669"/>
    <cellStyle name="Output 2 4 3" xfId="1348"/>
    <cellStyle name="Output 2 4 3 2" xfId="10676"/>
    <cellStyle name="Output 2 4 3 3" xfId="15086"/>
    <cellStyle name="Output 2 4 3_Table" xfId="7679"/>
    <cellStyle name="Output 2 4 4" xfId="1705"/>
    <cellStyle name="Output 2 4 4 2" xfId="11033"/>
    <cellStyle name="Output 2 4 4 3" xfId="15443"/>
    <cellStyle name="Output 2 4 4_Table" xfId="7680"/>
    <cellStyle name="Output 2 4 5" xfId="2139"/>
    <cellStyle name="Output 2 4 5 2" xfId="11467"/>
    <cellStyle name="Output 2 4 5 3" xfId="15877"/>
    <cellStyle name="Output 2 4 5_Table" xfId="7681"/>
    <cellStyle name="Output 2 4 6" xfId="2571"/>
    <cellStyle name="Output 2 4 6 2" xfId="11899"/>
    <cellStyle name="Output 2 4 6 3" xfId="16309"/>
    <cellStyle name="Output 2 4 6_Table" xfId="7682"/>
    <cellStyle name="Output 2 4 7" xfId="2997"/>
    <cellStyle name="Output 2 4 7 2" xfId="12325"/>
    <cellStyle name="Output 2 4 7 3" xfId="16735"/>
    <cellStyle name="Output 2 4 7_Table" xfId="7683"/>
    <cellStyle name="Output 2 4 8" xfId="3411"/>
    <cellStyle name="Output 2 4 8 2" xfId="12739"/>
    <cellStyle name="Output 2 4 8 3" xfId="17149"/>
    <cellStyle name="Output 2 4 8_Table" xfId="7684"/>
    <cellStyle name="Output 2 4 9" xfId="3627"/>
    <cellStyle name="Output 2 4 9 2" xfId="12955"/>
    <cellStyle name="Output 2 4 9 3" xfId="17365"/>
    <cellStyle name="Output 2 4 9_Table" xfId="7685"/>
    <cellStyle name="Output 2 4_Table" xfId="7666"/>
    <cellStyle name="Output 2 5" xfId="628"/>
    <cellStyle name="Output 2 5 10" xfId="4244"/>
    <cellStyle name="Output 2 5 10 2" xfId="13572"/>
    <cellStyle name="Output 2 5 10 3" xfId="17982"/>
    <cellStyle name="Output 2 5 10_Table" xfId="7687"/>
    <cellStyle name="Output 2 5 11" xfId="4605"/>
    <cellStyle name="Output 2 5 11 2" xfId="13933"/>
    <cellStyle name="Output 2 5 11 3" xfId="18343"/>
    <cellStyle name="Output 2 5 11_Table" xfId="7688"/>
    <cellStyle name="Output 2 5 12" xfId="9956"/>
    <cellStyle name="Output 2 5 13" xfId="14383"/>
    <cellStyle name="Output 2 5 2" xfId="870"/>
    <cellStyle name="Output 2 5 2 10" xfId="4830"/>
    <cellStyle name="Output 2 5 2 10 2" xfId="14158"/>
    <cellStyle name="Output 2 5 2 10 3" xfId="18568"/>
    <cellStyle name="Output 2 5 2 10_Table" xfId="7690"/>
    <cellStyle name="Output 2 5 2 11" xfId="10198"/>
    <cellStyle name="Output 2 5 2 12" xfId="14608"/>
    <cellStyle name="Output 2 5 2 2" xfId="1656"/>
    <cellStyle name="Output 2 5 2 2 2" xfId="10984"/>
    <cellStyle name="Output 2 5 2 2 3" xfId="15394"/>
    <cellStyle name="Output 2 5 2 2_Table" xfId="7691"/>
    <cellStyle name="Output 2 5 2 3" xfId="2016"/>
    <cellStyle name="Output 2 5 2 3 2" xfId="11344"/>
    <cellStyle name="Output 2 5 2 3 3" xfId="15754"/>
    <cellStyle name="Output 2 5 2 3_Table" xfId="7692"/>
    <cellStyle name="Output 2 5 2 4" xfId="2446"/>
    <cellStyle name="Output 2 5 2 4 2" xfId="11774"/>
    <cellStyle name="Output 2 5 2 4 3" xfId="16184"/>
    <cellStyle name="Output 2 5 2 4_Table" xfId="7693"/>
    <cellStyle name="Output 2 5 2 5" xfId="2884"/>
    <cellStyle name="Output 2 5 2 5 2" xfId="12212"/>
    <cellStyle name="Output 2 5 2 5 3" xfId="16622"/>
    <cellStyle name="Output 2 5 2 5_Table" xfId="7694"/>
    <cellStyle name="Output 2 5 2 6" xfId="3291"/>
    <cellStyle name="Output 2 5 2 6 2" xfId="12619"/>
    <cellStyle name="Output 2 5 2 6 3" xfId="17029"/>
    <cellStyle name="Output 2 5 2 6_Table" xfId="7695"/>
    <cellStyle name="Output 2 5 2 7" xfId="3883"/>
    <cellStyle name="Output 2 5 2 7 2" xfId="13211"/>
    <cellStyle name="Output 2 5 2 7 3" xfId="17621"/>
    <cellStyle name="Output 2 5 2 7_Table" xfId="7696"/>
    <cellStyle name="Output 2 5 2 8" xfId="4108"/>
    <cellStyle name="Output 2 5 2 8 2" xfId="13436"/>
    <cellStyle name="Output 2 5 2 8 3" xfId="17846"/>
    <cellStyle name="Output 2 5 2 8_Table" xfId="7697"/>
    <cellStyle name="Output 2 5 2 9" xfId="4469"/>
    <cellStyle name="Output 2 5 2 9 2" xfId="13797"/>
    <cellStyle name="Output 2 5 2 9 3" xfId="18207"/>
    <cellStyle name="Output 2 5 2 9_Table" xfId="7698"/>
    <cellStyle name="Output 2 5 2_Table" xfId="7689"/>
    <cellStyle name="Output 2 5 3" xfId="1415"/>
    <cellStyle name="Output 2 5 3 2" xfId="10743"/>
    <cellStyle name="Output 2 5 3 3" xfId="15153"/>
    <cellStyle name="Output 2 5 3_Table" xfId="7699"/>
    <cellStyle name="Output 2 5 4" xfId="1775"/>
    <cellStyle name="Output 2 5 4 2" xfId="11103"/>
    <cellStyle name="Output 2 5 4 3" xfId="15513"/>
    <cellStyle name="Output 2 5 4_Table" xfId="7700"/>
    <cellStyle name="Output 2 5 5" xfId="2208"/>
    <cellStyle name="Output 2 5 5 2" xfId="11536"/>
    <cellStyle name="Output 2 5 5 3" xfId="15946"/>
    <cellStyle name="Output 2 5 5_Table" xfId="7701"/>
    <cellStyle name="Output 2 5 6" xfId="2643"/>
    <cellStyle name="Output 2 5 6 2" xfId="11971"/>
    <cellStyle name="Output 2 5 6 3" xfId="16381"/>
    <cellStyle name="Output 2 5 6_Table" xfId="7702"/>
    <cellStyle name="Output 2 5 7" xfId="3056"/>
    <cellStyle name="Output 2 5 7 2" xfId="12384"/>
    <cellStyle name="Output 2 5 7 3" xfId="16794"/>
    <cellStyle name="Output 2 5 7_Table" xfId="7703"/>
    <cellStyle name="Output 2 5 8" xfId="3482"/>
    <cellStyle name="Output 2 5 8 2" xfId="12810"/>
    <cellStyle name="Output 2 5 8 3" xfId="17220"/>
    <cellStyle name="Output 2 5 8_Table" xfId="7704"/>
    <cellStyle name="Output 2 5 9" xfId="3638"/>
    <cellStyle name="Output 2 5 9 2" xfId="12966"/>
    <cellStyle name="Output 2 5 9 3" xfId="17376"/>
    <cellStyle name="Output 2 5 9_Table" xfId="7705"/>
    <cellStyle name="Output 2 5_Table" xfId="7686"/>
    <cellStyle name="Output 2 6" xfId="690"/>
    <cellStyle name="Output 2 6 10" xfId="4650"/>
    <cellStyle name="Output 2 6 10 2" xfId="13978"/>
    <cellStyle name="Output 2 6 10 3" xfId="18388"/>
    <cellStyle name="Output 2 6 10_Table" xfId="7707"/>
    <cellStyle name="Output 2 6 11" xfId="10018"/>
    <cellStyle name="Output 2 6 12" xfId="14428"/>
    <cellStyle name="Output 2 6 2" xfId="1476"/>
    <cellStyle name="Output 2 6 2 2" xfId="10804"/>
    <cellStyle name="Output 2 6 2 3" xfId="15214"/>
    <cellStyle name="Output 2 6 2_Table" xfId="7708"/>
    <cellStyle name="Output 2 6 3" xfId="1836"/>
    <cellStyle name="Output 2 6 3 2" xfId="11164"/>
    <cellStyle name="Output 2 6 3 3" xfId="15574"/>
    <cellStyle name="Output 2 6 3_Table" xfId="7709"/>
    <cellStyle name="Output 2 6 4" xfId="2266"/>
    <cellStyle name="Output 2 6 4 2" xfId="11594"/>
    <cellStyle name="Output 2 6 4 3" xfId="16004"/>
    <cellStyle name="Output 2 6 4_Table" xfId="7710"/>
    <cellStyle name="Output 2 6 5" xfId="2704"/>
    <cellStyle name="Output 2 6 5 2" xfId="12032"/>
    <cellStyle name="Output 2 6 5 3" xfId="16442"/>
    <cellStyle name="Output 2 6 5_Table" xfId="7711"/>
    <cellStyle name="Output 2 6 6" xfId="3111"/>
    <cellStyle name="Output 2 6 6 2" xfId="12439"/>
    <cellStyle name="Output 2 6 6 3" xfId="16849"/>
    <cellStyle name="Output 2 6 6_Table" xfId="7712"/>
    <cellStyle name="Output 2 6 7" xfId="3703"/>
    <cellStyle name="Output 2 6 7 2" xfId="13031"/>
    <cellStyle name="Output 2 6 7 3" xfId="17441"/>
    <cellStyle name="Output 2 6 7_Table" xfId="7713"/>
    <cellStyle name="Output 2 6 8" xfId="3928"/>
    <cellStyle name="Output 2 6 8 2" xfId="13256"/>
    <cellStyle name="Output 2 6 8 3" xfId="17666"/>
    <cellStyle name="Output 2 6 8_Table" xfId="7714"/>
    <cellStyle name="Output 2 6 9" xfId="4289"/>
    <cellStyle name="Output 2 6 9 2" xfId="13617"/>
    <cellStyle name="Output 2 6 9 3" xfId="18027"/>
    <cellStyle name="Output 2 6 9_Table" xfId="7715"/>
    <cellStyle name="Output 2 6_Table" xfId="7706"/>
    <cellStyle name="Output 2 7" xfId="1184"/>
    <cellStyle name="Output 2 7 2" xfId="10512"/>
    <cellStyle name="Output 2 7 3" xfId="14922"/>
    <cellStyle name="Output 2 7_Table" xfId="7716"/>
    <cellStyle name="Output 2 8" xfId="1060"/>
    <cellStyle name="Output 2 8 2" xfId="10388"/>
    <cellStyle name="Output 2 8 3" xfId="14798"/>
    <cellStyle name="Output 2 8_Table" xfId="7717"/>
    <cellStyle name="Output 2 9" xfId="1263"/>
    <cellStyle name="Output 2 9 2" xfId="10591"/>
    <cellStyle name="Output 2 9 3" xfId="15001"/>
    <cellStyle name="Output 2 9_Table" xfId="7718"/>
    <cellStyle name="Output 2_Table" xfId="7619"/>
    <cellStyle name="Output 3" xfId="351"/>
    <cellStyle name="Output 3 10" xfId="889"/>
    <cellStyle name="Output 3 10 2" xfId="10217"/>
    <cellStyle name="Output 3 10 3" xfId="14627"/>
    <cellStyle name="Output 3 10_Table" xfId="7720"/>
    <cellStyle name="Output 3 11" xfId="2106"/>
    <cellStyle name="Output 3 11 2" xfId="11434"/>
    <cellStyle name="Output 3 11 3" xfId="15844"/>
    <cellStyle name="Output 3 11_Table" xfId="7721"/>
    <cellStyle name="Output 3 12" xfId="2538"/>
    <cellStyle name="Output 3 12 2" xfId="11866"/>
    <cellStyle name="Output 3 12 3" xfId="16276"/>
    <cellStyle name="Output 3 12_Table" xfId="7722"/>
    <cellStyle name="Output 3 13" xfId="3523"/>
    <cellStyle name="Output 3 13 2" xfId="12851"/>
    <cellStyle name="Output 3 13 3" xfId="17261"/>
    <cellStyle name="Output 3 13_Table" xfId="7723"/>
    <cellStyle name="Output 3 14" xfId="1097"/>
    <cellStyle name="Output 3 14 2" xfId="10425"/>
    <cellStyle name="Output 3 14 3" xfId="14835"/>
    <cellStyle name="Output 3 14_Table" xfId="7724"/>
    <cellStyle name="Output 3 15" xfId="3621"/>
    <cellStyle name="Output 3 15 2" xfId="12949"/>
    <cellStyle name="Output 3 15 3" xfId="17359"/>
    <cellStyle name="Output 3 15_Table" xfId="7725"/>
    <cellStyle name="Output 3 16" xfId="9679"/>
    <cellStyle name="Output 3 17" xfId="14204"/>
    <cellStyle name="Output 3 2" xfId="422"/>
    <cellStyle name="Output 3 2 10" xfId="1118"/>
    <cellStyle name="Output 3 2 10 2" xfId="10446"/>
    <cellStyle name="Output 3 2 10 3" xfId="14856"/>
    <cellStyle name="Output 3 2 10_Table" xfId="7727"/>
    <cellStyle name="Output 3 2 11" xfId="3618"/>
    <cellStyle name="Output 3 2 11 2" xfId="12946"/>
    <cellStyle name="Output 3 2 11 3" xfId="17356"/>
    <cellStyle name="Output 3 2 11_Table" xfId="7728"/>
    <cellStyle name="Output 3 2 12" xfId="9750"/>
    <cellStyle name="Output 3 2 13" xfId="14249"/>
    <cellStyle name="Output 3 2 2" xfId="736"/>
    <cellStyle name="Output 3 2 2 10" xfId="4696"/>
    <cellStyle name="Output 3 2 2 10 2" xfId="14024"/>
    <cellStyle name="Output 3 2 2 10 3" xfId="18434"/>
    <cellStyle name="Output 3 2 2 10_Table" xfId="7730"/>
    <cellStyle name="Output 3 2 2 11" xfId="10064"/>
    <cellStyle name="Output 3 2 2 12" xfId="14474"/>
    <cellStyle name="Output 3 2 2 2" xfId="1522"/>
    <cellStyle name="Output 3 2 2 2 2" xfId="10850"/>
    <cellStyle name="Output 3 2 2 2 3" xfId="15260"/>
    <cellStyle name="Output 3 2 2 2_Table" xfId="7731"/>
    <cellStyle name="Output 3 2 2 3" xfId="1882"/>
    <cellStyle name="Output 3 2 2 3 2" xfId="11210"/>
    <cellStyle name="Output 3 2 2 3 3" xfId="15620"/>
    <cellStyle name="Output 3 2 2 3_Table" xfId="7732"/>
    <cellStyle name="Output 3 2 2 4" xfId="2312"/>
    <cellStyle name="Output 3 2 2 4 2" xfId="11640"/>
    <cellStyle name="Output 3 2 2 4 3" xfId="16050"/>
    <cellStyle name="Output 3 2 2 4_Table" xfId="7733"/>
    <cellStyle name="Output 3 2 2 5" xfId="2750"/>
    <cellStyle name="Output 3 2 2 5 2" xfId="12078"/>
    <cellStyle name="Output 3 2 2 5 3" xfId="16488"/>
    <cellStyle name="Output 3 2 2 5_Table" xfId="7734"/>
    <cellStyle name="Output 3 2 2 6" xfId="3157"/>
    <cellStyle name="Output 3 2 2 6 2" xfId="12485"/>
    <cellStyle name="Output 3 2 2 6 3" xfId="16895"/>
    <cellStyle name="Output 3 2 2 6_Table" xfId="7735"/>
    <cellStyle name="Output 3 2 2 7" xfId="3749"/>
    <cellStyle name="Output 3 2 2 7 2" xfId="13077"/>
    <cellStyle name="Output 3 2 2 7 3" xfId="17487"/>
    <cellStyle name="Output 3 2 2 7_Table" xfId="7736"/>
    <cellStyle name="Output 3 2 2 8" xfId="3974"/>
    <cellStyle name="Output 3 2 2 8 2" xfId="13302"/>
    <cellStyle name="Output 3 2 2 8 3" xfId="17712"/>
    <cellStyle name="Output 3 2 2 8_Table" xfId="7737"/>
    <cellStyle name="Output 3 2 2 9" xfId="4335"/>
    <cellStyle name="Output 3 2 2 9 2" xfId="13663"/>
    <cellStyle name="Output 3 2 2 9 3" xfId="18073"/>
    <cellStyle name="Output 3 2 2 9_Table" xfId="7738"/>
    <cellStyle name="Output 3 2 2_Table" xfId="7729"/>
    <cellStyle name="Output 3 2 3" xfId="1236"/>
    <cellStyle name="Output 3 2 3 2" xfId="10564"/>
    <cellStyle name="Output 3 2 3 3" xfId="14974"/>
    <cellStyle name="Output 3 2 3_Table" xfId="7739"/>
    <cellStyle name="Output 3 2 4" xfId="990"/>
    <cellStyle name="Output 3 2 4 2" xfId="10318"/>
    <cellStyle name="Output 3 2 4 3" xfId="14728"/>
    <cellStyle name="Output 3 2 4_Table" xfId="7740"/>
    <cellStyle name="Output 3 2 5" xfId="1390"/>
    <cellStyle name="Output 3 2 5 2" xfId="10718"/>
    <cellStyle name="Output 3 2 5 3" xfId="15128"/>
    <cellStyle name="Output 3 2 5_Table" xfId="7741"/>
    <cellStyle name="Output 3 2 6" xfId="1071"/>
    <cellStyle name="Output 3 2 6 2" xfId="10399"/>
    <cellStyle name="Output 3 2 6 3" xfId="14809"/>
    <cellStyle name="Output 3 2 6_Table" xfId="7742"/>
    <cellStyle name="Output 3 2 7" xfId="1325"/>
    <cellStyle name="Output 3 2 7 2" xfId="10653"/>
    <cellStyle name="Output 3 2 7 3" xfId="15063"/>
    <cellStyle name="Output 3 2 7_Table" xfId="7743"/>
    <cellStyle name="Output 3 2 8" xfId="900"/>
    <cellStyle name="Output 3 2 8 2" xfId="10228"/>
    <cellStyle name="Output 3 2 8 3" xfId="14638"/>
    <cellStyle name="Output 3 2 8_Table" xfId="7744"/>
    <cellStyle name="Output 3 2 9" xfId="1146"/>
    <cellStyle name="Output 3 2 9 2" xfId="10474"/>
    <cellStyle name="Output 3 2 9 3" xfId="14884"/>
    <cellStyle name="Output 3 2 9_Table" xfId="7745"/>
    <cellStyle name="Output 3 2_Table" xfId="7726"/>
    <cellStyle name="Output 3 3" xfId="490"/>
    <cellStyle name="Output 3 3 10" xfId="4155"/>
    <cellStyle name="Output 3 3 10 2" xfId="13483"/>
    <cellStyle name="Output 3 3 10 3" xfId="17893"/>
    <cellStyle name="Output 3 3 10_Table" xfId="7747"/>
    <cellStyle name="Output 3 3 11" xfId="4516"/>
    <cellStyle name="Output 3 3 11 2" xfId="13844"/>
    <cellStyle name="Output 3 3 11 3" xfId="18254"/>
    <cellStyle name="Output 3 3 11_Table" xfId="7748"/>
    <cellStyle name="Output 3 3 12" xfId="9818"/>
    <cellStyle name="Output 3 3 13" xfId="14294"/>
    <cellStyle name="Output 3 3 2" xfId="781"/>
    <cellStyle name="Output 3 3 2 10" xfId="4741"/>
    <cellStyle name="Output 3 3 2 10 2" xfId="14069"/>
    <cellStyle name="Output 3 3 2 10 3" xfId="18479"/>
    <cellStyle name="Output 3 3 2 10_Table" xfId="7750"/>
    <cellStyle name="Output 3 3 2 11" xfId="10109"/>
    <cellStyle name="Output 3 3 2 12" xfId="14519"/>
    <cellStyle name="Output 3 3 2 2" xfId="1567"/>
    <cellStyle name="Output 3 3 2 2 2" xfId="10895"/>
    <cellStyle name="Output 3 3 2 2 3" xfId="15305"/>
    <cellStyle name="Output 3 3 2 2_Table" xfId="7751"/>
    <cellStyle name="Output 3 3 2 3" xfId="1927"/>
    <cellStyle name="Output 3 3 2 3 2" xfId="11255"/>
    <cellStyle name="Output 3 3 2 3 3" xfId="15665"/>
    <cellStyle name="Output 3 3 2 3_Table" xfId="7752"/>
    <cellStyle name="Output 3 3 2 4" xfId="2357"/>
    <cellStyle name="Output 3 3 2 4 2" xfId="11685"/>
    <cellStyle name="Output 3 3 2 4 3" xfId="16095"/>
    <cellStyle name="Output 3 3 2 4_Table" xfId="7753"/>
    <cellStyle name="Output 3 3 2 5" xfId="2795"/>
    <cellStyle name="Output 3 3 2 5 2" xfId="12123"/>
    <cellStyle name="Output 3 3 2 5 3" xfId="16533"/>
    <cellStyle name="Output 3 3 2 5_Table" xfId="7754"/>
    <cellStyle name="Output 3 3 2 6" xfId="3202"/>
    <cellStyle name="Output 3 3 2 6 2" xfId="12530"/>
    <cellStyle name="Output 3 3 2 6 3" xfId="16940"/>
    <cellStyle name="Output 3 3 2 6_Table" xfId="7755"/>
    <cellStyle name="Output 3 3 2 7" xfId="3794"/>
    <cellStyle name="Output 3 3 2 7 2" xfId="13122"/>
    <cellStyle name="Output 3 3 2 7 3" xfId="17532"/>
    <cellStyle name="Output 3 3 2 7_Table" xfId="7756"/>
    <cellStyle name="Output 3 3 2 8" xfId="4019"/>
    <cellStyle name="Output 3 3 2 8 2" xfId="13347"/>
    <cellStyle name="Output 3 3 2 8 3" xfId="17757"/>
    <cellStyle name="Output 3 3 2 8_Table" xfId="7757"/>
    <cellStyle name="Output 3 3 2 9" xfId="4380"/>
    <cellStyle name="Output 3 3 2 9 2" xfId="13708"/>
    <cellStyle name="Output 3 3 2 9 3" xfId="18118"/>
    <cellStyle name="Output 3 3 2 9_Table" xfId="7758"/>
    <cellStyle name="Output 3 3 2_Table" xfId="7749"/>
    <cellStyle name="Output 3 3 3" xfId="1293"/>
    <cellStyle name="Output 3 3 3 2" xfId="10621"/>
    <cellStyle name="Output 3 3 3 3" xfId="15031"/>
    <cellStyle name="Output 3 3 3_Table" xfId="7759"/>
    <cellStyle name="Output 3 3 4" xfId="924"/>
    <cellStyle name="Output 3 3 4 2" xfId="10252"/>
    <cellStyle name="Output 3 3 4 3" xfId="14662"/>
    <cellStyle name="Output 3 3 4_Table" xfId="7760"/>
    <cellStyle name="Output 3 3 5" xfId="2081"/>
    <cellStyle name="Output 3 3 5 2" xfId="11409"/>
    <cellStyle name="Output 3 3 5 3" xfId="15819"/>
    <cellStyle name="Output 3 3 5_Table" xfId="7761"/>
    <cellStyle name="Output 3 3 6" xfId="2513"/>
    <cellStyle name="Output 3 3 6 2" xfId="11841"/>
    <cellStyle name="Output 3 3 6 3" xfId="16251"/>
    <cellStyle name="Output 3 3 6_Table" xfId="7762"/>
    <cellStyle name="Output 3 3 7" xfId="2941"/>
    <cellStyle name="Output 3 3 7 2" xfId="12269"/>
    <cellStyle name="Output 3 3 7 3" xfId="16679"/>
    <cellStyle name="Output 3 3 7_Table" xfId="7763"/>
    <cellStyle name="Output 3 3 8" xfId="3354"/>
    <cellStyle name="Output 3 3 8 2" xfId="12682"/>
    <cellStyle name="Output 3 3 8 3" xfId="17092"/>
    <cellStyle name="Output 3 3 8_Table" xfId="7764"/>
    <cellStyle name="Output 3 3 9" xfId="3443"/>
    <cellStyle name="Output 3 3 9 2" xfId="12771"/>
    <cellStyle name="Output 3 3 9 3" xfId="17181"/>
    <cellStyle name="Output 3 3 9_Table" xfId="7765"/>
    <cellStyle name="Output 3 3_Table" xfId="7746"/>
    <cellStyle name="Output 3 4" xfId="554"/>
    <cellStyle name="Output 3 4 10" xfId="4200"/>
    <cellStyle name="Output 3 4 10 2" xfId="13528"/>
    <cellStyle name="Output 3 4 10 3" xfId="17938"/>
    <cellStyle name="Output 3 4 10_Table" xfId="7767"/>
    <cellStyle name="Output 3 4 11" xfId="4561"/>
    <cellStyle name="Output 3 4 11 2" xfId="13889"/>
    <cellStyle name="Output 3 4 11 3" xfId="18299"/>
    <cellStyle name="Output 3 4 11_Table" xfId="7768"/>
    <cellStyle name="Output 3 4 12" xfId="9882"/>
    <cellStyle name="Output 3 4 13" xfId="14339"/>
    <cellStyle name="Output 3 4 2" xfId="826"/>
    <cellStyle name="Output 3 4 2 10" xfId="4786"/>
    <cellStyle name="Output 3 4 2 10 2" xfId="14114"/>
    <cellStyle name="Output 3 4 2 10 3" xfId="18524"/>
    <cellStyle name="Output 3 4 2 10_Table" xfId="7770"/>
    <cellStyle name="Output 3 4 2 11" xfId="10154"/>
    <cellStyle name="Output 3 4 2 12" xfId="14564"/>
    <cellStyle name="Output 3 4 2 2" xfId="1612"/>
    <cellStyle name="Output 3 4 2 2 2" xfId="10940"/>
    <cellStyle name="Output 3 4 2 2 3" xfId="15350"/>
    <cellStyle name="Output 3 4 2 2_Table" xfId="7771"/>
    <cellStyle name="Output 3 4 2 3" xfId="1972"/>
    <cellStyle name="Output 3 4 2 3 2" xfId="11300"/>
    <cellStyle name="Output 3 4 2 3 3" xfId="15710"/>
    <cellStyle name="Output 3 4 2 3_Table" xfId="7772"/>
    <cellStyle name="Output 3 4 2 4" xfId="2402"/>
    <cellStyle name="Output 3 4 2 4 2" xfId="11730"/>
    <cellStyle name="Output 3 4 2 4 3" xfId="16140"/>
    <cellStyle name="Output 3 4 2 4_Table" xfId="7773"/>
    <cellStyle name="Output 3 4 2 5" xfId="2840"/>
    <cellStyle name="Output 3 4 2 5 2" xfId="12168"/>
    <cellStyle name="Output 3 4 2 5 3" xfId="16578"/>
    <cellStyle name="Output 3 4 2 5_Table" xfId="7774"/>
    <cellStyle name="Output 3 4 2 6" xfId="3247"/>
    <cellStyle name="Output 3 4 2 6 2" xfId="12575"/>
    <cellStyle name="Output 3 4 2 6 3" xfId="16985"/>
    <cellStyle name="Output 3 4 2 6_Table" xfId="7775"/>
    <cellStyle name="Output 3 4 2 7" xfId="3839"/>
    <cellStyle name="Output 3 4 2 7 2" xfId="13167"/>
    <cellStyle name="Output 3 4 2 7 3" xfId="17577"/>
    <cellStyle name="Output 3 4 2 7_Table" xfId="7776"/>
    <cellStyle name="Output 3 4 2 8" xfId="4064"/>
    <cellStyle name="Output 3 4 2 8 2" xfId="13392"/>
    <cellStyle name="Output 3 4 2 8 3" xfId="17802"/>
    <cellStyle name="Output 3 4 2 8_Table" xfId="7777"/>
    <cellStyle name="Output 3 4 2 9" xfId="4425"/>
    <cellStyle name="Output 3 4 2 9 2" xfId="13753"/>
    <cellStyle name="Output 3 4 2 9 3" xfId="18163"/>
    <cellStyle name="Output 3 4 2 9_Table" xfId="7778"/>
    <cellStyle name="Output 3 4 2_Table" xfId="7769"/>
    <cellStyle name="Output 3 4 3" xfId="1349"/>
    <cellStyle name="Output 3 4 3 2" xfId="10677"/>
    <cellStyle name="Output 3 4 3 3" xfId="15087"/>
    <cellStyle name="Output 3 4 3_Table" xfId="7779"/>
    <cellStyle name="Output 3 4 4" xfId="1706"/>
    <cellStyle name="Output 3 4 4 2" xfId="11034"/>
    <cellStyle name="Output 3 4 4 3" xfId="15444"/>
    <cellStyle name="Output 3 4 4_Table" xfId="7780"/>
    <cellStyle name="Output 3 4 5" xfId="2140"/>
    <cellStyle name="Output 3 4 5 2" xfId="11468"/>
    <cellStyle name="Output 3 4 5 3" xfId="15878"/>
    <cellStyle name="Output 3 4 5_Table" xfId="7781"/>
    <cellStyle name="Output 3 4 6" xfId="2572"/>
    <cellStyle name="Output 3 4 6 2" xfId="11900"/>
    <cellStyle name="Output 3 4 6 3" xfId="16310"/>
    <cellStyle name="Output 3 4 6_Table" xfId="7782"/>
    <cellStyle name="Output 3 4 7" xfId="2998"/>
    <cellStyle name="Output 3 4 7 2" xfId="12326"/>
    <cellStyle name="Output 3 4 7 3" xfId="16736"/>
    <cellStyle name="Output 3 4 7_Table" xfId="7783"/>
    <cellStyle name="Output 3 4 8" xfId="3412"/>
    <cellStyle name="Output 3 4 8 2" xfId="12740"/>
    <cellStyle name="Output 3 4 8 3" xfId="17150"/>
    <cellStyle name="Output 3 4 8_Table" xfId="7784"/>
    <cellStyle name="Output 3 4 9" xfId="3659"/>
    <cellStyle name="Output 3 4 9 2" xfId="12987"/>
    <cellStyle name="Output 3 4 9 3" xfId="17397"/>
    <cellStyle name="Output 3 4 9_Table" xfId="7785"/>
    <cellStyle name="Output 3 4_Table" xfId="7766"/>
    <cellStyle name="Output 3 5" xfId="629"/>
    <cellStyle name="Output 3 5 10" xfId="4245"/>
    <cellStyle name="Output 3 5 10 2" xfId="13573"/>
    <cellStyle name="Output 3 5 10 3" xfId="17983"/>
    <cellStyle name="Output 3 5 10_Table" xfId="7787"/>
    <cellStyle name="Output 3 5 11" xfId="4606"/>
    <cellStyle name="Output 3 5 11 2" xfId="13934"/>
    <cellStyle name="Output 3 5 11 3" xfId="18344"/>
    <cellStyle name="Output 3 5 11_Table" xfId="7788"/>
    <cellStyle name="Output 3 5 12" xfId="9957"/>
    <cellStyle name="Output 3 5 13" xfId="14384"/>
    <cellStyle name="Output 3 5 2" xfId="871"/>
    <cellStyle name="Output 3 5 2 10" xfId="4831"/>
    <cellStyle name="Output 3 5 2 10 2" xfId="14159"/>
    <cellStyle name="Output 3 5 2 10 3" xfId="18569"/>
    <cellStyle name="Output 3 5 2 10_Table" xfId="7790"/>
    <cellStyle name="Output 3 5 2 11" xfId="10199"/>
    <cellStyle name="Output 3 5 2 12" xfId="14609"/>
    <cellStyle name="Output 3 5 2 2" xfId="1657"/>
    <cellStyle name="Output 3 5 2 2 2" xfId="10985"/>
    <cellStyle name="Output 3 5 2 2 3" xfId="15395"/>
    <cellStyle name="Output 3 5 2 2_Table" xfId="7791"/>
    <cellStyle name="Output 3 5 2 3" xfId="2017"/>
    <cellStyle name="Output 3 5 2 3 2" xfId="11345"/>
    <cellStyle name="Output 3 5 2 3 3" xfId="15755"/>
    <cellStyle name="Output 3 5 2 3_Table" xfId="7792"/>
    <cellStyle name="Output 3 5 2 4" xfId="2447"/>
    <cellStyle name="Output 3 5 2 4 2" xfId="11775"/>
    <cellStyle name="Output 3 5 2 4 3" xfId="16185"/>
    <cellStyle name="Output 3 5 2 4_Table" xfId="7793"/>
    <cellStyle name="Output 3 5 2 5" xfId="2885"/>
    <cellStyle name="Output 3 5 2 5 2" xfId="12213"/>
    <cellStyle name="Output 3 5 2 5 3" xfId="16623"/>
    <cellStyle name="Output 3 5 2 5_Table" xfId="7794"/>
    <cellStyle name="Output 3 5 2 6" xfId="3292"/>
    <cellStyle name="Output 3 5 2 6 2" xfId="12620"/>
    <cellStyle name="Output 3 5 2 6 3" xfId="17030"/>
    <cellStyle name="Output 3 5 2 6_Table" xfId="7795"/>
    <cellStyle name="Output 3 5 2 7" xfId="3884"/>
    <cellStyle name="Output 3 5 2 7 2" xfId="13212"/>
    <cellStyle name="Output 3 5 2 7 3" xfId="17622"/>
    <cellStyle name="Output 3 5 2 7_Table" xfId="7796"/>
    <cellStyle name="Output 3 5 2 8" xfId="4109"/>
    <cellStyle name="Output 3 5 2 8 2" xfId="13437"/>
    <cellStyle name="Output 3 5 2 8 3" xfId="17847"/>
    <cellStyle name="Output 3 5 2 8_Table" xfId="7797"/>
    <cellStyle name="Output 3 5 2 9" xfId="4470"/>
    <cellStyle name="Output 3 5 2 9 2" xfId="13798"/>
    <cellStyle name="Output 3 5 2 9 3" xfId="18208"/>
    <cellStyle name="Output 3 5 2 9_Table" xfId="7798"/>
    <cellStyle name="Output 3 5 2_Table" xfId="7789"/>
    <cellStyle name="Output 3 5 3" xfId="1416"/>
    <cellStyle name="Output 3 5 3 2" xfId="10744"/>
    <cellStyle name="Output 3 5 3 3" xfId="15154"/>
    <cellStyle name="Output 3 5 3_Table" xfId="7799"/>
    <cellStyle name="Output 3 5 4" xfId="1776"/>
    <cellStyle name="Output 3 5 4 2" xfId="11104"/>
    <cellStyle name="Output 3 5 4 3" xfId="15514"/>
    <cellStyle name="Output 3 5 4_Table" xfId="7800"/>
    <cellStyle name="Output 3 5 5" xfId="2209"/>
    <cellStyle name="Output 3 5 5 2" xfId="11537"/>
    <cellStyle name="Output 3 5 5 3" xfId="15947"/>
    <cellStyle name="Output 3 5 5_Table" xfId="7801"/>
    <cellStyle name="Output 3 5 6" xfId="2644"/>
    <cellStyle name="Output 3 5 6 2" xfId="11972"/>
    <cellStyle name="Output 3 5 6 3" xfId="16382"/>
    <cellStyle name="Output 3 5 6_Table" xfId="7802"/>
    <cellStyle name="Output 3 5 7" xfId="3057"/>
    <cellStyle name="Output 3 5 7 2" xfId="12385"/>
    <cellStyle name="Output 3 5 7 3" xfId="16795"/>
    <cellStyle name="Output 3 5 7_Table" xfId="7803"/>
    <cellStyle name="Output 3 5 8" xfId="3483"/>
    <cellStyle name="Output 3 5 8 2" xfId="12811"/>
    <cellStyle name="Output 3 5 8 3" xfId="17221"/>
    <cellStyle name="Output 3 5 8_Table" xfId="7804"/>
    <cellStyle name="Output 3 5 9" xfId="3668"/>
    <cellStyle name="Output 3 5 9 2" xfId="12996"/>
    <cellStyle name="Output 3 5 9 3" xfId="17406"/>
    <cellStyle name="Output 3 5 9_Table" xfId="7805"/>
    <cellStyle name="Output 3 5_Table" xfId="7786"/>
    <cellStyle name="Output 3 6" xfId="691"/>
    <cellStyle name="Output 3 6 10" xfId="4651"/>
    <cellStyle name="Output 3 6 10 2" xfId="13979"/>
    <cellStyle name="Output 3 6 10 3" xfId="18389"/>
    <cellStyle name="Output 3 6 10_Table" xfId="7807"/>
    <cellStyle name="Output 3 6 11" xfId="10019"/>
    <cellStyle name="Output 3 6 12" xfId="14429"/>
    <cellStyle name="Output 3 6 2" xfId="1477"/>
    <cellStyle name="Output 3 6 2 2" xfId="10805"/>
    <cellStyle name="Output 3 6 2 3" xfId="15215"/>
    <cellStyle name="Output 3 6 2_Table" xfId="7808"/>
    <cellStyle name="Output 3 6 3" xfId="1837"/>
    <cellStyle name="Output 3 6 3 2" xfId="11165"/>
    <cellStyle name="Output 3 6 3 3" xfId="15575"/>
    <cellStyle name="Output 3 6 3_Table" xfId="7809"/>
    <cellStyle name="Output 3 6 4" xfId="2267"/>
    <cellStyle name="Output 3 6 4 2" xfId="11595"/>
    <cellStyle name="Output 3 6 4 3" xfId="16005"/>
    <cellStyle name="Output 3 6 4_Table" xfId="7810"/>
    <cellStyle name="Output 3 6 5" xfId="2705"/>
    <cellStyle name="Output 3 6 5 2" xfId="12033"/>
    <cellStyle name="Output 3 6 5 3" xfId="16443"/>
    <cellStyle name="Output 3 6 5_Table" xfId="7811"/>
    <cellStyle name="Output 3 6 6" xfId="3112"/>
    <cellStyle name="Output 3 6 6 2" xfId="12440"/>
    <cellStyle name="Output 3 6 6 3" xfId="16850"/>
    <cellStyle name="Output 3 6 6_Table" xfId="7812"/>
    <cellStyle name="Output 3 6 7" xfId="3704"/>
    <cellStyle name="Output 3 6 7 2" xfId="13032"/>
    <cellStyle name="Output 3 6 7 3" xfId="17442"/>
    <cellStyle name="Output 3 6 7_Table" xfId="7813"/>
    <cellStyle name="Output 3 6 8" xfId="3929"/>
    <cellStyle name="Output 3 6 8 2" xfId="13257"/>
    <cellStyle name="Output 3 6 8 3" xfId="17667"/>
    <cellStyle name="Output 3 6 8_Table" xfId="7814"/>
    <cellStyle name="Output 3 6 9" xfId="4290"/>
    <cellStyle name="Output 3 6 9 2" xfId="13618"/>
    <cellStyle name="Output 3 6 9 3" xfId="18028"/>
    <cellStyle name="Output 3 6 9_Table" xfId="7815"/>
    <cellStyle name="Output 3 6_Table" xfId="7806"/>
    <cellStyle name="Output 3 7" xfId="1185"/>
    <cellStyle name="Output 3 7 2" xfId="10513"/>
    <cellStyle name="Output 3 7 3" xfId="14923"/>
    <cellStyle name="Output 3 7_Table" xfId="7816"/>
    <cellStyle name="Output 3 8" xfId="1059"/>
    <cellStyle name="Output 3 8 2" xfId="10387"/>
    <cellStyle name="Output 3 8 3" xfId="14797"/>
    <cellStyle name="Output 3 8_Table" xfId="7817"/>
    <cellStyle name="Output 3 9" xfId="1316"/>
    <cellStyle name="Output 3 9 2" xfId="10644"/>
    <cellStyle name="Output 3 9 3" xfId="15054"/>
    <cellStyle name="Output 3 9_Table" xfId="7818"/>
    <cellStyle name="Output 3_Table" xfId="7719"/>
    <cellStyle name="Output 4" xfId="352"/>
    <cellStyle name="Output 4 10" xfId="1733"/>
    <cellStyle name="Output 4 10 2" xfId="11061"/>
    <cellStyle name="Output 4 10 3" xfId="15471"/>
    <cellStyle name="Output 4 10_Table" xfId="7820"/>
    <cellStyle name="Output 4 11" xfId="2167"/>
    <cellStyle name="Output 4 11 2" xfId="11495"/>
    <cellStyle name="Output 4 11 3" xfId="15905"/>
    <cellStyle name="Output 4 11_Table" xfId="7821"/>
    <cellStyle name="Output 4 12" xfId="2599"/>
    <cellStyle name="Output 4 12 2" xfId="11927"/>
    <cellStyle name="Output 4 12 3" xfId="16337"/>
    <cellStyle name="Output 4 12_Table" xfId="7822"/>
    <cellStyle name="Output 4 13" xfId="1384"/>
    <cellStyle name="Output 4 13 2" xfId="10712"/>
    <cellStyle name="Output 4 13 3" xfId="15122"/>
    <cellStyle name="Output 4 13_Table" xfId="7823"/>
    <cellStyle name="Output 4 14" xfId="3580"/>
    <cellStyle name="Output 4 14 2" xfId="12908"/>
    <cellStyle name="Output 4 14 3" xfId="17318"/>
    <cellStyle name="Output 4 14_Table" xfId="7824"/>
    <cellStyle name="Output 4 15" xfId="3632"/>
    <cellStyle name="Output 4 15 2" xfId="12960"/>
    <cellStyle name="Output 4 15 3" xfId="17370"/>
    <cellStyle name="Output 4 15_Table" xfId="7825"/>
    <cellStyle name="Output 4 16" xfId="9680"/>
    <cellStyle name="Output 4 17" xfId="14205"/>
    <cellStyle name="Output 4 2" xfId="423"/>
    <cellStyle name="Output 4 2 10" xfId="1223"/>
    <cellStyle name="Output 4 2 10 2" xfId="10551"/>
    <cellStyle name="Output 4 2 10 3" xfId="14961"/>
    <cellStyle name="Output 4 2 10_Table" xfId="7827"/>
    <cellStyle name="Output 4 2 11" xfId="1396"/>
    <cellStyle name="Output 4 2 11 2" xfId="10724"/>
    <cellStyle name="Output 4 2 11 3" xfId="15134"/>
    <cellStyle name="Output 4 2 11_Table" xfId="7828"/>
    <cellStyle name="Output 4 2 12" xfId="9751"/>
    <cellStyle name="Output 4 2 13" xfId="14250"/>
    <cellStyle name="Output 4 2 2" xfId="737"/>
    <cellStyle name="Output 4 2 2 10" xfId="4697"/>
    <cellStyle name="Output 4 2 2 10 2" xfId="14025"/>
    <cellStyle name="Output 4 2 2 10 3" xfId="18435"/>
    <cellStyle name="Output 4 2 2 10_Table" xfId="7830"/>
    <cellStyle name="Output 4 2 2 11" xfId="10065"/>
    <cellStyle name="Output 4 2 2 12" xfId="14475"/>
    <cellStyle name="Output 4 2 2 2" xfId="1523"/>
    <cellStyle name="Output 4 2 2 2 2" xfId="10851"/>
    <cellStyle name="Output 4 2 2 2 3" xfId="15261"/>
    <cellStyle name="Output 4 2 2 2_Table" xfId="7831"/>
    <cellStyle name="Output 4 2 2 3" xfId="1883"/>
    <cellStyle name="Output 4 2 2 3 2" xfId="11211"/>
    <cellStyle name="Output 4 2 2 3 3" xfId="15621"/>
    <cellStyle name="Output 4 2 2 3_Table" xfId="7832"/>
    <cellStyle name="Output 4 2 2 4" xfId="2313"/>
    <cellStyle name="Output 4 2 2 4 2" xfId="11641"/>
    <cellStyle name="Output 4 2 2 4 3" xfId="16051"/>
    <cellStyle name="Output 4 2 2 4_Table" xfId="7833"/>
    <cellStyle name="Output 4 2 2 5" xfId="2751"/>
    <cellStyle name="Output 4 2 2 5 2" xfId="12079"/>
    <cellStyle name="Output 4 2 2 5 3" xfId="16489"/>
    <cellStyle name="Output 4 2 2 5_Table" xfId="7834"/>
    <cellStyle name="Output 4 2 2 6" xfId="3158"/>
    <cellStyle name="Output 4 2 2 6 2" xfId="12486"/>
    <cellStyle name="Output 4 2 2 6 3" xfId="16896"/>
    <cellStyle name="Output 4 2 2 6_Table" xfId="7835"/>
    <cellStyle name="Output 4 2 2 7" xfId="3750"/>
    <cellStyle name="Output 4 2 2 7 2" xfId="13078"/>
    <cellStyle name="Output 4 2 2 7 3" xfId="17488"/>
    <cellStyle name="Output 4 2 2 7_Table" xfId="7836"/>
    <cellStyle name="Output 4 2 2 8" xfId="3975"/>
    <cellStyle name="Output 4 2 2 8 2" xfId="13303"/>
    <cellStyle name="Output 4 2 2 8 3" xfId="17713"/>
    <cellStyle name="Output 4 2 2 8_Table" xfId="7837"/>
    <cellStyle name="Output 4 2 2 9" xfId="4336"/>
    <cellStyle name="Output 4 2 2 9 2" xfId="13664"/>
    <cellStyle name="Output 4 2 2 9 3" xfId="18074"/>
    <cellStyle name="Output 4 2 2 9_Table" xfId="7838"/>
    <cellStyle name="Output 4 2 2_Table" xfId="7829"/>
    <cellStyle name="Output 4 2 3" xfId="1237"/>
    <cellStyle name="Output 4 2 3 2" xfId="10565"/>
    <cellStyle name="Output 4 2 3 3" xfId="14975"/>
    <cellStyle name="Output 4 2 3_Table" xfId="7839"/>
    <cellStyle name="Output 4 2 4" xfId="989"/>
    <cellStyle name="Output 4 2 4 2" xfId="10317"/>
    <cellStyle name="Output 4 2 4 3" xfId="14727"/>
    <cellStyle name="Output 4 2 4_Table" xfId="7840"/>
    <cellStyle name="Output 4 2 5" xfId="1309"/>
    <cellStyle name="Output 4 2 5 2" xfId="10637"/>
    <cellStyle name="Output 4 2 5 3" xfId="15047"/>
    <cellStyle name="Output 4 2 5_Table" xfId="7841"/>
    <cellStyle name="Output 4 2 6" xfId="1196"/>
    <cellStyle name="Output 4 2 6 2" xfId="10524"/>
    <cellStyle name="Output 4 2 6 3" xfId="14934"/>
    <cellStyle name="Output 4 2 6_Table" xfId="7842"/>
    <cellStyle name="Output 4 2 7" xfId="1032"/>
    <cellStyle name="Output 4 2 7 2" xfId="10360"/>
    <cellStyle name="Output 4 2 7 3" xfId="14770"/>
    <cellStyle name="Output 4 2 7_Table" xfId="7843"/>
    <cellStyle name="Output 4 2 8" xfId="1442"/>
    <cellStyle name="Output 4 2 8 2" xfId="10770"/>
    <cellStyle name="Output 4 2 8 3" xfId="15180"/>
    <cellStyle name="Output 4 2 8_Table" xfId="7844"/>
    <cellStyle name="Output 4 2 9" xfId="3552"/>
    <cellStyle name="Output 4 2 9 2" xfId="12880"/>
    <cellStyle name="Output 4 2 9 3" xfId="17290"/>
    <cellStyle name="Output 4 2 9_Table" xfId="7845"/>
    <cellStyle name="Output 4 2_Table" xfId="7826"/>
    <cellStyle name="Output 4 3" xfId="491"/>
    <cellStyle name="Output 4 3 10" xfId="4156"/>
    <cellStyle name="Output 4 3 10 2" xfId="13484"/>
    <cellStyle name="Output 4 3 10 3" xfId="17894"/>
    <cellStyle name="Output 4 3 10_Table" xfId="7847"/>
    <cellStyle name="Output 4 3 11" xfId="4517"/>
    <cellStyle name="Output 4 3 11 2" xfId="13845"/>
    <cellStyle name="Output 4 3 11 3" xfId="18255"/>
    <cellStyle name="Output 4 3 11_Table" xfId="7848"/>
    <cellStyle name="Output 4 3 12" xfId="9819"/>
    <cellStyle name="Output 4 3 13" xfId="14295"/>
    <cellStyle name="Output 4 3 2" xfId="782"/>
    <cellStyle name="Output 4 3 2 10" xfId="4742"/>
    <cellStyle name="Output 4 3 2 10 2" xfId="14070"/>
    <cellStyle name="Output 4 3 2 10 3" xfId="18480"/>
    <cellStyle name="Output 4 3 2 10_Table" xfId="7850"/>
    <cellStyle name="Output 4 3 2 11" xfId="10110"/>
    <cellStyle name="Output 4 3 2 12" xfId="14520"/>
    <cellStyle name="Output 4 3 2 2" xfId="1568"/>
    <cellStyle name="Output 4 3 2 2 2" xfId="10896"/>
    <cellStyle name="Output 4 3 2 2 3" xfId="15306"/>
    <cellStyle name="Output 4 3 2 2_Table" xfId="7851"/>
    <cellStyle name="Output 4 3 2 3" xfId="1928"/>
    <cellStyle name="Output 4 3 2 3 2" xfId="11256"/>
    <cellStyle name="Output 4 3 2 3 3" xfId="15666"/>
    <cellStyle name="Output 4 3 2 3_Table" xfId="7852"/>
    <cellStyle name="Output 4 3 2 4" xfId="2358"/>
    <cellStyle name="Output 4 3 2 4 2" xfId="11686"/>
    <cellStyle name="Output 4 3 2 4 3" xfId="16096"/>
    <cellStyle name="Output 4 3 2 4_Table" xfId="7853"/>
    <cellStyle name="Output 4 3 2 5" xfId="2796"/>
    <cellStyle name="Output 4 3 2 5 2" xfId="12124"/>
    <cellStyle name="Output 4 3 2 5 3" xfId="16534"/>
    <cellStyle name="Output 4 3 2 5_Table" xfId="7854"/>
    <cellStyle name="Output 4 3 2 6" xfId="3203"/>
    <cellStyle name="Output 4 3 2 6 2" xfId="12531"/>
    <cellStyle name="Output 4 3 2 6 3" xfId="16941"/>
    <cellStyle name="Output 4 3 2 6_Table" xfId="7855"/>
    <cellStyle name="Output 4 3 2 7" xfId="3795"/>
    <cellStyle name="Output 4 3 2 7 2" xfId="13123"/>
    <cellStyle name="Output 4 3 2 7 3" xfId="17533"/>
    <cellStyle name="Output 4 3 2 7_Table" xfId="7856"/>
    <cellStyle name="Output 4 3 2 8" xfId="4020"/>
    <cellStyle name="Output 4 3 2 8 2" xfId="13348"/>
    <cellStyle name="Output 4 3 2 8 3" xfId="17758"/>
    <cellStyle name="Output 4 3 2 8_Table" xfId="7857"/>
    <cellStyle name="Output 4 3 2 9" xfId="4381"/>
    <cellStyle name="Output 4 3 2 9 2" xfId="13709"/>
    <cellStyle name="Output 4 3 2 9 3" xfId="18119"/>
    <cellStyle name="Output 4 3 2 9_Table" xfId="7858"/>
    <cellStyle name="Output 4 3 2_Table" xfId="7849"/>
    <cellStyle name="Output 4 3 3" xfId="1294"/>
    <cellStyle name="Output 4 3 3 2" xfId="10622"/>
    <cellStyle name="Output 4 3 3 3" xfId="15032"/>
    <cellStyle name="Output 4 3 3_Table" xfId="7859"/>
    <cellStyle name="Output 4 3 4" xfId="923"/>
    <cellStyle name="Output 4 3 4 2" xfId="10251"/>
    <cellStyle name="Output 4 3 4 3" xfId="14661"/>
    <cellStyle name="Output 4 3 4_Table" xfId="7860"/>
    <cellStyle name="Output 4 3 5" xfId="2082"/>
    <cellStyle name="Output 4 3 5 2" xfId="11410"/>
    <cellStyle name="Output 4 3 5 3" xfId="15820"/>
    <cellStyle name="Output 4 3 5_Table" xfId="7861"/>
    <cellStyle name="Output 4 3 6" xfId="2514"/>
    <cellStyle name="Output 4 3 6 2" xfId="11842"/>
    <cellStyle name="Output 4 3 6 3" xfId="16252"/>
    <cellStyle name="Output 4 3 6_Table" xfId="7862"/>
    <cellStyle name="Output 4 3 7" xfId="2942"/>
    <cellStyle name="Output 4 3 7 2" xfId="12270"/>
    <cellStyle name="Output 4 3 7 3" xfId="16680"/>
    <cellStyle name="Output 4 3 7_Table" xfId="7863"/>
    <cellStyle name="Output 4 3 8" xfId="3355"/>
    <cellStyle name="Output 4 3 8 2" xfId="12683"/>
    <cellStyle name="Output 4 3 8 3" xfId="17093"/>
    <cellStyle name="Output 4 3 8_Table" xfId="7864"/>
    <cellStyle name="Output 4 3 9" xfId="3400"/>
    <cellStyle name="Output 4 3 9 2" xfId="12728"/>
    <cellStyle name="Output 4 3 9 3" xfId="17138"/>
    <cellStyle name="Output 4 3 9_Table" xfId="7865"/>
    <cellStyle name="Output 4 3_Table" xfId="7846"/>
    <cellStyle name="Output 4 4" xfId="555"/>
    <cellStyle name="Output 4 4 10" xfId="4201"/>
    <cellStyle name="Output 4 4 10 2" xfId="13529"/>
    <cellStyle name="Output 4 4 10 3" xfId="17939"/>
    <cellStyle name="Output 4 4 10_Table" xfId="7867"/>
    <cellStyle name="Output 4 4 11" xfId="4562"/>
    <cellStyle name="Output 4 4 11 2" xfId="13890"/>
    <cellStyle name="Output 4 4 11 3" xfId="18300"/>
    <cellStyle name="Output 4 4 11_Table" xfId="7868"/>
    <cellStyle name="Output 4 4 12" xfId="9883"/>
    <cellStyle name="Output 4 4 13" xfId="14340"/>
    <cellStyle name="Output 4 4 2" xfId="827"/>
    <cellStyle name="Output 4 4 2 10" xfId="4787"/>
    <cellStyle name="Output 4 4 2 10 2" xfId="14115"/>
    <cellStyle name="Output 4 4 2 10 3" xfId="18525"/>
    <cellStyle name="Output 4 4 2 10_Table" xfId="7870"/>
    <cellStyle name="Output 4 4 2 11" xfId="10155"/>
    <cellStyle name="Output 4 4 2 12" xfId="14565"/>
    <cellStyle name="Output 4 4 2 2" xfId="1613"/>
    <cellStyle name="Output 4 4 2 2 2" xfId="10941"/>
    <cellStyle name="Output 4 4 2 2 3" xfId="15351"/>
    <cellStyle name="Output 4 4 2 2_Table" xfId="7871"/>
    <cellStyle name="Output 4 4 2 3" xfId="1973"/>
    <cellStyle name="Output 4 4 2 3 2" xfId="11301"/>
    <cellStyle name="Output 4 4 2 3 3" xfId="15711"/>
    <cellStyle name="Output 4 4 2 3_Table" xfId="7872"/>
    <cellStyle name="Output 4 4 2 4" xfId="2403"/>
    <cellStyle name="Output 4 4 2 4 2" xfId="11731"/>
    <cellStyle name="Output 4 4 2 4 3" xfId="16141"/>
    <cellStyle name="Output 4 4 2 4_Table" xfId="7873"/>
    <cellStyle name="Output 4 4 2 5" xfId="2841"/>
    <cellStyle name="Output 4 4 2 5 2" xfId="12169"/>
    <cellStyle name="Output 4 4 2 5 3" xfId="16579"/>
    <cellStyle name="Output 4 4 2 5_Table" xfId="7874"/>
    <cellStyle name="Output 4 4 2 6" xfId="3248"/>
    <cellStyle name="Output 4 4 2 6 2" xfId="12576"/>
    <cellStyle name="Output 4 4 2 6 3" xfId="16986"/>
    <cellStyle name="Output 4 4 2 6_Table" xfId="7875"/>
    <cellStyle name="Output 4 4 2 7" xfId="3840"/>
    <cellStyle name="Output 4 4 2 7 2" xfId="13168"/>
    <cellStyle name="Output 4 4 2 7 3" xfId="17578"/>
    <cellStyle name="Output 4 4 2 7_Table" xfId="7876"/>
    <cellStyle name="Output 4 4 2 8" xfId="4065"/>
    <cellStyle name="Output 4 4 2 8 2" xfId="13393"/>
    <cellStyle name="Output 4 4 2 8 3" xfId="17803"/>
    <cellStyle name="Output 4 4 2 8_Table" xfId="7877"/>
    <cellStyle name="Output 4 4 2 9" xfId="4426"/>
    <cellStyle name="Output 4 4 2 9 2" xfId="13754"/>
    <cellStyle name="Output 4 4 2 9 3" xfId="18164"/>
    <cellStyle name="Output 4 4 2 9_Table" xfId="7878"/>
    <cellStyle name="Output 4 4 2_Table" xfId="7869"/>
    <cellStyle name="Output 4 4 3" xfId="1350"/>
    <cellStyle name="Output 4 4 3 2" xfId="10678"/>
    <cellStyle name="Output 4 4 3 3" xfId="15088"/>
    <cellStyle name="Output 4 4 3_Table" xfId="7879"/>
    <cellStyle name="Output 4 4 4" xfId="1707"/>
    <cellStyle name="Output 4 4 4 2" xfId="11035"/>
    <cellStyle name="Output 4 4 4 3" xfId="15445"/>
    <cellStyle name="Output 4 4 4_Table" xfId="7880"/>
    <cellStyle name="Output 4 4 5" xfId="2141"/>
    <cellStyle name="Output 4 4 5 2" xfId="11469"/>
    <cellStyle name="Output 4 4 5 3" xfId="15879"/>
    <cellStyle name="Output 4 4 5_Table" xfId="7881"/>
    <cellStyle name="Output 4 4 6" xfId="2573"/>
    <cellStyle name="Output 4 4 6 2" xfId="11901"/>
    <cellStyle name="Output 4 4 6 3" xfId="16311"/>
    <cellStyle name="Output 4 4 6_Table" xfId="7882"/>
    <cellStyle name="Output 4 4 7" xfId="2999"/>
    <cellStyle name="Output 4 4 7 2" xfId="12327"/>
    <cellStyle name="Output 4 4 7 3" xfId="16737"/>
    <cellStyle name="Output 4 4 7_Table" xfId="7883"/>
    <cellStyle name="Output 4 4 8" xfId="3413"/>
    <cellStyle name="Output 4 4 8 2" xfId="12741"/>
    <cellStyle name="Output 4 4 8 3" xfId="17151"/>
    <cellStyle name="Output 4 4 8_Table" xfId="7884"/>
    <cellStyle name="Output 4 4 9" xfId="3530"/>
    <cellStyle name="Output 4 4 9 2" xfId="12858"/>
    <cellStyle name="Output 4 4 9 3" xfId="17268"/>
    <cellStyle name="Output 4 4 9_Table" xfId="7885"/>
    <cellStyle name="Output 4 4_Table" xfId="7866"/>
    <cellStyle name="Output 4 5" xfId="630"/>
    <cellStyle name="Output 4 5 10" xfId="4246"/>
    <cellStyle name="Output 4 5 10 2" xfId="13574"/>
    <cellStyle name="Output 4 5 10 3" xfId="17984"/>
    <cellStyle name="Output 4 5 10_Table" xfId="7887"/>
    <cellStyle name="Output 4 5 11" xfId="4607"/>
    <cellStyle name="Output 4 5 11 2" xfId="13935"/>
    <cellStyle name="Output 4 5 11 3" xfId="18345"/>
    <cellStyle name="Output 4 5 11_Table" xfId="7888"/>
    <cellStyle name="Output 4 5 12" xfId="9958"/>
    <cellStyle name="Output 4 5 13" xfId="14385"/>
    <cellStyle name="Output 4 5 2" xfId="872"/>
    <cellStyle name="Output 4 5 2 10" xfId="4832"/>
    <cellStyle name="Output 4 5 2 10 2" xfId="14160"/>
    <cellStyle name="Output 4 5 2 10 3" xfId="18570"/>
    <cellStyle name="Output 4 5 2 10_Table" xfId="7890"/>
    <cellStyle name="Output 4 5 2 11" xfId="10200"/>
    <cellStyle name="Output 4 5 2 12" xfId="14610"/>
    <cellStyle name="Output 4 5 2 2" xfId="1658"/>
    <cellStyle name="Output 4 5 2 2 2" xfId="10986"/>
    <cellStyle name="Output 4 5 2 2 3" xfId="15396"/>
    <cellStyle name="Output 4 5 2 2_Table" xfId="7891"/>
    <cellStyle name="Output 4 5 2 3" xfId="2018"/>
    <cellStyle name="Output 4 5 2 3 2" xfId="11346"/>
    <cellStyle name="Output 4 5 2 3 3" xfId="15756"/>
    <cellStyle name="Output 4 5 2 3_Table" xfId="7892"/>
    <cellStyle name="Output 4 5 2 4" xfId="2448"/>
    <cellStyle name="Output 4 5 2 4 2" xfId="11776"/>
    <cellStyle name="Output 4 5 2 4 3" xfId="16186"/>
    <cellStyle name="Output 4 5 2 4_Table" xfId="7893"/>
    <cellStyle name="Output 4 5 2 5" xfId="2886"/>
    <cellStyle name="Output 4 5 2 5 2" xfId="12214"/>
    <cellStyle name="Output 4 5 2 5 3" xfId="16624"/>
    <cellStyle name="Output 4 5 2 5_Table" xfId="7894"/>
    <cellStyle name="Output 4 5 2 6" xfId="3293"/>
    <cellStyle name="Output 4 5 2 6 2" xfId="12621"/>
    <cellStyle name="Output 4 5 2 6 3" xfId="17031"/>
    <cellStyle name="Output 4 5 2 6_Table" xfId="7895"/>
    <cellStyle name="Output 4 5 2 7" xfId="3885"/>
    <cellStyle name="Output 4 5 2 7 2" xfId="13213"/>
    <cellStyle name="Output 4 5 2 7 3" xfId="17623"/>
    <cellStyle name="Output 4 5 2 7_Table" xfId="7896"/>
    <cellStyle name="Output 4 5 2 8" xfId="4110"/>
    <cellStyle name="Output 4 5 2 8 2" xfId="13438"/>
    <cellStyle name="Output 4 5 2 8 3" xfId="17848"/>
    <cellStyle name="Output 4 5 2 8_Table" xfId="7897"/>
    <cellStyle name="Output 4 5 2 9" xfId="4471"/>
    <cellStyle name="Output 4 5 2 9 2" xfId="13799"/>
    <cellStyle name="Output 4 5 2 9 3" xfId="18209"/>
    <cellStyle name="Output 4 5 2 9_Table" xfId="7898"/>
    <cellStyle name="Output 4 5 2_Table" xfId="7889"/>
    <cellStyle name="Output 4 5 3" xfId="1417"/>
    <cellStyle name="Output 4 5 3 2" xfId="10745"/>
    <cellStyle name="Output 4 5 3 3" xfId="15155"/>
    <cellStyle name="Output 4 5 3_Table" xfId="7899"/>
    <cellStyle name="Output 4 5 4" xfId="1777"/>
    <cellStyle name="Output 4 5 4 2" xfId="11105"/>
    <cellStyle name="Output 4 5 4 3" xfId="15515"/>
    <cellStyle name="Output 4 5 4_Table" xfId="7900"/>
    <cellStyle name="Output 4 5 5" xfId="2210"/>
    <cellStyle name="Output 4 5 5 2" xfId="11538"/>
    <cellStyle name="Output 4 5 5 3" xfId="15948"/>
    <cellStyle name="Output 4 5 5_Table" xfId="7901"/>
    <cellStyle name="Output 4 5 6" xfId="2645"/>
    <cellStyle name="Output 4 5 6 2" xfId="11973"/>
    <cellStyle name="Output 4 5 6 3" xfId="16383"/>
    <cellStyle name="Output 4 5 6_Table" xfId="7902"/>
    <cellStyle name="Output 4 5 7" xfId="3058"/>
    <cellStyle name="Output 4 5 7 2" xfId="12386"/>
    <cellStyle name="Output 4 5 7 3" xfId="16796"/>
    <cellStyle name="Output 4 5 7_Table" xfId="7903"/>
    <cellStyle name="Output 4 5 8" xfId="3484"/>
    <cellStyle name="Output 4 5 8 2" xfId="12812"/>
    <cellStyle name="Output 4 5 8 3" xfId="17222"/>
    <cellStyle name="Output 4 5 8_Table" xfId="7904"/>
    <cellStyle name="Output 4 5 9" xfId="3541"/>
    <cellStyle name="Output 4 5 9 2" xfId="12869"/>
    <cellStyle name="Output 4 5 9 3" xfId="17279"/>
    <cellStyle name="Output 4 5 9_Table" xfId="7905"/>
    <cellStyle name="Output 4 5_Table" xfId="7886"/>
    <cellStyle name="Output 4 6" xfId="692"/>
    <cellStyle name="Output 4 6 10" xfId="4652"/>
    <cellStyle name="Output 4 6 10 2" xfId="13980"/>
    <cellStyle name="Output 4 6 10 3" xfId="18390"/>
    <cellStyle name="Output 4 6 10_Table" xfId="7907"/>
    <cellStyle name="Output 4 6 11" xfId="10020"/>
    <cellStyle name="Output 4 6 12" xfId="14430"/>
    <cellStyle name="Output 4 6 2" xfId="1478"/>
    <cellStyle name="Output 4 6 2 2" xfId="10806"/>
    <cellStyle name="Output 4 6 2 3" xfId="15216"/>
    <cellStyle name="Output 4 6 2_Table" xfId="7908"/>
    <cellStyle name="Output 4 6 3" xfId="1838"/>
    <cellStyle name="Output 4 6 3 2" xfId="11166"/>
    <cellStyle name="Output 4 6 3 3" xfId="15576"/>
    <cellStyle name="Output 4 6 3_Table" xfId="7909"/>
    <cellStyle name="Output 4 6 4" xfId="2268"/>
    <cellStyle name="Output 4 6 4 2" xfId="11596"/>
    <cellStyle name="Output 4 6 4 3" xfId="16006"/>
    <cellStyle name="Output 4 6 4_Table" xfId="7910"/>
    <cellStyle name="Output 4 6 5" xfId="2706"/>
    <cellStyle name="Output 4 6 5 2" xfId="12034"/>
    <cellStyle name="Output 4 6 5 3" xfId="16444"/>
    <cellStyle name="Output 4 6 5_Table" xfId="7911"/>
    <cellStyle name="Output 4 6 6" xfId="3113"/>
    <cellStyle name="Output 4 6 6 2" xfId="12441"/>
    <cellStyle name="Output 4 6 6 3" xfId="16851"/>
    <cellStyle name="Output 4 6 6_Table" xfId="7912"/>
    <cellStyle name="Output 4 6 7" xfId="3705"/>
    <cellStyle name="Output 4 6 7 2" xfId="13033"/>
    <cellStyle name="Output 4 6 7 3" xfId="17443"/>
    <cellStyle name="Output 4 6 7_Table" xfId="7913"/>
    <cellStyle name="Output 4 6 8" xfId="3930"/>
    <cellStyle name="Output 4 6 8 2" xfId="13258"/>
    <cellStyle name="Output 4 6 8 3" xfId="17668"/>
    <cellStyle name="Output 4 6 8_Table" xfId="7914"/>
    <cellStyle name="Output 4 6 9" xfId="4291"/>
    <cellStyle name="Output 4 6 9 2" xfId="13619"/>
    <cellStyle name="Output 4 6 9 3" xfId="18029"/>
    <cellStyle name="Output 4 6 9_Table" xfId="7915"/>
    <cellStyle name="Output 4 6_Table" xfId="7906"/>
    <cellStyle name="Output 4 7" xfId="1186"/>
    <cellStyle name="Output 4 7 2" xfId="10514"/>
    <cellStyle name="Output 4 7 3" xfId="14924"/>
    <cellStyle name="Output 4 7_Table" xfId="7916"/>
    <cellStyle name="Output 4 8" xfId="1058"/>
    <cellStyle name="Output 4 8 2" xfId="10386"/>
    <cellStyle name="Output 4 8 3" xfId="14796"/>
    <cellStyle name="Output 4 8_Table" xfId="7917"/>
    <cellStyle name="Output 4 9" xfId="1386"/>
    <cellStyle name="Output 4 9 2" xfId="10714"/>
    <cellStyle name="Output 4 9 3" xfId="15124"/>
    <cellStyle name="Output 4 9_Table" xfId="7918"/>
    <cellStyle name="Output 4_Table" xfId="7819"/>
    <cellStyle name="Output 5" xfId="353"/>
    <cellStyle name="Output 5 10" xfId="1804"/>
    <cellStyle name="Output 5 10 2" xfId="11132"/>
    <cellStyle name="Output 5 10 3" xfId="15542"/>
    <cellStyle name="Output 5 10_Table" xfId="7920"/>
    <cellStyle name="Output 5 11" xfId="2235"/>
    <cellStyle name="Output 5 11 2" xfId="11563"/>
    <cellStyle name="Output 5 11 3" xfId="15973"/>
    <cellStyle name="Output 5 11_Table" xfId="7921"/>
    <cellStyle name="Output 5 12" xfId="2671"/>
    <cellStyle name="Output 5 12 2" xfId="11999"/>
    <cellStyle name="Output 5 12 3" xfId="16409"/>
    <cellStyle name="Output 5 12_Table" xfId="7922"/>
    <cellStyle name="Output 5 13" xfId="2482"/>
    <cellStyle name="Output 5 13 2" xfId="11810"/>
    <cellStyle name="Output 5 13 3" xfId="16220"/>
    <cellStyle name="Output 5 13_Table" xfId="7923"/>
    <cellStyle name="Output 5 14" xfId="1401"/>
    <cellStyle name="Output 5 14 2" xfId="10729"/>
    <cellStyle name="Output 5 14 3" xfId="15139"/>
    <cellStyle name="Output 5 14_Table" xfId="7924"/>
    <cellStyle name="Output 5 15" xfId="3611"/>
    <cellStyle name="Output 5 15 2" xfId="12939"/>
    <cellStyle name="Output 5 15 3" xfId="17349"/>
    <cellStyle name="Output 5 15_Table" xfId="7925"/>
    <cellStyle name="Output 5 16" xfId="9681"/>
    <cellStyle name="Output 5 17" xfId="14206"/>
    <cellStyle name="Output 5 2" xfId="424"/>
    <cellStyle name="Output 5 2 10" xfId="3078"/>
    <cellStyle name="Output 5 2 10 2" xfId="12406"/>
    <cellStyle name="Output 5 2 10 3" xfId="16816"/>
    <cellStyle name="Output 5 2 10_Table" xfId="7927"/>
    <cellStyle name="Output 5 2 11" xfId="1256"/>
    <cellStyle name="Output 5 2 11 2" xfId="10584"/>
    <cellStyle name="Output 5 2 11 3" xfId="14994"/>
    <cellStyle name="Output 5 2 11_Table" xfId="7928"/>
    <cellStyle name="Output 5 2 12" xfId="9752"/>
    <cellStyle name="Output 5 2 13" xfId="14251"/>
    <cellStyle name="Output 5 2 2" xfId="738"/>
    <cellStyle name="Output 5 2 2 10" xfId="4698"/>
    <cellStyle name="Output 5 2 2 10 2" xfId="14026"/>
    <cellStyle name="Output 5 2 2 10 3" xfId="18436"/>
    <cellStyle name="Output 5 2 2 10_Table" xfId="7930"/>
    <cellStyle name="Output 5 2 2 11" xfId="10066"/>
    <cellStyle name="Output 5 2 2 12" xfId="14476"/>
    <cellStyle name="Output 5 2 2 2" xfId="1524"/>
    <cellStyle name="Output 5 2 2 2 2" xfId="10852"/>
    <cellStyle name="Output 5 2 2 2 3" xfId="15262"/>
    <cellStyle name="Output 5 2 2 2_Table" xfId="7931"/>
    <cellStyle name="Output 5 2 2 3" xfId="1884"/>
    <cellStyle name="Output 5 2 2 3 2" xfId="11212"/>
    <cellStyle name="Output 5 2 2 3 3" xfId="15622"/>
    <cellStyle name="Output 5 2 2 3_Table" xfId="7932"/>
    <cellStyle name="Output 5 2 2 4" xfId="2314"/>
    <cellStyle name="Output 5 2 2 4 2" xfId="11642"/>
    <cellStyle name="Output 5 2 2 4 3" xfId="16052"/>
    <cellStyle name="Output 5 2 2 4_Table" xfId="7933"/>
    <cellStyle name="Output 5 2 2 5" xfId="2752"/>
    <cellStyle name="Output 5 2 2 5 2" xfId="12080"/>
    <cellStyle name="Output 5 2 2 5 3" xfId="16490"/>
    <cellStyle name="Output 5 2 2 5_Table" xfId="7934"/>
    <cellStyle name="Output 5 2 2 6" xfId="3159"/>
    <cellStyle name="Output 5 2 2 6 2" xfId="12487"/>
    <cellStyle name="Output 5 2 2 6 3" xfId="16897"/>
    <cellStyle name="Output 5 2 2 6_Table" xfId="7935"/>
    <cellStyle name="Output 5 2 2 7" xfId="3751"/>
    <cellStyle name="Output 5 2 2 7 2" xfId="13079"/>
    <cellStyle name="Output 5 2 2 7 3" xfId="17489"/>
    <cellStyle name="Output 5 2 2 7_Table" xfId="7936"/>
    <cellStyle name="Output 5 2 2 8" xfId="3976"/>
    <cellStyle name="Output 5 2 2 8 2" xfId="13304"/>
    <cellStyle name="Output 5 2 2 8 3" xfId="17714"/>
    <cellStyle name="Output 5 2 2 8_Table" xfId="7937"/>
    <cellStyle name="Output 5 2 2 9" xfId="4337"/>
    <cellStyle name="Output 5 2 2 9 2" xfId="13665"/>
    <cellStyle name="Output 5 2 2 9 3" xfId="18075"/>
    <cellStyle name="Output 5 2 2 9_Table" xfId="7938"/>
    <cellStyle name="Output 5 2 2_Table" xfId="7929"/>
    <cellStyle name="Output 5 2 3" xfId="1238"/>
    <cellStyle name="Output 5 2 3 2" xfId="10566"/>
    <cellStyle name="Output 5 2 3 3" xfId="14976"/>
    <cellStyle name="Output 5 2 3_Table" xfId="7939"/>
    <cellStyle name="Output 5 2 4" xfId="988"/>
    <cellStyle name="Output 5 2 4 2" xfId="10316"/>
    <cellStyle name="Output 5 2 4 3" xfId="14726"/>
    <cellStyle name="Output 5 2 4_Table" xfId="7940"/>
    <cellStyle name="Output 5 2 5" xfId="1366"/>
    <cellStyle name="Output 5 2 5 2" xfId="10694"/>
    <cellStyle name="Output 5 2 5 3" xfId="15104"/>
    <cellStyle name="Output 5 2 5_Table" xfId="7941"/>
    <cellStyle name="Output 5 2 6" xfId="1021"/>
    <cellStyle name="Output 5 2 6 2" xfId="10349"/>
    <cellStyle name="Output 5 2 6 3" xfId="14759"/>
    <cellStyle name="Output 5 2 6_Table" xfId="7942"/>
    <cellStyle name="Output 5 2 7" xfId="1267"/>
    <cellStyle name="Output 5 2 7 2" xfId="10595"/>
    <cellStyle name="Output 5 2 7 3" xfId="15005"/>
    <cellStyle name="Output 5 2 7_Table" xfId="7943"/>
    <cellStyle name="Output 5 2 8" xfId="904"/>
    <cellStyle name="Output 5 2 8 2" xfId="10232"/>
    <cellStyle name="Output 5 2 8 3" xfId="14642"/>
    <cellStyle name="Output 5 2 8_Table" xfId="7944"/>
    <cellStyle name="Output 5 2 9" xfId="3507"/>
    <cellStyle name="Output 5 2 9 2" xfId="12835"/>
    <cellStyle name="Output 5 2 9 3" xfId="17245"/>
    <cellStyle name="Output 5 2 9_Table" xfId="7945"/>
    <cellStyle name="Output 5 2_Table" xfId="7926"/>
    <cellStyle name="Output 5 3" xfId="492"/>
    <cellStyle name="Output 5 3 10" xfId="4157"/>
    <cellStyle name="Output 5 3 10 2" xfId="13485"/>
    <cellStyle name="Output 5 3 10 3" xfId="17895"/>
    <cellStyle name="Output 5 3 10_Table" xfId="7947"/>
    <cellStyle name="Output 5 3 11" xfId="4518"/>
    <cellStyle name="Output 5 3 11 2" xfId="13846"/>
    <cellStyle name="Output 5 3 11 3" xfId="18256"/>
    <cellStyle name="Output 5 3 11_Table" xfId="7948"/>
    <cellStyle name="Output 5 3 12" xfId="9820"/>
    <cellStyle name="Output 5 3 13" xfId="14296"/>
    <cellStyle name="Output 5 3 2" xfId="783"/>
    <cellStyle name="Output 5 3 2 10" xfId="4743"/>
    <cellStyle name="Output 5 3 2 10 2" xfId="14071"/>
    <cellStyle name="Output 5 3 2 10 3" xfId="18481"/>
    <cellStyle name="Output 5 3 2 10_Table" xfId="7950"/>
    <cellStyle name="Output 5 3 2 11" xfId="10111"/>
    <cellStyle name="Output 5 3 2 12" xfId="14521"/>
    <cellStyle name="Output 5 3 2 2" xfId="1569"/>
    <cellStyle name="Output 5 3 2 2 2" xfId="10897"/>
    <cellStyle name="Output 5 3 2 2 3" xfId="15307"/>
    <cellStyle name="Output 5 3 2 2_Table" xfId="7951"/>
    <cellStyle name="Output 5 3 2 3" xfId="1929"/>
    <cellStyle name="Output 5 3 2 3 2" xfId="11257"/>
    <cellStyle name="Output 5 3 2 3 3" xfId="15667"/>
    <cellStyle name="Output 5 3 2 3_Table" xfId="7952"/>
    <cellStyle name="Output 5 3 2 4" xfId="2359"/>
    <cellStyle name="Output 5 3 2 4 2" xfId="11687"/>
    <cellStyle name="Output 5 3 2 4 3" xfId="16097"/>
    <cellStyle name="Output 5 3 2 4_Table" xfId="7953"/>
    <cellStyle name="Output 5 3 2 5" xfId="2797"/>
    <cellStyle name="Output 5 3 2 5 2" xfId="12125"/>
    <cellStyle name="Output 5 3 2 5 3" xfId="16535"/>
    <cellStyle name="Output 5 3 2 5_Table" xfId="7954"/>
    <cellStyle name="Output 5 3 2 6" xfId="3204"/>
    <cellStyle name="Output 5 3 2 6 2" xfId="12532"/>
    <cellStyle name="Output 5 3 2 6 3" xfId="16942"/>
    <cellStyle name="Output 5 3 2 6_Table" xfId="7955"/>
    <cellStyle name="Output 5 3 2 7" xfId="3796"/>
    <cellStyle name="Output 5 3 2 7 2" xfId="13124"/>
    <cellStyle name="Output 5 3 2 7 3" xfId="17534"/>
    <cellStyle name="Output 5 3 2 7_Table" xfId="7956"/>
    <cellStyle name="Output 5 3 2 8" xfId="4021"/>
    <cellStyle name="Output 5 3 2 8 2" xfId="13349"/>
    <cellStyle name="Output 5 3 2 8 3" xfId="17759"/>
    <cellStyle name="Output 5 3 2 8_Table" xfId="7957"/>
    <cellStyle name="Output 5 3 2 9" xfId="4382"/>
    <cellStyle name="Output 5 3 2 9 2" xfId="13710"/>
    <cellStyle name="Output 5 3 2 9 3" xfId="18120"/>
    <cellStyle name="Output 5 3 2 9_Table" xfId="7958"/>
    <cellStyle name="Output 5 3 2_Table" xfId="7949"/>
    <cellStyle name="Output 5 3 3" xfId="1295"/>
    <cellStyle name="Output 5 3 3 2" xfId="10623"/>
    <cellStyle name="Output 5 3 3 3" xfId="15033"/>
    <cellStyle name="Output 5 3 3_Table" xfId="7959"/>
    <cellStyle name="Output 5 3 4" xfId="922"/>
    <cellStyle name="Output 5 3 4 2" xfId="10250"/>
    <cellStyle name="Output 5 3 4 3" xfId="14660"/>
    <cellStyle name="Output 5 3 4_Table" xfId="7960"/>
    <cellStyle name="Output 5 3 5" xfId="2083"/>
    <cellStyle name="Output 5 3 5 2" xfId="11411"/>
    <cellStyle name="Output 5 3 5 3" xfId="15821"/>
    <cellStyle name="Output 5 3 5_Table" xfId="7961"/>
    <cellStyle name="Output 5 3 6" xfId="2515"/>
    <cellStyle name="Output 5 3 6 2" xfId="11843"/>
    <cellStyle name="Output 5 3 6 3" xfId="16253"/>
    <cellStyle name="Output 5 3 6_Table" xfId="7962"/>
    <cellStyle name="Output 5 3 7" xfId="2943"/>
    <cellStyle name="Output 5 3 7 2" xfId="12271"/>
    <cellStyle name="Output 5 3 7 3" xfId="16681"/>
    <cellStyle name="Output 5 3 7_Table" xfId="7963"/>
    <cellStyle name="Output 5 3 8" xfId="3356"/>
    <cellStyle name="Output 5 3 8 2" xfId="12684"/>
    <cellStyle name="Output 5 3 8 3" xfId="17094"/>
    <cellStyle name="Output 5 3 8_Table" xfId="7964"/>
    <cellStyle name="Output 5 3 9" xfId="3471"/>
    <cellStyle name="Output 5 3 9 2" xfId="12799"/>
    <cellStyle name="Output 5 3 9 3" xfId="17209"/>
    <cellStyle name="Output 5 3 9_Table" xfId="7965"/>
    <cellStyle name="Output 5 3_Table" xfId="7946"/>
    <cellStyle name="Output 5 4" xfId="556"/>
    <cellStyle name="Output 5 4 10" xfId="4202"/>
    <cellStyle name="Output 5 4 10 2" xfId="13530"/>
    <cellStyle name="Output 5 4 10 3" xfId="17940"/>
    <cellStyle name="Output 5 4 10_Table" xfId="7967"/>
    <cellStyle name="Output 5 4 11" xfId="4563"/>
    <cellStyle name="Output 5 4 11 2" xfId="13891"/>
    <cellStyle name="Output 5 4 11 3" xfId="18301"/>
    <cellStyle name="Output 5 4 11_Table" xfId="7968"/>
    <cellStyle name="Output 5 4 12" xfId="9884"/>
    <cellStyle name="Output 5 4 13" xfId="14341"/>
    <cellStyle name="Output 5 4 2" xfId="828"/>
    <cellStyle name="Output 5 4 2 10" xfId="4788"/>
    <cellStyle name="Output 5 4 2 10 2" xfId="14116"/>
    <cellStyle name="Output 5 4 2 10 3" xfId="18526"/>
    <cellStyle name="Output 5 4 2 10_Table" xfId="7970"/>
    <cellStyle name="Output 5 4 2 11" xfId="10156"/>
    <cellStyle name="Output 5 4 2 12" xfId="14566"/>
    <cellStyle name="Output 5 4 2 2" xfId="1614"/>
    <cellStyle name="Output 5 4 2 2 2" xfId="10942"/>
    <cellStyle name="Output 5 4 2 2 3" xfId="15352"/>
    <cellStyle name="Output 5 4 2 2_Table" xfId="7971"/>
    <cellStyle name="Output 5 4 2 3" xfId="1974"/>
    <cellStyle name="Output 5 4 2 3 2" xfId="11302"/>
    <cellStyle name="Output 5 4 2 3 3" xfId="15712"/>
    <cellStyle name="Output 5 4 2 3_Table" xfId="7972"/>
    <cellStyle name="Output 5 4 2 4" xfId="2404"/>
    <cellStyle name="Output 5 4 2 4 2" xfId="11732"/>
    <cellStyle name="Output 5 4 2 4 3" xfId="16142"/>
    <cellStyle name="Output 5 4 2 4_Table" xfId="7973"/>
    <cellStyle name="Output 5 4 2 5" xfId="2842"/>
    <cellStyle name="Output 5 4 2 5 2" xfId="12170"/>
    <cellStyle name="Output 5 4 2 5 3" xfId="16580"/>
    <cellStyle name="Output 5 4 2 5_Table" xfId="7974"/>
    <cellStyle name="Output 5 4 2 6" xfId="3249"/>
    <cellStyle name="Output 5 4 2 6 2" xfId="12577"/>
    <cellStyle name="Output 5 4 2 6 3" xfId="16987"/>
    <cellStyle name="Output 5 4 2 6_Table" xfId="7975"/>
    <cellStyle name="Output 5 4 2 7" xfId="3841"/>
    <cellStyle name="Output 5 4 2 7 2" xfId="13169"/>
    <cellStyle name="Output 5 4 2 7 3" xfId="17579"/>
    <cellStyle name="Output 5 4 2 7_Table" xfId="7976"/>
    <cellStyle name="Output 5 4 2 8" xfId="4066"/>
    <cellStyle name="Output 5 4 2 8 2" xfId="13394"/>
    <cellStyle name="Output 5 4 2 8 3" xfId="17804"/>
    <cellStyle name="Output 5 4 2 8_Table" xfId="7977"/>
    <cellStyle name="Output 5 4 2 9" xfId="4427"/>
    <cellStyle name="Output 5 4 2 9 2" xfId="13755"/>
    <cellStyle name="Output 5 4 2 9 3" xfId="18165"/>
    <cellStyle name="Output 5 4 2 9_Table" xfId="7978"/>
    <cellStyle name="Output 5 4 2_Table" xfId="7969"/>
    <cellStyle name="Output 5 4 3" xfId="1351"/>
    <cellStyle name="Output 5 4 3 2" xfId="10679"/>
    <cellStyle name="Output 5 4 3 3" xfId="15089"/>
    <cellStyle name="Output 5 4 3_Table" xfId="7979"/>
    <cellStyle name="Output 5 4 4" xfId="1708"/>
    <cellStyle name="Output 5 4 4 2" xfId="11036"/>
    <cellStyle name="Output 5 4 4 3" xfId="15446"/>
    <cellStyle name="Output 5 4 4_Table" xfId="7980"/>
    <cellStyle name="Output 5 4 5" xfId="2142"/>
    <cellStyle name="Output 5 4 5 2" xfId="11470"/>
    <cellStyle name="Output 5 4 5 3" xfId="15880"/>
    <cellStyle name="Output 5 4 5_Table" xfId="7981"/>
    <cellStyle name="Output 5 4 6" xfId="2574"/>
    <cellStyle name="Output 5 4 6 2" xfId="11902"/>
    <cellStyle name="Output 5 4 6 3" xfId="16312"/>
    <cellStyle name="Output 5 4 6_Table" xfId="7982"/>
    <cellStyle name="Output 5 4 7" xfId="3000"/>
    <cellStyle name="Output 5 4 7 2" xfId="12328"/>
    <cellStyle name="Output 5 4 7 3" xfId="16738"/>
    <cellStyle name="Output 5 4 7_Table" xfId="7983"/>
    <cellStyle name="Output 5 4 8" xfId="3414"/>
    <cellStyle name="Output 5 4 8 2" xfId="12742"/>
    <cellStyle name="Output 5 4 8 3" xfId="17152"/>
    <cellStyle name="Output 5 4 8_Table" xfId="7984"/>
    <cellStyle name="Output 5 4 9" xfId="3564"/>
    <cellStyle name="Output 5 4 9 2" xfId="12892"/>
    <cellStyle name="Output 5 4 9 3" xfId="17302"/>
    <cellStyle name="Output 5 4 9_Table" xfId="7985"/>
    <cellStyle name="Output 5 4_Table" xfId="7966"/>
    <cellStyle name="Output 5 5" xfId="631"/>
    <cellStyle name="Output 5 5 10" xfId="4247"/>
    <cellStyle name="Output 5 5 10 2" xfId="13575"/>
    <cellStyle name="Output 5 5 10 3" xfId="17985"/>
    <cellStyle name="Output 5 5 10_Table" xfId="7987"/>
    <cellStyle name="Output 5 5 11" xfId="4608"/>
    <cellStyle name="Output 5 5 11 2" xfId="13936"/>
    <cellStyle name="Output 5 5 11 3" xfId="18346"/>
    <cellStyle name="Output 5 5 11_Table" xfId="7988"/>
    <cellStyle name="Output 5 5 12" xfId="9959"/>
    <cellStyle name="Output 5 5 13" xfId="14386"/>
    <cellStyle name="Output 5 5 2" xfId="873"/>
    <cellStyle name="Output 5 5 2 10" xfId="4833"/>
    <cellStyle name="Output 5 5 2 10 2" xfId="14161"/>
    <cellStyle name="Output 5 5 2 10 3" xfId="18571"/>
    <cellStyle name="Output 5 5 2 10_Table" xfId="7990"/>
    <cellStyle name="Output 5 5 2 11" xfId="10201"/>
    <cellStyle name="Output 5 5 2 12" xfId="14611"/>
    <cellStyle name="Output 5 5 2 2" xfId="1659"/>
    <cellStyle name="Output 5 5 2 2 2" xfId="10987"/>
    <cellStyle name="Output 5 5 2 2 3" xfId="15397"/>
    <cellStyle name="Output 5 5 2 2_Table" xfId="7991"/>
    <cellStyle name="Output 5 5 2 3" xfId="2019"/>
    <cellStyle name="Output 5 5 2 3 2" xfId="11347"/>
    <cellStyle name="Output 5 5 2 3 3" xfId="15757"/>
    <cellStyle name="Output 5 5 2 3_Table" xfId="7992"/>
    <cellStyle name="Output 5 5 2 4" xfId="2449"/>
    <cellStyle name="Output 5 5 2 4 2" xfId="11777"/>
    <cellStyle name="Output 5 5 2 4 3" xfId="16187"/>
    <cellStyle name="Output 5 5 2 4_Table" xfId="7993"/>
    <cellStyle name="Output 5 5 2 5" xfId="2887"/>
    <cellStyle name="Output 5 5 2 5 2" xfId="12215"/>
    <cellStyle name="Output 5 5 2 5 3" xfId="16625"/>
    <cellStyle name="Output 5 5 2 5_Table" xfId="7994"/>
    <cellStyle name="Output 5 5 2 6" xfId="3294"/>
    <cellStyle name="Output 5 5 2 6 2" xfId="12622"/>
    <cellStyle name="Output 5 5 2 6 3" xfId="17032"/>
    <cellStyle name="Output 5 5 2 6_Table" xfId="7995"/>
    <cellStyle name="Output 5 5 2 7" xfId="3886"/>
    <cellStyle name="Output 5 5 2 7 2" xfId="13214"/>
    <cellStyle name="Output 5 5 2 7 3" xfId="17624"/>
    <cellStyle name="Output 5 5 2 7_Table" xfId="7996"/>
    <cellStyle name="Output 5 5 2 8" xfId="4111"/>
    <cellStyle name="Output 5 5 2 8 2" xfId="13439"/>
    <cellStyle name="Output 5 5 2 8 3" xfId="17849"/>
    <cellStyle name="Output 5 5 2 8_Table" xfId="7997"/>
    <cellStyle name="Output 5 5 2 9" xfId="4472"/>
    <cellStyle name="Output 5 5 2 9 2" xfId="13800"/>
    <cellStyle name="Output 5 5 2 9 3" xfId="18210"/>
    <cellStyle name="Output 5 5 2 9_Table" xfId="7998"/>
    <cellStyle name="Output 5 5 2_Table" xfId="7989"/>
    <cellStyle name="Output 5 5 3" xfId="1418"/>
    <cellStyle name="Output 5 5 3 2" xfId="10746"/>
    <cellStyle name="Output 5 5 3 3" xfId="15156"/>
    <cellStyle name="Output 5 5 3_Table" xfId="7999"/>
    <cellStyle name="Output 5 5 4" xfId="1778"/>
    <cellStyle name="Output 5 5 4 2" xfId="11106"/>
    <cellStyle name="Output 5 5 4 3" xfId="15516"/>
    <cellStyle name="Output 5 5 4_Table" xfId="8000"/>
    <cellStyle name="Output 5 5 5" xfId="2211"/>
    <cellStyle name="Output 5 5 5 2" xfId="11539"/>
    <cellStyle name="Output 5 5 5 3" xfId="15949"/>
    <cellStyle name="Output 5 5 5_Table" xfId="8001"/>
    <cellStyle name="Output 5 5 6" xfId="2646"/>
    <cellStyle name="Output 5 5 6 2" xfId="11974"/>
    <cellStyle name="Output 5 5 6 3" xfId="16384"/>
    <cellStyle name="Output 5 5 6_Table" xfId="8002"/>
    <cellStyle name="Output 5 5 7" xfId="3059"/>
    <cellStyle name="Output 5 5 7 2" xfId="12387"/>
    <cellStyle name="Output 5 5 7 3" xfId="16797"/>
    <cellStyle name="Output 5 5 7_Table" xfId="8003"/>
    <cellStyle name="Output 5 5 8" xfId="3485"/>
    <cellStyle name="Output 5 5 8 2" xfId="12813"/>
    <cellStyle name="Output 5 5 8 3" xfId="17223"/>
    <cellStyle name="Output 5 5 8_Table" xfId="8004"/>
    <cellStyle name="Output 5 5 9" xfId="3574"/>
    <cellStyle name="Output 5 5 9 2" xfId="12902"/>
    <cellStyle name="Output 5 5 9 3" xfId="17312"/>
    <cellStyle name="Output 5 5 9_Table" xfId="8005"/>
    <cellStyle name="Output 5 5_Table" xfId="7986"/>
    <cellStyle name="Output 5 6" xfId="693"/>
    <cellStyle name="Output 5 6 10" xfId="4653"/>
    <cellStyle name="Output 5 6 10 2" xfId="13981"/>
    <cellStyle name="Output 5 6 10 3" xfId="18391"/>
    <cellStyle name="Output 5 6 10_Table" xfId="8007"/>
    <cellStyle name="Output 5 6 11" xfId="10021"/>
    <cellStyle name="Output 5 6 12" xfId="14431"/>
    <cellStyle name="Output 5 6 2" xfId="1479"/>
    <cellStyle name="Output 5 6 2 2" xfId="10807"/>
    <cellStyle name="Output 5 6 2 3" xfId="15217"/>
    <cellStyle name="Output 5 6 2_Table" xfId="8008"/>
    <cellStyle name="Output 5 6 3" xfId="1839"/>
    <cellStyle name="Output 5 6 3 2" xfId="11167"/>
    <cellStyle name="Output 5 6 3 3" xfId="15577"/>
    <cellStyle name="Output 5 6 3_Table" xfId="8009"/>
    <cellStyle name="Output 5 6 4" xfId="2269"/>
    <cellStyle name="Output 5 6 4 2" xfId="11597"/>
    <cellStyle name="Output 5 6 4 3" xfId="16007"/>
    <cellStyle name="Output 5 6 4_Table" xfId="8010"/>
    <cellStyle name="Output 5 6 5" xfId="2707"/>
    <cellStyle name="Output 5 6 5 2" xfId="12035"/>
    <cellStyle name="Output 5 6 5 3" xfId="16445"/>
    <cellStyle name="Output 5 6 5_Table" xfId="8011"/>
    <cellStyle name="Output 5 6 6" xfId="3114"/>
    <cellStyle name="Output 5 6 6 2" xfId="12442"/>
    <cellStyle name="Output 5 6 6 3" xfId="16852"/>
    <cellStyle name="Output 5 6 6_Table" xfId="8012"/>
    <cellStyle name="Output 5 6 7" xfId="3706"/>
    <cellStyle name="Output 5 6 7 2" xfId="13034"/>
    <cellStyle name="Output 5 6 7 3" xfId="17444"/>
    <cellStyle name="Output 5 6 7_Table" xfId="8013"/>
    <cellStyle name="Output 5 6 8" xfId="3931"/>
    <cellStyle name="Output 5 6 8 2" xfId="13259"/>
    <cellStyle name="Output 5 6 8 3" xfId="17669"/>
    <cellStyle name="Output 5 6 8_Table" xfId="8014"/>
    <cellStyle name="Output 5 6 9" xfId="4292"/>
    <cellStyle name="Output 5 6 9 2" xfId="13620"/>
    <cellStyle name="Output 5 6 9 3" xfId="18030"/>
    <cellStyle name="Output 5 6 9_Table" xfId="8015"/>
    <cellStyle name="Output 5 6_Table" xfId="8006"/>
    <cellStyle name="Output 5 7" xfId="1187"/>
    <cellStyle name="Output 5 7 2" xfId="10515"/>
    <cellStyle name="Output 5 7 3" xfId="14925"/>
    <cellStyle name="Output 5 7_Table" xfId="8016"/>
    <cellStyle name="Output 5 8" xfId="1057"/>
    <cellStyle name="Output 5 8 2" xfId="10385"/>
    <cellStyle name="Output 5 8 3" xfId="14795"/>
    <cellStyle name="Output 5 8_Table" xfId="8017"/>
    <cellStyle name="Output 5 9" xfId="1373"/>
    <cellStyle name="Output 5 9 2" xfId="10701"/>
    <cellStyle name="Output 5 9 3" xfId="15111"/>
    <cellStyle name="Output 5 9_Table" xfId="8018"/>
    <cellStyle name="Output 5_Table" xfId="7919"/>
    <cellStyle name="Output 6" xfId="354"/>
    <cellStyle name="Output 6 10" xfId="899"/>
    <cellStyle name="Output 6 10 2" xfId="10227"/>
    <cellStyle name="Output 6 10 3" xfId="14637"/>
    <cellStyle name="Output 6 10_Table" xfId="8020"/>
    <cellStyle name="Output 6 11" xfId="2104"/>
    <cellStyle name="Output 6 11 2" xfId="11432"/>
    <cellStyle name="Output 6 11 3" xfId="15842"/>
    <cellStyle name="Output 6 11_Table" xfId="8021"/>
    <cellStyle name="Output 6 12" xfId="2536"/>
    <cellStyle name="Output 6 12 2" xfId="11864"/>
    <cellStyle name="Output 6 12 3" xfId="16274"/>
    <cellStyle name="Output 6 12_Table" xfId="8022"/>
    <cellStyle name="Output 6 13" xfId="2541"/>
    <cellStyle name="Output 6 13 2" xfId="11869"/>
    <cellStyle name="Output 6 13 3" xfId="16279"/>
    <cellStyle name="Output 6 13_Table" xfId="8023"/>
    <cellStyle name="Output 6 14" xfId="3026"/>
    <cellStyle name="Output 6 14 2" xfId="12354"/>
    <cellStyle name="Output 6 14 3" xfId="16764"/>
    <cellStyle name="Output 6 14_Table" xfId="8024"/>
    <cellStyle name="Output 6 15" xfId="3322"/>
    <cellStyle name="Output 6 15 2" xfId="12650"/>
    <cellStyle name="Output 6 15 3" xfId="17060"/>
    <cellStyle name="Output 6 15_Table" xfId="8025"/>
    <cellStyle name="Output 6 16" xfId="9682"/>
    <cellStyle name="Output 6 17" xfId="14207"/>
    <cellStyle name="Output 6 2" xfId="425"/>
    <cellStyle name="Output 6 2 10" xfId="3014"/>
    <cellStyle name="Output 6 2 10 2" xfId="12342"/>
    <cellStyle name="Output 6 2 10 3" xfId="16752"/>
    <cellStyle name="Output 6 2 10_Table" xfId="8027"/>
    <cellStyle name="Output 6 2 11" xfId="3512"/>
    <cellStyle name="Output 6 2 11 2" xfId="12840"/>
    <cellStyle name="Output 6 2 11 3" xfId="17250"/>
    <cellStyle name="Output 6 2 11_Table" xfId="8028"/>
    <cellStyle name="Output 6 2 12" xfId="9753"/>
    <cellStyle name="Output 6 2 13" xfId="14252"/>
    <cellStyle name="Output 6 2 2" xfId="739"/>
    <cellStyle name="Output 6 2 2 10" xfId="4699"/>
    <cellStyle name="Output 6 2 2 10 2" xfId="14027"/>
    <cellStyle name="Output 6 2 2 10 3" xfId="18437"/>
    <cellStyle name="Output 6 2 2 10_Table" xfId="8030"/>
    <cellStyle name="Output 6 2 2 11" xfId="10067"/>
    <cellStyle name="Output 6 2 2 12" xfId="14477"/>
    <cellStyle name="Output 6 2 2 2" xfId="1525"/>
    <cellStyle name="Output 6 2 2 2 2" xfId="10853"/>
    <cellStyle name="Output 6 2 2 2 3" xfId="15263"/>
    <cellStyle name="Output 6 2 2 2_Table" xfId="8031"/>
    <cellStyle name="Output 6 2 2 3" xfId="1885"/>
    <cellStyle name="Output 6 2 2 3 2" xfId="11213"/>
    <cellStyle name="Output 6 2 2 3 3" xfId="15623"/>
    <cellStyle name="Output 6 2 2 3_Table" xfId="8032"/>
    <cellStyle name="Output 6 2 2 4" xfId="2315"/>
    <cellStyle name="Output 6 2 2 4 2" xfId="11643"/>
    <cellStyle name="Output 6 2 2 4 3" xfId="16053"/>
    <cellStyle name="Output 6 2 2 4_Table" xfId="8033"/>
    <cellStyle name="Output 6 2 2 5" xfId="2753"/>
    <cellStyle name="Output 6 2 2 5 2" xfId="12081"/>
    <cellStyle name="Output 6 2 2 5 3" xfId="16491"/>
    <cellStyle name="Output 6 2 2 5_Table" xfId="8034"/>
    <cellStyle name="Output 6 2 2 6" xfId="3160"/>
    <cellStyle name="Output 6 2 2 6 2" xfId="12488"/>
    <cellStyle name="Output 6 2 2 6 3" xfId="16898"/>
    <cellStyle name="Output 6 2 2 6_Table" xfId="8035"/>
    <cellStyle name="Output 6 2 2 7" xfId="3752"/>
    <cellStyle name="Output 6 2 2 7 2" xfId="13080"/>
    <cellStyle name="Output 6 2 2 7 3" xfId="17490"/>
    <cellStyle name="Output 6 2 2 7_Table" xfId="8036"/>
    <cellStyle name="Output 6 2 2 8" xfId="3977"/>
    <cellStyle name="Output 6 2 2 8 2" xfId="13305"/>
    <cellStyle name="Output 6 2 2 8 3" xfId="17715"/>
    <cellStyle name="Output 6 2 2 8_Table" xfId="8037"/>
    <cellStyle name="Output 6 2 2 9" xfId="4338"/>
    <cellStyle name="Output 6 2 2 9 2" xfId="13666"/>
    <cellStyle name="Output 6 2 2 9 3" xfId="18076"/>
    <cellStyle name="Output 6 2 2 9_Table" xfId="8038"/>
    <cellStyle name="Output 6 2 2_Table" xfId="8029"/>
    <cellStyle name="Output 6 2 3" xfId="1239"/>
    <cellStyle name="Output 6 2 3 2" xfId="10567"/>
    <cellStyle name="Output 6 2 3 3" xfId="14977"/>
    <cellStyle name="Output 6 2 3_Table" xfId="8039"/>
    <cellStyle name="Output 6 2 4" xfId="987"/>
    <cellStyle name="Output 6 2 4 2" xfId="10315"/>
    <cellStyle name="Output 6 2 4 3" xfId="14725"/>
    <cellStyle name="Output 6 2 4_Table" xfId="8040"/>
    <cellStyle name="Output 6 2 5" xfId="1432"/>
    <cellStyle name="Output 6 2 5 2" xfId="10760"/>
    <cellStyle name="Output 6 2 5 3" xfId="15170"/>
    <cellStyle name="Output 6 2 5_Table" xfId="8041"/>
    <cellStyle name="Output 6 2 6" xfId="955"/>
    <cellStyle name="Output 6 2 6 2" xfId="10283"/>
    <cellStyle name="Output 6 2 6 3" xfId="14693"/>
    <cellStyle name="Output 6 2 6_Table" xfId="8042"/>
    <cellStyle name="Output 6 2 7" xfId="2049"/>
    <cellStyle name="Output 6 2 7 2" xfId="11377"/>
    <cellStyle name="Output 6 2 7 3" xfId="15787"/>
    <cellStyle name="Output 6 2 7_Table" xfId="8043"/>
    <cellStyle name="Output 6 2 8" xfId="2481"/>
    <cellStyle name="Output 6 2 8 2" xfId="11809"/>
    <cellStyle name="Output 6 2 8 3" xfId="16219"/>
    <cellStyle name="Output 6 2 8_Table" xfId="8044"/>
    <cellStyle name="Output 6 2 9" xfId="2906"/>
    <cellStyle name="Output 6 2 9 2" xfId="12234"/>
    <cellStyle name="Output 6 2 9 3" xfId="16644"/>
    <cellStyle name="Output 6 2 9_Table" xfId="8045"/>
    <cellStyle name="Output 6 2_Table" xfId="8026"/>
    <cellStyle name="Output 6 3" xfId="493"/>
    <cellStyle name="Output 6 3 10" xfId="4158"/>
    <cellStyle name="Output 6 3 10 2" xfId="13486"/>
    <cellStyle name="Output 6 3 10 3" xfId="17896"/>
    <cellStyle name="Output 6 3 10_Table" xfId="8047"/>
    <cellStyle name="Output 6 3 11" xfId="4519"/>
    <cellStyle name="Output 6 3 11 2" xfId="13847"/>
    <cellStyle name="Output 6 3 11 3" xfId="18257"/>
    <cellStyle name="Output 6 3 11_Table" xfId="8048"/>
    <cellStyle name="Output 6 3 12" xfId="9821"/>
    <cellStyle name="Output 6 3 13" xfId="14297"/>
    <cellStyle name="Output 6 3 2" xfId="784"/>
    <cellStyle name="Output 6 3 2 10" xfId="4744"/>
    <cellStyle name="Output 6 3 2 10 2" xfId="14072"/>
    <cellStyle name="Output 6 3 2 10 3" xfId="18482"/>
    <cellStyle name="Output 6 3 2 10_Table" xfId="8050"/>
    <cellStyle name="Output 6 3 2 11" xfId="10112"/>
    <cellStyle name="Output 6 3 2 12" xfId="14522"/>
    <cellStyle name="Output 6 3 2 2" xfId="1570"/>
    <cellStyle name="Output 6 3 2 2 2" xfId="10898"/>
    <cellStyle name="Output 6 3 2 2 3" xfId="15308"/>
    <cellStyle name="Output 6 3 2 2_Table" xfId="8051"/>
    <cellStyle name="Output 6 3 2 3" xfId="1930"/>
    <cellStyle name="Output 6 3 2 3 2" xfId="11258"/>
    <cellStyle name="Output 6 3 2 3 3" xfId="15668"/>
    <cellStyle name="Output 6 3 2 3_Table" xfId="8052"/>
    <cellStyle name="Output 6 3 2 4" xfId="2360"/>
    <cellStyle name="Output 6 3 2 4 2" xfId="11688"/>
    <cellStyle name="Output 6 3 2 4 3" xfId="16098"/>
    <cellStyle name="Output 6 3 2 4_Table" xfId="8053"/>
    <cellStyle name="Output 6 3 2 5" xfId="2798"/>
    <cellStyle name="Output 6 3 2 5 2" xfId="12126"/>
    <cellStyle name="Output 6 3 2 5 3" xfId="16536"/>
    <cellStyle name="Output 6 3 2 5_Table" xfId="8054"/>
    <cellStyle name="Output 6 3 2 6" xfId="3205"/>
    <cellStyle name="Output 6 3 2 6 2" xfId="12533"/>
    <cellStyle name="Output 6 3 2 6 3" xfId="16943"/>
    <cellStyle name="Output 6 3 2 6_Table" xfId="8055"/>
    <cellStyle name="Output 6 3 2 7" xfId="3797"/>
    <cellStyle name="Output 6 3 2 7 2" xfId="13125"/>
    <cellStyle name="Output 6 3 2 7 3" xfId="17535"/>
    <cellStyle name="Output 6 3 2 7_Table" xfId="8056"/>
    <cellStyle name="Output 6 3 2 8" xfId="4022"/>
    <cellStyle name="Output 6 3 2 8 2" xfId="13350"/>
    <cellStyle name="Output 6 3 2 8 3" xfId="17760"/>
    <cellStyle name="Output 6 3 2 8_Table" xfId="8057"/>
    <cellStyle name="Output 6 3 2 9" xfId="4383"/>
    <cellStyle name="Output 6 3 2 9 2" xfId="13711"/>
    <cellStyle name="Output 6 3 2 9 3" xfId="18121"/>
    <cellStyle name="Output 6 3 2 9_Table" xfId="8058"/>
    <cellStyle name="Output 6 3 2_Table" xfId="8049"/>
    <cellStyle name="Output 6 3 3" xfId="1296"/>
    <cellStyle name="Output 6 3 3 2" xfId="10624"/>
    <cellStyle name="Output 6 3 3 3" xfId="15034"/>
    <cellStyle name="Output 6 3 3_Table" xfId="8059"/>
    <cellStyle name="Output 6 3 4" xfId="921"/>
    <cellStyle name="Output 6 3 4 2" xfId="10249"/>
    <cellStyle name="Output 6 3 4 3" xfId="14659"/>
    <cellStyle name="Output 6 3 4_Table" xfId="8060"/>
    <cellStyle name="Output 6 3 5" xfId="2084"/>
    <cellStyle name="Output 6 3 5 2" xfId="11412"/>
    <cellStyle name="Output 6 3 5 3" xfId="15822"/>
    <cellStyle name="Output 6 3 5_Table" xfId="8061"/>
    <cellStyle name="Output 6 3 6" xfId="2516"/>
    <cellStyle name="Output 6 3 6 2" xfId="11844"/>
    <cellStyle name="Output 6 3 6 3" xfId="16254"/>
    <cellStyle name="Output 6 3 6_Table" xfId="8062"/>
    <cellStyle name="Output 6 3 7" xfId="2944"/>
    <cellStyle name="Output 6 3 7 2" xfId="12272"/>
    <cellStyle name="Output 6 3 7 3" xfId="16682"/>
    <cellStyle name="Output 6 3 7_Table" xfId="8063"/>
    <cellStyle name="Output 6 3 8" xfId="3357"/>
    <cellStyle name="Output 6 3 8 2" xfId="12685"/>
    <cellStyle name="Output 6 3 8 3" xfId="17095"/>
    <cellStyle name="Output 6 3 8_Table" xfId="8064"/>
    <cellStyle name="Output 6 3 9" xfId="2609"/>
    <cellStyle name="Output 6 3 9 2" xfId="11937"/>
    <cellStyle name="Output 6 3 9 3" xfId="16347"/>
    <cellStyle name="Output 6 3 9_Table" xfId="8065"/>
    <cellStyle name="Output 6 3_Table" xfId="8046"/>
    <cellStyle name="Output 6 4" xfId="557"/>
    <cellStyle name="Output 6 4 10" xfId="4203"/>
    <cellStyle name="Output 6 4 10 2" xfId="13531"/>
    <cellStyle name="Output 6 4 10 3" xfId="17941"/>
    <cellStyle name="Output 6 4 10_Table" xfId="8067"/>
    <cellStyle name="Output 6 4 11" xfId="4564"/>
    <cellStyle name="Output 6 4 11 2" xfId="13892"/>
    <cellStyle name="Output 6 4 11 3" xfId="18302"/>
    <cellStyle name="Output 6 4 11_Table" xfId="8068"/>
    <cellStyle name="Output 6 4 12" xfId="9885"/>
    <cellStyle name="Output 6 4 13" xfId="14342"/>
    <cellStyle name="Output 6 4 2" xfId="829"/>
    <cellStyle name="Output 6 4 2 10" xfId="4789"/>
    <cellStyle name="Output 6 4 2 10 2" xfId="14117"/>
    <cellStyle name="Output 6 4 2 10 3" xfId="18527"/>
    <cellStyle name="Output 6 4 2 10_Table" xfId="8070"/>
    <cellStyle name="Output 6 4 2 11" xfId="10157"/>
    <cellStyle name="Output 6 4 2 12" xfId="14567"/>
    <cellStyle name="Output 6 4 2 2" xfId="1615"/>
    <cellStyle name="Output 6 4 2 2 2" xfId="10943"/>
    <cellStyle name="Output 6 4 2 2 3" xfId="15353"/>
    <cellStyle name="Output 6 4 2 2_Table" xfId="8071"/>
    <cellStyle name="Output 6 4 2 3" xfId="1975"/>
    <cellStyle name="Output 6 4 2 3 2" xfId="11303"/>
    <cellStyle name="Output 6 4 2 3 3" xfId="15713"/>
    <cellStyle name="Output 6 4 2 3_Table" xfId="8072"/>
    <cellStyle name="Output 6 4 2 4" xfId="2405"/>
    <cellStyle name="Output 6 4 2 4 2" xfId="11733"/>
    <cellStyle name="Output 6 4 2 4 3" xfId="16143"/>
    <cellStyle name="Output 6 4 2 4_Table" xfId="8073"/>
    <cellStyle name="Output 6 4 2 5" xfId="2843"/>
    <cellStyle name="Output 6 4 2 5 2" xfId="12171"/>
    <cellStyle name="Output 6 4 2 5 3" xfId="16581"/>
    <cellStyle name="Output 6 4 2 5_Table" xfId="8074"/>
    <cellStyle name="Output 6 4 2 6" xfId="3250"/>
    <cellStyle name="Output 6 4 2 6 2" xfId="12578"/>
    <cellStyle name="Output 6 4 2 6 3" xfId="16988"/>
    <cellStyle name="Output 6 4 2 6_Table" xfId="8075"/>
    <cellStyle name="Output 6 4 2 7" xfId="3842"/>
    <cellStyle name="Output 6 4 2 7 2" xfId="13170"/>
    <cellStyle name="Output 6 4 2 7 3" xfId="17580"/>
    <cellStyle name="Output 6 4 2 7_Table" xfId="8076"/>
    <cellStyle name="Output 6 4 2 8" xfId="4067"/>
    <cellStyle name="Output 6 4 2 8 2" xfId="13395"/>
    <cellStyle name="Output 6 4 2 8 3" xfId="17805"/>
    <cellStyle name="Output 6 4 2 8_Table" xfId="8077"/>
    <cellStyle name="Output 6 4 2 9" xfId="4428"/>
    <cellStyle name="Output 6 4 2 9 2" xfId="13756"/>
    <cellStyle name="Output 6 4 2 9 3" xfId="18166"/>
    <cellStyle name="Output 6 4 2 9_Table" xfId="8078"/>
    <cellStyle name="Output 6 4 2_Table" xfId="8069"/>
    <cellStyle name="Output 6 4 3" xfId="1352"/>
    <cellStyle name="Output 6 4 3 2" xfId="10680"/>
    <cellStyle name="Output 6 4 3 3" xfId="15090"/>
    <cellStyle name="Output 6 4 3_Table" xfId="8079"/>
    <cellStyle name="Output 6 4 4" xfId="1709"/>
    <cellStyle name="Output 6 4 4 2" xfId="11037"/>
    <cellStyle name="Output 6 4 4 3" xfId="15447"/>
    <cellStyle name="Output 6 4 4_Table" xfId="8080"/>
    <cellStyle name="Output 6 4 5" xfId="2143"/>
    <cellStyle name="Output 6 4 5 2" xfId="11471"/>
    <cellStyle name="Output 6 4 5 3" xfId="15881"/>
    <cellStyle name="Output 6 4 5_Table" xfId="8081"/>
    <cellStyle name="Output 6 4 6" xfId="2575"/>
    <cellStyle name="Output 6 4 6 2" xfId="11903"/>
    <cellStyle name="Output 6 4 6 3" xfId="16313"/>
    <cellStyle name="Output 6 4 6_Table" xfId="8082"/>
    <cellStyle name="Output 6 4 7" xfId="3001"/>
    <cellStyle name="Output 6 4 7 2" xfId="12329"/>
    <cellStyle name="Output 6 4 7 3" xfId="16739"/>
    <cellStyle name="Output 6 4 7_Table" xfId="8083"/>
    <cellStyle name="Output 6 4 8" xfId="3415"/>
    <cellStyle name="Output 6 4 8 2" xfId="12743"/>
    <cellStyle name="Output 6 4 8 3" xfId="17153"/>
    <cellStyle name="Output 6 4 8_Table" xfId="8084"/>
    <cellStyle name="Output 6 4 9" xfId="3597"/>
    <cellStyle name="Output 6 4 9 2" xfId="12925"/>
    <cellStyle name="Output 6 4 9 3" xfId="17335"/>
    <cellStyle name="Output 6 4 9_Table" xfId="8085"/>
    <cellStyle name="Output 6 4_Table" xfId="8066"/>
    <cellStyle name="Output 6 5" xfId="632"/>
    <cellStyle name="Output 6 5 10" xfId="4248"/>
    <cellStyle name="Output 6 5 10 2" xfId="13576"/>
    <cellStyle name="Output 6 5 10 3" xfId="17986"/>
    <cellStyle name="Output 6 5 10_Table" xfId="8087"/>
    <cellStyle name="Output 6 5 11" xfId="4609"/>
    <cellStyle name="Output 6 5 11 2" xfId="13937"/>
    <cellStyle name="Output 6 5 11 3" xfId="18347"/>
    <cellStyle name="Output 6 5 11_Table" xfId="8088"/>
    <cellStyle name="Output 6 5 12" xfId="9960"/>
    <cellStyle name="Output 6 5 13" xfId="14387"/>
    <cellStyle name="Output 6 5 2" xfId="874"/>
    <cellStyle name="Output 6 5 2 10" xfId="4834"/>
    <cellStyle name="Output 6 5 2 10 2" xfId="14162"/>
    <cellStyle name="Output 6 5 2 10 3" xfId="18572"/>
    <cellStyle name="Output 6 5 2 10_Table" xfId="8090"/>
    <cellStyle name="Output 6 5 2 11" xfId="10202"/>
    <cellStyle name="Output 6 5 2 12" xfId="14612"/>
    <cellStyle name="Output 6 5 2 2" xfId="1660"/>
    <cellStyle name="Output 6 5 2 2 2" xfId="10988"/>
    <cellStyle name="Output 6 5 2 2 3" xfId="15398"/>
    <cellStyle name="Output 6 5 2 2_Table" xfId="8091"/>
    <cellStyle name="Output 6 5 2 3" xfId="2020"/>
    <cellStyle name="Output 6 5 2 3 2" xfId="11348"/>
    <cellStyle name="Output 6 5 2 3 3" xfId="15758"/>
    <cellStyle name="Output 6 5 2 3_Table" xfId="8092"/>
    <cellStyle name="Output 6 5 2 4" xfId="2450"/>
    <cellStyle name="Output 6 5 2 4 2" xfId="11778"/>
    <cellStyle name="Output 6 5 2 4 3" xfId="16188"/>
    <cellStyle name="Output 6 5 2 4_Table" xfId="8093"/>
    <cellStyle name="Output 6 5 2 5" xfId="2888"/>
    <cellStyle name="Output 6 5 2 5 2" xfId="12216"/>
    <cellStyle name="Output 6 5 2 5 3" xfId="16626"/>
    <cellStyle name="Output 6 5 2 5_Table" xfId="8094"/>
    <cellStyle name="Output 6 5 2 6" xfId="3295"/>
    <cellStyle name="Output 6 5 2 6 2" xfId="12623"/>
    <cellStyle name="Output 6 5 2 6 3" xfId="17033"/>
    <cellStyle name="Output 6 5 2 6_Table" xfId="8095"/>
    <cellStyle name="Output 6 5 2 7" xfId="3887"/>
    <cellStyle name="Output 6 5 2 7 2" xfId="13215"/>
    <cellStyle name="Output 6 5 2 7 3" xfId="17625"/>
    <cellStyle name="Output 6 5 2 7_Table" xfId="8096"/>
    <cellStyle name="Output 6 5 2 8" xfId="4112"/>
    <cellStyle name="Output 6 5 2 8 2" xfId="13440"/>
    <cellStyle name="Output 6 5 2 8 3" xfId="17850"/>
    <cellStyle name="Output 6 5 2 8_Table" xfId="8097"/>
    <cellStyle name="Output 6 5 2 9" xfId="4473"/>
    <cellStyle name="Output 6 5 2 9 2" xfId="13801"/>
    <cellStyle name="Output 6 5 2 9 3" xfId="18211"/>
    <cellStyle name="Output 6 5 2 9_Table" xfId="8098"/>
    <cellStyle name="Output 6 5 2_Table" xfId="8089"/>
    <cellStyle name="Output 6 5 3" xfId="1419"/>
    <cellStyle name="Output 6 5 3 2" xfId="10747"/>
    <cellStyle name="Output 6 5 3 3" xfId="15157"/>
    <cellStyle name="Output 6 5 3_Table" xfId="8099"/>
    <cellStyle name="Output 6 5 4" xfId="1779"/>
    <cellStyle name="Output 6 5 4 2" xfId="11107"/>
    <cellStyle name="Output 6 5 4 3" xfId="15517"/>
    <cellStyle name="Output 6 5 4_Table" xfId="8100"/>
    <cellStyle name="Output 6 5 5" xfId="2212"/>
    <cellStyle name="Output 6 5 5 2" xfId="11540"/>
    <cellStyle name="Output 6 5 5 3" xfId="15950"/>
    <cellStyle name="Output 6 5 5_Table" xfId="8101"/>
    <cellStyle name="Output 6 5 6" xfId="2647"/>
    <cellStyle name="Output 6 5 6 2" xfId="11975"/>
    <cellStyle name="Output 6 5 6 3" xfId="16385"/>
    <cellStyle name="Output 6 5 6_Table" xfId="8102"/>
    <cellStyle name="Output 6 5 7" xfId="3060"/>
    <cellStyle name="Output 6 5 7 2" xfId="12388"/>
    <cellStyle name="Output 6 5 7 3" xfId="16798"/>
    <cellStyle name="Output 6 5 7_Table" xfId="8103"/>
    <cellStyle name="Output 6 5 8" xfId="3486"/>
    <cellStyle name="Output 6 5 8 2" xfId="12814"/>
    <cellStyle name="Output 6 5 8 3" xfId="17224"/>
    <cellStyle name="Output 6 5 8_Table" xfId="8104"/>
    <cellStyle name="Output 6 5 9" xfId="3607"/>
    <cellStyle name="Output 6 5 9 2" xfId="12935"/>
    <cellStyle name="Output 6 5 9 3" xfId="17345"/>
    <cellStyle name="Output 6 5 9_Table" xfId="8105"/>
    <cellStyle name="Output 6 5_Table" xfId="8086"/>
    <cellStyle name="Output 6 6" xfId="694"/>
    <cellStyle name="Output 6 6 10" xfId="4654"/>
    <cellStyle name="Output 6 6 10 2" xfId="13982"/>
    <cellStyle name="Output 6 6 10 3" xfId="18392"/>
    <cellStyle name="Output 6 6 10_Table" xfId="8107"/>
    <cellStyle name="Output 6 6 11" xfId="10022"/>
    <cellStyle name="Output 6 6 12" xfId="14432"/>
    <cellStyle name="Output 6 6 2" xfId="1480"/>
    <cellStyle name="Output 6 6 2 2" xfId="10808"/>
    <cellStyle name="Output 6 6 2 3" xfId="15218"/>
    <cellStyle name="Output 6 6 2_Table" xfId="8108"/>
    <cellStyle name="Output 6 6 3" xfId="1840"/>
    <cellStyle name="Output 6 6 3 2" xfId="11168"/>
    <cellStyle name="Output 6 6 3 3" xfId="15578"/>
    <cellStyle name="Output 6 6 3_Table" xfId="8109"/>
    <cellStyle name="Output 6 6 4" xfId="2270"/>
    <cellStyle name="Output 6 6 4 2" xfId="11598"/>
    <cellStyle name="Output 6 6 4 3" xfId="16008"/>
    <cellStyle name="Output 6 6 4_Table" xfId="8110"/>
    <cellStyle name="Output 6 6 5" xfId="2708"/>
    <cellStyle name="Output 6 6 5 2" xfId="12036"/>
    <cellStyle name="Output 6 6 5 3" xfId="16446"/>
    <cellStyle name="Output 6 6 5_Table" xfId="8111"/>
    <cellStyle name="Output 6 6 6" xfId="3115"/>
    <cellStyle name="Output 6 6 6 2" xfId="12443"/>
    <cellStyle name="Output 6 6 6 3" xfId="16853"/>
    <cellStyle name="Output 6 6 6_Table" xfId="8112"/>
    <cellStyle name="Output 6 6 7" xfId="3707"/>
    <cellStyle name="Output 6 6 7 2" xfId="13035"/>
    <cellStyle name="Output 6 6 7 3" xfId="17445"/>
    <cellStyle name="Output 6 6 7_Table" xfId="8113"/>
    <cellStyle name="Output 6 6 8" xfId="3932"/>
    <cellStyle name="Output 6 6 8 2" xfId="13260"/>
    <cellStyle name="Output 6 6 8 3" xfId="17670"/>
    <cellStyle name="Output 6 6 8_Table" xfId="8114"/>
    <cellStyle name="Output 6 6 9" xfId="4293"/>
    <cellStyle name="Output 6 6 9 2" xfId="13621"/>
    <cellStyle name="Output 6 6 9 3" xfId="18031"/>
    <cellStyle name="Output 6 6 9_Table" xfId="8115"/>
    <cellStyle name="Output 6 6_Table" xfId="8106"/>
    <cellStyle name="Output 6 7" xfId="1188"/>
    <cellStyle name="Output 6 7 2" xfId="10516"/>
    <cellStyle name="Output 6 7 3" xfId="14926"/>
    <cellStyle name="Output 6 7_Table" xfId="8116"/>
    <cellStyle name="Output 6 8" xfId="1056"/>
    <cellStyle name="Output 6 8 2" xfId="10384"/>
    <cellStyle name="Output 6 8 3" xfId="14794"/>
    <cellStyle name="Output 6 8_Table" xfId="8117"/>
    <cellStyle name="Output 6 9" xfId="1438"/>
    <cellStyle name="Output 6 9 2" xfId="10766"/>
    <cellStyle name="Output 6 9 3" xfId="15176"/>
    <cellStyle name="Output 6 9_Table" xfId="8118"/>
    <cellStyle name="Output 6_Table" xfId="8019"/>
    <cellStyle name="Output 7" xfId="355"/>
    <cellStyle name="Output 7 10" xfId="1730"/>
    <cellStyle name="Output 7 10 2" xfId="11058"/>
    <cellStyle name="Output 7 10 3" xfId="15468"/>
    <cellStyle name="Output 7 10_Table" xfId="8120"/>
    <cellStyle name="Output 7 11" xfId="2165"/>
    <cellStyle name="Output 7 11 2" xfId="11493"/>
    <cellStyle name="Output 7 11 3" xfId="15903"/>
    <cellStyle name="Output 7 11_Table" xfId="8121"/>
    <cellStyle name="Output 7 12" xfId="2597"/>
    <cellStyle name="Output 7 12 2" xfId="11925"/>
    <cellStyle name="Output 7 12 3" xfId="16335"/>
    <cellStyle name="Output 7 12_Table" xfId="8122"/>
    <cellStyle name="Output 7 13" xfId="2588"/>
    <cellStyle name="Output 7 13 2" xfId="11916"/>
    <cellStyle name="Output 7 13 3" xfId="16326"/>
    <cellStyle name="Output 7 13_Table" xfId="8123"/>
    <cellStyle name="Output 7 14" xfId="2170"/>
    <cellStyle name="Output 7 14 2" xfId="11498"/>
    <cellStyle name="Output 7 14 3" xfId="15908"/>
    <cellStyle name="Output 7 14_Table" xfId="8124"/>
    <cellStyle name="Output 7 15" xfId="3534"/>
    <cellStyle name="Output 7 15 2" xfId="12862"/>
    <cellStyle name="Output 7 15 3" xfId="17272"/>
    <cellStyle name="Output 7 15_Table" xfId="8125"/>
    <cellStyle name="Output 7 16" xfId="9683"/>
    <cellStyle name="Output 7 17" xfId="14208"/>
    <cellStyle name="Output 7 2" xfId="426"/>
    <cellStyle name="Output 7 2 10" xfId="1101"/>
    <cellStyle name="Output 7 2 10 2" xfId="10429"/>
    <cellStyle name="Output 7 2 10 3" xfId="14839"/>
    <cellStyle name="Output 7 2 10_Table" xfId="8127"/>
    <cellStyle name="Output 7 2 11" xfId="1328"/>
    <cellStyle name="Output 7 2 11 2" xfId="10656"/>
    <cellStyle name="Output 7 2 11 3" xfId="15066"/>
    <cellStyle name="Output 7 2 11_Table" xfId="8128"/>
    <cellStyle name="Output 7 2 12" xfId="9754"/>
    <cellStyle name="Output 7 2 13" xfId="14253"/>
    <cellStyle name="Output 7 2 2" xfId="740"/>
    <cellStyle name="Output 7 2 2 10" xfId="4700"/>
    <cellStyle name="Output 7 2 2 10 2" xfId="14028"/>
    <cellStyle name="Output 7 2 2 10 3" xfId="18438"/>
    <cellStyle name="Output 7 2 2 10_Table" xfId="8130"/>
    <cellStyle name="Output 7 2 2 11" xfId="10068"/>
    <cellStyle name="Output 7 2 2 12" xfId="14478"/>
    <cellStyle name="Output 7 2 2 2" xfId="1526"/>
    <cellStyle name="Output 7 2 2 2 2" xfId="10854"/>
    <cellStyle name="Output 7 2 2 2 3" xfId="15264"/>
    <cellStyle name="Output 7 2 2 2_Table" xfId="8131"/>
    <cellStyle name="Output 7 2 2 3" xfId="1886"/>
    <cellStyle name="Output 7 2 2 3 2" xfId="11214"/>
    <cellStyle name="Output 7 2 2 3 3" xfId="15624"/>
    <cellStyle name="Output 7 2 2 3_Table" xfId="8132"/>
    <cellStyle name="Output 7 2 2 4" xfId="2316"/>
    <cellStyle name="Output 7 2 2 4 2" xfId="11644"/>
    <cellStyle name="Output 7 2 2 4 3" xfId="16054"/>
    <cellStyle name="Output 7 2 2 4_Table" xfId="8133"/>
    <cellStyle name="Output 7 2 2 5" xfId="2754"/>
    <cellStyle name="Output 7 2 2 5 2" xfId="12082"/>
    <cellStyle name="Output 7 2 2 5 3" xfId="16492"/>
    <cellStyle name="Output 7 2 2 5_Table" xfId="8134"/>
    <cellStyle name="Output 7 2 2 6" xfId="3161"/>
    <cellStyle name="Output 7 2 2 6 2" xfId="12489"/>
    <cellStyle name="Output 7 2 2 6 3" xfId="16899"/>
    <cellStyle name="Output 7 2 2 6_Table" xfId="8135"/>
    <cellStyle name="Output 7 2 2 7" xfId="3753"/>
    <cellStyle name="Output 7 2 2 7 2" xfId="13081"/>
    <cellStyle name="Output 7 2 2 7 3" xfId="17491"/>
    <cellStyle name="Output 7 2 2 7_Table" xfId="8136"/>
    <cellStyle name="Output 7 2 2 8" xfId="3978"/>
    <cellStyle name="Output 7 2 2 8 2" xfId="13306"/>
    <cellStyle name="Output 7 2 2 8 3" xfId="17716"/>
    <cellStyle name="Output 7 2 2 8_Table" xfId="8137"/>
    <cellStyle name="Output 7 2 2 9" xfId="4339"/>
    <cellStyle name="Output 7 2 2 9 2" xfId="13667"/>
    <cellStyle name="Output 7 2 2 9 3" xfId="18077"/>
    <cellStyle name="Output 7 2 2 9_Table" xfId="8138"/>
    <cellStyle name="Output 7 2 2_Table" xfId="8129"/>
    <cellStyle name="Output 7 2 3" xfId="1240"/>
    <cellStyle name="Output 7 2 3 2" xfId="10568"/>
    <cellStyle name="Output 7 2 3 3" xfId="14978"/>
    <cellStyle name="Output 7 2 3_Table" xfId="8139"/>
    <cellStyle name="Output 7 2 4" xfId="986"/>
    <cellStyle name="Output 7 2 4 2" xfId="10314"/>
    <cellStyle name="Output 7 2 4 3" xfId="14724"/>
    <cellStyle name="Output 7 2 4_Table" xfId="8140"/>
    <cellStyle name="Output 7 2 5" xfId="895"/>
    <cellStyle name="Output 7 2 5 2" xfId="10223"/>
    <cellStyle name="Output 7 2 5 3" xfId="14633"/>
    <cellStyle name="Output 7 2 5_Table" xfId="8141"/>
    <cellStyle name="Output 7 2 6" xfId="1195"/>
    <cellStyle name="Output 7 2 6 2" xfId="10523"/>
    <cellStyle name="Output 7 2 6 3" xfId="14933"/>
    <cellStyle name="Output 7 2 6_Table" xfId="8142"/>
    <cellStyle name="Output 7 2 7" xfId="1033"/>
    <cellStyle name="Output 7 2 7 2" xfId="10361"/>
    <cellStyle name="Output 7 2 7 3" xfId="14771"/>
    <cellStyle name="Output 7 2 7_Table" xfId="8143"/>
    <cellStyle name="Output 7 2 8" xfId="1377"/>
    <cellStyle name="Output 7 2 8 2" xfId="10705"/>
    <cellStyle name="Output 7 2 8 3" xfId="15115"/>
    <cellStyle name="Output 7 2 8_Table" xfId="8144"/>
    <cellStyle name="Output 7 2 9" xfId="2109"/>
    <cellStyle name="Output 7 2 9 2" xfId="11437"/>
    <cellStyle name="Output 7 2 9 3" xfId="15847"/>
    <cellStyle name="Output 7 2 9_Table" xfId="8145"/>
    <cellStyle name="Output 7 2_Table" xfId="8126"/>
    <cellStyle name="Output 7 3" xfId="494"/>
    <cellStyle name="Output 7 3 10" xfId="4159"/>
    <cellStyle name="Output 7 3 10 2" xfId="13487"/>
    <cellStyle name="Output 7 3 10 3" xfId="17897"/>
    <cellStyle name="Output 7 3 10_Table" xfId="8147"/>
    <cellStyle name="Output 7 3 11" xfId="4520"/>
    <cellStyle name="Output 7 3 11 2" xfId="13848"/>
    <cellStyle name="Output 7 3 11 3" xfId="18258"/>
    <cellStyle name="Output 7 3 11_Table" xfId="8148"/>
    <cellStyle name="Output 7 3 12" xfId="9822"/>
    <cellStyle name="Output 7 3 13" xfId="14298"/>
    <cellStyle name="Output 7 3 2" xfId="785"/>
    <cellStyle name="Output 7 3 2 10" xfId="4745"/>
    <cellStyle name="Output 7 3 2 10 2" xfId="14073"/>
    <cellStyle name="Output 7 3 2 10 3" xfId="18483"/>
    <cellStyle name="Output 7 3 2 10_Table" xfId="8150"/>
    <cellStyle name="Output 7 3 2 11" xfId="10113"/>
    <cellStyle name="Output 7 3 2 12" xfId="14523"/>
    <cellStyle name="Output 7 3 2 2" xfId="1571"/>
    <cellStyle name="Output 7 3 2 2 2" xfId="10899"/>
    <cellStyle name="Output 7 3 2 2 3" xfId="15309"/>
    <cellStyle name="Output 7 3 2 2_Table" xfId="8151"/>
    <cellStyle name="Output 7 3 2 3" xfId="1931"/>
    <cellStyle name="Output 7 3 2 3 2" xfId="11259"/>
    <cellStyle name="Output 7 3 2 3 3" xfId="15669"/>
    <cellStyle name="Output 7 3 2 3_Table" xfId="8152"/>
    <cellStyle name="Output 7 3 2 4" xfId="2361"/>
    <cellStyle name="Output 7 3 2 4 2" xfId="11689"/>
    <cellStyle name="Output 7 3 2 4 3" xfId="16099"/>
    <cellStyle name="Output 7 3 2 4_Table" xfId="8153"/>
    <cellStyle name="Output 7 3 2 5" xfId="2799"/>
    <cellStyle name="Output 7 3 2 5 2" xfId="12127"/>
    <cellStyle name="Output 7 3 2 5 3" xfId="16537"/>
    <cellStyle name="Output 7 3 2 5_Table" xfId="8154"/>
    <cellStyle name="Output 7 3 2 6" xfId="3206"/>
    <cellStyle name="Output 7 3 2 6 2" xfId="12534"/>
    <cellStyle name="Output 7 3 2 6 3" xfId="16944"/>
    <cellStyle name="Output 7 3 2 6_Table" xfId="8155"/>
    <cellStyle name="Output 7 3 2 7" xfId="3798"/>
    <cellStyle name="Output 7 3 2 7 2" xfId="13126"/>
    <cellStyle name="Output 7 3 2 7 3" xfId="17536"/>
    <cellStyle name="Output 7 3 2 7_Table" xfId="8156"/>
    <cellStyle name="Output 7 3 2 8" xfId="4023"/>
    <cellStyle name="Output 7 3 2 8 2" xfId="13351"/>
    <cellStyle name="Output 7 3 2 8 3" xfId="17761"/>
    <cellStyle name="Output 7 3 2 8_Table" xfId="8157"/>
    <cellStyle name="Output 7 3 2 9" xfId="4384"/>
    <cellStyle name="Output 7 3 2 9 2" xfId="13712"/>
    <cellStyle name="Output 7 3 2 9 3" xfId="18122"/>
    <cellStyle name="Output 7 3 2 9_Table" xfId="8158"/>
    <cellStyle name="Output 7 3 2_Table" xfId="8149"/>
    <cellStyle name="Output 7 3 3" xfId="1297"/>
    <cellStyle name="Output 7 3 3 2" xfId="10625"/>
    <cellStyle name="Output 7 3 3 3" xfId="15035"/>
    <cellStyle name="Output 7 3 3_Table" xfId="8159"/>
    <cellStyle name="Output 7 3 4" xfId="920"/>
    <cellStyle name="Output 7 3 4 2" xfId="10248"/>
    <cellStyle name="Output 7 3 4 3" xfId="14658"/>
    <cellStyle name="Output 7 3 4_Table" xfId="8160"/>
    <cellStyle name="Output 7 3 5" xfId="2085"/>
    <cellStyle name="Output 7 3 5 2" xfId="11413"/>
    <cellStyle name="Output 7 3 5 3" xfId="15823"/>
    <cellStyle name="Output 7 3 5_Table" xfId="8161"/>
    <cellStyle name="Output 7 3 6" xfId="2517"/>
    <cellStyle name="Output 7 3 6 2" xfId="11845"/>
    <cellStyle name="Output 7 3 6 3" xfId="16255"/>
    <cellStyle name="Output 7 3 6_Table" xfId="8162"/>
    <cellStyle name="Output 7 3 7" xfId="2945"/>
    <cellStyle name="Output 7 3 7 2" xfId="12273"/>
    <cellStyle name="Output 7 3 7 3" xfId="16683"/>
    <cellStyle name="Output 7 3 7_Table" xfId="8163"/>
    <cellStyle name="Output 7 3 8" xfId="3358"/>
    <cellStyle name="Output 7 3 8 2" xfId="12686"/>
    <cellStyle name="Output 7 3 8 3" xfId="17096"/>
    <cellStyle name="Output 7 3 8_Table" xfId="8164"/>
    <cellStyle name="Output 7 3 9" xfId="2226"/>
    <cellStyle name="Output 7 3 9 2" xfId="11554"/>
    <cellStyle name="Output 7 3 9 3" xfId="15964"/>
    <cellStyle name="Output 7 3 9_Table" xfId="8165"/>
    <cellStyle name="Output 7 3_Table" xfId="8146"/>
    <cellStyle name="Output 7 4" xfId="558"/>
    <cellStyle name="Output 7 4 10" xfId="4204"/>
    <cellStyle name="Output 7 4 10 2" xfId="13532"/>
    <cellStyle name="Output 7 4 10 3" xfId="17942"/>
    <cellStyle name="Output 7 4 10_Table" xfId="8167"/>
    <cellStyle name="Output 7 4 11" xfId="4565"/>
    <cellStyle name="Output 7 4 11 2" xfId="13893"/>
    <cellStyle name="Output 7 4 11 3" xfId="18303"/>
    <cellStyle name="Output 7 4 11_Table" xfId="8168"/>
    <cellStyle name="Output 7 4 12" xfId="9886"/>
    <cellStyle name="Output 7 4 13" xfId="14343"/>
    <cellStyle name="Output 7 4 2" xfId="830"/>
    <cellStyle name="Output 7 4 2 10" xfId="4790"/>
    <cellStyle name="Output 7 4 2 10 2" xfId="14118"/>
    <cellStyle name="Output 7 4 2 10 3" xfId="18528"/>
    <cellStyle name="Output 7 4 2 10_Table" xfId="8170"/>
    <cellStyle name="Output 7 4 2 11" xfId="10158"/>
    <cellStyle name="Output 7 4 2 12" xfId="14568"/>
    <cellStyle name="Output 7 4 2 2" xfId="1616"/>
    <cellStyle name="Output 7 4 2 2 2" xfId="10944"/>
    <cellStyle name="Output 7 4 2 2 3" xfId="15354"/>
    <cellStyle name="Output 7 4 2 2_Table" xfId="8171"/>
    <cellStyle name="Output 7 4 2 3" xfId="1976"/>
    <cellStyle name="Output 7 4 2 3 2" xfId="11304"/>
    <cellStyle name="Output 7 4 2 3 3" xfId="15714"/>
    <cellStyle name="Output 7 4 2 3_Table" xfId="8172"/>
    <cellStyle name="Output 7 4 2 4" xfId="2406"/>
    <cellStyle name="Output 7 4 2 4 2" xfId="11734"/>
    <cellStyle name="Output 7 4 2 4 3" xfId="16144"/>
    <cellStyle name="Output 7 4 2 4_Table" xfId="8173"/>
    <cellStyle name="Output 7 4 2 5" xfId="2844"/>
    <cellStyle name="Output 7 4 2 5 2" xfId="12172"/>
    <cellStyle name="Output 7 4 2 5 3" xfId="16582"/>
    <cellStyle name="Output 7 4 2 5_Table" xfId="8174"/>
    <cellStyle name="Output 7 4 2 6" xfId="3251"/>
    <cellStyle name="Output 7 4 2 6 2" xfId="12579"/>
    <cellStyle name="Output 7 4 2 6 3" xfId="16989"/>
    <cellStyle name="Output 7 4 2 6_Table" xfId="8175"/>
    <cellStyle name="Output 7 4 2 7" xfId="3843"/>
    <cellStyle name="Output 7 4 2 7 2" xfId="13171"/>
    <cellStyle name="Output 7 4 2 7 3" xfId="17581"/>
    <cellStyle name="Output 7 4 2 7_Table" xfId="8176"/>
    <cellStyle name="Output 7 4 2 8" xfId="4068"/>
    <cellStyle name="Output 7 4 2 8 2" xfId="13396"/>
    <cellStyle name="Output 7 4 2 8 3" xfId="17806"/>
    <cellStyle name="Output 7 4 2 8_Table" xfId="8177"/>
    <cellStyle name="Output 7 4 2 9" xfId="4429"/>
    <cellStyle name="Output 7 4 2 9 2" xfId="13757"/>
    <cellStyle name="Output 7 4 2 9 3" xfId="18167"/>
    <cellStyle name="Output 7 4 2 9_Table" xfId="8178"/>
    <cellStyle name="Output 7 4 2_Table" xfId="8169"/>
    <cellStyle name="Output 7 4 3" xfId="1353"/>
    <cellStyle name="Output 7 4 3 2" xfId="10681"/>
    <cellStyle name="Output 7 4 3 3" xfId="15091"/>
    <cellStyle name="Output 7 4 3_Table" xfId="8179"/>
    <cellStyle name="Output 7 4 4" xfId="1710"/>
    <cellStyle name="Output 7 4 4 2" xfId="11038"/>
    <cellStyle name="Output 7 4 4 3" xfId="15448"/>
    <cellStyle name="Output 7 4 4_Table" xfId="8180"/>
    <cellStyle name="Output 7 4 5" xfId="2144"/>
    <cellStyle name="Output 7 4 5 2" xfId="11472"/>
    <cellStyle name="Output 7 4 5 3" xfId="15882"/>
    <cellStyle name="Output 7 4 5_Table" xfId="8181"/>
    <cellStyle name="Output 7 4 6" xfId="2576"/>
    <cellStyle name="Output 7 4 6 2" xfId="11904"/>
    <cellStyle name="Output 7 4 6 3" xfId="16314"/>
    <cellStyle name="Output 7 4 6_Table" xfId="8182"/>
    <cellStyle name="Output 7 4 7" xfId="3002"/>
    <cellStyle name="Output 7 4 7 2" xfId="12330"/>
    <cellStyle name="Output 7 4 7 3" xfId="16740"/>
    <cellStyle name="Output 7 4 7_Table" xfId="8183"/>
    <cellStyle name="Output 7 4 8" xfId="3416"/>
    <cellStyle name="Output 7 4 8 2" xfId="12744"/>
    <cellStyle name="Output 7 4 8 3" xfId="17154"/>
    <cellStyle name="Output 7 4 8_Table" xfId="8184"/>
    <cellStyle name="Output 7 4 9" xfId="3628"/>
    <cellStyle name="Output 7 4 9 2" xfId="12956"/>
    <cellStyle name="Output 7 4 9 3" xfId="17366"/>
    <cellStyle name="Output 7 4 9_Table" xfId="8185"/>
    <cellStyle name="Output 7 4_Table" xfId="8166"/>
    <cellStyle name="Output 7 5" xfId="633"/>
    <cellStyle name="Output 7 5 10" xfId="4249"/>
    <cellStyle name="Output 7 5 10 2" xfId="13577"/>
    <cellStyle name="Output 7 5 10 3" xfId="17987"/>
    <cellStyle name="Output 7 5 10_Table" xfId="8187"/>
    <cellStyle name="Output 7 5 11" xfId="4610"/>
    <cellStyle name="Output 7 5 11 2" xfId="13938"/>
    <cellStyle name="Output 7 5 11 3" xfId="18348"/>
    <cellStyle name="Output 7 5 11_Table" xfId="8188"/>
    <cellStyle name="Output 7 5 12" xfId="9961"/>
    <cellStyle name="Output 7 5 13" xfId="14388"/>
    <cellStyle name="Output 7 5 2" xfId="875"/>
    <cellStyle name="Output 7 5 2 10" xfId="4835"/>
    <cellStyle name="Output 7 5 2 10 2" xfId="14163"/>
    <cellStyle name="Output 7 5 2 10 3" xfId="18573"/>
    <cellStyle name="Output 7 5 2 10_Table" xfId="8190"/>
    <cellStyle name="Output 7 5 2 11" xfId="10203"/>
    <cellStyle name="Output 7 5 2 12" xfId="14613"/>
    <cellStyle name="Output 7 5 2 2" xfId="1661"/>
    <cellStyle name="Output 7 5 2 2 2" xfId="10989"/>
    <cellStyle name="Output 7 5 2 2 3" xfId="15399"/>
    <cellStyle name="Output 7 5 2 2_Table" xfId="8191"/>
    <cellStyle name="Output 7 5 2 3" xfId="2021"/>
    <cellStyle name="Output 7 5 2 3 2" xfId="11349"/>
    <cellStyle name="Output 7 5 2 3 3" xfId="15759"/>
    <cellStyle name="Output 7 5 2 3_Table" xfId="8192"/>
    <cellStyle name="Output 7 5 2 4" xfId="2451"/>
    <cellStyle name="Output 7 5 2 4 2" xfId="11779"/>
    <cellStyle name="Output 7 5 2 4 3" xfId="16189"/>
    <cellStyle name="Output 7 5 2 4_Table" xfId="8193"/>
    <cellStyle name="Output 7 5 2 5" xfId="2889"/>
    <cellStyle name="Output 7 5 2 5 2" xfId="12217"/>
    <cellStyle name="Output 7 5 2 5 3" xfId="16627"/>
    <cellStyle name="Output 7 5 2 5_Table" xfId="8194"/>
    <cellStyle name="Output 7 5 2 6" xfId="3296"/>
    <cellStyle name="Output 7 5 2 6 2" xfId="12624"/>
    <cellStyle name="Output 7 5 2 6 3" xfId="17034"/>
    <cellStyle name="Output 7 5 2 6_Table" xfId="8195"/>
    <cellStyle name="Output 7 5 2 7" xfId="3888"/>
    <cellStyle name="Output 7 5 2 7 2" xfId="13216"/>
    <cellStyle name="Output 7 5 2 7 3" xfId="17626"/>
    <cellStyle name="Output 7 5 2 7_Table" xfId="8196"/>
    <cellStyle name="Output 7 5 2 8" xfId="4113"/>
    <cellStyle name="Output 7 5 2 8 2" xfId="13441"/>
    <cellStyle name="Output 7 5 2 8 3" xfId="17851"/>
    <cellStyle name="Output 7 5 2 8_Table" xfId="8197"/>
    <cellStyle name="Output 7 5 2 9" xfId="4474"/>
    <cellStyle name="Output 7 5 2 9 2" xfId="13802"/>
    <cellStyle name="Output 7 5 2 9 3" xfId="18212"/>
    <cellStyle name="Output 7 5 2 9_Table" xfId="8198"/>
    <cellStyle name="Output 7 5 2_Table" xfId="8189"/>
    <cellStyle name="Output 7 5 3" xfId="1420"/>
    <cellStyle name="Output 7 5 3 2" xfId="10748"/>
    <cellStyle name="Output 7 5 3 3" xfId="15158"/>
    <cellStyle name="Output 7 5 3_Table" xfId="8199"/>
    <cellStyle name="Output 7 5 4" xfId="1780"/>
    <cellStyle name="Output 7 5 4 2" xfId="11108"/>
    <cellStyle name="Output 7 5 4 3" xfId="15518"/>
    <cellStyle name="Output 7 5 4_Table" xfId="8200"/>
    <cellStyle name="Output 7 5 5" xfId="2213"/>
    <cellStyle name="Output 7 5 5 2" xfId="11541"/>
    <cellStyle name="Output 7 5 5 3" xfId="15951"/>
    <cellStyle name="Output 7 5 5_Table" xfId="8201"/>
    <cellStyle name="Output 7 5 6" xfId="2648"/>
    <cellStyle name="Output 7 5 6 2" xfId="11976"/>
    <cellStyle name="Output 7 5 6 3" xfId="16386"/>
    <cellStyle name="Output 7 5 6_Table" xfId="8202"/>
    <cellStyle name="Output 7 5 7" xfId="3061"/>
    <cellStyle name="Output 7 5 7 2" xfId="12389"/>
    <cellStyle name="Output 7 5 7 3" xfId="16799"/>
    <cellStyle name="Output 7 5 7_Table" xfId="8203"/>
    <cellStyle name="Output 7 5 8" xfId="3487"/>
    <cellStyle name="Output 7 5 8 2" xfId="12815"/>
    <cellStyle name="Output 7 5 8 3" xfId="17225"/>
    <cellStyle name="Output 7 5 8_Table" xfId="8204"/>
    <cellStyle name="Output 7 5 9" xfId="3639"/>
    <cellStyle name="Output 7 5 9 2" xfId="12967"/>
    <cellStyle name="Output 7 5 9 3" xfId="17377"/>
    <cellStyle name="Output 7 5 9_Table" xfId="8205"/>
    <cellStyle name="Output 7 5_Table" xfId="8186"/>
    <cellStyle name="Output 7 6" xfId="695"/>
    <cellStyle name="Output 7 6 10" xfId="4655"/>
    <cellStyle name="Output 7 6 10 2" xfId="13983"/>
    <cellStyle name="Output 7 6 10 3" xfId="18393"/>
    <cellStyle name="Output 7 6 10_Table" xfId="8207"/>
    <cellStyle name="Output 7 6 11" xfId="10023"/>
    <cellStyle name="Output 7 6 12" xfId="14433"/>
    <cellStyle name="Output 7 6 2" xfId="1481"/>
    <cellStyle name="Output 7 6 2 2" xfId="10809"/>
    <cellStyle name="Output 7 6 2 3" xfId="15219"/>
    <cellStyle name="Output 7 6 2_Table" xfId="8208"/>
    <cellStyle name="Output 7 6 3" xfId="1841"/>
    <cellStyle name="Output 7 6 3 2" xfId="11169"/>
    <cellStyle name="Output 7 6 3 3" xfId="15579"/>
    <cellStyle name="Output 7 6 3_Table" xfId="8209"/>
    <cellStyle name="Output 7 6 4" xfId="2271"/>
    <cellStyle name="Output 7 6 4 2" xfId="11599"/>
    <cellStyle name="Output 7 6 4 3" xfId="16009"/>
    <cellStyle name="Output 7 6 4_Table" xfId="8210"/>
    <cellStyle name="Output 7 6 5" xfId="2709"/>
    <cellStyle name="Output 7 6 5 2" xfId="12037"/>
    <cellStyle name="Output 7 6 5 3" xfId="16447"/>
    <cellStyle name="Output 7 6 5_Table" xfId="8211"/>
    <cellStyle name="Output 7 6 6" xfId="3116"/>
    <cellStyle name="Output 7 6 6 2" xfId="12444"/>
    <cellStyle name="Output 7 6 6 3" xfId="16854"/>
    <cellStyle name="Output 7 6 6_Table" xfId="8212"/>
    <cellStyle name="Output 7 6 7" xfId="3708"/>
    <cellStyle name="Output 7 6 7 2" xfId="13036"/>
    <cellStyle name="Output 7 6 7 3" xfId="17446"/>
    <cellStyle name="Output 7 6 7_Table" xfId="8213"/>
    <cellStyle name="Output 7 6 8" xfId="3933"/>
    <cellStyle name="Output 7 6 8 2" xfId="13261"/>
    <cellStyle name="Output 7 6 8 3" xfId="17671"/>
    <cellStyle name="Output 7 6 8_Table" xfId="8214"/>
    <cellStyle name="Output 7 6 9" xfId="4294"/>
    <cellStyle name="Output 7 6 9 2" xfId="13622"/>
    <cellStyle name="Output 7 6 9 3" xfId="18032"/>
    <cellStyle name="Output 7 6 9_Table" xfId="8215"/>
    <cellStyle name="Output 7 6_Table" xfId="8206"/>
    <cellStyle name="Output 7 7" xfId="1189"/>
    <cellStyle name="Output 7 7 2" xfId="10517"/>
    <cellStyle name="Output 7 7 3" xfId="14927"/>
    <cellStyle name="Output 7 7_Table" xfId="8216"/>
    <cellStyle name="Output 7 8" xfId="1055"/>
    <cellStyle name="Output 7 8 2" xfId="10383"/>
    <cellStyle name="Output 7 8 3" xfId="14793"/>
    <cellStyle name="Output 7 8_Table" xfId="8217"/>
    <cellStyle name="Output 7 9" xfId="1254"/>
    <cellStyle name="Output 7 9 2" xfId="10582"/>
    <cellStyle name="Output 7 9 3" xfId="14992"/>
    <cellStyle name="Output 7 9_Table" xfId="8218"/>
    <cellStyle name="Output 7_Table" xfId="8119"/>
    <cellStyle name="Output 8" xfId="356"/>
    <cellStyle name="Output 8 10" xfId="1801"/>
    <cellStyle name="Output 8 10 2" xfId="11129"/>
    <cellStyle name="Output 8 10 3" xfId="15539"/>
    <cellStyle name="Output 8 10_Table" xfId="8220"/>
    <cellStyle name="Output 8 11" xfId="2233"/>
    <cellStyle name="Output 8 11 2" xfId="11561"/>
    <cellStyle name="Output 8 11 3" xfId="15971"/>
    <cellStyle name="Output 8 11_Table" xfId="8221"/>
    <cellStyle name="Output 8 12" xfId="2668"/>
    <cellStyle name="Output 8 12 2" xfId="11996"/>
    <cellStyle name="Output 8 12 3" xfId="16406"/>
    <cellStyle name="Output 8 12_Table" xfId="8222"/>
    <cellStyle name="Output 8 13" xfId="2613"/>
    <cellStyle name="Output 8 13 2" xfId="11941"/>
    <cellStyle name="Output 8 13 3" xfId="16351"/>
    <cellStyle name="Output 8 13_Table" xfId="8223"/>
    <cellStyle name="Output 8 14" xfId="1098"/>
    <cellStyle name="Output 8 14 2" xfId="10426"/>
    <cellStyle name="Output 8 14 3" xfId="14836"/>
    <cellStyle name="Output 8 14_Table" xfId="8224"/>
    <cellStyle name="Output 8 15" xfId="3673"/>
    <cellStyle name="Output 8 15 2" xfId="13001"/>
    <cellStyle name="Output 8 15 3" xfId="17411"/>
    <cellStyle name="Output 8 15_Table" xfId="8225"/>
    <cellStyle name="Output 8 16" xfId="9684"/>
    <cellStyle name="Output 8 17" xfId="14209"/>
    <cellStyle name="Output 8 2" xfId="427"/>
    <cellStyle name="Output 8 2 10" xfId="1119"/>
    <cellStyle name="Output 8 2 10 2" xfId="10447"/>
    <cellStyle name="Output 8 2 10 3" xfId="14857"/>
    <cellStyle name="Output 8 2 10_Table" xfId="8227"/>
    <cellStyle name="Output 8 2 11" xfId="1436"/>
    <cellStyle name="Output 8 2 11 2" xfId="10764"/>
    <cellStyle name="Output 8 2 11 3" xfId="15174"/>
    <cellStyle name="Output 8 2 11_Table" xfId="8228"/>
    <cellStyle name="Output 8 2 12" xfId="9755"/>
    <cellStyle name="Output 8 2 13" xfId="14254"/>
    <cellStyle name="Output 8 2 2" xfId="741"/>
    <cellStyle name="Output 8 2 2 10" xfId="4701"/>
    <cellStyle name="Output 8 2 2 10 2" xfId="14029"/>
    <cellStyle name="Output 8 2 2 10 3" xfId="18439"/>
    <cellStyle name="Output 8 2 2 10_Table" xfId="8230"/>
    <cellStyle name="Output 8 2 2 11" xfId="10069"/>
    <cellStyle name="Output 8 2 2 12" xfId="14479"/>
    <cellStyle name="Output 8 2 2 2" xfId="1527"/>
    <cellStyle name="Output 8 2 2 2 2" xfId="10855"/>
    <cellStyle name="Output 8 2 2 2 3" xfId="15265"/>
    <cellStyle name="Output 8 2 2 2_Table" xfId="8231"/>
    <cellStyle name="Output 8 2 2 3" xfId="1887"/>
    <cellStyle name="Output 8 2 2 3 2" xfId="11215"/>
    <cellStyle name="Output 8 2 2 3 3" xfId="15625"/>
    <cellStyle name="Output 8 2 2 3_Table" xfId="8232"/>
    <cellStyle name="Output 8 2 2 4" xfId="2317"/>
    <cellStyle name="Output 8 2 2 4 2" xfId="11645"/>
    <cellStyle name="Output 8 2 2 4 3" xfId="16055"/>
    <cellStyle name="Output 8 2 2 4_Table" xfId="8233"/>
    <cellStyle name="Output 8 2 2 5" xfId="2755"/>
    <cellStyle name="Output 8 2 2 5 2" xfId="12083"/>
    <cellStyle name="Output 8 2 2 5 3" xfId="16493"/>
    <cellStyle name="Output 8 2 2 5_Table" xfId="8234"/>
    <cellStyle name="Output 8 2 2 6" xfId="3162"/>
    <cellStyle name="Output 8 2 2 6 2" xfId="12490"/>
    <cellStyle name="Output 8 2 2 6 3" xfId="16900"/>
    <cellStyle name="Output 8 2 2 6_Table" xfId="8235"/>
    <cellStyle name="Output 8 2 2 7" xfId="3754"/>
    <cellStyle name="Output 8 2 2 7 2" xfId="13082"/>
    <cellStyle name="Output 8 2 2 7 3" xfId="17492"/>
    <cellStyle name="Output 8 2 2 7_Table" xfId="8236"/>
    <cellStyle name="Output 8 2 2 8" xfId="3979"/>
    <cellStyle name="Output 8 2 2 8 2" xfId="13307"/>
    <cellStyle name="Output 8 2 2 8 3" xfId="17717"/>
    <cellStyle name="Output 8 2 2 8_Table" xfId="8237"/>
    <cellStyle name="Output 8 2 2 9" xfId="4340"/>
    <cellStyle name="Output 8 2 2 9 2" xfId="13668"/>
    <cellStyle name="Output 8 2 2 9 3" xfId="18078"/>
    <cellStyle name="Output 8 2 2 9_Table" xfId="8238"/>
    <cellStyle name="Output 8 2 2_Table" xfId="8229"/>
    <cellStyle name="Output 8 2 3" xfId="1241"/>
    <cellStyle name="Output 8 2 3 2" xfId="10569"/>
    <cellStyle name="Output 8 2 3 3" xfId="14979"/>
    <cellStyle name="Output 8 2 3_Table" xfId="8239"/>
    <cellStyle name="Output 8 2 4" xfId="985"/>
    <cellStyle name="Output 8 2 4 2" xfId="10313"/>
    <cellStyle name="Output 8 2 4 3" xfId="14723"/>
    <cellStyle name="Output 8 2 4_Table" xfId="8240"/>
    <cellStyle name="Output 8 2 5" xfId="1208"/>
    <cellStyle name="Output 8 2 5 2" xfId="10536"/>
    <cellStyle name="Output 8 2 5 3" xfId="14946"/>
    <cellStyle name="Output 8 2 5_Table" xfId="8241"/>
    <cellStyle name="Output 8 2 6" xfId="1052"/>
    <cellStyle name="Output 8 2 6 2" xfId="10380"/>
    <cellStyle name="Output 8 2 6 3" xfId="14790"/>
    <cellStyle name="Output 8 2 6_Table" xfId="8242"/>
    <cellStyle name="Output 8 2 7" xfId="1321"/>
    <cellStyle name="Output 8 2 7 2" xfId="10649"/>
    <cellStyle name="Output 8 2 7 3" xfId="15059"/>
    <cellStyle name="Output 8 2 7_Table" xfId="8243"/>
    <cellStyle name="Output 8 2 8" xfId="1738"/>
    <cellStyle name="Output 8 2 8 2" xfId="11066"/>
    <cellStyle name="Output 8 2 8 3" xfId="15476"/>
    <cellStyle name="Output 8 2 8_Table" xfId="8244"/>
    <cellStyle name="Output 8 2 9" xfId="1145"/>
    <cellStyle name="Output 8 2 9 2" xfId="10473"/>
    <cellStyle name="Output 8 2 9 3" xfId="14883"/>
    <cellStyle name="Output 8 2 9_Table" xfId="8245"/>
    <cellStyle name="Output 8 2_Table" xfId="8226"/>
    <cellStyle name="Output 8 3" xfId="495"/>
    <cellStyle name="Output 8 3 10" xfId="4160"/>
    <cellStyle name="Output 8 3 10 2" xfId="13488"/>
    <cellStyle name="Output 8 3 10 3" xfId="17898"/>
    <cellStyle name="Output 8 3 10_Table" xfId="8247"/>
    <cellStyle name="Output 8 3 11" xfId="4521"/>
    <cellStyle name="Output 8 3 11 2" xfId="13849"/>
    <cellStyle name="Output 8 3 11 3" xfId="18259"/>
    <cellStyle name="Output 8 3 11_Table" xfId="8248"/>
    <cellStyle name="Output 8 3 12" xfId="9823"/>
    <cellStyle name="Output 8 3 13" xfId="14299"/>
    <cellStyle name="Output 8 3 2" xfId="786"/>
    <cellStyle name="Output 8 3 2 10" xfId="4746"/>
    <cellStyle name="Output 8 3 2 10 2" xfId="14074"/>
    <cellStyle name="Output 8 3 2 10 3" xfId="18484"/>
    <cellStyle name="Output 8 3 2 10_Table" xfId="8250"/>
    <cellStyle name="Output 8 3 2 11" xfId="10114"/>
    <cellStyle name="Output 8 3 2 12" xfId="14524"/>
    <cellStyle name="Output 8 3 2 2" xfId="1572"/>
    <cellStyle name="Output 8 3 2 2 2" xfId="10900"/>
    <cellStyle name="Output 8 3 2 2 3" xfId="15310"/>
    <cellStyle name="Output 8 3 2 2_Table" xfId="8251"/>
    <cellStyle name="Output 8 3 2 3" xfId="1932"/>
    <cellStyle name="Output 8 3 2 3 2" xfId="11260"/>
    <cellStyle name="Output 8 3 2 3 3" xfId="15670"/>
    <cellStyle name="Output 8 3 2 3_Table" xfId="8252"/>
    <cellStyle name="Output 8 3 2 4" xfId="2362"/>
    <cellStyle name="Output 8 3 2 4 2" xfId="11690"/>
    <cellStyle name="Output 8 3 2 4 3" xfId="16100"/>
    <cellStyle name="Output 8 3 2 4_Table" xfId="8253"/>
    <cellStyle name="Output 8 3 2 5" xfId="2800"/>
    <cellStyle name="Output 8 3 2 5 2" xfId="12128"/>
    <cellStyle name="Output 8 3 2 5 3" xfId="16538"/>
    <cellStyle name="Output 8 3 2 5_Table" xfId="8254"/>
    <cellStyle name="Output 8 3 2 6" xfId="3207"/>
    <cellStyle name="Output 8 3 2 6 2" xfId="12535"/>
    <cellStyle name="Output 8 3 2 6 3" xfId="16945"/>
    <cellStyle name="Output 8 3 2 6_Table" xfId="8255"/>
    <cellStyle name="Output 8 3 2 7" xfId="3799"/>
    <cellStyle name="Output 8 3 2 7 2" xfId="13127"/>
    <cellStyle name="Output 8 3 2 7 3" xfId="17537"/>
    <cellStyle name="Output 8 3 2 7_Table" xfId="8256"/>
    <cellStyle name="Output 8 3 2 8" xfId="4024"/>
    <cellStyle name="Output 8 3 2 8 2" xfId="13352"/>
    <cellStyle name="Output 8 3 2 8 3" xfId="17762"/>
    <cellStyle name="Output 8 3 2 8_Table" xfId="8257"/>
    <cellStyle name="Output 8 3 2 9" xfId="4385"/>
    <cellStyle name="Output 8 3 2 9 2" xfId="13713"/>
    <cellStyle name="Output 8 3 2 9 3" xfId="18123"/>
    <cellStyle name="Output 8 3 2 9_Table" xfId="8258"/>
    <cellStyle name="Output 8 3 2_Table" xfId="8249"/>
    <cellStyle name="Output 8 3 3" xfId="1298"/>
    <cellStyle name="Output 8 3 3 2" xfId="10626"/>
    <cellStyle name="Output 8 3 3 3" xfId="15036"/>
    <cellStyle name="Output 8 3 3_Table" xfId="8259"/>
    <cellStyle name="Output 8 3 4" xfId="919"/>
    <cellStyle name="Output 8 3 4 2" xfId="10247"/>
    <cellStyle name="Output 8 3 4 3" xfId="14657"/>
    <cellStyle name="Output 8 3 4_Table" xfId="8260"/>
    <cellStyle name="Output 8 3 5" xfId="2086"/>
    <cellStyle name="Output 8 3 5 2" xfId="11414"/>
    <cellStyle name="Output 8 3 5 3" xfId="15824"/>
    <cellStyle name="Output 8 3 5_Table" xfId="8261"/>
    <cellStyle name="Output 8 3 6" xfId="2518"/>
    <cellStyle name="Output 8 3 6 2" xfId="11846"/>
    <cellStyle name="Output 8 3 6 3" xfId="16256"/>
    <cellStyle name="Output 8 3 6_Table" xfId="8262"/>
    <cellStyle name="Output 8 3 7" xfId="2946"/>
    <cellStyle name="Output 8 3 7 2" xfId="12274"/>
    <cellStyle name="Output 8 3 7 3" xfId="16684"/>
    <cellStyle name="Output 8 3 7_Table" xfId="8263"/>
    <cellStyle name="Output 8 3 8" xfId="3359"/>
    <cellStyle name="Output 8 3 8 2" xfId="12687"/>
    <cellStyle name="Output 8 3 8 3" xfId="17097"/>
    <cellStyle name="Output 8 3 8_Table" xfId="8264"/>
    <cellStyle name="Output 8 3 9" xfId="2602"/>
    <cellStyle name="Output 8 3 9 2" xfId="11930"/>
    <cellStyle name="Output 8 3 9 3" xfId="16340"/>
    <cellStyle name="Output 8 3 9_Table" xfId="8265"/>
    <cellStyle name="Output 8 3_Table" xfId="8246"/>
    <cellStyle name="Output 8 4" xfId="559"/>
    <cellStyle name="Output 8 4 10" xfId="4205"/>
    <cellStyle name="Output 8 4 10 2" xfId="13533"/>
    <cellStyle name="Output 8 4 10 3" xfId="17943"/>
    <cellStyle name="Output 8 4 10_Table" xfId="8267"/>
    <cellStyle name="Output 8 4 11" xfId="4566"/>
    <cellStyle name="Output 8 4 11 2" xfId="13894"/>
    <cellStyle name="Output 8 4 11 3" xfId="18304"/>
    <cellStyle name="Output 8 4 11_Table" xfId="8268"/>
    <cellStyle name="Output 8 4 12" xfId="9887"/>
    <cellStyle name="Output 8 4 13" xfId="14344"/>
    <cellStyle name="Output 8 4 2" xfId="831"/>
    <cellStyle name="Output 8 4 2 10" xfId="4791"/>
    <cellStyle name="Output 8 4 2 10 2" xfId="14119"/>
    <cellStyle name="Output 8 4 2 10 3" xfId="18529"/>
    <cellStyle name="Output 8 4 2 10_Table" xfId="8270"/>
    <cellStyle name="Output 8 4 2 11" xfId="10159"/>
    <cellStyle name="Output 8 4 2 12" xfId="14569"/>
    <cellStyle name="Output 8 4 2 2" xfId="1617"/>
    <cellStyle name="Output 8 4 2 2 2" xfId="10945"/>
    <cellStyle name="Output 8 4 2 2 3" xfId="15355"/>
    <cellStyle name="Output 8 4 2 2_Table" xfId="8271"/>
    <cellStyle name="Output 8 4 2 3" xfId="1977"/>
    <cellStyle name="Output 8 4 2 3 2" xfId="11305"/>
    <cellStyle name="Output 8 4 2 3 3" xfId="15715"/>
    <cellStyle name="Output 8 4 2 3_Table" xfId="8272"/>
    <cellStyle name="Output 8 4 2 4" xfId="2407"/>
    <cellStyle name="Output 8 4 2 4 2" xfId="11735"/>
    <cellStyle name="Output 8 4 2 4 3" xfId="16145"/>
    <cellStyle name="Output 8 4 2 4_Table" xfId="8273"/>
    <cellStyle name="Output 8 4 2 5" xfId="2845"/>
    <cellStyle name="Output 8 4 2 5 2" xfId="12173"/>
    <cellStyle name="Output 8 4 2 5 3" xfId="16583"/>
    <cellStyle name="Output 8 4 2 5_Table" xfId="8274"/>
    <cellStyle name="Output 8 4 2 6" xfId="3252"/>
    <cellStyle name="Output 8 4 2 6 2" xfId="12580"/>
    <cellStyle name="Output 8 4 2 6 3" xfId="16990"/>
    <cellStyle name="Output 8 4 2 6_Table" xfId="8275"/>
    <cellStyle name="Output 8 4 2 7" xfId="3844"/>
    <cellStyle name="Output 8 4 2 7 2" xfId="13172"/>
    <cellStyle name="Output 8 4 2 7 3" xfId="17582"/>
    <cellStyle name="Output 8 4 2 7_Table" xfId="8276"/>
    <cellStyle name="Output 8 4 2 8" xfId="4069"/>
    <cellStyle name="Output 8 4 2 8 2" xfId="13397"/>
    <cellStyle name="Output 8 4 2 8 3" xfId="17807"/>
    <cellStyle name="Output 8 4 2 8_Table" xfId="8277"/>
    <cellStyle name="Output 8 4 2 9" xfId="4430"/>
    <cellStyle name="Output 8 4 2 9 2" xfId="13758"/>
    <cellStyle name="Output 8 4 2 9 3" xfId="18168"/>
    <cellStyle name="Output 8 4 2 9_Table" xfId="8278"/>
    <cellStyle name="Output 8 4 2_Table" xfId="8269"/>
    <cellStyle name="Output 8 4 3" xfId="1354"/>
    <cellStyle name="Output 8 4 3 2" xfId="10682"/>
    <cellStyle name="Output 8 4 3 3" xfId="15092"/>
    <cellStyle name="Output 8 4 3_Table" xfId="8279"/>
    <cellStyle name="Output 8 4 4" xfId="1711"/>
    <cellStyle name="Output 8 4 4 2" xfId="11039"/>
    <cellStyle name="Output 8 4 4 3" xfId="15449"/>
    <cellStyle name="Output 8 4 4_Table" xfId="8280"/>
    <cellStyle name="Output 8 4 5" xfId="2145"/>
    <cellStyle name="Output 8 4 5 2" xfId="11473"/>
    <cellStyle name="Output 8 4 5 3" xfId="15883"/>
    <cellStyle name="Output 8 4 5_Table" xfId="8281"/>
    <cellStyle name="Output 8 4 6" xfId="2577"/>
    <cellStyle name="Output 8 4 6 2" xfId="11905"/>
    <cellStyle name="Output 8 4 6 3" xfId="16315"/>
    <cellStyle name="Output 8 4 6_Table" xfId="8282"/>
    <cellStyle name="Output 8 4 7" xfId="3003"/>
    <cellStyle name="Output 8 4 7 2" xfId="12331"/>
    <cellStyle name="Output 8 4 7 3" xfId="16741"/>
    <cellStyle name="Output 8 4 7_Table" xfId="8283"/>
    <cellStyle name="Output 8 4 8" xfId="3417"/>
    <cellStyle name="Output 8 4 8 2" xfId="12745"/>
    <cellStyle name="Output 8 4 8 3" xfId="17155"/>
    <cellStyle name="Output 8 4 8_Table" xfId="8284"/>
    <cellStyle name="Output 8 4 9" xfId="3660"/>
    <cellStyle name="Output 8 4 9 2" xfId="12988"/>
    <cellStyle name="Output 8 4 9 3" xfId="17398"/>
    <cellStyle name="Output 8 4 9_Table" xfId="8285"/>
    <cellStyle name="Output 8 4_Table" xfId="8266"/>
    <cellStyle name="Output 8 5" xfId="634"/>
    <cellStyle name="Output 8 5 10" xfId="4250"/>
    <cellStyle name="Output 8 5 10 2" xfId="13578"/>
    <cellStyle name="Output 8 5 10 3" xfId="17988"/>
    <cellStyle name="Output 8 5 10_Table" xfId="8287"/>
    <cellStyle name="Output 8 5 11" xfId="4611"/>
    <cellStyle name="Output 8 5 11 2" xfId="13939"/>
    <cellStyle name="Output 8 5 11 3" xfId="18349"/>
    <cellStyle name="Output 8 5 11_Table" xfId="8288"/>
    <cellStyle name="Output 8 5 12" xfId="9962"/>
    <cellStyle name="Output 8 5 13" xfId="14389"/>
    <cellStyle name="Output 8 5 2" xfId="876"/>
    <cellStyle name="Output 8 5 2 10" xfId="4836"/>
    <cellStyle name="Output 8 5 2 10 2" xfId="14164"/>
    <cellStyle name="Output 8 5 2 10 3" xfId="18574"/>
    <cellStyle name="Output 8 5 2 10_Table" xfId="8290"/>
    <cellStyle name="Output 8 5 2 11" xfId="10204"/>
    <cellStyle name="Output 8 5 2 12" xfId="14614"/>
    <cellStyle name="Output 8 5 2 2" xfId="1662"/>
    <cellStyle name="Output 8 5 2 2 2" xfId="10990"/>
    <cellStyle name="Output 8 5 2 2 3" xfId="15400"/>
    <cellStyle name="Output 8 5 2 2_Table" xfId="8291"/>
    <cellStyle name="Output 8 5 2 3" xfId="2022"/>
    <cellStyle name="Output 8 5 2 3 2" xfId="11350"/>
    <cellStyle name="Output 8 5 2 3 3" xfId="15760"/>
    <cellStyle name="Output 8 5 2 3_Table" xfId="8292"/>
    <cellStyle name="Output 8 5 2 4" xfId="2452"/>
    <cellStyle name="Output 8 5 2 4 2" xfId="11780"/>
    <cellStyle name="Output 8 5 2 4 3" xfId="16190"/>
    <cellStyle name="Output 8 5 2 4_Table" xfId="8293"/>
    <cellStyle name="Output 8 5 2 5" xfId="2890"/>
    <cellStyle name="Output 8 5 2 5 2" xfId="12218"/>
    <cellStyle name="Output 8 5 2 5 3" xfId="16628"/>
    <cellStyle name="Output 8 5 2 5_Table" xfId="8294"/>
    <cellStyle name="Output 8 5 2 6" xfId="3297"/>
    <cellStyle name="Output 8 5 2 6 2" xfId="12625"/>
    <cellStyle name="Output 8 5 2 6 3" xfId="17035"/>
    <cellStyle name="Output 8 5 2 6_Table" xfId="8295"/>
    <cellStyle name="Output 8 5 2 7" xfId="3889"/>
    <cellStyle name="Output 8 5 2 7 2" xfId="13217"/>
    <cellStyle name="Output 8 5 2 7 3" xfId="17627"/>
    <cellStyle name="Output 8 5 2 7_Table" xfId="8296"/>
    <cellStyle name="Output 8 5 2 8" xfId="4114"/>
    <cellStyle name="Output 8 5 2 8 2" xfId="13442"/>
    <cellStyle name="Output 8 5 2 8 3" xfId="17852"/>
    <cellStyle name="Output 8 5 2 8_Table" xfId="8297"/>
    <cellStyle name="Output 8 5 2 9" xfId="4475"/>
    <cellStyle name="Output 8 5 2 9 2" xfId="13803"/>
    <cellStyle name="Output 8 5 2 9 3" xfId="18213"/>
    <cellStyle name="Output 8 5 2 9_Table" xfId="8298"/>
    <cellStyle name="Output 8 5 2_Table" xfId="8289"/>
    <cellStyle name="Output 8 5 3" xfId="1421"/>
    <cellStyle name="Output 8 5 3 2" xfId="10749"/>
    <cellStyle name="Output 8 5 3 3" xfId="15159"/>
    <cellStyle name="Output 8 5 3_Table" xfId="8299"/>
    <cellStyle name="Output 8 5 4" xfId="1781"/>
    <cellStyle name="Output 8 5 4 2" xfId="11109"/>
    <cellStyle name="Output 8 5 4 3" xfId="15519"/>
    <cellStyle name="Output 8 5 4_Table" xfId="8300"/>
    <cellStyle name="Output 8 5 5" xfId="2214"/>
    <cellStyle name="Output 8 5 5 2" xfId="11542"/>
    <cellStyle name="Output 8 5 5 3" xfId="15952"/>
    <cellStyle name="Output 8 5 5_Table" xfId="8301"/>
    <cellStyle name="Output 8 5 6" xfId="2649"/>
    <cellStyle name="Output 8 5 6 2" xfId="11977"/>
    <cellStyle name="Output 8 5 6 3" xfId="16387"/>
    <cellStyle name="Output 8 5 6_Table" xfId="8302"/>
    <cellStyle name="Output 8 5 7" xfId="3062"/>
    <cellStyle name="Output 8 5 7 2" xfId="12390"/>
    <cellStyle name="Output 8 5 7 3" xfId="16800"/>
    <cellStyle name="Output 8 5 7_Table" xfId="8303"/>
    <cellStyle name="Output 8 5 8" xfId="3488"/>
    <cellStyle name="Output 8 5 8 2" xfId="12816"/>
    <cellStyle name="Output 8 5 8 3" xfId="17226"/>
    <cellStyle name="Output 8 5 8_Table" xfId="8304"/>
    <cellStyle name="Output 8 5 9" xfId="3669"/>
    <cellStyle name="Output 8 5 9 2" xfId="12997"/>
    <cellStyle name="Output 8 5 9 3" xfId="17407"/>
    <cellStyle name="Output 8 5 9_Table" xfId="8305"/>
    <cellStyle name="Output 8 5_Table" xfId="8286"/>
    <cellStyle name="Output 8 6" xfId="696"/>
    <cellStyle name="Output 8 6 10" xfId="4656"/>
    <cellStyle name="Output 8 6 10 2" xfId="13984"/>
    <cellStyle name="Output 8 6 10 3" xfId="18394"/>
    <cellStyle name="Output 8 6 10_Table" xfId="8307"/>
    <cellStyle name="Output 8 6 11" xfId="10024"/>
    <cellStyle name="Output 8 6 12" xfId="14434"/>
    <cellStyle name="Output 8 6 2" xfId="1482"/>
    <cellStyle name="Output 8 6 2 2" xfId="10810"/>
    <cellStyle name="Output 8 6 2 3" xfId="15220"/>
    <cellStyle name="Output 8 6 2_Table" xfId="8308"/>
    <cellStyle name="Output 8 6 3" xfId="1842"/>
    <cellStyle name="Output 8 6 3 2" xfId="11170"/>
    <cellStyle name="Output 8 6 3 3" xfId="15580"/>
    <cellStyle name="Output 8 6 3_Table" xfId="8309"/>
    <cellStyle name="Output 8 6 4" xfId="2272"/>
    <cellStyle name="Output 8 6 4 2" xfId="11600"/>
    <cellStyle name="Output 8 6 4 3" xfId="16010"/>
    <cellStyle name="Output 8 6 4_Table" xfId="8310"/>
    <cellStyle name="Output 8 6 5" xfId="2710"/>
    <cellStyle name="Output 8 6 5 2" xfId="12038"/>
    <cellStyle name="Output 8 6 5 3" xfId="16448"/>
    <cellStyle name="Output 8 6 5_Table" xfId="8311"/>
    <cellStyle name="Output 8 6 6" xfId="3117"/>
    <cellStyle name="Output 8 6 6 2" xfId="12445"/>
    <cellStyle name="Output 8 6 6 3" xfId="16855"/>
    <cellStyle name="Output 8 6 6_Table" xfId="8312"/>
    <cellStyle name="Output 8 6 7" xfId="3709"/>
    <cellStyle name="Output 8 6 7 2" xfId="13037"/>
    <cellStyle name="Output 8 6 7 3" xfId="17447"/>
    <cellStyle name="Output 8 6 7_Table" xfId="8313"/>
    <cellStyle name="Output 8 6 8" xfId="3934"/>
    <cellStyle name="Output 8 6 8 2" xfId="13262"/>
    <cellStyle name="Output 8 6 8 3" xfId="17672"/>
    <cellStyle name="Output 8 6 8_Table" xfId="8314"/>
    <cellStyle name="Output 8 6 9" xfId="4295"/>
    <cellStyle name="Output 8 6 9 2" xfId="13623"/>
    <cellStyle name="Output 8 6 9 3" xfId="18033"/>
    <cellStyle name="Output 8 6 9_Table" xfId="8315"/>
    <cellStyle name="Output 8 6_Table" xfId="8306"/>
    <cellStyle name="Output 8 7" xfId="1190"/>
    <cellStyle name="Output 8 7 2" xfId="10518"/>
    <cellStyle name="Output 8 7 3" xfId="14928"/>
    <cellStyle name="Output 8 7_Table" xfId="8316"/>
    <cellStyle name="Output 8 8" xfId="1054"/>
    <cellStyle name="Output 8 8 2" xfId="10382"/>
    <cellStyle name="Output 8 8 3" xfId="14792"/>
    <cellStyle name="Output 8 8_Table" xfId="8317"/>
    <cellStyle name="Output 8 9" xfId="1262"/>
    <cellStyle name="Output 8 9 2" xfId="10590"/>
    <cellStyle name="Output 8 9 3" xfId="15000"/>
    <cellStyle name="Output 8 9_Table" xfId="8318"/>
    <cellStyle name="Output 8_Table" xfId="8219"/>
    <cellStyle name="Output 9" xfId="357"/>
    <cellStyle name="Output 9 10" xfId="906"/>
    <cellStyle name="Output 9 10 2" xfId="10234"/>
    <cellStyle name="Output 9 10 3" xfId="14644"/>
    <cellStyle name="Output 9 10_Table" xfId="8320"/>
    <cellStyle name="Output 9 11" xfId="2099"/>
    <cellStyle name="Output 9 11 2" xfId="11427"/>
    <cellStyle name="Output 9 11 3" xfId="15837"/>
    <cellStyle name="Output 9 11_Table" xfId="8321"/>
    <cellStyle name="Output 9 12" xfId="2530"/>
    <cellStyle name="Output 9 12 2" xfId="11858"/>
    <cellStyle name="Output 9 12 3" xfId="16268"/>
    <cellStyle name="Output 9 12_Table" xfId="8322"/>
    <cellStyle name="Output 9 13" xfId="1310"/>
    <cellStyle name="Output 9 13 2" xfId="10638"/>
    <cellStyle name="Output 9 13 3" xfId="15048"/>
    <cellStyle name="Output 9 13_Table" xfId="8323"/>
    <cellStyle name="Output 9 14" xfId="3548"/>
    <cellStyle name="Output 9 14 2" xfId="12876"/>
    <cellStyle name="Output 9 14 3" xfId="17286"/>
    <cellStyle name="Output 9 14_Table" xfId="8324"/>
    <cellStyle name="Output 9 15" xfId="3499"/>
    <cellStyle name="Output 9 15 2" xfId="12827"/>
    <cellStyle name="Output 9 15 3" xfId="17237"/>
    <cellStyle name="Output 9 15_Table" xfId="8325"/>
    <cellStyle name="Output 9 16" xfId="9685"/>
    <cellStyle name="Output 9 17" xfId="14210"/>
    <cellStyle name="Output 9 2" xfId="428"/>
    <cellStyle name="Output 9 2 10" xfId="1280"/>
    <cellStyle name="Output 9 2 10 2" xfId="10608"/>
    <cellStyle name="Output 9 2 10 3" xfId="15018"/>
    <cellStyle name="Output 9 2 10_Table" xfId="8327"/>
    <cellStyle name="Output 9 2 11" xfId="1371"/>
    <cellStyle name="Output 9 2 11 2" xfId="10699"/>
    <cellStyle name="Output 9 2 11 3" xfId="15109"/>
    <cellStyle name="Output 9 2 11_Table" xfId="8328"/>
    <cellStyle name="Output 9 2 12" xfId="9756"/>
    <cellStyle name="Output 9 2 13" xfId="14255"/>
    <cellStyle name="Output 9 2 2" xfId="742"/>
    <cellStyle name="Output 9 2 2 10" xfId="4702"/>
    <cellStyle name="Output 9 2 2 10 2" xfId="14030"/>
    <cellStyle name="Output 9 2 2 10 3" xfId="18440"/>
    <cellStyle name="Output 9 2 2 10_Table" xfId="8330"/>
    <cellStyle name="Output 9 2 2 11" xfId="10070"/>
    <cellStyle name="Output 9 2 2 12" xfId="14480"/>
    <cellStyle name="Output 9 2 2 2" xfId="1528"/>
    <cellStyle name="Output 9 2 2 2 2" xfId="10856"/>
    <cellStyle name="Output 9 2 2 2 3" xfId="15266"/>
    <cellStyle name="Output 9 2 2 2_Table" xfId="8331"/>
    <cellStyle name="Output 9 2 2 3" xfId="1888"/>
    <cellStyle name="Output 9 2 2 3 2" xfId="11216"/>
    <cellStyle name="Output 9 2 2 3 3" xfId="15626"/>
    <cellStyle name="Output 9 2 2 3_Table" xfId="8332"/>
    <cellStyle name="Output 9 2 2 4" xfId="2318"/>
    <cellStyle name="Output 9 2 2 4 2" xfId="11646"/>
    <cellStyle name="Output 9 2 2 4 3" xfId="16056"/>
    <cellStyle name="Output 9 2 2 4_Table" xfId="8333"/>
    <cellStyle name="Output 9 2 2 5" xfId="2756"/>
    <cellStyle name="Output 9 2 2 5 2" xfId="12084"/>
    <cellStyle name="Output 9 2 2 5 3" xfId="16494"/>
    <cellStyle name="Output 9 2 2 5_Table" xfId="8334"/>
    <cellStyle name="Output 9 2 2 6" xfId="3163"/>
    <cellStyle name="Output 9 2 2 6 2" xfId="12491"/>
    <cellStyle name="Output 9 2 2 6 3" xfId="16901"/>
    <cellStyle name="Output 9 2 2 6_Table" xfId="8335"/>
    <cellStyle name="Output 9 2 2 7" xfId="3755"/>
    <cellStyle name="Output 9 2 2 7 2" xfId="13083"/>
    <cellStyle name="Output 9 2 2 7 3" xfId="17493"/>
    <cellStyle name="Output 9 2 2 7_Table" xfId="8336"/>
    <cellStyle name="Output 9 2 2 8" xfId="3980"/>
    <cellStyle name="Output 9 2 2 8 2" xfId="13308"/>
    <cellStyle name="Output 9 2 2 8 3" xfId="17718"/>
    <cellStyle name="Output 9 2 2 8_Table" xfId="8337"/>
    <cellStyle name="Output 9 2 2 9" xfId="4341"/>
    <cellStyle name="Output 9 2 2 9 2" xfId="13669"/>
    <cellStyle name="Output 9 2 2 9 3" xfId="18079"/>
    <cellStyle name="Output 9 2 2 9_Table" xfId="8338"/>
    <cellStyle name="Output 9 2 2_Table" xfId="8329"/>
    <cellStyle name="Output 9 2 3" xfId="1242"/>
    <cellStyle name="Output 9 2 3 2" xfId="10570"/>
    <cellStyle name="Output 9 2 3 3" xfId="14980"/>
    <cellStyle name="Output 9 2 3_Table" xfId="8339"/>
    <cellStyle name="Output 9 2 4" xfId="984"/>
    <cellStyle name="Output 9 2 4 2" xfId="10312"/>
    <cellStyle name="Output 9 2 4 3" xfId="14722"/>
    <cellStyle name="Output 9 2 4_Table" xfId="8340"/>
    <cellStyle name="Output 9 2 5" xfId="1172"/>
    <cellStyle name="Output 9 2 5 2" xfId="10500"/>
    <cellStyle name="Output 9 2 5 3" xfId="14910"/>
    <cellStyle name="Output 9 2 5_Table" xfId="8341"/>
    <cellStyle name="Output 9 2 6" xfId="1051"/>
    <cellStyle name="Output 9 2 6 2" xfId="10379"/>
    <cellStyle name="Output 9 2 6 3" xfId="14789"/>
    <cellStyle name="Output 9 2 6_Table" xfId="8342"/>
    <cellStyle name="Output 9 2 7" xfId="1378"/>
    <cellStyle name="Output 9 2 7 2" xfId="10706"/>
    <cellStyle name="Output 9 2 7 3" xfId="15116"/>
    <cellStyle name="Output 9 2 7_Table" xfId="8343"/>
    <cellStyle name="Output 9 2 8" xfId="1723"/>
    <cellStyle name="Output 9 2 8 2" xfId="11051"/>
    <cellStyle name="Output 9 2 8 3" xfId="15461"/>
    <cellStyle name="Output 9 2 8_Table" xfId="8344"/>
    <cellStyle name="Output 9 2 9" xfId="3583"/>
    <cellStyle name="Output 9 2 9 2" xfId="12911"/>
    <cellStyle name="Output 9 2 9 3" xfId="17321"/>
    <cellStyle name="Output 9 2 9_Table" xfId="8345"/>
    <cellStyle name="Output 9 2_Table" xfId="8326"/>
    <cellStyle name="Output 9 3" xfId="496"/>
    <cellStyle name="Output 9 3 10" xfId="4161"/>
    <cellStyle name="Output 9 3 10 2" xfId="13489"/>
    <cellStyle name="Output 9 3 10 3" xfId="17899"/>
    <cellStyle name="Output 9 3 10_Table" xfId="8347"/>
    <cellStyle name="Output 9 3 11" xfId="4522"/>
    <cellStyle name="Output 9 3 11 2" xfId="13850"/>
    <cellStyle name="Output 9 3 11 3" xfId="18260"/>
    <cellStyle name="Output 9 3 11_Table" xfId="8348"/>
    <cellStyle name="Output 9 3 12" xfId="9824"/>
    <cellStyle name="Output 9 3 13" xfId="14300"/>
    <cellStyle name="Output 9 3 2" xfId="787"/>
    <cellStyle name="Output 9 3 2 10" xfId="4747"/>
    <cellStyle name="Output 9 3 2 10 2" xfId="14075"/>
    <cellStyle name="Output 9 3 2 10 3" xfId="18485"/>
    <cellStyle name="Output 9 3 2 10_Table" xfId="8350"/>
    <cellStyle name="Output 9 3 2 11" xfId="10115"/>
    <cellStyle name="Output 9 3 2 12" xfId="14525"/>
    <cellStyle name="Output 9 3 2 2" xfId="1573"/>
    <cellStyle name="Output 9 3 2 2 2" xfId="10901"/>
    <cellStyle name="Output 9 3 2 2 3" xfId="15311"/>
    <cellStyle name="Output 9 3 2 2_Table" xfId="8351"/>
    <cellStyle name="Output 9 3 2 3" xfId="1933"/>
    <cellStyle name="Output 9 3 2 3 2" xfId="11261"/>
    <cellStyle name="Output 9 3 2 3 3" xfId="15671"/>
    <cellStyle name="Output 9 3 2 3_Table" xfId="8352"/>
    <cellStyle name="Output 9 3 2 4" xfId="2363"/>
    <cellStyle name="Output 9 3 2 4 2" xfId="11691"/>
    <cellStyle name="Output 9 3 2 4 3" xfId="16101"/>
    <cellStyle name="Output 9 3 2 4_Table" xfId="8353"/>
    <cellStyle name="Output 9 3 2 5" xfId="2801"/>
    <cellStyle name="Output 9 3 2 5 2" xfId="12129"/>
    <cellStyle name="Output 9 3 2 5 3" xfId="16539"/>
    <cellStyle name="Output 9 3 2 5_Table" xfId="8354"/>
    <cellStyle name="Output 9 3 2 6" xfId="3208"/>
    <cellStyle name="Output 9 3 2 6 2" xfId="12536"/>
    <cellStyle name="Output 9 3 2 6 3" xfId="16946"/>
    <cellStyle name="Output 9 3 2 6_Table" xfId="8355"/>
    <cellStyle name="Output 9 3 2 7" xfId="3800"/>
    <cellStyle name="Output 9 3 2 7 2" xfId="13128"/>
    <cellStyle name="Output 9 3 2 7 3" xfId="17538"/>
    <cellStyle name="Output 9 3 2 7_Table" xfId="8356"/>
    <cellStyle name="Output 9 3 2 8" xfId="4025"/>
    <cellStyle name="Output 9 3 2 8 2" xfId="13353"/>
    <cellStyle name="Output 9 3 2 8 3" xfId="17763"/>
    <cellStyle name="Output 9 3 2 8_Table" xfId="8357"/>
    <cellStyle name="Output 9 3 2 9" xfId="4386"/>
    <cellStyle name="Output 9 3 2 9 2" xfId="13714"/>
    <cellStyle name="Output 9 3 2 9 3" xfId="18124"/>
    <cellStyle name="Output 9 3 2 9_Table" xfId="8358"/>
    <cellStyle name="Output 9 3 2_Table" xfId="8349"/>
    <cellStyle name="Output 9 3 3" xfId="1299"/>
    <cellStyle name="Output 9 3 3 2" xfId="10627"/>
    <cellStyle name="Output 9 3 3 3" xfId="15037"/>
    <cellStyle name="Output 9 3 3_Table" xfId="8359"/>
    <cellStyle name="Output 9 3 4" xfId="918"/>
    <cellStyle name="Output 9 3 4 2" xfId="10246"/>
    <cellStyle name="Output 9 3 4 3" xfId="14656"/>
    <cellStyle name="Output 9 3 4_Table" xfId="8360"/>
    <cellStyle name="Output 9 3 5" xfId="2087"/>
    <cellStyle name="Output 9 3 5 2" xfId="11415"/>
    <cellStyle name="Output 9 3 5 3" xfId="15825"/>
    <cellStyle name="Output 9 3 5_Table" xfId="8361"/>
    <cellStyle name="Output 9 3 6" xfId="2519"/>
    <cellStyle name="Output 9 3 6 2" xfId="11847"/>
    <cellStyle name="Output 9 3 6 3" xfId="16257"/>
    <cellStyle name="Output 9 3 6_Table" xfId="8362"/>
    <cellStyle name="Output 9 3 7" xfId="2947"/>
    <cellStyle name="Output 9 3 7 2" xfId="12275"/>
    <cellStyle name="Output 9 3 7 3" xfId="16685"/>
    <cellStyle name="Output 9 3 7_Table" xfId="8363"/>
    <cellStyle name="Output 9 3 8" xfId="3360"/>
    <cellStyle name="Output 9 3 8 2" xfId="12688"/>
    <cellStyle name="Output 9 3 8 3" xfId="17098"/>
    <cellStyle name="Output 9 3 8_Table" xfId="8364"/>
    <cellStyle name="Output 9 3 9" xfId="2672"/>
    <cellStyle name="Output 9 3 9 2" xfId="12000"/>
    <cellStyle name="Output 9 3 9 3" xfId="16410"/>
    <cellStyle name="Output 9 3 9_Table" xfId="8365"/>
    <cellStyle name="Output 9 3_Table" xfId="8346"/>
    <cellStyle name="Output 9 4" xfId="560"/>
    <cellStyle name="Output 9 4 10" xfId="4206"/>
    <cellStyle name="Output 9 4 10 2" xfId="13534"/>
    <cellStyle name="Output 9 4 10 3" xfId="17944"/>
    <cellStyle name="Output 9 4 10_Table" xfId="8367"/>
    <cellStyle name="Output 9 4 11" xfId="4567"/>
    <cellStyle name="Output 9 4 11 2" xfId="13895"/>
    <cellStyle name="Output 9 4 11 3" xfId="18305"/>
    <cellStyle name="Output 9 4 11_Table" xfId="8368"/>
    <cellStyle name="Output 9 4 12" xfId="9888"/>
    <cellStyle name="Output 9 4 13" xfId="14345"/>
    <cellStyle name="Output 9 4 2" xfId="832"/>
    <cellStyle name="Output 9 4 2 10" xfId="4792"/>
    <cellStyle name="Output 9 4 2 10 2" xfId="14120"/>
    <cellStyle name="Output 9 4 2 10 3" xfId="18530"/>
    <cellStyle name="Output 9 4 2 10_Table" xfId="8370"/>
    <cellStyle name="Output 9 4 2 11" xfId="10160"/>
    <cellStyle name="Output 9 4 2 12" xfId="14570"/>
    <cellStyle name="Output 9 4 2 2" xfId="1618"/>
    <cellStyle name="Output 9 4 2 2 2" xfId="10946"/>
    <cellStyle name="Output 9 4 2 2 3" xfId="15356"/>
    <cellStyle name="Output 9 4 2 2_Table" xfId="8371"/>
    <cellStyle name="Output 9 4 2 3" xfId="1978"/>
    <cellStyle name="Output 9 4 2 3 2" xfId="11306"/>
    <cellStyle name="Output 9 4 2 3 3" xfId="15716"/>
    <cellStyle name="Output 9 4 2 3_Table" xfId="8372"/>
    <cellStyle name="Output 9 4 2 4" xfId="2408"/>
    <cellStyle name="Output 9 4 2 4 2" xfId="11736"/>
    <cellStyle name="Output 9 4 2 4 3" xfId="16146"/>
    <cellStyle name="Output 9 4 2 4_Table" xfId="8373"/>
    <cellStyle name="Output 9 4 2 5" xfId="2846"/>
    <cellStyle name="Output 9 4 2 5 2" xfId="12174"/>
    <cellStyle name="Output 9 4 2 5 3" xfId="16584"/>
    <cellStyle name="Output 9 4 2 5_Table" xfId="8374"/>
    <cellStyle name="Output 9 4 2 6" xfId="3253"/>
    <cellStyle name="Output 9 4 2 6 2" xfId="12581"/>
    <cellStyle name="Output 9 4 2 6 3" xfId="16991"/>
    <cellStyle name="Output 9 4 2 6_Table" xfId="8375"/>
    <cellStyle name="Output 9 4 2 7" xfId="3845"/>
    <cellStyle name="Output 9 4 2 7 2" xfId="13173"/>
    <cellStyle name="Output 9 4 2 7 3" xfId="17583"/>
    <cellStyle name="Output 9 4 2 7_Table" xfId="8376"/>
    <cellStyle name="Output 9 4 2 8" xfId="4070"/>
    <cellStyle name="Output 9 4 2 8 2" xfId="13398"/>
    <cellStyle name="Output 9 4 2 8 3" xfId="17808"/>
    <cellStyle name="Output 9 4 2 8_Table" xfId="8377"/>
    <cellStyle name="Output 9 4 2 9" xfId="4431"/>
    <cellStyle name="Output 9 4 2 9 2" xfId="13759"/>
    <cellStyle name="Output 9 4 2 9 3" xfId="18169"/>
    <cellStyle name="Output 9 4 2 9_Table" xfId="8378"/>
    <cellStyle name="Output 9 4 2_Table" xfId="8369"/>
    <cellStyle name="Output 9 4 3" xfId="1355"/>
    <cellStyle name="Output 9 4 3 2" xfId="10683"/>
    <cellStyle name="Output 9 4 3 3" xfId="15093"/>
    <cellStyle name="Output 9 4 3_Table" xfId="8379"/>
    <cellStyle name="Output 9 4 4" xfId="1712"/>
    <cellStyle name="Output 9 4 4 2" xfId="11040"/>
    <cellStyle name="Output 9 4 4 3" xfId="15450"/>
    <cellStyle name="Output 9 4 4_Table" xfId="8380"/>
    <cellStyle name="Output 9 4 5" xfId="2146"/>
    <cellStyle name="Output 9 4 5 2" xfId="11474"/>
    <cellStyle name="Output 9 4 5 3" xfId="15884"/>
    <cellStyle name="Output 9 4 5_Table" xfId="8381"/>
    <cellStyle name="Output 9 4 6" xfId="2578"/>
    <cellStyle name="Output 9 4 6 2" xfId="11906"/>
    <cellStyle name="Output 9 4 6 3" xfId="16316"/>
    <cellStyle name="Output 9 4 6_Table" xfId="8382"/>
    <cellStyle name="Output 9 4 7" xfId="3004"/>
    <cellStyle name="Output 9 4 7 2" xfId="12332"/>
    <cellStyle name="Output 9 4 7 3" xfId="16742"/>
    <cellStyle name="Output 9 4 7_Table" xfId="8383"/>
    <cellStyle name="Output 9 4 8" xfId="3418"/>
    <cellStyle name="Output 9 4 8 2" xfId="12746"/>
    <cellStyle name="Output 9 4 8 3" xfId="17156"/>
    <cellStyle name="Output 9 4 8_Table" xfId="8384"/>
    <cellStyle name="Output 9 4 9" xfId="3531"/>
    <cellStyle name="Output 9 4 9 2" xfId="12859"/>
    <cellStyle name="Output 9 4 9 3" xfId="17269"/>
    <cellStyle name="Output 9 4 9_Table" xfId="8385"/>
    <cellStyle name="Output 9 4_Table" xfId="8366"/>
    <cellStyle name="Output 9 5" xfId="635"/>
    <cellStyle name="Output 9 5 10" xfId="4251"/>
    <cellStyle name="Output 9 5 10 2" xfId="13579"/>
    <cellStyle name="Output 9 5 10 3" xfId="17989"/>
    <cellStyle name="Output 9 5 10_Table" xfId="8387"/>
    <cellStyle name="Output 9 5 11" xfId="4612"/>
    <cellStyle name="Output 9 5 11 2" xfId="13940"/>
    <cellStyle name="Output 9 5 11 3" xfId="18350"/>
    <cellStyle name="Output 9 5 11_Table" xfId="8388"/>
    <cellStyle name="Output 9 5 12" xfId="9963"/>
    <cellStyle name="Output 9 5 13" xfId="14390"/>
    <cellStyle name="Output 9 5 2" xfId="877"/>
    <cellStyle name="Output 9 5 2 10" xfId="4837"/>
    <cellStyle name="Output 9 5 2 10 2" xfId="14165"/>
    <cellStyle name="Output 9 5 2 10 3" xfId="18575"/>
    <cellStyle name="Output 9 5 2 10_Table" xfId="8390"/>
    <cellStyle name="Output 9 5 2 11" xfId="10205"/>
    <cellStyle name="Output 9 5 2 12" xfId="14615"/>
    <cellStyle name="Output 9 5 2 2" xfId="1663"/>
    <cellStyle name="Output 9 5 2 2 2" xfId="10991"/>
    <cellStyle name="Output 9 5 2 2 3" xfId="15401"/>
    <cellStyle name="Output 9 5 2 2_Table" xfId="8391"/>
    <cellStyle name="Output 9 5 2 3" xfId="2023"/>
    <cellStyle name="Output 9 5 2 3 2" xfId="11351"/>
    <cellStyle name="Output 9 5 2 3 3" xfId="15761"/>
    <cellStyle name="Output 9 5 2 3_Table" xfId="8392"/>
    <cellStyle name="Output 9 5 2 4" xfId="2453"/>
    <cellStyle name="Output 9 5 2 4 2" xfId="11781"/>
    <cellStyle name="Output 9 5 2 4 3" xfId="16191"/>
    <cellStyle name="Output 9 5 2 4_Table" xfId="8393"/>
    <cellStyle name="Output 9 5 2 5" xfId="2891"/>
    <cellStyle name="Output 9 5 2 5 2" xfId="12219"/>
    <cellStyle name="Output 9 5 2 5 3" xfId="16629"/>
    <cellStyle name="Output 9 5 2 5_Table" xfId="8394"/>
    <cellStyle name="Output 9 5 2 6" xfId="3298"/>
    <cellStyle name="Output 9 5 2 6 2" xfId="12626"/>
    <cellStyle name="Output 9 5 2 6 3" xfId="17036"/>
    <cellStyle name="Output 9 5 2 6_Table" xfId="8395"/>
    <cellStyle name="Output 9 5 2 7" xfId="3890"/>
    <cellStyle name="Output 9 5 2 7 2" xfId="13218"/>
    <cellStyle name="Output 9 5 2 7 3" xfId="17628"/>
    <cellStyle name="Output 9 5 2 7_Table" xfId="8396"/>
    <cellStyle name="Output 9 5 2 8" xfId="4115"/>
    <cellStyle name="Output 9 5 2 8 2" xfId="13443"/>
    <cellStyle name="Output 9 5 2 8 3" xfId="17853"/>
    <cellStyle name="Output 9 5 2 8_Table" xfId="8397"/>
    <cellStyle name="Output 9 5 2 9" xfId="4476"/>
    <cellStyle name="Output 9 5 2 9 2" xfId="13804"/>
    <cellStyle name="Output 9 5 2 9 3" xfId="18214"/>
    <cellStyle name="Output 9 5 2 9_Table" xfId="8398"/>
    <cellStyle name="Output 9 5 2_Table" xfId="8389"/>
    <cellStyle name="Output 9 5 3" xfId="1422"/>
    <cellStyle name="Output 9 5 3 2" xfId="10750"/>
    <cellStyle name="Output 9 5 3 3" xfId="15160"/>
    <cellStyle name="Output 9 5 3_Table" xfId="8399"/>
    <cellStyle name="Output 9 5 4" xfId="1782"/>
    <cellStyle name="Output 9 5 4 2" xfId="11110"/>
    <cellStyle name="Output 9 5 4 3" xfId="15520"/>
    <cellStyle name="Output 9 5 4_Table" xfId="8400"/>
    <cellStyle name="Output 9 5 5" xfId="2215"/>
    <cellStyle name="Output 9 5 5 2" xfId="11543"/>
    <cellStyle name="Output 9 5 5 3" xfId="15953"/>
    <cellStyle name="Output 9 5 5_Table" xfId="8401"/>
    <cellStyle name="Output 9 5 6" xfId="2650"/>
    <cellStyle name="Output 9 5 6 2" xfId="11978"/>
    <cellStyle name="Output 9 5 6 3" xfId="16388"/>
    <cellStyle name="Output 9 5 6_Table" xfId="8402"/>
    <cellStyle name="Output 9 5 7" xfId="3063"/>
    <cellStyle name="Output 9 5 7 2" xfId="12391"/>
    <cellStyle name="Output 9 5 7 3" xfId="16801"/>
    <cellStyle name="Output 9 5 7_Table" xfId="8403"/>
    <cellStyle name="Output 9 5 8" xfId="3489"/>
    <cellStyle name="Output 9 5 8 2" xfId="12817"/>
    <cellStyle name="Output 9 5 8 3" xfId="17227"/>
    <cellStyle name="Output 9 5 8_Table" xfId="8404"/>
    <cellStyle name="Output 9 5 9" xfId="3542"/>
    <cellStyle name="Output 9 5 9 2" xfId="12870"/>
    <cellStyle name="Output 9 5 9 3" xfId="17280"/>
    <cellStyle name="Output 9 5 9_Table" xfId="8405"/>
    <cellStyle name="Output 9 5_Table" xfId="8386"/>
    <cellStyle name="Output 9 6" xfId="697"/>
    <cellStyle name="Output 9 6 10" xfId="4657"/>
    <cellStyle name="Output 9 6 10 2" xfId="13985"/>
    <cellStyle name="Output 9 6 10 3" xfId="18395"/>
    <cellStyle name="Output 9 6 10_Table" xfId="8407"/>
    <cellStyle name="Output 9 6 11" xfId="10025"/>
    <cellStyle name="Output 9 6 12" xfId="14435"/>
    <cellStyle name="Output 9 6 2" xfId="1483"/>
    <cellStyle name="Output 9 6 2 2" xfId="10811"/>
    <cellStyle name="Output 9 6 2 3" xfId="15221"/>
    <cellStyle name="Output 9 6 2_Table" xfId="8408"/>
    <cellStyle name="Output 9 6 3" xfId="1843"/>
    <cellStyle name="Output 9 6 3 2" xfId="11171"/>
    <cellStyle name="Output 9 6 3 3" xfId="15581"/>
    <cellStyle name="Output 9 6 3_Table" xfId="8409"/>
    <cellStyle name="Output 9 6 4" xfId="2273"/>
    <cellStyle name="Output 9 6 4 2" xfId="11601"/>
    <cellStyle name="Output 9 6 4 3" xfId="16011"/>
    <cellStyle name="Output 9 6 4_Table" xfId="8410"/>
    <cellStyle name="Output 9 6 5" xfId="2711"/>
    <cellStyle name="Output 9 6 5 2" xfId="12039"/>
    <cellStyle name="Output 9 6 5 3" xfId="16449"/>
    <cellStyle name="Output 9 6 5_Table" xfId="8411"/>
    <cellStyle name="Output 9 6 6" xfId="3118"/>
    <cellStyle name="Output 9 6 6 2" xfId="12446"/>
    <cellStyle name="Output 9 6 6 3" xfId="16856"/>
    <cellStyle name="Output 9 6 6_Table" xfId="8412"/>
    <cellStyle name="Output 9 6 7" xfId="3710"/>
    <cellStyle name="Output 9 6 7 2" xfId="13038"/>
    <cellStyle name="Output 9 6 7 3" xfId="17448"/>
    <cellStyle name="Output 9 6 7_Table" xfId="8413"/>
    <cellStyle name="Output 9 6 8" xfId="3935"/>
    <cellStyle name="Output 9 6 8 2" xfId="13263"/>
    <cellStyle name="Output 9 6 8 3" xfId="17673"/>
    <cellStyle name="Output 9 6 8_Table" xfId="8414"/>
    <cellStyle name="Output 9 6 9" xfId="4296"/>
    <cellStyle name="Output 9 6 9 2" xfId="13624"/>
    <cellStyle name="Output 9 6 9 3" xfId="18034"/>
    <cellStyle name="Output 9 6 9_Table" xfId="8415"/>
    <cellStyle name="Output 9 6_Table" xfId="8406"/>
    <cellStyle name="Output 9 7" xfId="1191"/>
    <cellStyle name="Output 9 7 2" xfId="10519"/>
    <cellStyle name="Output 9 7 3" xfId="14929"/>
    <cellStyle name="Output 9 7_Table" xfId="8416"/>
    <cellStyle name="Output 9 8" xfId="1053"/>
    <cellStyle name="Output 9 8 2" xfId="10381"/>
    <cellStyle name="Output 9 8 3" xfId="14791"/>
    <cellStyle name="Output 9 8_Table" xfId="8417"/>
    <cellStyle name="Output 9 9" xfId="1266"/>
    <cellStyle name="Output 9 9 2" xfId="10594"/>
    <cellStyle name="Output 9 9 3" xfId="15004"/>
    <cellStyle name="Output 9 9_Table" xfId="8418"/>
    <cellStyle name="Output 9_Table" xfId="8319"/>
    <cellStyle name="Percent" xfId="18585" builtinId="5"/>
    <cellStyle name="Style 1" xfId="7"/>
    <cellStyle name="Style 1 2" xfId="9335"/>
    <cellStyle name="Style 1_Table" xfId="18651"/>
    <cellStyle name="Title 10" xfId="358"/>
    <cellStyle name="Title 10 2" xfId="9686"/>
    <cellStyle name="Title 10_Table" xfId="18652"/>
    <cellStyle name="Title 2" xfId="359"/>
    <cellStyle name="Title 2 2" xfId="9687"/>
    <cellStyle name="Title 2_Table" xfId="18653"/>
    <cellStyle name="Title 3" xfId="360"/>
    <cellStyle name="Title 3 2" xfId="9688"/>
    <cellStyle name="Title 3_Table" xfId="18654"/>
    <cellStyle name="Title 4" xfId="361"/>
    <cellStyle name="Title 4 2" xfId="9689"/>
    <cellStyle name="Title 4_Table" xfId="18655"/>
    <cellStyle name="Title 5" xfId="362"/>
    <cellStyle name="Title 5 2" xfId="9690"/>
    <cellStyle name="Title 5_Table" xfId="18656"/>
    <cellStyle name="Title 6" xfId="363"/>
    <cellStyle name="Title 6 2" xfId="9691"/>
    <cellStyle name="Title 6_Table" xfId="18657"/>
    <cellStyle name="Title 7" xfId="364"/>
    <cellStyle name="Title 7 2" xfId="9692"/>
    <cellStyle name="Title 7_Table" xfId="18658"/>
    <cellStyle name="Title 8" xfId="365"/>
    <cellStyle name="Title 8 2" xfId="9693"/>
    <cellStyle name="Title 8_Table" xfId="18659"/>
    <cellStyle name="Title 9" xfId="366"/>
    <cellStyle name="Title 9 2" xfId="9694"/>
    <cellStyle name="Title 9_Table" xfId="18660"/>
    <cellStyle name="Total 10" xfId="367"/>
    <cellStyle name="Total 10 10" xfId="1734"/>
    <cellStyle name="Total 10 10 2" xfId="11062"/>
    <cellStyle name="Total 10 10 3" xfId="15472"/>
    <cellStyle name="Total 10 10_Table" xfId="8420"/>
    <cellStyle name="Total 10 11" xfId="2169"/>
    <cellStyle name="Total 10 11 2" xfId="11497"/>
    <cellStyle name="Total 10 11 3" xfId="15907"/>
    <cellStyle name="Total 10 11_Table" xfId="8421"/>
    <cellStyle name="Total 10 12" xfId="2601"/>
    <cellStyle name="Total 10 12 2" xfId="11929"/>
    <cellStyle name="Total 10 12 3" xfId="16339"/>
    <cellStyle name="Total 10 12_Table" xfId="8422"/>
    <cellStyle name="Total 10 13" xfId="2612"/>
    <cellStyle name="Total 10 13 2" xfId="11940"/>
    <cellStyle name="Total 10 13 3" xfId="16350"/>
    <cellStyle name="Total 10 13_Table" xfId="8423"/>
    <cellStyle name="Total 10 14" xfId="3645"/>
    <cellStyle name="Total 10 14 2" xfId="12973"/>
    <cellStyle name="Total 10 14 3" xfId="17383"/>
    <cellStyle name="Total 10 14_Table" xfId="8424"/>
    <cellStyle name="Total 10 15" xfId="3535"/>
    <cellStyle name="Total 10 15 2" xfId="12863"/>
    <cellStyle name="Total 10 15 3" xfId="17273"/>
    <cellStyle name="Total 10 15_Table" xfId="8425"/>
    <cellStyle name="Total 10 16" xfId="9695"/>
    <cellStyle name="Total 10 17" xfId="14211"/>
    <cellStyle name="Total 10 2" xfId="429"/>
    <cellStyle name="Total 10 2 10" xfId="2907"/>
    <cellStyle name="Total 10 2 10 2" xfId="12235"/>
    <cellStyle name="Total 10 2 10 3" xfId="16645"/>
    <cellStyle name="Total 10 2 10_Table" xfId="8427"/>
    <cellStyle name="Total 10 2 11" xfId="898"/>
    <cellStyle name="Total 10 2 11 2" xfId="10226"/>
    <cellStyle name="Total 10 2 11 3" xfId="14636"/>
    <cellStyle name="Total 10 2 11_Table" xfId="8428"/>
    <cellStyle name="Total 10 2 12" xfId="9757"/>
    <cellStyle name="Total 10 2 13" xfId="14256"/>
    <cellStyle name="Total 10 2 2" xfId="743"/>
    <cellStyle name="Total 10 2 2 10" xfId="4703"/>
    <cellStyle name="Total 10 2 2 10 2" xfId="14031"/>
    <cellStyle name="Total 10 2 2 10 3" xfId="18441"/>
    <cellStyle name="Total 10 2 2 10_Table" xfId="8430"/>
    <cellStyle name="Total 10 2 2 11" xfId="10071"/>
    <cellStyle name="Total 10 2 2 12" xfId="14481"/>
    <cellStyle name="Total 10 2 2 2" xfId="1529"/>
    <cellStyle name="Total 10 2 2 2 2" xfId="10857"/>
    <cellStyle name="Total 10 2 2 2 3" xfId="15267"/>
    <cellStyle name="Total 10 2 2 2_Table" xfId="8431"/>
    <cellStyle name="Total 10 2 2 3" xfId="1889"/>
    <cellStyle name="Total 10 2 2 3 2" xfId="11217"/>
    <cellStyle name="Total 10 2 2 3 3" xfId="15627"/>
    <cellStyle name="Total 10 2 2 3_Table" xfId="8432"/>
    <cellStyle name="Total 10 2 2 4" xfId="2319"/>
    <cellStyle name="Total 10 2 2 4 2" xfId="11647"/>
    <cellStyle name="Total 10 2 2 4 3" xfId="16057"/>
    <cellStyle name="Total 10 2 2 4_Table" xfId="8433"/>
    <cellStyle name="Total 10 2 2 5" xfId="2757"/>
    <cellStyle name="Total 10 2 2 5 2" xfId="12085"/>
    <cellStyle name="Total 10 2 2 5 3" xfId="16495"/>
    <cellStyle name="Total 10 2 2 5_Table" xfId="8434"/>
    <cellStyle name="Total 10 2 2 6" xfId="3164"/>
    <cellStyle name="Total 10 2 2 6 2" xfId="12492"/>
    <cellStyle name="Total 10 2 2 6 3" xfId="16902"/>
    <cellStyle name="Total 10 2 2 6_Table" xfId="8435"/>
    <cellStyle name="Total 10 2 2 7" xfId="3756"/>
    <cellStyle name="Total 10 2 2 7 2" xfId="13084"/>
    <cellStyle name="Total 10 2 2 7 3" xfId="17494"/>
    <cellStyle name="Total 10 2 2 7_Table" xfId="8436"/>
    <cellStyle name="Total 10 2 2 8" xfId="3981"/>
    <cellStyle name="Total 10 2 2 8 2" xfId="13309"/>
    <cellStyle name="Total 10 2 2 8 3" xfId="17719"/>
    <cellStyle name="Total 10 2 2 8_Table" xfId="8437"/>
    <cellStyle name="Total 10 2 2 9" xfId="4342"/>
    <cellStyle name="Total 10 2 2 9 2" xfId="13670"/>
    <cellStyle name="Total 10 2 2 9 3" xfId="18080"/>
    <cellStyle name="Total 10 2 2 9_Table" xfId="8438"/>
    <cellStyle name="Total 10 2 2_Table" xfId="8429"/>
    <cellStyle name="Total 10 2 3" xfId="1243"/>
    <cellStyle name="Total 10 2 3 2" xfId="10571"/>
    <cellStyle name="Total 10 2 3 3" xfId="14981"/>
    <cellStyle name="Total 10 2 3_Table" xfId="8439"/>
    <cellStyle name="Total 10 2 4" xfId="983"/>
    <cellStyle name="Total 10 2 4 2" xfId="10311"/>
    <cellStyle name="Total 10 2 4 3" xfId="14721"/>
    <cellStyle name="Total 10 2 4_Table" xfId="8440"/>
    <cellStyle name="Total 10 2 5" xfId="1173"/>
    <cellStyle name="Total 10 2 5 2" xfId="10501"/>
    <cellStyle name="Total 10 2 5 3" xfId="14911"/>
    <cellStyle name="Total 10 2 5_Table" xfId="8441"/>
    <cellStyle name="Total 10 2 6" xfId="1050"/>
    <cellStyle name="Total 10 2 6 2" xfId="10378"/>
    <cellStyle name="Total 10 2 6 3" xfId="14788"/>
    <cellStyle name="Total 10 2 6_Table" xfId="8442"/>
    <cellStyle name="Total 10 2 7" xfId="1443"/>
    <cellStyle name="Total 10 2 7 2" xfId="10771"/>
    <cellStyle name="Total 10 2 7 3" xfId="15181"/>
    <cellStyle name="Total 10 2 7_Table" xfId="8443"/>
    <cellStyle name="Total 10 2 8" xfId="1794"/>
    <cellStyle name="Total 10 2 8 2" xfId="11122"/>
    <cellStyle name="Total 10 2 8 3" xfId="15532"/>
    <cellStyle name="Total 10 2 8_Table" xfId="8444"/>
    <cellStyle name="Total 10 2 9" xfId="3317"/>
    <cellStyle name="Total 10 2 9 2" xfId="12645"/>
    <cellStyle name="Total 10 2 9 3" xfId="17055"/>
    <cellStyle name="Total 10 2 9_Table" xfId="8445"/>
    <cellStyle name="Total 10 2_Table" xfId="8426"/>
    <cellStyle name="Total 10 3" xfId="497"/>
    <cellStyle name="Total 10 3 10" xfId="4162"/>
    <cellStyle name="Total 10 3 10 2" xfId="13490"/>
    <cellStyle name="Total 10 3 10 3" xfId="17900"/>
    <cellStyle name="Total 10 3 10_Table" xfId="8447"/>
    <cellStyle name="Total 10 3 11" xfId="4523"/>
    <cellStyle name="Total 10 3 11 2" xfId="13851"/>
    <cellStyle name="Total 10 3 11 3" xfId="18261"/>
    <cellStyle name="Total 10 3 11_Table" xfId="8448"/>
    <cellStyle name="Total 10 3 12" xfId="9825"/>
    <cellStyle name="Total 10 3 13" xfId="14301"/>
    <cellStyle name="Total 10 3 2" xfId="788"/>
    <cellStyle name="Total 10 3 2 10" xfId="4748"/>
    <cellStyle name="Total 10 3 2 10 2" xfId="14076"/>
    <cellStyle name="Total 10 3 2 10 3" xfId="18486"/>
    <cellStyle name="Total 10 3 2 10_Table" xfId="8450"/>
    <cellStyle name="Total 10 3 2 11" xfId="10116"/>
    <cellStyle name="Total 10 3 2 12" xfId="14526"/>
    <cellStyle name="Total 10 3 2 2" xfId="1574"/>
    <cellStyle name="Total 10 3 2 2 2" xfId="10902"/>
    <cellStyle name="Total 10 3 2 2 3" xfId="15312"/>
    <cellStyle name="Total 10 3 2 2_Table" xfId="8451"/>
    <cellStyle name="Total 10 3 2 3" xfId="1934"/>
    <cellStyle name="Total 10 3 2 3 2" xfId="11262"/>
    <cellStyle name="Total 10 3 2 3 3" xfId="15672"/>
    <cellStyle name="Total 10 3 2 3_Table" xfId="8452"/>
    <cellStyle name="Total 10 3 2 4" xfId="2364"/>
    <cellStyle name="Total 10 3 2 4 2" xfId="11692"/>
    <cellStyle name="Total 10 3 2 4 3" xfId="16102"/>
    <cellStyle name="Total 10 3 2 4_Table" xfId="8453"/>
    <cellStyle name="Total 10 3 2 5" xfId="2802"/>
    <cellStyle name="Total 10 3 2 5 2" xfId="12130"/>
    <cellStyle name="Total 10 3 2 5 3" xfId="16540"/>
    <cellStyle name="Total 10 3 2 5_Table" xfId="8454"/>
    <cellStyle name="Total 10 3 2 6" xfId="3209"/>
    <cellStyle name="Total 10 3 2 6 2" xfId="12537"/>
    <cellStyle name="Total 10 3 2 6 3" xfId="16947"/>
    <cellStyle name="Total 10 3 2 6_Table" xfId="8455"/>
    <cellStyle name="Total 10 3 2 7" xfId="3801"/>
    <cellStyle name="Total 10 3 2 7 2" xfId="13129"/>
    <cellStyle name="Total 10 3 2 7 3" xfId="17539"/>
    <cellStyle name="Total 10 3 2 7_Table" xfId="8456"/>
    <cellStyle name="Total 10 3 2 8" xfId="4026"/>
    <cellStyle name="Total 10 3 2 8 2" xfId="13354"/>
    <cellStyle name="Total 10 3 2 8 3" xfId="17764"/>
    <cellStyle name="Total 10 3 2 8_Table" xfId="8457"/>
    <cellStyle name="Total 10 3 2 9" xfId="4387"/>
    <cellStyle name="Total 10 3 2 9 2" xfId="13715"/>
    <cellStyle name="Total 10 3 2 9 3" xfId="18125"/>
    <cellStyle name="Total 10 3 2 9_Table" xfId="8458"/>
    <cellStyle name="Total 10 3 2_Table" xfId="8449"/>
    <cellStyle name="Total 10 3 3" xfId="1300"/>
    <cellStyle name="Total 10 3 3 2" xfId="10628"/>
    <cellStyle name="Total 10 3 3 3" xfId="15038"/>
    <cellStyle name="Total 10 3 3_Table" xfId="8459"/>
    <cellStyle name="Total 10 3 4" xfId="917"/>
    <cellStyle name="Total 10 3 4 2" xfId="10245"/>
    <cellStyle name="Total 10 3 4 3" xfId="14655"/>
    <cellStyle name="Total 10 3 4_Table" xfId="8460"/>
    <cellStyle name="Total 10 3 5" xfId="2088"/>
    <cellStyle name="Total 10 3 5 2" xfId="11416"/>
    <cellStyle name="Total 10 3 5 3" xfId="15826"/>
    <cellStyle name="Total 10 3 5_Table" xfId="8461"/>
    <cellStyle name="Total 10 3 6" xfId="2520"/>
    <cellStyle name="Total 10 3 6 2" xfId="11848"/>
    <cellStyle name="Total 10 3 6 3" xfId="16258"/>
    <cellStyle name="Total 10 3 6_Table" xfId="8462"/>
    <cellStyle name="Total 10 3 7" xfId="2948"/>
    <cellStyle name="Total 10 3 7 2" xfId="12276"/>
    <cellStyle name="Total 10 3 7 3" xfId="16686"/>
    <cellStyle name="Total 10 3 7_Table" xfId="8463"/>
    <cellStyle name="Total 10 3 8" xfId="3361"/>
    <cellStyle name="Total 10 3 8 2" xfId="12689"/>
    <cellStyle name="Total 10 3 8 3" xfId="17099"/>
    <cellStyle name="Total 10 3 8_Table" xfId="8464"/>
    <cellStyle name="Total 10 3 9" xfId="2669"/>
    <cellStyle name="Total 10 3 9 2" xfId="11997"/>
    <cellStyle name="Total 10 3 9 3" xfId="16407"/>
    <cellStyle name="Total 10 3 9_Table" xfId="8465"/>
    <cellStyle name="Total 10 3_Table" xfId="8446"/>
    <cellStyle name="Total 10 4" xfId="561"/>
    <cellStyle name="Total 10 4 10" xfId="4207"/>
    <cellStyle name="Total 10 4 10 2" xfId="13535"/>
    <cellStyle name="Total 10 4 10 3" xfId="17945"/>
    <cellStyle name="Total 10 4 10_Table" xfId="8467"/>
    <cellStyle name="Total 10 4 11" xfId="4568"/>
    <cellStyle name="Total 10 4 11 2" xfId="13896"/>
    <cellStyle name="Total 10 4 11 3" xfId="18306"/>
    <cellStyle name="Total 10 4 11_Table" xfId="8468"/>
    <cellStyle name="Total 10 4 12" xfId="9889"/>
    <cellStyle name="Total 10 4 13" xfId="14346"/>
    <cellStyle name="Total 10 4 2" xfId="833"/>
    <cellStyle name="Total 10 4 2 10" xfId="4793"/>
    <cellStyle name="Total 10 4 2 10 2" xfId="14121"/>
    <cellStyle name="Total 10 4 2 10 3" xfId="18531"/>
    <cellStyle name="Total 10 4 2 10_Table" xfId="8470"/>
    <cellStyle name="Total 10 4 2 11" xfId="10161"/>
    <cellStyle name="Total 10 4 2 12" xfId="14571"/>
    <cellStyle name="Total 10 4 2 2" xfId="1619"/>
    <cellStyle name="Total 10 4 2 2 2" xfId="10947"/>
    <cellStyle name="Total 10 4 2 2 3" xfId="15357"/>
    <cellStyle name="Total 10 4 2 2_Table" xfId="8471"/>
    <cellStyle name="Total 10 4 2 3" xfId="1979"/>
    <cellStyle name="Total 10 4 2 3 2" xfId="11307"/>
    <cellStyle name="Total 10 4 2 3 3" xfId="15717"/>
    <cellStyle name="Total 10 4 2 3_Table" xfId="8472"/>
    <cellStyle name="Total 10 4 2 4" xfId="2409"/>
    <cellStyle name="Total 10 4 2 4 2" xfId="11737"/>
    <cellStyle name="Total 10 4 2 4 3" xfId="16147"/>
    <cellStyle name="Total 10 4 2 4_Table" xfId="8473"/>
    <cellStyle name="Total 10 4 2 5" xfId="2847"/>
    <cellStyle name="Total 10 4 2 5 2" xfId="12175"/>
    <cellStyle name="Total 10 4 2 5 3" xfId="16585"/>
    <cellStyle name="Total 10 4 2 5_Table" xfId="8474"/>
    <cellStyle name="Total 10 4 2 6" xfId="3254"/>
    <cellStyle name="Total 10 4 2 6 2" xfId="12582"/>
    <cellStyle name="Total 10 4 2 6 3" xfId="16992"/>
    <cellStyle name="Total 10 4 2 6_Table" xfId="8475"/>
    <cellStyle name="Total 10 4 2 7" xfId="3846"/>
    <cellStyle name="Total 10 4 2 7 2" xfId="13174"/>
    <cellStyle name="Total 10 4 2 7 3" xfId="17584"/>
    <cellStyle name="Total 10 4 2 7_Table" xfId="8476"/>
    <cellStyle name="Total 10 4 2 8" xfId="4071"/>
    <cellStyle name="Total 10 4 2 8 2" xfId="13399"/>
    <cellStyle name="Total 10 4 2 8 3" xfId="17809"/>
    <cellStyle name="Total 10 4 2 8_Table" xfId="8477"/>
    <cellStyle name="Total 10 4 2 9" xfId="4432"/>
    <cellStyle name="Total 10 4 2 9 2" xfId="13760"/>
    <cellStyle name="Total 10 4 2 9 3" xfId="18170"/>
    <cellStyle name="Total 10 4 2 9_Table" xfId="8478"/>
    <cellStyle name="Total 10 4 2_Table" xfId="8469"/>
    <cellStyle name="Total 10 4 3" xfId="1356"/>
    <cellStyle name="Total 10 4 3 2" xfId="10684"/>
    <cellStyle name="Total 10 4 3 3" xfId="15094"/>
    <cellStyle name="Total 10 4 3_Table" xfId="8479"/>
    <cellStyle name="Total 10 4 4" xfId="1713"/>
    <cellStyle name="Total 10 4 4 2" xfId="11041"/>
    <cellStyle name="Total 10 4 4 3" xfId="15451"/>
    <cellStyle name="Total 10 4 4_Table" xfId="8480"/>
    <cellStyle name="Total 10 4 5" xfId="2147"/>
    <cellStyle name="Total 10 4 5 2" xfId="11475"/>
    <cellStyle name="Total 10 4 5 3" xfId="15885"/>
    <cellStyle name="Total 10 4 5_Table" xfId="8481"/>
    <cellStyle name="Total 10 4 6" xfId="2579"/>
    <cellStyle name="Total 10 4 6 2" xfId="11907"/>
    <cellStyle name="Total 10 4 6 3" xfId="16317"/>
    <cellStyle name="Total 10 4 6_Table" xfId="8482"/>
    <cellStyle name="Total 10 4 7" xfId="3005"/>
    <cellStyle name="Total 10 4 7 2" xfId="12333"/>
    <cellStyle name="Total 10 4 7 3" xfId="16743"/>
    <cellStyle name="Total 10 4 7_Table" xfId="8483"/>
    <cellStyle name="Total 10 4 8" xfId="3419"/>
    <cellStyle name="Total 10 4 8 2" xfId="12747"/>
    <cellStyle name="Total 10 4 8 3" xfId="17157"/>
    <cellStyle name="Total 10 4 8_Table" xfId="8484"/>
    <cellStyle name="Total 10 4 9" xfId="3565"/>
    <cellStyle name="Total 10 4 9 2" xfId="12893"/>
    <cellStyle name="Total 10 4 9 3" xfId="17303"/>
    <cellStyle name="Total 10 4 9_Table" xfId="8485"/>
    <cellStyle name="Total 10 4_Table" xfId="8466"/>
    <cellStyle name="Total 10 5" xfId="636"/>
    <cellStyle name="Total 10 5 10" xfId="4252"/>
    <cellStyle name="Total 10 5 10 2" xfId="13580"/>
    <cellStyle name="Total 10 5 10 3" xfId="17990"/>
    <cellStyle name="Total 10 5 10_Table" xfId="8487"/>
    <cellStyle name="Total 10 5 11" xfId="4613"/>
    <cellStyle name="Total 10 5 11 2" xfId="13941"/>
    <cellStyle name="Total 10 5 11 3" xfId="18351"/>
    <cellStyle name="Total 10 5 11_Table" xfId="8488"/>
    <cellStyle name="Total 10 5 12" xfId="9964"/>
    <cellStyle name="Total 10 5 13" xfId="14391"/>
    <cellStyle name="Total 10 5 2" xfId="878"/>
    <cellStyle name="Total 10 5 2 10" xfId="4838"/>
    <cellStyle name="Total 10 5 2 10 2" xfId="14166"/>
    <cellStyle name="Total 10 5 2 10 3" xfId="18576"/>
    <cellStyle name="Total 10 5 2 10_Table" xfId="8490"/>
    <cellStyle name="Total 10 5 2 11" xfId="10206"/>
    <cellStyle name="Total 10 5 2 12" xfId="14616"/>
    <cellStyle name="Total 10 5 2 2" xfId="1664"/>
    <cellStyle name="Total 10 5 2 2 2" xfId="10992"/>
    <cellStyle name="Total 10 5 2 2 3" xfId="15402"/>
    <cellStyle name="Total 10 5 2 2_Table" xfId="8491"/>
    <cellStyle name="Total 10 5 2 3" xfId="2024"/>
    <cellStyle name="Total 10 5 2 3 2" xfId="11352"/>
    <cellStyle name="Total 10 5 2 3 3" xfId="15762"/>
    <cellStyle name="Total 10 5 2 3_Table" xfId="8492"/>
    <cellStyle name="Total 10 5 2 4" xfId="2454"/>
    <cellStyle name="Total 10 5 2 4 2" xfId="11782"/>
    <cellStyle name="Total 10 5 2 4 3" xfId="16192"/>
    <cellStyle name="Total 10 5 2 4_Table" xfId="8493"/>
    <cellStyle name="Total 10 5 2 5" xfId="2892"/>
    <cellStyle name="Total 10 5 2 5 2" xfId="12220"/>
    <cellStyle name="Total 10 5 2 5 3" xfId="16630"/>
    <cellStyle name="Total 10 5 2 5_Table" xfId="8494"/>
    <cellStyle name="Total 10 5 2 6" xfId="3299"/>
    <cellStyle name="Total 10 5 2 6 2" xfId="12627"/>
    <cellStyle name="Total 10 5 2 6 3" xfId="17037"/>
    <cellStyle name="Total 10 5 2 6_Table" xfId="8495"/>
    <cellStyle name="Total 10 5 2 7" xfId="3891"/>
    <cellStyle name="Total 10 5 2 7 2" xfId="13219"/>
    <cellStyle name="Total 10 5 2 7 3" xfId="17629"/>
    <cellStyle name="Total 10 5 2 7_Table" xfId="8496"/>
    <cellStyle name="Total 10 5 2 8" xfId="4116"/>
    <cellStyle name="Total 10 5 2 8 2" xfId="13444"/>
    <cellStyle name="Total 10 5 2 8 3" xfId="17854"/>
    <cellStyle name="Total 10 5 2 8_Table" xfId="8497"/>
    <cellStyle name="Total 10 5 2 9" xfId="4477"/>
    <cellStyle name="Total 10 5 2 9 2" xfId="13805"/>
    <cellStyle name="Total 10 5 2 9 3" xfId="18215"/>
    <cellStyle name="Total 10 5 2 9_Table" xfId="8498"/>
    <cellStyle name="Total 10 5 2_Table" xfId="8489"/>
    <cellStyle name="Total 10 5 3" xfId="1423"/>
    <cellStyle name="Total 10 5 3 2" xfId="10751"/>
    <cellStyle name="Total 10 5 3 3" xfId="15161"/>
    <cellStyle name="Total 10 5 3_Table" xfId="8499"/>
    <cellStyle name="Total 10 5 4" xfId="1783"/>
    <cellStyle name="Total 10 5 4 2" xfId="11111"/>
    <cellStyle name="Total 10 5 4 3" xfId="15521"/>
    <cellStyle name="Total 10 5 4_Table" xfId="8500"/>
    <cellStyle name="Total 10 5 5" xfId="2216"/>
    <cellStyle name="Total 10 5 5 2" xfId="11544"/>
    <cellStyle name="Total 10 5 5 3" xfId="15954"/>
    <cellStyle name="Total 10 5 5_Table" xfId="8501"/>
    <cellStyle name="Total 10 5 6" xfId="2651"/>
    <cellStyle name="Total 10 5 6 2" xfId="11979"/>
    <cellStyle name="Total 10 5 6 3" xfId="16389"/>
    <cellStyle name="Total 10 5 6_Table" xfId="8502"/>
    <cellStyle name="Total 10 5 7" xfId="3064"/>
    <cellStyle name="Total 10 5 7 2" xfId="12392"/>
    <cellStyle name="Total 10 5 7 3" xfId="16802"/>
    <cellStyle name="Total 10 5 7_Table" xfId="8503"/>
    <cellStyle name="Total 10 5 8" xfId="3490"/>
    <cellStyle name="Total 10 5 8 2" xfId="12818"/>
    <cellStyle name="Total 10 5 8 3" xfId="17228"/>
    <cellStyle name="Total 10 5 8_Table" xfId="8504"/>
    <cellStyle name="Total 10 5 9" xfId="3575"/>
    <cellStyle name="Total 10 5 9 2" xfId="12903"/>
    <cellStyle name="Total 10 5 9 3" xfId="17313"/>
    <cellStyle name="Total 10 5 9_Table" xfId="8505"/>
    <cellStyle name="Total 10 5_Table" xfId="8486"/>
    <cellStyle name="Total 10 6" xfId="698"/>
    <cellStyle name="Total 10 6 10" xfId="4658"/>
    <cellStyle name="Total 10 6 10 2" xfId="13986"/>
    <cellStyle name="Total 10 6 10 3" xfId="18396"/>
    <cellStyle name="Total 10 6 10_Table" xfId="8507"/>
    <cellStyle name="Total 10 6 11" xfId="10026"/>
    <cellStyle name="Total 10 6 12" xfId="14436"/>
    <cellStyle name="Total 10 6 2" xfId="1484"/>
    <cellStyle name="Total 10 6 2 2" xfId="10812"/>
    <cellStyle name="Total 10 6 2 3" xfId="15222"/>
    <cellStyle name="Total 10 6 2_Table" xfId="8508"/>
    <cellStyle name="Total 10 6 3" xfId="1844"/>
    <cellStyle name="Total 10 6 3 2" xfId="11172"/>
    <cellStyle name="Total 10 6 3 3" xfId="15582"/>
    <cellStyle name="Total 10 6 3_Table" xfId="8509"/>
    <cellStyle name="Total 10 6 4" xfId="2274"/>
    <cellStyle name="Total 10 6 4 2" xfId="11602"/>
    <cellStyle name="Total 10 6 4 3" xfId="16012"/>
    <cellStyle name="Total 10 6 4_Table" xfId="8510"/>
    <cellStyle name="Total 10 6 5" xfId="2712"/>
    <cellStyle name="Total 10 6 5 2" xfId="12040"/>
    <cellStyle name="Total 10 6 5 3" xfId="16450"/>
    <cellStyle name="Total 10 6 5_Table" xfId="8511"/>
    <cellStyle name="Total 10 6 6" xfId="3119"/>
    <cellStyle name="Total 10 6 6 2" xfId="12447"/>
    <cellStyle name="Total 10 6 6 3" xfId="16857"/>
    <cellStyle name="Total 10 6 6_Table" xfId="8512"/>
    <cellStyle name="Total 10 6 7" xfId="3711"/>
    <cellStyle name="Total 10 6 7 2" xfId="13039"/>
    <cellStyle name="Total 10 6 7 3" xfId="17449"/>
    <cellStyle name="Total 10 6 7_Table" xfId="8513"/>
    <cellStyle name="Total 10 6 8" xfId="3936"/>
    <cellStyle name="Total 10 6 8 2" xfId="13264"/>
    <cellStyle name="Total 10 6 8 3" xfId="17674"/>
    <cellStyle name="Total 10 6 8_Table" xfId="8514"/>
    <cellStyle name="Total 10 6 9" xfId="4297"/>
    <cellStyle name="Total 10 6 9 2" xfId="13625"/>
    <cellStyle name="Total 10 6 9 3" xfId="18035"/>
    <cellStyle name="Total 10 6 9_Table" xfId="8515"/>
    <cellStyle name="Total 10 6_Table" xfId="8506"/>
    <cellStyle name="Total 10 7" xfId="1199"/>
    <cellStyle name="Total 10 7 2" xfId="10527"/>
    <cellStyle name="Total 10 7 3" xfId="14937"/>
    <cellStyle name="Total 10 7_Table" xfId="8516"/>
    <cellStyle name="Total 10 8" xfId="1043"/>
    <cellStyle name="Total 10 8 2" xfId="10371"/>
    <cellStyle name="Total 10 8 3" xfId="14781"/>
    <cellStyle name="Total 10 8_Table" xfId="8517"/>
    <cellStyle name="Total 10 9" xfId="1433"/>
    <cellStyle name="Total 10 9 2" xfId="10761"/>
    <cellStyle name="Total 10 9 3" xfId="15171"/>
    <cellStyle name="Total 10 9_Table" xfId="8518"/>
    <cellStyle name="Total 10_Table" xfId="8419"/>
    <cellStyle name="Total 2" xfId="368"/>
    <cellStyle name="Total 2 10" xfId="1806"/>
    <cellStyle name="Total 2 10 2" xfId="11134"/>
    <cellStyle name="Total 2 10 3" xfId="15544"/>
    <cellStyle name="Total 2 10_Table" xfId="8520"/>
    <cellStyle name="Total 2 11" xfId="2236"/>
    <cellStyle name="Total 2 11 2" xfId="11564"/>
    <cellStyle name="Total 2 11 3" xfId="15974"/>
    <cellStyle name="Total 2 11_Table" xfId="8521"/>
    <cellStyle name="Total 2 12" xfId="2673"/>
    <cellStyle name="Total 2 12 2" xfId="12001"/>
    <cellStyle name="Total 2 12 3" xfId="16411"/>
    <cellStyle name="Total 2 12_Table" xfId="8522"/>
    <cellStyle name="Total 2 13" xfId="2540"/>
    <cellStyle name="Total 2 13 2" xfId="11868"/>
    <cellStyle name="Total 2 13 3" xfId="16278"/>
    <cellStyle name="Total 2 13_Table" xfId="8523"/>
    <cellStyle name="Total 2 14" xfId="1278"/>
    <cellStyle name="Total 2 14 2" xfId="10606"/>
    <cellStyle name="Total 2 14 3" xfId="15016"/>
    <cellStyle name="Total 2 14_Table" xfId="8524"/>
    <cellStyle name="Total 2 15" xfId="3674"/>
    <cellStyle name="Total 2 15 2" xfId="13002"/>
    <cellStyle name="Total 2 15 3" xfId="17412"/>
    <cellStyle name="Total 2 15_Table" xfId="8525"/>
    <cellStyle name="Total 2 16" xfId="9696"/>
    <cellStyle name="Total 2 17" xfId="14212"/>
    <cellStyle name="Total 2 2" xfId="430"/>
    <cellStyle name="Total 2 2 10" xfId="3073"/>
    <cellStyle name="Total 2 2 10 2" xfId="12401"/>
    <cellStyle name="Total 2 2 10 3" xfId="16811"/>
    <cellStyle name="Total 2 2 10_Table" xfId="8527"/>
    <cellStyle name="Total 2 2 11" xfId="1731"/>
    <cellStyle name="Total 2 2 11 2" xfId="11059"/>
    <cellStyle name="Total 2 2 11 3" xfId="15469"/>
    <cellStyle name="Total 2 2 11_Table" xfId="8528"/>
    <cellStyle name="Total 2 2 12" xfId="9758"/>
    <cellStyle name="Total 2 2 13" xfId="14257"/>
    <cellStyle name="Total 2 2 2" xfId="744"/>
    <cellStyle name="Total 2 2 2 10" xfId="4704"/>
    <cellStyle name="Total 2 2 2 10 2" xfId="14032"/>
    <cellStyle name="Total 2 2 2 10 3" xfId="18442"/>
    <cellStyle name="Total 2 2 2 10_Table" xfId="8530"/>
    <cellStyle name="Total 2 2 2 11" xfId="10072"/>
    <cellStyle name="Total 2 2 2 12" xfId="14482"/>
    <cellStyle name="Total 2 2 2 2" xfId="1530"/>
    <cellStyle name="Total 2 2 2 2 2" xfId="10858"/>
    <cellStyle name="Total 2 2 2 2 3" xfId="15268"/>
    <cellStyle name="Total 2 2 2 2_Table" xfId="8531"/>
    <cellStyle name="Total 2 2 2 3" xfId="1890"/>
    <cellStyle name="Total 2 2 2 3 2" xfId="11218"/>
    <cellStyle name="Total 2 2 2 3 3" xfId="15628"/>
    <cellStyle name="Total 2 2 2 3_Table" xfId="8532"/>
    <cellStyle name="Total 2 2 2 4" xfId="2320"/>
    <cellStyle name="Total 2 2 2 4 2" xfId="11648"/>
    <cellStyle name="Total 2 2 2 4 3" xfId="16058"/>
    <cellStyle name="Total 2 2 2 4_Table" xfId="8533"/>
    <cellStyle name="Total 2 2 2 5" xfId="2758"/>
    <cellStyle name="Total 2 2 2 5 2" xfId="12086"/>
    <cellStyle name="Total 2 2 2 5 3" xfId="16496"/>
    <cellStyle name="Total 2 2 2 5_Table" xfId="8534"/>
    <cellStyle name="Total 2 2 2 6" xfId="3165"/>
    <cellStyle name="Total 2 2 2 6 2" xfId="12493"/>
    <cellStyle name="Total 2 2 2 6 3" xfId="16903"/>
    <cellStyle name="Total 2 2 2 6_Table" xfId="8535"/>
    <cellStyle name="Total 2 2 2 7" xfId="3757"/>
    <cellStyle name="Total 2 2 2 7 2" xfId="13085"/>
    <cellStyle name="Total 2 2 2 7 3" xfId="17495"/>
    <cellStyle name="Total 2 2 2 7_Table" xfId="8536"/>
    <cellStyle name="Total 2 2 2 8" xfId="3982"/>
    <cellStyle name="Total 2 2 2 8 2" xfId="13310"/>
    <cellStyle name="Total 2 2 2 8 3" xfId="17720"/>
    <cellStyle name="Total 2 2 2 8_Table" xfId="8537"/>
    <cellStyle name="Total 2 2 2 9" xfId="4343"/>
    <cellStyle name="Total 2 2 2 9 2" xfId="13671"/>
    <cellStyle name="Total 2 2 2 9 3" xfId="18081"/>
    <cellStyle name="Total 2 2 2 9_Table" xfId="8538"/>
    <cellStyle name="Total 2 2 2_Table" xfId="8529"/>
    <cellStyle name="Total 2 2 3" xfId="1244"/>
    <cellStyle name="Total 2 2 3 2" xfId="10572"/>
    <cellStyle name="Total 2 2 3 3" xfId="14982"/>
    <cellStyle name="Total 2 2 3_Table" xfId="8539"/>
    <cellStyle name="Total 2 2 4" xfId="982"/>
    <cellStyle name="Total 2 2 4 2" xfId="10310"/>
    <cellStyle name="Total 2 2 4 3" xfId="14720"/>
    <cellStyle name="Total 2 2 4_Table" xfId="8540"/>
    <cellStyle name="Total 2 2 5" xfId="893"/>
    <cellStyle name="Total 2 2 5 2" xfId="10221"/>
    <cellStyle name="Total 2 2 5 3" xfId="14631"/>
    <cellStyle name="Total 2 2 5_Table" xfId="8541"/>
    <cellStyle name="Total 2 2 6" xfId="1049"/>
    <cellStyle name="Total 2 2 6 2" xfId="10377"/>
    <cellStyle name="Total 2 2 6 3" xfId="14787"/>
    <cellStyle name="Total 2 2 6_Table" xfId="8542"/>
    <cellStyle name="Total 2 2 7" xfId="1318"/>
    <cellStyle name="Total 2 2 7 2" xfId="10646"/>
    <cellStyle name="Total 2 2 7 3" xfId="15056"/>
    <cellStyle name="Total 2 2 7_Table" xfId="8543"/>
    <cellStyle name="Total 2 2 8" xfId="1075"/>
    <cellStyle name="Total 2 2 8 2" xfId="10403"/>
    <cellStyle name="Total 2 2 8 3" xfId="14813"/>
    <cellStyle name="Total 2 2 8_Table" xfId="8544"/>
    <cellStyle name="Total 2 2 9" xfId="3076"/>
    <cellStyle name="Total 2 2 9 2" xfId="12404"/>
    <cellStyle name="Total 2 2 9 3" xfId="16814"/>
    <cellStyle name="Total 2 2 9_Table" xfId="8545"/>
    <cellStyle name="Total 2 2_Table" xfId="8526"/>
    <cellStyle name="Total 2 3" xfId="498"/>
    <cellStyle name="Total 2 3 10" xfId="4163"/>
    <cellStyle name="Total 2 3 10 2" xfId="13491"/>
    <cellStyle name="Total 2 3 10 3" xfId="17901"/>
    <cellStyle name="Total 2 3 10_Table" xfId="8547"/>
    <cellStyle name="Total 2 3 11" xfId="4524"/>
    <cellStyle name="Total 2 3 11 2" xfId="13852"/>
    <cellStyle name="Total 2 3 11 3" xfId="18262"/>
    <cellStyle name="Total 2 3 11_Table" xfId="8548"/>
    <cellStyle name="Total 2 3 12" xfId="9826"/>
    <cellStyle name="Total 2 3 13" xfId="14302"/>
    <cellStyle name="Total 2 3 2" xfId="789"/>
    <cellStyle name="Total 2 3 2 10" xfId="4749"/>
    <cellStyle name="Total 2 3 2 10 2" xfId="14077"/>
    <cellStyle name="Total 2 3 2 10 3" xfId="18487"/>
    <cellStyle name="Total 2 3 2 10_Table" xfId="8550"/>
    <cellStyle name="Total 2 3 2 11" xfId="10117"/>
    <cellStyle name="Total 2 3 2 12" xfId="14527"/>
    <cellStyle name="Total 2 3 2 2" xfId="1575"/>
    <cellStyle name="Total 2 3 2 2 2" xfId="10903"/>
    <cellStyle name="Total 2 3 2 2 3" xfId="15313"/>
    <cellStyle name="Total 2 3 2 2_Table" xfId="8551"/>
    <cellStyle name="Total 2 3 2 3" xfId="1935"/>
    <cellStyle name="Total 2 3 2 3 2" xfId="11263"/>
    <cellStyle name="Total 2 3 2 3 3" xfId="15673"/>
    <cellStyle name="Total 2 3 2 3_Table" xfId="8552"/>
    <cellStyle name="Total 2 3 2 4" xfId="2365"/>
    <cellStyle name="Total 2 3 2 4 2" xfId="11693"/>
    <cellStyle name="Total 2 3 2 4 3" xfId="16103"/>
    <cellStyle name="Total 2 3 2 4_Table" xfId="8553"/>
    <cellStyle name="Total 2 3 2 5" xfId="2803"/>
    <cellStyle name="Total 2 3 2 5 2" xfId="12131"/>
    <cellStyle name="Total 2 3 2 5 3" xfId="16541"/>
    <cellStyle name="Total 2 3 2 5_Table" xfId="8554"/>
    <cellStyle name="Total 2 3 2 6" xfId="3210"/>
    <cellStyle name="Total 2 3 2 6 2" xfId="12538"/>
    <cellStyle name="Total 2 3 2 6 3" xfId="16948"/>
    <cellStyle name="Total 2 3 2 6_Table" xfId="8555"/>
    <cellStyle name="Total 2 3 2 7" xfId="3802"/>
    <cellStyle name="Total 2 3 2 7 2" xfId="13130"/>
    <cellStyle name="Total 2 3 2 7 3" xfId="17540"/>
    <cellStyle name="Total 2 3 2 7_Table" xfId="8556"/>
    <cellStyle name="Total 2 3 2 8" xfId="4027"/>
    <cellStyle name="Total 2 3 2 8 2" xfId="13355"/>
    <cellStyle name="Total 2 3 2 8 3" xfId="17765"/>
    <cellStyle name="Total 2 3 2 8_Table" xfId="8557"/>
    <cellStyle name="Total 2 3 2 9" xfId="4388"/>
    <cellStyle name="Total 2 3 2 9 2" xfId="13716"/>
    <cellStyle name="Total 2 3 2 9 3" xfId="18126"/>
    <cellStyle name="Total 2 3 2 9_Table" xfId="8558"/>
    <cellStyle name="Total 2 3 2_Table" xfId="8549"/>
    <cellStyle name="Total 2 3 3" xfId="1301"/>
    <cellStyle name="Total 2 3 3 2" xfId="10629"/>
    <cellStyle name="Total 2 3 3 3" xfId="15039"/>
    <cellStyle name="Total 2 3 3_Table" xfId="8559"/>
    <cellStyle name="Total 2 3 4" xfId="916"/>
    <cellStyle name="Total 2 3 4 2" xfId="10244"/>
    <cellStyle name="Total 2 3 4 3" xfId="14654"/>
    <cellStyle name="Total 2 3 4_Table" xfId="8560"/>
    <cellStyle name="Total 2 3 5" xfId="2089"/>
    <cellStyle name="Total 2 3 5 2" xfId="11417"/>
    <cellStyle name="Total 2 3 5 3" xfId="15827"/>
    <cellStyle name="Total 2 3 5_Table" xfId="8561"/>
    <cellStyle name="Total 2 3 6" xfId="2521"/>
    <cellStyle name="Total 2 3 6 2" xfId="11849"/>
    <cellStyle name="Total 2 3 6 3" xfId="16259"/>
    <cellStyle name="Total 2 3 6_Table" xfId="8562"/>
    <cellStyle name="Total 2 3 7" xfId="2949"/>
    <cellStyle name="Total 2 3 7 2" xfId="12277"/>
    <cellStyle name="Total 2 3 7 3" xfId="16687"/>
    <cellStyle name="Total 2 3 7_Table" xfId="8563"/>
    <cellStyle name="Total 2 3 8" xfId="3362"/>
    <cellStyle name="Total 2 3 8 2" xfId="12690"/>
    <cellStyle name="Total 2 3 8 3" xfId="17100"/>
    <cellStyle name="Total 2 3 8_Table" xfId="8564"/>
    <cellStyle name="Total 2 3 9" xfId="3311"/>
    <cellStyle name="Total 2 3 9 2" xfId="12639"/>
    <cellStyle name="Total 2 3 9 3" xfId="17049"/>
    <cellStyle name="Total 2 3 9_Table" xfId="8565"/>
    <cellStyle name="Total 2 3_Table" xfId="8546"/>
    <cellStyle name="Total 2 4" xfId="562"/>
    <cellStyle name="Total 2 4 10" xfId="4208"/>
    <cellStyle name="Total 2 4 10 2" xfId="13536"/>
    <cellStyle name="Total 2 4 10 3" xfId="17946"/>
    <cellStyle name="Total 2 4 10_Table" xfId="8567"/>
    <cellStyle name="Total 2 4 11" xfId="4569"/>
    <cellStyle name="Total 2 4 11 2" xfId="13897"/>
    <cellStyle name="Total 2 4 11 3" xfId="18307"/>
    <cellStyle name="Total 2 4 11_Table" xfId="8568"/>
    <cellStyle name="Total 2 4 12" xfId="9890"/>
    <cellStyle name="Total 2 4 13" xfId="14347"/>
    <cellStyle name="Total 2 4 2" xfId="834"/>
    <cellStyle name="Total 2 4 2 10" xfId="4794"/>
    <cellStyle name="Total 2 4 2 10 2" xfId="14122"/>
    <cellStyle name="Total 2 4 2 10 3" xfId="18532"/>
    <cellStyle name="Total 2 4 2 10_Table" xfId="8570"/>
    <cellStyle name="Total 2 4 2 11" xfId="10162"/>
    <cellStyle name="Total 2 4 2 12" xfId="14572"/>
    <cellStyle name="Total 2 4 2 2" xfId="1620"/>
    <cellStyle name="Total 2 4 2 2 2" xfId="10948"/>
    <cellStyle name="Total 2 4 2 2 3" xfId="15358"/>
    <cellStyle name="Total 2 4 2 2_Table" xfId="8571"/>
    <cellStyle name="Total 2 4 2 3" xfId="1980"/>
    <cellStyle name="Total 2 4 2 3 2" xfId="11308"/>
    <cellStyle name="Total 2 4 2 3 3" xfId="15718"/>
    <cellStyle name="Total 2 4 2 3_Table" xfId="8572"/>
    <cellStyle name="Total 2 4 2 4" xfId="2410"/>
    <cellStyle name="Total 2 4 2 4 2" xfId="11738"/>
    <cellStyle name="Total 2 4 2 4 3" xfId="16148"/>
    <cellStyle name="Total 2 4 2 4_Table" xfId="8573"/>
    <cellStyle name="Total 2 4 2 5" xfId="2848"/>
    <cellStyle name="Total 2 4 2 5 2" xfId="12176"/>
    <cellStyle name="Total 2 4 2 5 3" xfId="16586"/>
    <cellStyle name="Total 2 4 2 5_Table" xfId="8574"/>
    <cellStyle name="Total 2 4 2 6" xfId="3255"/>
    <cellStyle name="Total 2 4 2 6 2" xfId="12583"/>
    <cellStyle name="Total 2 4 2 6 3" xfId="16993"/>
    <cellStyle name="Total 2 4 2 6_Table" xfId="8575"/>
    <cellStyle name="Total 2 4 2 7" xfId="3847"/>
    <cellStyle name="Total 2 4 2 7 2" xfId="13175"/>
    <cellStyle name="Total 2 4 2 7 3" xfId="17585"/>
    <cellStyle name="Total 2 4 2 7_Table" xfId="8576"/>
    <cellStyle name="Total 2 4 2 8" xfId="4072"/>
    <cellStyle name="Total 2 4 2 8 2" xfId="13400"/>
    <cellStyle name="Total 2 4 2 8 3" xfId="17810"/>
    <cellStyle name="Total 2 4 2 8_Table" xfId="8577"/>
    <cellStyle name="Total 2 4 2 9" xfId="4433"/>
    <cellStyle name="Total 2 4 2 9 2" xfId="13761"/>
    <cellStyle name="Total 2 4 2 9 3" xfId="18171"/>
    <cellStyle name="Total 2 4 2 9_Table" xfId="8578"/>
    <cellStyle name="Total 2 4 2_Table" xfId="8569"/>
    <cellStyle name="Total 2 4 3" xfId="1357"/>
    <cellStyle name="Total 2 4 3 2" xfId="10685"/>
    <cellStyle name="Total 2 4 3 3" xfId="15095"/>
    <cellStyle name="Total 2 4 3_Table" xfId="8579"/>
    <cellStyle name="Total 2 4 4" xfId="1714"/>
    <cellStyle name="Total 2 4 4 2" xfId="11042"/>
    <cellStyle name="Total 2 4 4 3" xfId="15452"/>
    <cellStyle name="Total 2 4 4_Table" xfId="8580"/>
    <cellStyle name="Total 2 4 5" xfId="2148"/>
    <cellStyle name="Total 2 4 5 2" xfId="11476"/>
    <cellStyle name="Total 2 4 5 3" xfId="15886"/>
    <cellStyle name="Total 2 4 5_Table" xfId="8581"/>
    <cellStyle name="Total 2 4 6" xfId="2580"/>
    <cellStyle name="Total 2 4 6 2" xfId="11908"/>
    <cellStyle name="Total 2 4 6 3" xfId="16318"/>
    <cellStyle name="Total 2 4 6_Table" xfId="8582"/>
    <cellStyle name="Total 2 4 7" xfId="3006"/>
    <cellStyle name="Total 2 4 7 2" xfId="12334"/>
    <cellStyle name="Total 2 4 7 3" xfId="16744"/>
    <cellStyle name="Total 2 4 7_Table" xfId="8583"/>
    <cellStyle name="Total 2 4 8" xfId="3420"/>
    <cellStyle name="Total 2 4 8 2" xfId="12748"/>
    <cellStyle name="Total 2 4 8 3" xfId="17158"/>
    <cellStyle name="Total 2 4 8_Table" xfId="8584"/>
    <cellStyle name="Total 2 4 9" xfId="3598"/>
    <cellStyle name="Total 2 4 9 2" xfId="12926"/>
    <cellStyle name="Total 2 4 9 3" xfId="17336"/>
    <cellStyle name="Total 2 4 9_Table" xfId="8585"/>
    <cellStyle name="Total 2 4_Table" xfId="8566"/>
    <cellStyle name="Total 2 5" xfId="637"/>
    <cellStyle name="Total 2 5 10" xfId="4253"/>
    <cellStyle name="Total 2 5 10 2" xfId="13581"/>
    <cellStyle name="Total 2 5 10 3" xfId="17991"/>
    <cellStyle name="Total 2 5 10_Table" xfId="8587"/>
    <cellStyle name="Total 2 5 11" xfId="4614"/>
    <cellStyle name="Total 2 5 11 2" xfId="13942"/>
    <cellStyle name="Total 2 5 11 3" xfId="18352"/>
    <cellStyle name="Total 2 5 11_Table" xfId="8588"/>
    <cellStyle name="Total 2 5 12" xfId="9965"/>
    <cellStyle name="Total 2 5 13" xfId="14392"/>
    <cellStyle name="Total 2 5 2" xfId="879"/>
    <cellStyle name="Total 2 5 2 10" xfId="4839"/>
    <cellStyle name="Total 2 5 2 10 2" xfId="14167"/>
    <cellStyle name="Total 2 5 2 10 3" xfId="18577"/>
    <cellStyle name="Total 2 5 2 10_Table" xfId="8590"/>
    <cellStyle name="Total 2 5 2 11" xfId="10207"/>
    <cellStyle name="Total 2 5 2 12" xfId="14617"/>
    <cellStyle name="Total 2 5 2 2" xfId="1665"/>
    <cellStyle name="Total 2 5 2 2 2" xfId="10993"/>
    <cellStyle name="Total 2 5 2 2 3" xfId="15403"/>
    <cellStyle name="Total 2 5 2 2_Table" xfId="8591"/>
    <cellStyle name="Total 2 5 2 3" xfId="2025"/>
    <cellStyle name="Total 2 5 2 3 2" xfId="11353"/>
    <cellStyle name="Total 2 5 2 3 3" xfId="15763"/>
    <cellStyle name="Total 2 5 2 3_Table" xfId="8592"/>
    <cellStyle name="Total 2 5 2 4" xfId="2455"/>
    <cellStyle name="Total 2 5 2 4 2" xfId="11783"/>
    <cellStyle name="Total 2 5 2 4 3" xfId="16193"/>
    <cellStyle name="Total 2 5 2 4_Table" xfId="8593"/>
    <cellStyle name="Total 2 5 2 5" xfId="2893"/>
    <cellStyle name="Total 2 5 2 5 2" xfId="12221"/>
    <cellStyle name="Total 2 5 2 5 3" xfId="16631"/>
    <cellStyle name="Total 2 5 2 5_Table" xfId="8594"/>
    <cellStyle name="Total 2 5 2 6" xfId="3300"/>
    <cellStyle name="Total 2 5 2 6 2" xfId="12628"/>
    <cellStyle name="Total 2 5 2 6 3" xfId="17038"/>
    <cellStyle name="Total 2 5 2 6_Table" xfId="8595"/>
    <cellStyle name="Total 2 5 2 7" xfId="3892"/>
    <cellStyle name="Total 2 5 2 7 2" xfId="13220"/>
    <cellStyle name="Total 2 5 2 7 3" xfId="17630"/>
    <cellStyle name="Total 2 5 2 7_Table" xfId="8596"/>
    <cellStyle name="Total 2 5 2 8" xfId="4117"/>
    <cellStyle name="Total 2 5 2 8 2" xfId="13445"/>
    <cellStyle name="Total 2 5 2 8 3" xfId="17855"/>
    <cellStyle name="Total 2 5 2 8_Table" xfId="8597"/>
    <cellStyle name="Total 2 5 2 9" xfId="4478"/>
    <cellStyle name="Total 2 5 2 9 2" xfId="13806"/>
    <cellStyle name="Total 2 5 2 9 3" xfId="18216"/>
    <cellStyle name="Total 2 5 2 9_Table" xfId="8598"/>
    <cellStyle name="Total 2 5 2_Table" xfId="8589"/>
    <cellStyle name="Total 2 5 3" xfId="1424"/>
    <cellStyle name="Total 2 5 3 2" xfId="10752"/>
    <cellStyle name="Total 2 5 3 3" xfId="15162"/>
    <cellStyle name="Total 2 5 3_Table" xfId="8599"/>
    <cellStyle name="Total 2 5 4" xfId="1784"/>
    <cellStyle name="Total 2 5 4 2" xfId="11112"/>
    <cellStyle name="Total 2 5 4 3" xfId="15522"/>
    <cellStyle name="Total 2 5 4_Table" xfId="8600"/>
    <cellStyle name="Total 2 5 5" xfId="2217"/>
    <cellStyle name="Total 2 5 5 2" xfId="11545"/>
    <cellStyle name="Total 2 5 5 3" xfId="15955"/>
    <cellStyle name="Total 2 5 5_Table" xfId="8601"/>
    <cellStyle name="Total 2 5 6" xfId="2652"/>
    <cellStyle name="Total 2 5 6 2" xfId="11980"/>
    <cellStyle name="Total 2 5 6 3" xfId="16390"/>
    <cellStyle name="Total 2 5 6_Table" xfId="8602"/>
    <cellStyle name="Total 2 5 7" xfId="3065"/>
    <cellStyle name="Total 2 5 7 2" xfId="12393"/>
    <cellStyle name="Total 2 5 7 3" xfId="16803"/>
    <cellStyle name="Total 2 5 7_Table" xfId="8603"/>
    <cellStyle name="Total 2 5 8" xfId="3491"/>
    <cellStyle name="Total 2 5 8 2" xfId="12819"/>
    <cellStyle name="Total 2 5 8 3" xfId="17229"/>
    <cellStyle name="Total 2 5 8_Table" xfId="8604"/>
    <cellStyle name="Total 2 5 9" xfId="3608"/>
    <cellStyle name="Total 2 5 9 2" xfId="12936"/>
    <cellStyle name="Total 2 5 9 3" xfId="17346"/>
    <cellStyle name="Total 2 5 9_Table" xfId="8605"/>
    <cellStyle name="Total 2 5_Table" xfId="8586"/>
    <cellStyle name="Total 2 6" xfId="699"/>
    <cellStyle name="Total 2 6 10" xfId="4659"/>
    <cellStyle name="Total 2 6 10 2" xfId="13987"/>
    <cellStyle name="Total 2 6 10 3" xfId="18397"/>
    <cellStyle name="Total 2 6 10_Table" xfId="8607"/>
    <cellStyle name="Total 2 6 11" xfId="10027"/>
    <cellStyle name="Total 2 6 12" xfId="14437"/>
    <cellStyle name="Total 2 6 2" xfId="1485"/>
    <cellStyle name="Total 2 6 2 2" xfId="10813"/>
    <cellStyle name="Total 2 6 2 3" xfId="15223"/>
    <cellStyle name="Total 2 6 2_Table" xfId="8608"/>
    <cellStyle name="Total 2 6 3" xfId="1845"/>
    <cellStyle name="Total 2 6 3 2" xfId="11173"/>
    <cellStyle name="Total 2 6 3 3" xfId="15583"/>
    <cellStyle name="Total 2 6 3_Table" xfId="8609"/>
    <cellStyle name="Total 2 6 4" xfId="2275"/>
    <cellStyle name="Total 2 6 4 2" xfId="11603"/>
    <cellStyle name="Total 2 6 4 3" xfId="16013"/>
    <cellStyle name="Total 2 6 4_Table" xfId="8610"/>
    <cellStyle name="Total 2 6 5" xfId="2713"/>
    <cellStyle name="Total 2 6 5 2" xfId="12041"/>
    <cellStyle name="Total 2 6 5 3" xfId="16451"/>
    <cellStyle name="Total 2 6 5_Table" xfId="8611"/>
    <cellStyle name="Total 2 6 6" xfId="3120"/>
    <cellStyle name="Total 2 6 6 2" xfId="12448"/>
    <cellStyle name="Total 2 6 6 3" xfId="16858"/>
    <cellStyle name="Total 2 6 6_Table" xfId="8612"/>
    <cellStyle name="Total 2 6 7" xfId="3712"/>
    <cellStyle name="Total 2 6 7 2" xfId="13040"/>
    <cellStyle name="Total 2 6 7 3" xfId="17450"/>
    <cellStyle name="Total 2 6 7_Table" xfId="8613"/>
    <cellStyle name="Total 2 6 8" xfId="3937"/>
    <cellStyle name="Total 2 6 8 2" xfId="13265"/>
    <cellStyle name="Total 2 6 8 3" xfId="17675"/>
    <cellStyle name="Total 2 6 8_Table" xfId="8614"/>
    <cellStyle name="Total 2 6 9" xfId="4298"/>
    <cellStyle name="Total 2 6 9 2" xfId="13626"/>
    <cellStyle name="Total 2 6 9 3" xfId="18036"/>
    <cellStyle name="Total 2 6 9_Table" xfId="8615"/>
    <cellStyle name="Total 2 6_Table" xfId="8606"/>
    <cellStyle name="Total 2 7" xfId="1200"/>
    <cellStyle name="Total 2 7 2" xfId="10528"/>
    <cellStyle name="Total 2 7 3" xfId="14938"/>
    <cellStyle name="Total 2 7_Table" xfId="8616"/>
    <cellStyle name="Total 2 8" xfId="1042"/>
    <cellStyle name="Total 2 8 2" xfId="10370"/>
    <cellStyle name="Total 2 8 3" xfId="14780"/>
    <cellStyle name="Total 2 8_Table" xfId="8617"/>
    <cellStyle name="Total 2 9" xfId="1169"/>
    <cellStyle name="Total 2 9 2" xfId="10497"/>
    <cellStyle name="Total 2 9 3" xfId="14907"/>
    <cellStyle name="Total 2 9_Table" xfId="8618"/>
    <cellStyle name="Total 2_Table" xfId="8519"/>
    <cellStyle name="Total 3" xfId="369"/>
    <cellStyle name="Total 3 10" xfId="897"/>
    <cellStyle name="Total 3 10 2" xfId="10225"/>
    <cellStyle name="Total 3 10 3" xfId="14635"/>
    <cellStyle name="Total 3 10_Table" xfId="8620"/>
    <cellStyle name="Total 3 11" xfId="2105"/>
    <cellStyle name="Total 3 11 2" xfId="11433"/>
    <cellStyle name="Total 3 11 3" xfId="15843"/>
    <cellStyle name="Total 3 11_Table" xfId="8621"/>
    <cellStyle name="Total 3 12" xfId="2537"/>
    <cellStyle name="Total 3 12 2" xfId="11865"/>
    <cellStyle name="Total 3 12 3" xfId="16275"/>
    <cellStyle name="Total 3 12_Table" xfId="8622"/>
    <cellStyle name="Total 3 13" xfId="2603"/>
    <cellStyle name="Total 3 13 2" xfId="11931"/>
    <cellStyle name="Total 3 13 3" xfId="16341"/>
    <cellStyle name="Total 3 13_Table" xfId="8623"/>
    <cellStyle name="Total 3 14" xfId="3020"/>
    <cellStyle name="Total 3 14 2" xfId="12348"/>
    <cellStyle name="Total 3 14 3" xfId="16758"/>
    <cellStyle name="Total 3 14_Table" xfId="8624"/>
    <cellStyle name="Total 3 15" xfId="3590"/>
    <cellStyle name="Total 3 15 2" xfId="12918"/>
    <cellStyle name="Total 3 15 3" xfId="17328"/>
    <cellStyle name="Total 3 15_Table" xfId="8625"/>
    <cellStyle name="Total 3 16" xfId="9697"/>
    <cellStyle name="Total 3 17" xfId="14213"/>
    <cellStyle name="Total 3 2" xfId="431"/>
    <cellStyle name="Total 3 2 10" xfId="1216"/>
    <cellStyle name="Total 3 2 10 2" xfId="10544"/>
    <cellStyle name="Total 3 2 10 3" xfId="14954"/>
    <cellStyle name="Total 3 2 10_Table" xfId="8627"/>
    <cellStyle name="Total 3 2 11" xfId="2471"/>
    <cellStyle name="Total 3 2 11 2" xfId="11799"/>
    <cellStyle name="Total 3 2 11 3" xfId="16209"/>
    <cellStyle name="Total 3 2 11_Table" xfId="8628"/>
    <cellStyle name="Total 3 2 12" xfId="9759"/>
    <cellStyle name="Total 3 2 13" xfId="14258"/>
    <cellStyle name="Total 3 2 2" xfId="745"/>
    <cellStyle name="Total 3 2 2 10" xfId="4705"/>
    <cellStyle name="Total 3 2 2 10 2" xfId="14033"/>
    <cellStyle name="Total 3 2 2 10 3" xfId="18443"/>
    <cellStyle name="Total 3 2 2 10_Table" xfId="8630"/>
    <cellStyle name="Total 3 2 2 11" xfId="10073"/>
    <cellStyle name="Total 3 2 2 12" xfId="14483"/>
    <cellStyle name="Total 3 2 2 2" xfId="1531"/>
    <cellStyle name="Total 3 2 2 2 2" xfId="10859"/>
    <cellStyle name="Total 3 2 2 2 3" xfId="15269"/>
    <cellStyle name="Total 3 2 2 2_Table" xfId="8631"/>
    <cellStyle name="Total 3 2 2 3" xfId="1891"/>
    <cellStyle name="Total 3 2 2 3 2" xfId="11219"/>
    <cellStyle name="Total 3 2 2 3 3" xfId="15629"/>
    <cellStyle name="Total 3 2 2 3_Table" xfId="8632"/>
    <cellStyle name="Total 3 2 2 4" xfId="2321"/>
    <cellStyle name="Total 3 2 2 4 2" xfId="11649"/>
    <cellStyle name="Total 3 2 2 4 3" xfId="16059"/>
    <cellStyle name="Total 3 2 2 4_Table" xfId="8633"/>
    <cellStyle name="Total 3 2 2 5" xfId="2759"/>
    <cellStyle name="Total 3 2 2 5 2" xfId="12087"/>
    <cellStyle name="Total 3 2 2 5 3" xfId="16497"/>
    <cellStyle name="Total 3 2 2 5_Table" xfId="8634"/>
    <cellStyle name="Total 3 2 2 6" xfId="3166"/>
    <cellStyle name="Total 3 2 2 6 2" xfId="12494"/>
    <cellStyle name="Total 3 2 2 6 3" xfId="16904"/>
    <cellStyle name="Total 3 2 2 6_Table" xfId="8635"/>
    <cellStyle name="Total 3 2 2 7" xfId="3758"/>
    <cellStyle name="Total 3 2 2 7 2" xfId="13086"/>
    <cellStyle name="Total 3 2 2 7 3" xfId="17496"/>
    <cellStyle name="Total 3 2 2 7_Table" xfId="8636"/>
    <cellStyle name="Total 3 2 2 8" xfId="3983"/>
    <cellStyle name="Total 3 2 2 8 2" xfId="13311"/>
    <cellStyle name="Total 3 2 2 8 3" xfId="17721"/>
    <cellStyle name="Total 3 2 2 8_Table" xfId="8637"/>
    <cellStyle name="Total 3 2 2 9" xfId="4344"/>
    <cellStyle name="Total 3 2 2 9 2" xfId="13672"/>
    <cellStyle name="Total 3 2 2 9 3" xfId="18082"/>
    <cellStyle name="Total 3 2 2 9_Table" xfId="8638"/>
    <cellStyle name="Total 3 2 2_Table" xfId="8629"/>
    <cellStyle name="Total 3 2 3" xfId="1245"/>
    <cellStyle name="Total 3 2 3 2" xfId="10573"/>
    <cellStyle name="Total 3 2 3 3" xfId="14983"/>
    <cellStyle name="Total 3 2 3_Table" xfId="8639"/>
    <cellStyle name="Total 3 2 4" xfId="981"/>
    <cellStyle name="Total 3 2 4 2" xfId="10309"/>
    <cellStyle name="Total 3 2 4 3" xfId="14719"/>
    <cellStyle name="Total 3 2 4_Table" xfId="8640"/>
    <cellStyle name="Total 3 2 5" xfId="1214"/>
    <cellStyle name="Total 3 2 5 2" xfId="10542"/>
    <cellStyle name="Total 3 2 5 3" xfId="14952"/>
    <cellStyle name="Total 3 2 5_Table" xfId="8641"/>
    <cellStyle name="Total 3 2 6" xfId="1048"/>
    <cellStyle name="Total 3 2 6 2" xfId="10376"/>
    <cellStyle name="Total 3 2 6 3" xfId="14786"/>
    <cellStyle name="Total 3 2 6_Table" xfId="8642"/>
    <cellStyle name="Total 3 2 7" xfId="1375"/>
    <cellStyle name="Total 3 2 7 2" xfId="10703"/>
    <cellStyle name="Total 3 2 7 3" xfId="15113"/>
    <cellStyle name="Total 3 2 7_Table" xfId="8643"/>
    <cellStyle name="Total 3 2 8" xfId="973"/>
    <cellStyle name="Total 3 2 8 2" xfId="10301"/>
    <cellStyle name="Total 3 2 8 3" xfId="14711"/>
    <cellStyle name="Total 3 2 8_Table" xfId="8644"/>
    <cellStyle name="Total 3 2 9" xfId="2050"/>
    <cellStyle name="Total 3 2 9 2" xfId="11378"/>
    <cellStyle name="Total 3 2 9 3" xfId="15788"/>
    <cellStyle name="Total 3 2 9_Table" xfId="8645"/>
    <cellStyle name="Total 3 2_Table" xfId="8626"/>
    <cellStyle name="Total 3 3" xfId="499"/>
    <cellStyle name="Total 3 3 10" xfId="4164"/>
    <cellStyle name="Total 3 3 10 2" xfId="13492"/>
    <cellStyle name="Total 3 3 10 3" xfId="17902"/>
    <cellStyle name="Total 3 3 10_Table" xfId="8647"/>
    <cellStyle name="Total 3 3 11" xfId="4525"/>
    <cellStyle name="Total 3 3 11 2" xfId="13853"/>
    <cellStyle name="Total 3 3 11 3" xfId="18263"/>
    <cellStyle name="Total 3 3 11_Table" xfId="8648"/>
    <cellStyle name="Total 3 3 12" xfId="9827"/>
    <cellStyle name="Total 3 3 13" xfId="14303"/>
    <cellStyle name="Total 3 3 2" xfId="790"/>
    <cellStyle name="Total 3 3 2 10" xfId="4750"/>
    <cellStyle name="Total 3 3 2 10 2" xfId="14078"/>
    <cellStyle name="Total 3 3 2 10 3" xfId="18488"/>
    <cellStyle name="Total 3 3 2 10_Table" xfId="8650"/>
    <cellStyle name="Total 3 3 2 11" xfId="10118"/>
    <cellStyle name="Total 3 3 2 12" xfId="14528"/>
    <cellStyle name="Total 3 3 2 2" xfId="1576"/>
    <cellStyle name="Total 3 3 2 2 2" xfId="10904"/>
    <cellStyle name="Total 3 3 2 2 3" xfId="15314"/>
    <cellStyle name="Total 3 3 2 2_Table" xfId="8651"/>
    <cellStyle name="Total 3 3 2 3" xfId="1936"/>
    <cellStyle name="Total 3 3 2 3 2" xfId="11264"/>
    <cellStyle name="Total 3 3 2 3 3" xfId="15674"/>
    <cellStyle name="Total 3 3 2 3_Table" xfId="8652"/>
    <cellStyle name="Total 3 3 2 4" xfId="2366"/>
    <cellStyle name="Total 3 3 2 4 2" xfId="11694"/>
    <cellStyle name="Total 3 3 2 4 3" xfId="16104"/>
    <cellStyle name="Total 3 3 2 4_Table" xfId="8653"/>
    <cellStyle name="Total 3 3 2 5" xfId="2804"/>
    <cellStyle name="Total 3 3 2 5 2" xfId="12132"/>
    <cellStyle name="Total 3 3 2 5 3" xfId="16542"/>
    <cellStyle name="Total 3 3 2 5_Table" xfId="8654"/>
    <cellStyle name="Total 3 3 2 6" xfId="3211"/>
    <cellStyle name="Total 3 3 2 6 2" xfId="12539"/>
    <cellStyle name="Total 3 3 2 6 3" xfId="16949"/>
    <cellStyle name="Total 3 3 2 6_Table" xfId="8655"/>
    <cellStyle name="Total 3 3 2 7" xfId="3803"/>
    <cellStyle name="Total 3 3 2 7 2" xfId="13131"/>
    <cellStyle name="Total 3 3 2 7 3" xfId="17541"/>
    <cellStyle name="Total 3 3 2 7_Table" xfId="8656"/>
    <cellStyle name="Total 3 3 2 8" xfId="4028"/>
    <cellStyle name="Total 3 3 2 8 2" xfId="13356"/>
    <cellStyle name="Total 3 3 2 8 3" xfId="17766"/>
    <cellStyle name="Total 3 3 2 8_Table" xfId="8657"/>
    <cellStyle name="Total 3 3 2 9" xfId="4389"/>
    <cellStyle name="Total 3 3 2 9 2" xfId="13717"/>
    <cellStyle name="Total 3 3 2 9 3" xfId="18127"/>
    <cellStyle name="Total 3 3 2 9_Table" xfId="8658"/>
    <cellStyle name="Total 3 3 2_Table" xfId="8649"/>
    <cellStyle name="Total 3 3 3" xfId="1302"/>
    <cellStyle name="Total 3 3 3 2" xfId="10630"/>
    <cellStyle name="Total 3 3 3 3" xfId="15040"/>
    <cellStyle name="Total 3 3 3_Table" xfId="8659"/>
    <cellStyle name="Total 3 3 4" xfId="915"/>
    <cellStyle name="Total 3 3 4 2" xfId="10243"/>
    <cellStyle name="Total 3 3 4 3" xfId="14653"/>
    <cellStyle name="Total 3 3 4_Table" xfId="8660"/>
    <cellStyle name="Total 3 3 5" xfId="2090"/>
    <cellStyle name="Total 3 3 5 2" xfId="11418"/>
    <cellStyle name="Total 3 3 5 3" xfId="15828"/>
    <cellStyle name="Total 3 3 5_Table" xfId="8661"/>
    <cellStyle name="Total 3 3 6" xfId="2522"/>
    <cellStyle name="Total 3 3 6 2" xfId="11850"/>
    <cellStyle name="Total 3 3 6 3" xfId="16260"/>
    <cellStyle name="Total 3 3 6_Table" xfId="8662"/>
    <cellStyle name="Total 3 3 7" xfId="2950"/>
    <cellStyle name="Total 3 3 7 2" xfId="12278"/>
    <cellStyle name="Total 3 3 7 3" xfId="16688"/>
    <cellStyle name="Total 3 3 7_Table" xfId="8663"/>
    <cellStyle name="Total 3 3 8" xfId="3363"/>
    <cellStyle name="Total 3 3 8 2" xfId="12691"/>
    <cellStyle name="Total 3 3 8 3" xfId="17101"/>
    <cellStyle name="Total 3 3 8_Table" xfId="8664"/>
    <cellStyle name="Total 3 3 9" xfId="3372"/>
    <cellStyle name="Total 3 3 9 2" xfId="12700"/>
    <cellStyle name="Total 3 3 9 3" xfId="17110"/>
    <cellStyle name="Total 3 3 9_Table" xfId="8665"/>
    <cellStyle name="Total 3 3_Table" xfId="8646"/>
    <cellStyle name="Total 3 4" xfId="563"/>
    <cellStyle name="Total 3 4 10" xfId="4209"/>
    <cellStyle name="Total 3 4 10 2" xfId="13537"/>
    <cellStyle name="Total 3 4 10 3" xfId="17947"/>
    <cellStyle name="Total 3 4 10_Table" xfId="8667"/>
    <cellStyle name="Total 3 4 11" xfId="4570"/>
    <cellStyle name="Total 3 4 11 2" xfId="13898"/>
    <cellStyle name="Total 3 4 11 3" xfId="18308"/>
    <cellStyle name="Total 3 4 11_Table" xfId="8668"/>
    <cellStyle name="Total 3 4 12" xfId="9891"/>
    <cellStyle name="Total 3 4 13" xfId="14348"/>
    <cellStyle name="Total 3 4 2" xfId="835"/>
    <cellStyle name="Total 3 4 2 10" xfId="4795"/>
    <cellStyle name="Total 3 4 2 10 2" xfId="14123"/>
    <cellStyle name="Total 3 4 2 10 3" xfId="18533"/>
    <cellStyle name="Total 3 4 2 10_Table" xfId="8670"/>
    <cellStyle name="Total 3 4 2 11" xfId="10163"/>
    <cellStyle name="Total 3 4 2 12" xfId="14573"/>
    <cellStyle name="Total 3 4 2 2" xfId="1621"/>
    <cellStyle name="Total 3 4 2 2 2" xfId="10949"/>
    <cellStyle name="Total 3 4 2 2 3" xfId="15359"/>
    <cellStyle name="Total 3 4 2 2_Table" xfId="8671"/>
    <cellStyle name="Total 3 4 2 3" xfId="1981"/>
    <cellStyle name="Total 3 4 2 3 2" xfId="11309"/>
    <cellStyle name="Total 3 4 2 3 3" xfId="15719"/>
    <cellStyle name="Total 3 4 2 3_Table" xfId="8672"/>
    <cellStyle name="Total 3 4 2 4" xfId="2411"/>
    <cellStyle name="Total 3 4 2 4 2" xfId="11739"/>
    <cellStyle name="Total 3 4 2 4 3" xfId="16149"/>
    <cellStyle name="Total 3 4 2 4_Table" xfId="8673"/>
    <cellStyle name="Total 3 4 2 5" xfId="2849"/>
    <cellStyle name="Total 3 4 2 5 2" xfId="12177"/>
    <cellStyle name="Total 3 4 2 5 3" xfId="16587"/>
    <cellStyle name="Total 3 4 2 5_Table" xfId="8674"/>
    <cellStyle name="Total 3 4 2 6" xfId="3256"/>
    <cellStyle name="Total 3 4 2 6 2" xfId="12584"/>
    <cellStyle name="Total 3 4 2 6 3" xfId="16994"/>
    <cellStyle name="Total 3 4 2 6_Table" xfId="8675"/>
    <cellStyle name="Total 3 4 2 7" xfId="3848"/>
    <cellStyle name="Total 3 4 2 7 2" xfId="13176"/>
    <cellStyle name="Total 3 4 2 7 3" xfId="17586"/>
    <cellStyle name="Total 3 4 2 7_Table" xfId="8676"/>
    <cellStyle name="Total 3 4 2 8" xfId="4073"/>
    <cellStyle name="Total 3 4 2 8 2" xfId="13401"/>
    <cellStyle name="Total 3 4 2 8 3" xfId="17811"/>
    <cellStyle name="Total 3 4 2 8_Table" xfId="8677"/>
    <cellStyle name="Total 3 4 2 9" xfId="4434"/>
    <cellStyle name="Total 3 4 2 9 2" xfId="13762"/>
    <cellStyle name="Total 3 4 2 9 3" xfId="18172"/>
    <cellStyle name="Total 3 4 2 9_Table" xfId="8678"/>
    <cellStyle name="Total 3 4 2_Table" xfId="8669"/>
    <cellStyle name="Total 3 4 3" xfId="1358"/>
    <cellStyle name="Total 3 4 3 2" xfId="10686"/>
    <cellStyle name="Total 3 4 3 3" xfId="15096"/>
    <cellStyle name="Total 3 4 3_Table" xfId="8679"/>
    <cellStyle name="Total 3 4 4" xfId="1715"/>
    <cellStyle name="Total 3 4 4 2" xfId="11043"/>
    <cellStyle name="Total 3 4 4 3" xfId="15453"/>
    <cellStyle name="Total 3 4 4_Table" xfId="8680"/>
    <cellStyle name="Total 3 4 5" xfId="2149"/>
    <cellStyle name="Total 3 4 5 2" xfId="11477"/>
    <cellStyle name="Total 3 4 5 3" xfId="15887"/>
    <cellStyle name="Total 3 4 5_Table" xfId="8681"/>
    <cellStyle name="Total 3 4 6" xfId="2581"/>
    <cellStyle name="Total 3 4 6 2" xfId="11909"/>
    <cellStyle name="Total 3 4 6 3" xfId="16319"/>
    <cellStyle name="Total 3 4 6_Table" xfId="8682"/>
    <cellStyle name="Total 3 4 7" xfId="3007"/>
    <cellStyle name="Total 3 4 7 2" xfId="12335"/>
    <cellStyle name="Total 3 4 7 3" xfId="16745"/>
    <cellStyle name="Total 3 4 7_Table" xfId="8683"/>
    <cellStyle name="Total 3 4 8" xfId="3421"/>
    <cellStyle name="Total 3 4 8 2" xfId="12749"/>
    <cellStyle name="Total 3 4 8 3" xfId="17159"/>
    <cellStyle name="Total 3 4 8_Table" xfId="8684"/>
    <cellStyle name="Total 3 4 9" xfId="3629"/>
    <cellStyle name="Total 3 4 9 2" xfId="12957"/>
    <cellStyle name="Total 3 4 9 3" xfId="17367"/>
    <cellStyle name="Total 3 4 9_Table" xfId="8685"/>
    <cellStyle name="Total 3 4_Table" xfId="8666"/>
    <cellStyle name="Total 3 5" xfId="638"/>
    <cellStyle name="Total 3 5 10" xfId="4254"/>
    <cellStyle name="Total 3 5 10 2" xfId="13582"/>
    <cellStyle name="Total 3 5 10 3" xfId="17992"/>
    <cellStyle name="Total 3 5 10_Table" xfId="8687"/>
    <cellStyle name="Total 3 5 11" xfId="4615"/>
    <cellStyle name="Total 3 5 11 2" xfId="13943"/>
    <cellStyle name="Total 3 5 11 3" xfId="18353"/>
    <cellStyle name="Total 3 5 11_Table" xfId="8688"/>
    <cellStyle name="Total 3 5 12" xfId="9966"/>
    <cellStyle name="Total 3 5 13" xfId="14393"/>
    <cellStyle name="Total 3 5 2" xfId="880"/>
    <cellStyle name="Total 3 5 2 10" xfId="4840"/>
    <cellStyle name="Total 3 5 2 10 2" xfId="14168"/>
    <cellStyle name="Total 3 5 2 10 3" xfId="18578"/>
    <cellStyle name="Total 3 5 2 10_Table" xfId="8690"/>
    <cellStyle name="Total 3 5 2 11" xfId="10208"/>
    <cellStyle name="Total 3 5 2 12" xfId="14618"/>
    <cellStyle name="Total 3 5 2 2" xfId="1666"/>
    <cellStyle name="Total 3 5 2 2 2" xfId="10994"/>
    <cellStyle name="Total 3 5 2 2 3" xfId="15404"/>
    <cellStyle name="Total 3 5 2 2_Table" xfId="8691"/>
    <cellStyle name="Total 3 5 2 3" xfId="2026"/>
    <cellStyle name="Total 3 5 2 3 2" xfId="11354"/>
    <cellStyle name="Total 3 5 2 3 3" xfId="15764"/>
    <cellStyle name="Total 3 5 2 3_Table" xfId="8692"/>
    <cellStyle name="Total 3 5 2 4" xfId="2456"/>
    <cellStyle name="Total 3 5 2 4 2" xfId="11784"/>
    <cellStyle name="Total 3 5 2 4 3" xfId="16194"/>
    <cellStyle name="Total 3 5 2 4_Table" xfId="8693"/>
    <cellStyle name="Total 3 5 2 5" xfId="2894"/>
    <cellStyle name="Total 3 5 2 5 2" xfId="12222"/>
    <cellStyle name="Total 3 5 2 5 3" xfId="16632"/>
    <cellStyle name="Total 3 5 2 5_Table" xfId="8694"/>
    <cellStyle name="Total 3 5 2 6" xfId="3301"/>
    <cellStyle name="Total 3 5 2 6 2" xfId="12629"/>
    <cellStyle name="Total 3 5 2 6 3" xfId="17039"/>
    <cellStyle name="Total 3 5 2 6_Table" xfId="8695"/>
    <cellStyle name="Total 3 5 2 7" xfId="3893"/>
    <cellStyle name="Total 3 5 2 7 2" xfId="13221"/>
    <cellStyle name="Total 3 5 2 7 3" xfId="17631"/>
    <cellStyle name="Total 3 5 2 7_Table" xfId="8696"/>
    <cellStyle name="Total 3 5 2 8" xfId="4118"/>
    <cellStyle name="Total 3 5 2 8 2" xfId="13446"/>
    <cellStyle name="Total 3 5 2 8 3" xfId="17856"/>
    <cellStyle name="Total 3 5 2 8_Table" xfId="8697"/>
    <cellStyle name="Total 3 5 2 9" xfId="4479"/>
    <cellStyle name="Total 3 5 2 9 2" xfId="13807"/>
    <cellStyle name="Total 3 5 2 9 3" xfId="18217"/>
    <cellStyle name="Total 3 5 2 9_Table" xfId="8698"/>
    <cellStyle name="Total 3 5 2_Table" xfId="8689"/>
    <cellStyle name="Total 3 5 3" xfId="1425"/>
    <cellStyle name="Total 3 5 3 2" xfId="10753"/>
    <cellStyle name="Total 3 5 3 3" xfId="15163"/>
    <cellStyle name="Total 3 5 3_Table" xfId="8699"/>
    <cellStyle name="Total 3 5 4" xfId="1785"/>
    <cellStyle name="Total 3 5 4 2" xfId="11113"/>
    <cellStyle name="Total 3 5 4 3" xfId="15523"/>
    <cellStyle name="Total 3 5 4_Table" xfId="8700"/>
    <cellStyle name="Total 3 5 5" xfId="2218"/>
    <cellStyle name="Total 3 5 5 2" xfId="11546"/>
    <cellStyle name="Total 3 5 5 3" xfId="15956"/>
    <cellStyle name="Total 3 5 5_Table" xfId="8701"/>
    <cellStyle name="Total 3 5 6" xfId="2653"/>
    <cellStyle name="Total 3 5 6 2" xfId="11981"/>
    <cellStyle name="Total 3 5 6 3" xfId="16391"/>
    <cellStyle name="Total 3 5 6_Table" xfId="8702"/>
    <cellStyle name="Total 3 5 7" xfId="3066"/>
    <cellStyle name="Total 3 5 7 2" xfId="12394"/>
    <cellStyle name="Total 3 5 7 3" xfId="16804"/>
    <cellStyle name="Total 3 5 7_Table" xfId="8703"/>
    <cellStyle name="Total 3 5 8" xfId="3492"/>
    <cellStyle name="Total 3 5 8 2" xfId="12820"/>
    <cellStyle name="Total 3 5 8 3" xfId="17230"/>
    <cellStyle name="Total 3 5 8_Table" xfId="8704"/>
    <cellStyle name="Total 3 5 9" xfId="3640"/>
    <cellStyle name="Total 3 5 9 2" xfId="12968"/>
    <cellStyle name="Total 3 5 9 3" xfId="17378"/>
    <cellStyle name="Total 3 5 9_Table" xfId="8705"/>
    <cellStyle name="Total 3 5_Table" xfId="8686"/>
    <cellStyle name="Total 3 6" xfId="700"/>
    <cellStyle name="Total 3 6 10" xfId="4660"/>
    <cellStyle name="Total 3 6 10 2" xfId="13988"/>
    <cellStyle name="Total 3 6 10 3" xfId="18398"/>
    <cellStyle name="Total 3 6 10_Table" xfId="8707"/>
    <cellStyle name="Total 3 6 11" xfId="10028"/>
    <cellStyle name="Total 3 6 12" xfId="14438"/>
    <cellStyle name="Total 3 6 2" xfId="1486"/>
    <cellStyle name="Total 3 6 2 2" xfId="10814"/>
    <cellStyle name="Total 3 6 2 3" xfId="15224"/>
    <cellStyle name="Total 3 6 2_Table" xfId="8708"/>
    <cellStyle name="Total 3 6 3" xfId="1846"/>
    <cellStyle name="Total 3 6 3 2" xfId="11174"/>
    <cellStyle name="Total 3 6 3 3" xfId="15584"/>
    <cellStyle name="Total 3 6 3_Table" xfId="8709"/>
    <cellStyle name="Total 3 6 4" xfId="2276"/>
    <cellStyle name="Total 3 6 4 2" xfId="11604"/>
    <cellStyle name="Total 3 6 4 3" xfId="16014"/>
    <cellStyle name="Total 3 6 4_Table" xfId="8710"/>
    <cellStyle name="Total 3 6 5" xfId="2714"/>
    <cellStyle name="Total 3 6 5 2" xfId="12042"/>
    <cellStyle name="Total 3 6 5 3" xfId="16452"/>
    <cellStyle name="Total 3 6 5_Table" xfId="8711"/>
    <cellStyle name="Total 3 6 6" xfId="3121"/>
    <cellStyle name="Total 3 6 6 2" xfId="12449"/>
    <cellStyle name="Total 3 6 6 3" xfId="16859"/>
    <cellStyle name="Total 3 6 6_Table" xfId="8712"/>
    <cellStyle name="Total 3 6 7" xfId="3713"/>
    <cellStyle name="Total 3 6 7 2" xfId="13041"/>
    <cellStyle name="Total 3 6 7 3" xfId="17451"/>
    <cellStyle name="Total 3 6 7_Table" xfId="8713"/>
    <cellStyle name="Total 3 6 8" xfId="3938"/>
    <cellStyle name="Total 3 6 8 2" xfId="13266"/>
    <cellStyle name="Total 3 6 8 3" xfId="17676"/>
    <cellStyle name="Total 3 6 8_Table" xfId="8714"/>
    <cellStyle name="Total 3 6 9" xfId="4299"/>
    <cellStyle name="Total 3 6 9 2" xfId="13627"/>
    <cellStyle name="Total 3 6 9 3" xfId="18037"/>
    <cellStyle name="Total 3 6 9_Table" xfId="8715"/>
    <cellStyle name="Total 3 6_Table" xfId="8706"/>
    <cellStyle name="Total 3 7" xfId="1201"/>
    <cellStyle name="Total 3 7 2" xfId="10529"/>
    <cellStyle name="Total 3 7 3" xfId="14939"/>
    <cellStyle name="Total 3 7_Table" xfId="8716"/>
    <cellStyle name="Total 3 8" xfId="1041"/>
    <cellStyle name="Total 3 8 2" xfId="10369"/>
    <cellStyle name="Total 3 8 3" xfId="14779"/>
    <cellStyle name="Total 3 8_Table" xfId="8717"/>
    <cellStyle name="Total 3 9" xfId="1253"/>
    <cellStyle name="Total 3 9 2" xfId="10581"/>
    <cellStyle name="Total 3 9 3" xfId="14991"/>
    <cellStyle name="Total 3 9_Table" xfId="8718"/>
    <cellStyle name="Total 3_Table" xfId="8619"/>
    <cellStyle name="Total 4" xfId="370"/>
    <cellStyle name="Total 4 10" xfId="1732"/>
    <cellStyle name="Total 4 10 2" xfId="11060"/>
    <cellStyle name="Total 4 10 3" xfId="15470"/>
    <cellStyle name="Total 4 10_Table" xfId="8720"/>
    <cellStyle name="Total 4 11" xfId="2166"/>
    <cellStyle name="Total 4 11 2" xfId="11494"/>
    <cellStyle name="Total 4 11 3" xfId="15904"/>
    <cellStyle name="Total 4 11_Table" xfId="8721"/>
    <cellStyle name="Total 4 12" xfId="2598"/>
    <cellStyle name="Total 4 12 2" xfId="11926"/>
    <cellStyle name="Total 4 12 3" xfId="16336"/>
    <cellStyle name="Total 4 12_Table" xfId="8722"/>
    <cellStyle name="Total 4 13" xfId="2046"/>
    <cellStyle name="Total 4 13 2" xfId="11374"/>
    <cellStyle name="Total 4 13 3" xfId="15784"/>
    <cellStyle name="Total 4 13_Table" xfId="8723"/>
    <cellStyle name="Total 4 14" xfId="2904"/>
    <cellStyle name="Total 4 14 2" xfId="12232"/>
    <cellStyle name="Total 4 14 3" xfId="16642"/>
    <cellStyle name="Total 4 14_Table" xfId="8724"/>
    <cellStyle name="Total 4 15" xfId="3601"/>
    <cellStyle name="Total 4 15 2" xfId="12929"/>
    <cellStyle name="Total 4 15 3" xfId="17339"/>
    <cellStyle name="Total 4 15_Table" xfId="8725"/>
    <cellStyle name="Total 4 16" xfId="9698"/>
    <cellStyle name="Total 4 17" xfId="14214"/>
    <cellStyle name="Total 4 2" xfId="432"/>
    <cellStyle name="Total 4 2 10" xfId="1120"/>
    <cellStyle name="Total 4 2 10 2" xfId="10448"/>
    <cellStyle name="Total 4 2 10 3" xfId="14858"/>
    <cellStyle name="Total 4 2 10_Table" xfId="8727"/>
    <cellStyle name="Total 4 2 11" xfId="2472"/>
    <cellStyle name="Total 4 2 11 2" xfId="11800"/>
    <cellStyle name="Total 4 2 11 3" xfId="16210"/>
    <cellStyle name="Total 4 2 11_Table" xfId="8728"/>
    <cellStyle name="Total 4 2 12" xfId="9760"/>
    <cellStyle name="Total 4 2 13" xfId="14259"/>
    <cellStyle name="Total 4 2 2" xfId="746"/>
    <cellStyle name="Total 4 2 2 10" xfId="4706"/>
    <cellStyle name="Total 4 2 2 10 2" xfId="14034"/>
    <cellStyle name="Total 4 2 2 10 3" xfId="18444"/>
    <cellStyle name="Total 4 2 2 10_Table" xfId="8730"/>
    <cellStyle name="Total 4 2 2 11" xfId="10074"/>
    <cellStyle name="Total 4 2 2 12" xfId="14484"/>
    <cellStyle name="Total 4 2 2 2" xfId="1532"/>
    <cellStyle name="Total 4 2 2 2 2" xfId="10860"/>
    <cellStyle name="Total 4 2 2 2 3" xfId="15270"/>
    <cellStyle name="Total 4 2 2 2_Table" xfId="8731"/>
    <cellStyle name="Total 4 2 2 3" xfId="1892"/>
    <cellStyle name="Total 4 2 2 3 2" xfId="11220"/>
    <cellStyle name="Total 4 2 2 3 3" xfId="15630"/>
    <cellStyle name="Total 4 2 2 3_Table" xfId="8732"/>
    <cellStyle name="Total 4 2 2 4" xfId="2322"/>
    <cellStyle name="Total 4 2 2 4 2" xfId="11650"/>
    <cellStyle name="Total 4 2 2 4 3" xfId="16060"/>
    <cellStyle name="Total 4 2 2 4_Table" xfId="8733"/>
    <cellStyle name="Total 4 2 2 5" xfId="2760"/>
    <cellStyle name="Total 4 2 2 5 2" xfId="12088"/>
    <cellStyle name="Total 4 2 2 5 3" xfId="16498"/>
    <cellStyle name="Total 4 2 2 5_Table" xfId="8734"/>
    <cellStyle name="Total 4 2 2 6" xfId="3167"/>
    <cellStyle name="Total 4 2 2 6 2" xfId="12495"/>
    <cellStyle name="Total 4 2 2 6 3" xfId="16905"/>
    <cellStyle name="Total 4 2 2 6_Table" xfId="8735"/>
    <cellStyle name="Total 4 2 2 7" xfId="3759"/>
    <cellStyle name="Total 4 2 2 7 2" xfId="13087"/>
    <cellStyle name="Total 4 2 2 7 3" xfId="17497"/>
    <cellStyle name="Total 4 2 2 7_Table" xfId="8736"/>
    <cellStyle name="Total 4 2 2 8" xfId="3984"/>
    <cellStyle name="Total 4 2 2 8 2" xfId="13312"/>
    <cellStyle name="Total 4 2 2 8 3" xfId="17722"/>
    <cellStyle name="Total 4 2 2 8_Table" xfId="8737"/>
    <cellStyle name="Total 4 2 2 9" xfId="4345"/>
    <cellStyle name="Total 4 2 2 9 2" xfId="13673"/>
    <cellStyle name="Total 4 2 2 9 3" xfId="18083"/>
    <cellStyle name="Total 4 2 2 9_Table" xfId="8738"/>
    <cellStyle name="Total 4 2 2_Table" xfId="8729"/>
    <cellStyle name="Total 4 2 3" xfId="1246"/>
    <cellStyle name="Total 4 2 3 2" xfId="10574"/>
    <cellStyle name="Total 4 2 3 3" xfId="14984"/>
    <cellStyle name="Total 4 2 3_Table" xfId="8739"/>
    <cellStyle name="Total 4 2 4" xfId="980"/>
    <cellStyle name="Total 4 2 4 2" xfId="10308"/>
    <cellStyle name="Total 4 2 4 3" xfId="14718"/>
    <cellStyle name="Total 4 2 4_Table" xfId="8740"/>
    <cellStyle name="Total 4 2 5" xfId="1270"/>
    <cellStyle name="Total 4 2 5 2" xfId="10598"/>
    <cellStyle name="Total 4 2 5 3" xfId="15008"/>
    <cellStyle name="Total 4 2 5_Table" xfId="8741"/>
    <cellStyle name="Total 4 2 6" xfId="1047"/>
    <cellStyle name="Total 4 2 6 2" xfId="10375"/>
    <cellStyle name="Total 4 2 6 3" xfId="14785"/>
    <cellStyle name="Total 4 2 6_Table" xfId="8742"/>
    <cellStyle name="Total 4 2 7" xfId="1440"/>
    <cellStyle name="Total 4 2 7 2" xfId="10768"/>
    <cellStyle name="Total 4 2 7 3" xfId="15178"/>
    <cellStyle name="Total 4 2 7_Table" xfId="8743"/>
    <cellStyle name="Total 4 2 8" xfId="968"/>
    <cellStyle name="Total 4 2 8 2" xfId="10296"/>
    <cellStyle name="Total 4 2 8 3" xfId="14706"/>
    <cellStyle name="Total 4 2 8_Table" xfId="8744"/>
    <cellStyle name="Total 4 2 9" xfId="1144"/>
    <cellStyle name="Total 4 2 9 2" xfId="10472"/>
    <cellStyle name="Total 4 2 9 3" xfId="14882"/>
    <cellStyle name="Total 4 2 9_Table" xfId="8745"/>
    <cellStyle name="Total 4 2_Table" xfId="8726"/>
    <cellStyle name="Total 4 3" xfId="500"/>
    <cellStyle name="Total 4 3 10" xfId="4165"/>
    <cellStyle name="Total 4 3 10 2" xfId="13493"/>
    <cellStyle name="Total 4 3 10 3" xfId="17903"/>
    <cellStyle name="Total 4 3 10_Table" xfId="8747"/>
    <cellStyle name="Total 4 3 11" xfId="4526"/>
    <cellStyle name="Total 4 3 11 2" xfId="13854"/>
    <cellStyle name="Total 4 3 11 3" xfId="18264"/>
    <cellStyle name="Total 4 3 11_Table" xfId="8748"/>
    <cellStyle name="Total 4 3 12" xfId="9828"/>
    <cellStyle name="Total 4 3 13" xfId="14304"/>
    <cellStyle name="Total 4 3 2" xfId="791"/>
    <cellStyle name="Total 4 3 2 10" xfId="4751"/>
    <cellStyle name="Total 4 3 2 10 2" xfId="14079"/>
    <cellStyle name="Total 4 3 2 10 3" xfId="18489"/>
    <cellStyle name="Total 4 3 2 10_Table" xfId="8750"/>
    <cellStyle name="Total 4 3 2 11" xfId="10119"/>
    <cellStyle name="Total 4 3 2 12" xfId="14529"/>
    <cellStyle name="Total 4 3 2 2" xfId="1577"/>
    <cellStyle name="Total 4 3 2 2 2" xfId="10905"/>
    <cellStyle name="Total 4 3 2 2 3" xfId="15315"/>
    <cellStyle name="Total 4 3 2 2_Table" xfId="8751"/>
    <cellStyle name="Total 4 3 2 3" xfId="1937"/>
    <cellStyle name="Total 4 3 2 3 2" xfId="11265"/>
    <cellStyle name="Total 4 3 2 3 3" xfId="15675"/>
    <cellStyle name="Total 4 3 2 3_Table" xfId="8752"/>
    <cellStyle name="Total 4 3 2 4" xfId="2367"/>
    <cellStyle name="Total 4 3 2 4 2" xfId="11695"/>
    <cellStyle name="Total 4 3 2 4 3" xfId="16105"/>
    <cellStyle name="Total 4 3 2 4_Table" xfId="8753"/>
    <cellStyle name="Total 4 3 2 5" xfId="2805"/>
    <cellStyle name="Total 4 3 2 5 2" xfId="12133"/>
    <cellStyle name="Total 4 3 2 5 3" xfId="16543"/>
    <cellStyle name="Total 4 3 2 5_Table" xfId="8754"/>
    <cellStyle name="Total 4 3 2 6" xfId="3212"/>
    <cellStyle name="Total 4 3 2 6 2" xfId="12540"/>
    <cellStyle name="Total 4 3 2 6 3" xfId="16950"/>
    <cellStyle name="Total 4 3 2 6_Table" xfId="8755"/>
    <cellStyle name="Total 4 3 2 7" xfId="3804"/>
    <cellStyle name="Total 4 3 2 7 2" xfId="13132"/>
    <cellStyle name="Total 4 3 2 7 3" xfId="17542"/>
    <cellStyle name="Total 4 3 2 7_Table" xfId="8756"/>
    <cellStyle name="Total 4 3 2 8" xfId="4029"/>
    <cellStyle name="Total 4 3 2 8 2" xfId="13357"/>
    <cellStyle name="Total 4 3 2 8 3" xfId="17767"/>
    <cellStyle name="Total 4 3 2 8_Table" xfId="8757"/>
    <cellStyle name="Total 4 3 2 9" xfId="4390"/>
    <cellStyle name="Total 4 3 2 9 2" xfId="13718"/>
    <cellStyle name="Total 4 3 2 9 3" xfId="18128"/>
    <cellStyle name="Total 4 3 2 9_Table" xfId="8758"/>
    <cellStyle name="Total 4 3 2_Table" xfId="8749"/>
    <cellStyle name="Total 4 3 3" xfId="1303"/>
    <cellStyle name="Total 4 3 3 2" xfId="10631"/>
    <cellStyle name="Total 4 3 3 3" xfId="15041"/>
    <cellStyle name="Total 4 3 3_Table" xfId="8759"/>
    <cellStyle name="Total 4 3 4" xfId="914"/>
    <cellStyle name="Total 4 3 4 2" xfId="10242"/>
    <cellStyle name="Total 4 3 4 3" xfId="14652"/>
    <cellStyle name="Total 4 3 4_Table" xfId="8760"/>
    <cellStyle name="Total 4 3 5" xfId="2091"/>
    <cellStyle name="Total 4 3 5 2" xfId="11419"/>
    <cellStyle name="Total 4 3 5 3" xfId="15829"/>
    <cellStyle name="Total 4 3 5_Table" xfId="8761"/>
    <cellStyle name="Total 4 3 6" xfId="2523"/>
    <cellStyle name="Total 4 3 6 2" xfId="11851"/>
    <cellStyle name="Total 4 3 6 3" xfId="16261"/>
    <cellStyle name="Total 4 3 6_Table" xfId="8762"/>
    <cellStyle name="Total 4 3 7" xfId="2951"/>
    <cellStyle name="Total 4 3 7 2" xfId="12279"/>
    <cellStyle name="Total 4 3 7 3" xfId="16689"/>
    <cellStyle name="Total 4 3 7_Table" xfId="8763"/>
    <cellStyle name="Total 4 3 8" xfId="3364"/>
    <cellStyle name="Total 4 3 8 2" xfId="12692"/>
    <cellStyle name="Total 4 3 8 3" xfId="17102"/>
    <cellStyle name="Total 4 3 8_Table" xfId="8764"/>
    <cellStyle name="Total 4 3 9" xfId="3431"/>
    <cellStyle name="Total 4 3 9 2" xfId="12759"/>
    <cellStyle name="Total 4 3 9 3" xfId="17169"/>
    <cellStyle name="Total 4 3 9_Table" xfId="8765"/>
    <cellStyle name="Total 4 3_Table" xfId="8746"/>
    <cellStyle name="Total 4 4" xfId="564"/>
    <cellStyle name="Total 4 4 10" xfId="4210"/>
    <cellStyle name="Total 4 4 10 2" xfId="13538"/>
    <cellStyle name="Total 4 4 10 3" xfId="17948"/>
    <cellStyle name="Total 4 4 10_Table" xfId="8767"/>
    <cellStyle name="Total 4 4 11" xfId="4571"/>
    <cellStyle name="Total 4 4 11 2" xfId="13899"/>
    <cellStyle name="Total 4 4 11 3" xfId="18309"/>
    <cellStyle name="Total 4 4 11_Table" xfId="8768"/>
    <cellStyle name="Total 4 4 12" xfId="9892"/>
    <cellStyle name="Total 4 4 13" xfId="14349"/>
    <cellStyle name="Total 4 4 2" xfId="836"/>
    <cellStyle name="Total 4 4 2 10" xfId="4796"/>
    <cellStyle name="Total 4 4 2 10 2" xfId="14124"/>
    <cellStyle name="Total 4 4 2 10 3" xfId="18534"/>
    <cellStyle name="Total 4 4 2 10_Table" xfId="8770"/>
    <cellStyle name="Total 4 4 2 11" xfId="10164"/>
    <cellStyle name="Total 4 4 2 12" xfId="14574"/>
    <cellStyle name="Total 4 4 2 2" xfId="1622"/>
    <cellStyle name="Total 4 4 2 2 2" xfId="10950"/>
    <cellStyle name="Total 4 4 2 2 3" xfId="15360"/>
    <cellStyle name="Total 4 4 2 2_Table" xfId="8771"/>
    <cellStyle name="Total 4 4 2 3" xfId="1982"/>
    <cellStyle name="Total 4 4 2 3 2" xfId="11310"/>
    <cellStyle name="Total 4 4 2 3 3" xfId="15720"/>
    <cellStyle name="Total 4 4 2 3_Table" xfId="8772"/>
    <cellStyle name="Total 4 4 2 4" xfId="2412"/>
    <cellStyle name="Total 4 4 2 4 2" xfId="11740"/>
    <cellStyle name="Total 4 4 2 4 3" xfId="16150"/>
    <cellStyle name="Total 4 4 2 4_Table" xfId="8773"/>
    <cellStyle name="Total 4 4 2 5" xfId="2850"/>
    <cellStyle name="Total 4 4 2 5 2" xfId="12178"/>
    <cellStyle name="Total 4 4 2 5 3" xfId="16588"/>
    <cellStyle name="Total 4 4 2 5_Table" xfId="8774"/>
    <cellStyle name="Total 4 4 2 6" xfId="3257"/>
    <cellStyle name="Total 4 4 2 6 2" xfId="12585"/>
    <cellStyle name="Total 4 4 2 6 3" xfId="16995"/>
    <cellStyle name="Total 4 4 2 6_Table" xfId="8775"/>
    <cellStyle name="Total 4 4 2 7" xfId="3849"/>
    <cellStyle name="Total 4 4 2 7 2" xfId="13177"/>
    <cellStyle name="Total 4 4 2 7 3" xfId="17587"/>
    <cellStyle name="Total 4 4 2 7_Table" xfId="8776"/>
    <cellStyle name="Total 4 4 2 8" xfId="4074"/>
    <cellStyle name="Total 4 4 2 8 2" xfId="13402"/>
    <cellStyle name="Total 4 4 2 8 3" xfId="17812"/>
    <cellStyle name="Total 4 4 2 8_Table" xfId="8777"/>
    <cellStyle name="Total 4 4 2 9" xfId="4435"/>
    <cellStyle name="Total 4 4 2 9 2" xfId="13763"/>
    <cellStyle name="Total 4 4 2 9 3" xfId="18173"/>
    <cellStyle name="Total 4 4 2 9_Table" xfId="8778"/>
    <cellStyle name="Total 4 4 2_Table" xfId="8769"/>
    <cellStyle name="Total 4 4 3" xfId="1359"/>
    <cellStyle name="Total 4 4 3 2" xfId="10687"/>
    <cellStyle name="Total 4 4 3 3" xfId="15097"/>
    <cellStyle name="Total 4 4 3_Table" xfId="8779"/>
    <cellStyle name="Total 4 4 4" xfId="1716"/>
    <cellStyle name="Total 4 4 4 2" xfId="11044"/>
    <cellStyle name="Total 4 4 4 3" xfId="15454"/>
    <cellStyle name="Total 4 4 4_Table" xfId="8780"/>
    <cellStyle name="Total 4 4 5" xfId="2150"/>
    <cellStyle name="Total 4 4 5 2" xfId="11478"/>
    <cellStyle name="Total 4 4 5 3" xfId="15888"/>
    <cellStyle name="Total 4 4 5_Table" xfId="8781"/>
    <cellStyle name="Total 4 4 6" xfId="2582"/>
    <cellStyle name="Total 4 4 6 2" xfId="11910"/>
    <cellStyle name="Total 4 4 6 3" xfId="16320"/>
    <cellStyle name="Total 4 4 6_Table" xfId="8782"/>
    <cellStyle name="Total 4 4 7" xfId="3008"/>
    <cellStyle name="Total 4 4 7 2" xfId="12336"/>
    <cellStyle name="Total 4 4 7 3" xfId="16746"/>
    <cellStyle name="Total 4 4 7_Table" xfId="8783"/>
    <cellStyle name="Total 4 4 8" xfId="3422"/>
    <cellStyle name="Total 4 4 8 2" xfId="12750"/>
    <cellStyle name="Total 4 4 8 3" xfId="17160"/>
    <cellStyle name="Total 4 4 8_Table" xfId="8784"/>
    <cellStyle name="Total 4 4 9" xfId="3661"/>
    <cellStyle name="Total 4 4 9 2" xfId="12989"/>
    <cellStyle name="Total 4 4 9 3" xfId="17399"/>
    <cellStyle name="Total 4 4 9_Table" xfId="8785"/>
    <cellStyle name="Total 4 4_Table" xfId="8766"/>
    <cellStyle name="Total 4 5" xfId="639"/>
    <cellStyle name="Total 4 5 10" xfId="4255"/>
    <cellStyle name="Total 4 5 10 2" xfId="13583"/>
    <cellStyle name="Total 4 5 10 3" xfId="17993"/>
    <cellStyle name="Total 4 5 10_Table" xfId="8787"/>
    <cellStyle name="Total 4 5 11" xfId="4616"/>
    <cellStyle name="Total 4 5 11 2" xfId="13944"/>
    <cellStyle name="Total 4 5 11 3" xfId="18354"/>
    <cellStyle name="Total 4 5 11_Table" xfId="8788"/>
    <cellStyle name="Total 4 5 12" xfId="9967"/>
    <cellStyle name="Total 4 5 13" xfId="14394"/>
    <cellStyle name="Total 4 5 2" xfId="881"/>
    <cellStyle name="Total 4 5 2 10" xfId="4841"/>
    <cellStyle name="Total 4 5 2 10 2" xfId="14169"/>
    <cellStyle name="Total 4 5 2 10 3" xfId="18579"/>
    <cellStyle name="Total 4 5 2 10_Table" xfId="8790"/>
    <cellStyle name="Total 4 5 2 11" xfId="10209"/>
    <cellStyle name="Total 4 5 2 12" xfId="14619"/>
    <cellStyle name="Total 4 5 2 2" xfId="1667"/>
    <cellStyle name="Total 4 5 2 2 2" xfId="10995"/>
    <cellStyle name="Total 4 5 2 2 3" xfId="15405"/>
    <cellStyle name="Total 4 5 2 2_Table" xfId="8791"/>
    <cellStyle name="Total 4 5 2 3" xfId="2027"/>
    <cellStyle name="Total 4 5 2 3 2" xfId="11355"/>
    <cellStyle name="Total 4 5 2 3 3" xfId="15765"/>
    <cellStyle name="Total 4 5 2 3_Table" xfId="8792"/>
    <cellStyle name="Total 4 5 2 4" xfId="2457"/>
    <cellStyle name="Total 4 5 2 4 2" xfId="11785"/>
    <cellStyle name="Total 4 5 2 4 3" xfId="16195"/>
    <cellStyle name="Total 4 5 2 4_Table" xfId="8793"/>
    <cellStyle name="Total 4 5 2 5" xfId="2895"/>
    <cellStyle name="Total 4 5 2 5 2" xfId="12223"/>
    <cellStyle name="Total 4 5 2 5 3" xfId="16633"/>
    <cellStyle name="Total 4 5 2 5_Table" xfId="8794"/>
    <cellStyle name="Total 4 5 2 6" xfId="3302"/>
    <cellStyle name="Total 4 5 2 6 2" xfId="12630"/>
    <cellStyle name="Total 4 5 2 6 3" xfId="17040"/>
    <cellStyle name="Total 4 5 2 6_Table" xfId="8795"/>
    <cellStyle name="Total 4 5 2 7" xfId="3894"/>
    <cellStyle name="Total 4 5 2 7 2" xfId="13222"/>
    <cellStyle name="Total 4 5 2 7 3" xfId="17632"/>
    <cellStyle name="Total 4 5 2 7_Table" xfId="8796"/>
    <cellStyle name="Total 4 5 2 8" xfId="4119"/>
    <cellStyle name="Total 4 5 2 8 2" xfId="13447"/>
    <cellStyle name="Total 4 5 2 8 3" xfId="17857"/>
    <cellStyle name="Total 4 5 2 8_Table" xfId="8797"/>
    <cellStyle name="Total 4 5 2 9" xfId="4480"/>
    <cellStyle name="Total 4 5 2 9 2" xfId="13808"/>
    <cellStyle name="Total 4 5 2 9 3" xfId="18218"/>
    <cellStyle name="Total 4 5 2 9_Table" xfId="8798"/>
    <cellStyle name="Total 4 5 2_Table" xfId="8789"/>
    <cellStyle name="Total 4 5 3" xfId="1426"/>
    <cellStyle name="Total 4 5 3 2" xfId="10754"/>
    <cellStyle name="Total 4 5 3 3" xfId="15164"/>
    <cellStyle name="Total 4 5 3_Table" xfId="8799"/>
    <cellStyle name="Total 4 5 4" xfId="1786"/>
    <cellStyle name="Total 4 5 4 2" xfId="11114"/>
    <cellStyle name="Total 4 5 4 3" xfId="15524"/>
    <cellStyle name="Total 4 5 4_Table" xfId="8800"/>
    <cellStyle name="Total 4 5 5" xfId="2219"/>
    <cellStyle name="Total 4 5 5 2" xfId="11547"/>
    <cellStyle name="Total 4 5 5 3" xfId="15957"/>
    <cellStyle name="Total 4 5 5_Table" xfId="8801"/>
    <cellStyle name="Total 4 5 6" xfId="2654"/>
    <cellStyle name="Total 4 5 6 2" xfId="11982"/>
    <cellStyle name="Total 4 5 6 3" xfId="16392"/>
    <cellStyle name="Total 4 5 6_Table" xfId="8802"/>
    <cellStyle name="Total 4 5 7" xfId="3067"/>
    <cellStyle name="Total 4 5 7 2" xfId="12395"/>
    <cellStyle name="Total 4 5 7 3" xfId="16805"/>
    <cellStyle name="Total 4 5 7_Table" xfId="8803"/>
    <cellStyle name="Total 4 5 8" xfId="3493"/>
    <cellStyle name="Total 4 5 8 2" xfId="12821"/>
    <cellStyle name="Total 4 5 8 3" xfId="17231"/>
    <cellStyle name="Total 4 5 8_Table" xfId="8804"/>
    <cellStyle name="Total 4 5 9" xfId="3670"/>
    <cellStyle name="Total 4 5 9 2" xfId="12998"/>
    <cellStyle name="Total 4 5 9 3" xfId="17408"/>
    <cellStyle name="Total 4 5 9_Table" xfId="8805"/>
    <cellStyle name="Total 4 5_Table" xfId="8786"/>
    <cellStyle name="Total 4 6" xfId="701"/>
    <cellStyle name="Total 4 6 10" xfId="4661"/>
    <cellStyle name="Total 4 6 10 2" xfId="13989"/>
    <cellStyle name="Total 4 6 10 3" xfId="18399"/>
    <cellStyle name="Total 4 6 10_Table" xfId="8807"/>
    <cellStyle name="Total 4 6 11" xfId="10029"/>
    <cellStyle name="Total 4 6 12" xfId="14439"/>
    <cellStyle name="Total 4 6 2" xfId="1487"/>
    <cellStyle name="Total 4 6 2 2" xfId="10815"/>
    <cellStyle name="Total 4 6 2 3" xfId="15225"/>
    <cellStyle name="Total 4 6 2_Table" xfId="8808"/>
    <cellStyle name="Total 4 6 3" xfId="1847"/>
    <cellStyle name="Total 4 6 3 2" xfId="11175"/>
    <cellStyle name="Total 4 6 3 3" xfId="15585"/>
    <cellStyle name="Total 4 6 3_Table" xfId="8809"/>
    <cellStyle name="Total 4 6 4" xfId="2277"/>
    <cellStyle name="Total 4 6 4 2" xfId="11605"/>
    <cellStyle name="Total 4 6 4 3" xfId="16015"/>
    <cellStyle name="Total 4 6 4_Table" xfId="8810"/>
    <cellStyle name="Total 4 6 5" xfId="2715"/>
    <cellStyle name="Total 4 6 5 2" xfId="12043"/>
    <cellStyle name="Total 4 6 5 3" xfId="16453"/>
    <cellStyle name="Total 4 6 5_Table" xfId="8811"/>
    <cellStyle name="Total 4 6 6" xfId="3122"/>
    <cellStyle name="Total 4 6 6 2" xfId="12450"/>
    <cellStyle name="Total 4 6 6 3" xfId="16860"/>
    <cellStyle name="Total 4 6 6_Table" xfId="8812"/>
    <cellStyle name="Total 4 6 7" xfId="3714"/>
    <cellStyle name="Total 4 6 7 2" xfId="13042"/>
    <cellStyle name="Total 4 6 7 3" xfId="17452"/>
    <cellStyle name="Total 4 6 7_Table" xfId="8813"/>
    <cellStyle name="Total 4 6 8" xfId="3939"/>
    <cellStyle name="Total 4 6 8 2" xfId="13267"/>
    <cellStyle name="Total 4 6 8 3" xfId="17677"/>
    <cellStyle name="Total 4 6 8_Table" xfId="8814"/>
    <cellStyle name="Total 4 6 9" xfId="4300"/>
    <cellStyle name="Total 4 6 9 2" xfId="13628"/>
    <cellStyle name="Total 4 6 9 3" xfId="18038"/>
    <cellStyle name="Total 4 6 9_Table" xfId="8815"/>
    <cellStyle name="Total 4 6_Table" xfId="8806"/>
    <cellStyle name="Total 4 7" xfId="1202"/>
    <cellStyle name="Total 4 7 2" xfId="10530"/>
    <cellStyle name="Total 4 7 3" xfId="14940"/>
    <cellStyle name="Total 4 7_Table" xfId="8816"/>
    <cellStyle name="Total 4 8" xfId="1040"/>
    <cellStyle name="Total 4 8 2" xfId="10368"/>
    <cellStyle name="Total 4 8 3" xfId="14778"/>
    <cellStyle name="Total 4 8_Table" xfId="8817"/>
    <cellStyle name="Total 4 9" xfId="1258"/>
    <cellStyle name="Total 4 9 2" xfId="10586"/>
    <cellStyle name="Total 4 9 3" xfId="14996"/>
    <cellStyle name="Total 4 9_Table" xfId="8818"/>
    <cellStyle name="Total 4_Table" xfId="8719"/>
    <cellStyle name="Total 5" xfId="371"/>
    <cellStyle name="Total 5 10" xfId="1803"/>
    <cellStyle name="Total 5 10 2" xfId="11131"/>
    <cellStyle name="Total 5 10 3" xfId="15541"/>
    <cellStyle name="Total 5 10_Table" xfId="8820"/>
    <cellStyle name="Total 5 11" xfId="2234"/>
    <cellStyle name="Total 5 11 2" xfId="11562"/>
    <cellStyle name="Total 5 11 3" xfId="15972"/>
    <cellStyle name="Total 5 11_Table" xfId="8821"/>
    <cellStyle name="Total 5 12" xfId="2670"/>
    <cellStyle name="Total 5 12 2" xfId="11998"/>
    <cellStyle name="Total 5 12 3" xfId="16408"/>
    <cellStyle name="Total 5 12_Table" xfId="8822"/>
    <cellStyle name="Total 5 13" xfId="3323"/>
    <cellStyle name="Total 5 13 2" xfId="12651"/>
    <cellStyle name="Total 5 13 3" xfId="17061"/>
    <cellStyle name="Total 5 13_Table" xfId="8823"/>
    <cellStyle name="Total 5 14" xfId="1099"/>
    <cellStyle name="Total 5 14 2" xfId="10427"/>
    <cellStyle name="Total 5 14 3" xfId="14837"/>
    <cellStyle name="Total 5 14_Table" xfId="8824"/>
    <cellStyle name="Total 5 15" xfId="3578"/>
    <cellStyle name="Total 5 15 2" xfId="12906"/>
    <cellStyle name="Total 5 15 3" xfId="17316"/>
    <cellStyle name="Total 5 15_Table" xfId="8825"/>
    <cellStyle name="Total 5 16" xfId="9699"/>
    <cellStyle name="Total 5 17" xfId="14215"/>
    <cellStyle name="Total 5 2" xfId="433"/>
    <cellStyle name="Total 5 2 10" xfId="1336"/>
    <cellStyle name="Total 5 2 10 2" xfId="10664"/>
    <cellStyle name="Total 5 2 10 3" xfId="15074"/>
    <cellStyle name="Total 5 2 10_Table" xfId="8827"/>
    <cellStyle name="Total 5 2 11" xfId="2479"/>
    <cellStyle name="Total 5 2 11 2" xfId="11807"/>
    <cellStyle name="Total 5 2 11 3" xfId="16217"/>
    <cellStyle name="Total 5 2 11_Table" xfId="8828"/>
    <cellStyle name="Total 5 2 12" xfId="9761"/>
    <cellStyle name="Total 5 2 13" xfId="14260"/>
    <cellStyle name="Total 5 2 2" xfId="747"/>
    <cellStyle name="Total 5 2 2 10" xfId="4707"/>
    <cellStyle name="Total 5 2 2 10 2" xfId="14035"/>
    <cellStyle name="Total 5 2 2 10 3" xfId="18445"/>
    <cellStyle name="Total 5 2 2 10_Table" xfId="8830"/>
    <cellStyle name="Total 5 2 2 11" xfId="10075"/>
    <cellStyle name="Total 5 2 2 12" xfId="14485"/>
    <cellStyle name="Total 5 2 2 2" xfId="1533"/>
    <cellStyle name="Total 5 2 2 2 2" xfId="10861"/>
    <cellStyle name="Total 5 2 2 2 3" xfId="15271"/>
    <cellStyle name="Total 5 2 2 2_Table" xfId="8831"/>
    <cellStyle name="Total 5 2 2 3" xfId="1893"/>
    <cellStyle name="Total 5 2 2 3 2" xfId="11221"/>
    <cellStyle name="Total 5 2 2 3 3" xfId="15631"/>
    <cellStyle name="Total 5 2 2 3_Table" xfId="8832"/>
    <cellStyle name="Total 5 2 2 4" xfId="2323"/>
    <cellStyle name="Total 5 2 2 4 2" xfId="11651"/>
    <cellStyle name="Total 5 2 2 4 3" xfId="16061"/>
    <cellStyle name="Total 5 2 2 4_Table" xfId="8833"/>
    <cellStyle name="Total 5 2 2 5" xfId="2761"/>
    <cellStyle name="Total 5 2 2 5 2" xfId="12089"/>
    <cellStyle name="Total 5 2 2 5 3" xfId="16499"/>
    <cellStyle name="Total 5 2 2 5_Table" xfId="8834"/>
    <cellStyle name="Total 5 2 2 6" xfId="3168"/>
    <cellStyle name="Total 5 2 2 6 2" xfId="12496"/>
    <cellStyle name="Total 5 2 2 6 3" xfId="16906"/>
    <cellStyle name="Total 5 2 2 6_Table" xfId="8835"/>
    <cellStyle name="Total 5 2 2 7" xfId="3760"/>
    <cellStyle name="Total 5 2 2 7 2" xfId="13088"/>
    <cellStyle name="Total 5 2 2 7 3" xfId="17498"/>
    <cellStyle name="Total 5 2 2 7_Table" xfId="8836"/>
    <cellStyle name="Total 5 2 2 8" xfId="3985"/>
    <cellStyle name="Total 5 2 2 8 2" xfId="13313"/>
    <cellStyle name="Total 5 2 2 8 3" xfId="17723"/>
    <cellStyle name="Total 5 2 2 8_Table" xfId="8837"/>
    <cellStyle name="Total 5 2 2 9" xfId="4346"/>
    <cellStyle name="Total 5 2 2 9 2" xfId="13674"/>
    <cellStyle name="Total 5 2 2 9 3" xfId="18084"/>
    <cellStyle name="Total 5 2 2 9_Table" xfId="8838"/>
    <cellStyle name="Total 5 2 2_Table" xfId="8829"/>
    <cellStyle name="Total 5 2 3" xfId="1247"/>
    <cellStyle name="Total 5 2 3 2" xfId="10575"/>
    <cellStyle name="Total 5 2 3 3" xfId="14985"/>
    <cellStyle name="Total 5 2 3_Table" xfId="8839"/>
    <cellStyle name="Total 5 2 4" xfId="979"/>
    <cellStyle name="Total 5 2 4 2" xfId="10307"/>
    <cellStyle name="Total 5 2 4 3" xfId="14717"/>
    <cellStyle name="Total 5 2 4_Table" xfId="8840"/>
    <cellStyle name="Total 5 2 5" xfId="894"/>
    <cellStyle name="Total 5 2 5 2" xfId="10222"/>
    <cellStyle name="Total 5 2 5 3" xfId="14632"/>
    <cellStyle name="Total 5 2 5_Table" xfId="8841"/>
    <cellStyle name="Total 5 2 6" xfId="1046"/>
    <cellStyle name="Total 5 2 6 2" xfId="10374"/>
    <cellStyle name="Total 5 2 6 3" xfId="14784"/>
    <cellStyle name="Total 5 2 6_Table" xfId="8842"/>
    <cellStyle name="Total 5 2 7" xfId="1311"/>
    <cellStyle name="Total 5 2 7 2" xfId="10639"/>
    <cellStyle name="Total 5 2 7 3" xfId="15049"/>
    <cellStyle name="Total 5 2 7_Table" xfId="8843"/>
    <cellStyle name="Total 5 2 8" xfId="960"/>
    <cellStyle name="Total 5 2 8 2" xfId="10288"/>
    <cellStyle name="Total 5 2 8 3" xfId="14698"/>
    <cellStyle name="Total 5 2 8_Table" xfId="8844"/>
    <cellStyle name="Total 5 2 9" xfId="3616"/>
    <cellStyle name="Total 5 2 9 2" xfId="12944"/>
    <cellStyle name="Total 5 2 9 3" xfId="17354"/>
    <cellStyle name="Total 5 2 9_Table" xfId="8845"/>
    <cellStyle name="Total 5 2_Table" xfId="8826"/>
    <cellStyle name="Total 5 3" xfId="501"/>
    <cellStyle name="Total 5 3 10" xfId="4166"/>
    <cellStyle name="Total 5 3 10 2" xfId="13494"/>
    <cellStyle name="Total 5 3 10 3" xfId="17904"/>
    <cellStyle name="Total 5 3 10_Table" xfId="8847"/>
    <cellStyle name="Total 5 3 11" xfId="4527"/>
    <cellStyle name="Total 5 3 11 2" xfId="13855"/>
    <cellStyle name="Total 5 3 11 3" xfId="18265"/>
    <cellStyle name="Total 5 3 11_Table" xfId="8848"/>
    <cellStyle name="Total 5 3 12" xfId="9829"/>
    <cellStyle name="Total 5 3 13" xfId="14305"/>
    <cellStyle name="Total 5 3 2" xfId="792"/>
    <cellStyle name="Total 5 3 2 10" xfId="4752"/>
    <cellStyle name="Total 5 3 2 10 2" xfId="14080"/>
    <cellStyle name="Total 5 3 2 10 3" xfId="18490"/>
    <cellStyle name="Total 5 3 2 10_Table" xfId="8850"/>
    <cellStyle name="Total 5 3 2 11" xfId="10120"/>
    <cellStyle name="Total 5 3 2 12" xfId="14530"/>
    <cellStyle name="Total 5 3 2 2" xfId="1578"/>
    <cellStyle name="Total 5 3 2 2 2" xfId="10906"/>
    <cellStyle name="Total 5 3 2 2 3" xfId="15316"/>
    <cellStyle name="Total 5 3 2 2_Table" xfId="8851"/>
    <cellStyle name="Total 5 3 2 3" xfId="1938"/>
    <cellStyle name="Total 5 3 2 3 2" xfId="11266"/>
    <cellStyle name="Total 5 3 2 3 3" xfId="15676"/>
    <cellStyle name="Total 5 3 2 3_Table" xfId="8852"/>
    <cellStyle name="Total 5 3 2 4" xfId="2368"/>
    <cellStyle name="Total 5 3 2 4 2" xfId="11696"/>
    <cellStyle name="Total 5 3 2 4 3" xfId="16106"/>
    <cellStyle name="Total 5 3 2 4_Table" xfId="8853"/>
    <cellStyle name="Total 5 3 2 5" xfId="2806"/>
    <cellStyle name="Total 5 3 2 5 2" xfId="12134"/>
    <cellStyle name="Total 5 3 2 5 3" xfId="16544"/>
    <cellStyle name="Total 5 3 2 5_Table" xfId="8854"/>
    <cellStyle name="Total 5 3 2 6" xfId="3213"/>
    <cellStyle name="Total 5 3 2 6 2" xfId="12541"/>
    <cellStyle name="Total 5 3 2 6 3" xfId="16951"/>
    <cellStyle name="Total 5 3 2 6_Table" xfId="8855"/>
    <cellStyle name="Total 5 3 2 7" xfId="3805"/>
    <cellStyle name="Total 5 3 2 7 2" xfId="13133"/>
    <cellStyle name="Total 5 3 2 7 3" xfId="17543"/>
    <cellStyle name="Total 5 3 2 7_Table" xfId="8856"/>
    <cellStyle name="Total 5 3 2 8" xfId="4030"/>
    <cellStyle name="Total 5 3 2 8 2" xfId="13358"/>
    <cellStyle name="Total 5 3 2 8 3" xfId="17768"/>
    <cellStyle name="Total 5 3 2 8_Table" xfId="8857"/>
    <cellStyle name="Total 5 3 2 9" xfId="4391"/>
    <cellStyle name="Total 5 3 2 9 2" xfId="13719"/>
    <cellStyle name="Total 5 3 2 9 3" xfId="18129"/>
    <cellStyle name="Total 5 3 2 9_Table" xfId="8858"/>
    <cellStyle name="Total 5 3 2_Table" xfId="8849"/>
    <cellStyle name="Total 5 3 3" xfId="1304"/>
    <cellStyle name="Total 5 3 3 2" xfId="10632"/>
    <cellStyle name="Total 5 3 3 3" xfId="15042"/>
    <cellStyle name="Total 5 3 3_Table" xfId="8859"/>
    <cellStyle name="Total 5 3 4" xfId="913"/>
    <cellStyle name="Total 5 3 4 2" xfId="10241"/>
    <cellStyle name="Total 5 3 4 3" xfId="14651"/>
    <cellStyle name="Total 5 3 4_Table" xfId="8860"/>
    <cellStyle name="Total 5 3 5" xfId="2092"/>
    <cellStyle name="Total 5 3 5 2" xfId="11420"/>
    <cellStyle name="Total 5 3 5 3" xfId="15830"/>
    <cellStyle name="Total 5 3 5_Table" xfId="8861"/>
    <cellStyle name="Total 5 3 6" xfId="2524"/>
    <cellStyle name="Total 5 3 6 2" xfId="11852"/>
    <cellStyle name="Total 5 3 6 3" xfId="16262"/>
    <cellStyle name="Total 5 3 6_Table" xfId="8862"/>
    <cellStyle name="Total 5 3 7" xfId="2952"/>
    <cellStyle name="Total 5 3 7 2" xfId="12280"/>
    <cellStyle name="Total 5 3 7 3" xfId="16690"/>
    <cellStyle name="Total 5 3 7_Table" xfId="8863"/>
    <cellStyle name="Total 5 3 8" xfId="3365"/>
    <cellStyle name="Total 5 3 8 2" xfId="12693"/>
    <cellStyle name="Total 5 3 8 3" xfId="17103"/>
    <cellStyle name="Total 5 3 8_Table" xfId="8864"/>
    <cellStyle name="Total 5 3 9" xfId="3502"/>
    <cellStyle name="Total 5 3 9 2" xfId="12830"/>
    <cellStyle name="Total 5 3 9 3" xfId="17240"/>
    <cellStyle name="Total 5 3 9_Table" xfId="8865"/>
    <cellStyle name="Total 5 3_Table" xfId="8846"/>
    <cellStyle name="Total 5 4" xfId="565"/>
    <cellStyle name="Total 5 4 10" xfId="4211"/>
    <cellStyle name="Total 5 4 10 2" xfId="13539"/>
    <cellStyle name="Total 5 4 10 3" xfId="17949"/>
    <cellStyle name="Total 5 4 10_Table" xfId="8867"/>
    <cellStyle name="Total 5 4 11" xfId="4572"/>
    <cellStyle name="Total 5 4 11 2" xfId="13900"/>
    <cellStyle name="Total 5 4 11 3" xfId="18310"/>
    <cellStyle name="Total 5 4 11_Table" xfId="8868"/>
    <cellStyle name="Total 5 4 12" xfId="9893"/>
    <cellStyle name="Total 5 4 13" xfId="14350"/>
    <cellStyle name="Total 5 4 2" xfId="837"/>
    <cellStyle name="Total 5 4 2 10" xfId="4797"/>
    <cellStyle name="Total 5 4 2 10 2" xfId="14125"/>
    <cellStyle name="Total 5 4 2 10 3" xfId="18535"/>
    <cellStyle name="Total 5 4 2 10_Table" xfId="8870"/>
    <cellStyle name="Total 5 4 2 11" xfId="10165"/>
    <cellStyle name="Total 5 4 2 12" xfId="14575"/>
    <cellStyle name="Total 5 4 2 2" xfId="1623"/>
    <cellStyle name="Total 5 4 2 2 2" xfId="10951"/>
    <cellStyle name="Total 5 4 2 2 3" xfId="15361"/>
    <cellStyle name="Total 5 4 2 2_Table" xfId="8871"/>
    <cellStyle name="Total 5 4 2 3" xfId="1983"/>
    <cellStyle name="Total 5 4 2 3 2" xfId="11311"/>
    <cellStyle name="Total 5 4 2 3 3" xfId="15721"/>
    <cellStyle name="Total 5 4 2 3_Table" xfId="8872"/>
    <cellStyle name="Total 5 4 2 4" xfId="2413"/>
    <cellStyle name="Total 5 4 2 4 2" xfId="11741"/>
    <cellStyle name="Total 5 4 2 4 3" xfId="16151"/>
    <cellStyle name="Total 5 4 2 4_Table" xfId="8873"/>
    <cellStyle name="Total 5 4 2 5" xfId="2851"/>
    <cellStyle name="Total 5 4 2 5 2" xfId="12179"/>
    <cellStyle name="Total 5 4 2 5 3" xfId="16589"/>
    <cellStyle name="Total 5 4 2 5_Table" xfId="8874"/>
    <cellStyle name="Total 5 4 2 6" xfId="3258"/>
    <cellStyle name="Total 5 4 2 6 2" xfId="12586"/>
    <cellStyle name="Total 5 4 2 6 3" xfId="16996"/>
    <cellStyle name="Total 5 4 2 6_Table" xfId="8875"/>
    <cellStyle name="Total 5 4 2 7" xfId="3850"/>
    <cellStyle name="Total 5 4 2 7 2" xfId="13178"/>
    <cellStyle name="Total 5 4 2 7 3" xfId="17588"/>
    <cellStyle name="Total 5 4 2 7_Table" xfId="8876"/>
    <cellStyle name="Total 5 4 2 8" xfId="4075"/>
    <cellStyle name="Total 5 4 2 8 2" xfId="13403"/>
    <cellStyle name="Total 5 4 2 8 3" xfId="17813"/>
    <cellStyle name="Total 5 4 2 8_Table" xfId="8877"/>
    <cellStyle name="Total 5 4 2 9" xfId="4436"/>
    <cellStyle name="Total 5 4 2 9 2" xfId="13764"/>
    <cellStyle name="Total 5 4 2 9 3" xfId="18174"/>
    <cellStyle name="Total 5 4 2 9_Table" xfId="8878"/>
    <cellStyle name="Total 5 4 2_Table" xfId="8869"/>
    <cellStyle name="Total 5 4 3" xfId="1360"/>
    <cellStyle name="Total 5 4 3 2" xfId="10688"/>
    <cellStyle name="Total 5 4 3 3" xfId="15098"/>
    <cellStyle name="Total 5 4 3_Table" xfId="8879"/>
    <cellStyle name="Total 5 4 4" xfId="1717"/>
    <cellStyle name="Total 5 4 4 2" xfId="11045"/>
    <cellStyle name="Total 5 4 4 3" xfId="15455"/>
    <cellStyle name="Total 5 4 4_Table" xfId="8880"/>
    <cellStyle name="Total 5 4 5" xfId="2151"/>
    <cellStyle name="Total 5 4 5 2" xfId="11479"/>
    <cellStyle name="Total 5 4 5 3" xfId="15889"/>
    <cellStyle name="Total 5 4 5_Table" xfId="8881"/>
    <cellStyle name="Total 5 4 6" xfId="2583"/>
    <cellStyle name="Total 5 4 6 2" xfId="11911"/>
    <cellStyle name="Total 5 4 6 3" xfId="16321"/>
    <cellStyle name="Total 5 4 6_Table" xfId="8882"/>
    <cellStyle name="Total 5 4 7" xfId="3009"/>
    <cellStyle name="Total 5 4 7 2" xfId="12337"/>
    <cellStyle name="Total 5 4 7 3" xfId="16747"/>
    <cellStyle name="Total 5 4 7_Table" xfId="8883"/>
    <cellStyle name="Total 5 4 8" xfId="3423"/>
    <cellStyle name="Total 5 4 8 2" xfId="12751"/>
    <cellStyle name="Total 5 4 8 3" xfId="17161"/>
    <cellStyle name="Total 5 4 8_Table" xfId="8884"/>
    <cellStyle name="Total 5 4 9" xfId="3532"/>
    <cellStyle name="Total 5 4 9 2" xfId="12860"/>
    <cellStyle name="Total 5 4 9 3" xfId="17270"/>
    <cellStyle name="Total 5 4 9_Table" xfId="8885"/>
    <cellStyle name="Total 5 4_Table" xfId="8866"/>
    <cellStyle name="Total 5 5" xfId="640"/>
    <cellStyle name="Total 5 5 10" xfId="4256"/>
    <cellStyle name="Total 5 5 10 2" xfId="13584"/>
    <cellStyle name="Total 5 5 10 3" xfId="17994"/>
    <cellStyle name="Total 5 5 10_Table" xfId="8887"/>
    <cellStyle name="Total 5 5 11" xfId="4617"/>
    <cellStyle name="Total 5 5 11 2" xfId="13945"/>
    <cellStyle name="Total 5 5 11 3" xfId="18355"/>
    <cellStyle name="Total 5 5 11_Table" xfId="8888"/>
    <cellStyle name="Total 5 5 12" xfId="9968"/>
    <cellStyle name="Total 5 5 13" xfId="14395"/>
    <cellStyle name="Total 5 5 2" xfId="882"/>
    <cellStyle name="Total 5 5 2 10" xfId="4842"/>
    <cellStyle name="Total 5 5 2 10 2" xfId="14170"/>
    <cellStyle name="Total 5 5 2 10 3" xfId="18580"/>
    <cellStyle name="Total 5 5 2 10_Table" xfId="8890"/>
    <cellStyle name="Total 5 5 2 11" xfId="10210"/>
    <cellStyle name="Total 5 5 2 12" xfId="14620"/>
    <cellStyle name="Total 5 5 2 2" xfId="1668"/>
    <cellStyle name="Total 5 5 2 2 2" xfId="10996"/>
    <cellStyle name="Total 5 5 2 2 3" xfId="15406"/>
    <cellStyle name="Total 5 5 2 2_Table" xfId="8891"/>
    <cellStyle name="Total 5 5 2 3" xfId="2028"/>
    <cellStyle name="Total 5 5 2 3 2" xfId="11356"/>
    <cellStyle name="Total 5 5 2 3 3" xfId="15766"/>
    <cellStyle name="Total 5 5 2 3_Table" xfId="8892"/>
    <cellStyle name="Total 5 5 2 4" xfId="2458"/>
    <cellStyle name="Total 5 5 2 4 2" xfId="11786"/>
    <cellStyle name="Total 5 5 2 4 3" xfId="16196"/>
    <cellStyle name="Total 5 5 2 4_Table" xfId="8893"/>
    <cellStyle name="Total 5 5 2 5" xfId="2896"/>
    <cellStyle name="Total 5 5 2 5 2" xfId="12224"/>
    <cellStyle name="Total 5 5 2 5 3" xfId="16634"/>
    <cellStyle name="Total 5 5 2 5_Table" xfId="8894"/>
    <cellStyle name="Total 5 5 2 6" xfId="3303"/>
    <cellStyle name="Total 5 5 2 6 2" xfId="12631"/>
    <cellStyle name="Total 5 5 2 6 3" xfId="17041"/>
    <cellStyle name="Total 5 5 2 6_Table" xfId="8895"/>
    <cellStyle name="Total 5 5 2 7" xfId="3895"/>
    <cellStyle name="Total 5 5 2 7 2" xfId="13223"/>
    <cellStyle name="Total 5 5 2 7 3" xfId="17633"/>
    <cellStyle name="Total 5 5 2 7_Table" xfId="8896"/>
    <cellStyle name="Total 5 5 2 8" xfId="4120"/>
    <cellStyle name="Total 5 5 2 8 2" xfId="13448"/>
    <cellStyle name="Total 5 5 2 8 3" xfId="17858"/>
    <cellStyle name="Total 5 5 2 8_Table" xfId="8897"/>
    <cellStyle name="Total 5 5 2 9" xfId="4481"/>
    <cellStyle name="Total 5 5 2 9 2" xfId="13809"/>
    <cellStyle name="Total 5 5 2 9 3" xfId="18219"/>
    <cellStyle name="Total 5 5 2 9_Table" xfId="8898"/>
    <cellStyle name="Total 5 5 2_Table" xfId="8889"/>
    <cellStyle name="Total 5 5 3" xfId="1427"/>
    <cellStyle name="Total 5 5 3 2" xfId="10755"/>
    <cellStyle name="Total 5 5 3 3" xfId="15165"/>
    <cellStyle name="Total 5 5 3_Table" xfId="8899"/>
    <cellStyle name="Total 5 5 4" xfId="1787"/>
    <cellStyle name="Total 5 5 4 2" xfId="11115"/>
    <cellStyle name="Total 5 5 4 3" xfId="15525"/>
    <cellStyle name="Total 5 5 4_Table" xfId="8900"/>
    <cellStyle name="Total 5 5 5" xfId="2220"/>
    <cellStyle name="Total 5 5 5 2" xfId="11548"/>
    <cellStyle name="Total 5 5 5 3" xfId="15958"/>
    <cellStyle name="Total 5 5 5_Table" xfId="8901"/>
    <cellStyle name="Total 5 5 6" xfId="2655"/>
    <cellStyle name="Total 5 5 6 2" xfId="11983"/>
    <cellStyle name="Total 5 5 6 3" xfId="16393"/>
    <cellStyle name="Total 5 5 6_Table" xfId="8902"/>
    <cellStyle name="Total 5 5 7" xfId="3068"/>
    <cellStyle name="Total 5 5 7 2" xfId="12396"/>
    <cellStyle name="Total 5 5 7 3" xfId="16806"/>
    <cellStyle name="Total 5 5 7_Table" xfId="8903"/>
    <cellStyle name="Total 5 5 8" xfId="3494"/>
    <cellStyle name="Total 5 5 8 2" xfId="12822"/>
    <cellStyle name="Total 5 5 8 3" xfId="17232"/>
    <cellStyle name="Total 5 5 8_Table" xfId="8904"/>
    <cellStyle name="Total 5 5 9" xfId="3543"/>
    <cellStyle name="Total 5 5 9 2" xfId="12871"/>
    <cellStyle name="Total 5 5 9 3" xfId="17281"/>
    <cellStyle name="Total 5 5 9_Table" xfId="8905"/>
    <cellStyle name="Total 5 5_Table" xfId="8886"/>
    <cellStyle name="Total 5 6" xfId="702"/>
    <cellStyle name="Total 5 6 10" xfId="4662"/>
    <cellStyle name="Total 5 6 10 2" xfId="13990"/>
    <cellStyle name="Total 5 6 10 3" xfId="18400"/>
    <cellStyle name="Total 5 6 10_Table" xfId="8907"/>
    <cellStyle name="Total 5 6 11" xfId="10030"/>
    <cellStyle name="Total 5 6 12" xfId="14440"/>
    <cellStyle name="Total 5 6 2" xfId="1488"/>
    <cellStyle name="Total 5 6 2 2" xfId="10816"/>
    <cellStyle name="Total 5 6 2 3" xfId="15226"/>
    <cellStyle name="Total 5 6 2_Table" xfId="8908"/>
    <cellStyle name="Total 5 6 3" xfId="1848"/>
    <cellStyle name="Total 5 6 3 2" xfId="11176"/>
    <cellStyle name="Total 5 6 3 3" xfId="15586"/>
    <cellStyle name="Total 5 6 3_Table" xfId="8909"/>
    <cellStyle name="Total 5 6 4" xfId="2278"/>
    <cellStyle name="Total 5 6 4 2" xfId="11606"/>
    <cellStyle name="Total 5 6 4 3" xfId="16016"/>
    <cellStyle name="Total 5 6 4_Table" xfId="8910"/>
    <cellStyle name="Total 5 6 5" xfId="2716"/>
    <cellStyle name="Total 5 6 5 2" xfId="12044"/>
    <cellStyle name="Total 5 6 5 3" xfId="16454"/>
    <cellStyle name="Total 5 6 5_Table" xfId="8911"/>
    <cellStyle name="Total 5 6 6" xfId="3123"/>
    <cellStyle name="Total 5 6 6 2" xfId="12451"/>
    <cellStyle name="Total 5 6 6 3" xfId="16861"/>
    <cellStyle name="Total 5 6 6_Table" xfId="8912"/>
    <cellStyle name="Total 5 6 7" xfId="3715"/>
    <cellStyle name="Total 5 6 7 2" xfId="13043"/>
    <cellStyle name="Total 5 6 7 3" xfId="17453"/>
    <cellStyle name="Total 5 6 7_Table" xfId="8913"/>
    <cellStyle name="Total 5 6 8" xfId="3940"/>
    <cellStyle name="Total 5 6 8 2" xfId="13268"/>
    <cellStyle name="Total 5 6 8 3" xfId="17678"/>
    <cellStyle name="Total 5 6 8_Table" xfId="8914"/>
    <cellStyle name="Total 5 6 9" xfId="4301"/>
    <cellStyle name="Total 5 6 9 2" xfId="13629"/>
    <cellStyle name="Total 5 6 9 3" xfId="18039"/>
    <cellStyle name="Total 5 6 9_Table" xfId="8915"/>
    <cellStyle name="Total 5 6_Table" xfId="8906"/>
    <cellStyle name="Total 5 7" xfId="1203"/>
    <cellStyle name="Total 5 7 2" xfId="10531"/>
    <cellStyle name="Total 5 7 3" xfId="14941"/>
    <cellStyle name="Total 5 7_Table" xfId="8916"/>
    <cellStyle name="Total 5 8" xfId="1039"/>
    <cellStyle name="Total 5 8 2" xfId="10367"/>
    <cellStyle name="Total 5 8 3" xfId="14777"/>
    <cellStyle name="Total 5 8_Table" xfId="8917"/>
    <cellStyle name="Total 5 9" xfId="1265"/>
    <cellStyle name="Total 5 9 2" xfId="10593"/>
    <cellStyle name="Total 5 9 3" xfId="15003"/>
    <cellStyle name="Total 5 9_Table" xfId="8918"/>
    <cellStyle name="Total 5_Table" xfId="8819"/>
    <cellStyle name="Total 6" xfId="372"/>
    <cellStyle name="Total 6 10" xfId="903"/>
    <cellStyle name="Total 6 10 2" xfId="10231"/>
    <cellStyle name="Total 6 10 3" xfId="14641"/>
    <cellStyle name="Total 6 10_Table" xfId="8920"/>
    <cellStyle name="Total 6 11" xfId="2101"/>
    <cellStyle name="Total 6 11 2" xfId="11429"/>
    <cellStyle name="Total 6 11 3" xfId="15839"/>
    <cellStyle name="Total 6 11_Table" xfId="8921"/>
    <cellStyle name="Total 6 12" xfId="2532"/>
    <cellStyle name="Total 6 12 2" xfId="11860"/>
    <cellStyle name="Total 6 12 3" xfId="16270"/>
    <cellStyle name="Total 6 12_Table" xfId="8922"/>
    <cellStyle name="Total 6 13" xfId="3381"/>
    <cellStyle name="Total 6 13 2" xfId="12709"/>
    <cellStyle name="Total 6 13 3" xfId="17119"/>
    <cellStyle name="Total 6 13_Table" xfId="8923"/>
    <cellStyle name="Total 6 14" xfId="3613"/>
    <cellStyle name="Total 6 14 2" xfId="12941"/>
    <cellStyle name="Total 6 14 3" xfId="17351"/>
    <cellStyle name="Total 6 14_Table" xfId="8924"/>
    <cellStyle name="Total 6 15" xfId="2674"/>
    <cellStyle name="Total 6 15 2" xfId="12002"/>
    <cellStyle name="Total 6 15 3" xfId="16412"/>
    <cellStyle name="Total 6 15_Table" xfId="8925"/>
    <cellStyle name="Total 6 16" xfId="9700"/>
    <cellStyle name="Total 6 17" xfId="14216"/>
    <cellStyle name="Total 6 2" xfId="434"/>
    <cellStyle name="Total 6 2 10" xfId="2963"/>
    <cellStyle name="Total 6 2 10 2" xfId="12291"/>
    <cellStyle name="Total 6 2 10 3" xfId="16701"/>
    <cellStyle name="Total 6 2 10_Table" xfId="8927"/>
    <cellStyle name="Total 6 2 11" xfId="2480"/>
    <cellStyle name="Total 6 2 11 2" xfId="11808"/>
    <cellStyle name="Total 6 2 11 3" xfId="16218"/>
    <cellStyle name="Total 6 2 11_Table" xfId="8928"/>
    <cellStyle name="Total 6 2 12" xfId="9762"/>
    <cellStyle name="Total 6 2 13" xfId="14261"/>
    <cellStyle name="Total 6 2 2" xfId="748"/>
    <cellStyle name="Total 6 2 2 10" xfId="4708"/>
    <cellStyle name="Total 6 2 2 10 2" xfId="14036"/>
    <cellStyle name="Total 6 2 2 10 3" xfId="18446"/>
    <cellStyle name="Total 6 2 2 10_Table" xfId="8930"/>
    <cellStyle name="Total 6 2 2 11" xfId="10076"/>
    <cellStyle name="Total 6 2 2 12" xfId="14486"/>
    <cellStyle name="Total 6 2 2 2" xfId="1534"/>
    <cellStyle name="Total 6 2 2 2 2" xfId="10862"/>
    <cellStyle name="Total 6 2 2 2 3" xfId="15272"/>
    <cellStyle name="Total 6 2 2 2_Table" xfId="8931"/>
    <cellStyle name="Total 6 2 2 3" xfId="1894"/>
    <cellStyle name="Total 6 2 2 3 2" xfId="11222"/>
    <cellStyle name="Total 6 2 2 3 3" xfId="15632"/>
    <cellStyle name="Total 6 2 2 3_Table" xfId="8932"/>
    <cellStyle name="Total 6 2 2 4" xfId="2324"/>
    <cellStyle name="Total 6 2 2 4 2" xfId="11652"/>
    <cellStyle name="Total 6 2 2 4 3" xfId="16062"/>
    <cellStyle name="Total 6 2 2 4_Table" xfId="8933"/>
    <cellStyle name="Total 6 2 2 5" xfId="2762"/>
    <cellStyle name="Total 6 2 2 5 2" xfId="12090"/>
    <cellStyle name="Total 6 2 2 5 3" xfId="16500"/>
    <cellStyle name="Total 6 2 2 5_Table" xfId="8934"/>
    <cellStyle name="Total 6 2 2 6" xfId="3169"/>
    <cellStyle name="Total 6 2 2 6 2" xfId="12497"/>
    <cellStyle name="Total 6 2 2 6 3" xfId="16907"/>
    <cellStyle name="Total 6 2 2 6_Table" xfId="8935"/>
    <cellStyle name="Total 6 2 2 7" xfId="3761"/>
    <cellStyle name="Total 6 2 2 7 2" xfId="13089"/>
    <cellStyle name="Total 6 2 2 7 3" xfId="17499"/>
    <cellStyle name="Total 6 2 2 7_Table" xfId="8936"/>
    <cellStyle name="Total 6 2 2 8" xfId="3986"/>
    <cellStyle name="Total 6 2 2 8 2" xfId="13314"/>
    <cellStyle name="Total 6 2 2 8 3" xfId="17724"/>
    <cellStyle name="Total 6 2 2 8_Table" xfId="8937"/>
    <cellStyle name="Total 6 2 2 9" xfId="4347"/>
    <cellStyle name="Total 6 2 2 9 2" xfId="13675"/>
    <cellStyle name="Total 6 2 2 9 3" xfId="18085"/>
    <cellStyle name="Total 6 2 2 9_Table" xfId="8938"/>
    <cellStyle name="Total 6 2 2_Table" xfId="8929"/>
    <cellStyle name="Total 6 2 3" xfId="1248"/>
    <cellStyle name="Total 6 2 3 2" xfId="10576"/>
    <cellStyle name="Total 6 2 3 3" xfId="14986"/>
    <cellStyle name="Total 6 2 3_Table" xfId="8939"/>
    <cellStyle name="Total 6 2 4" xfId="978"/>
    <cellStyle name="Total 6 2 4 2" xfId="10306"/>
    <cellStyle name="Total 6 2 4 3" xfId="14716"/>
    <cellStyle name="Total 6 2 4_Table" xfId="8940"/>
    <cellStyle name="Total 6 2 5" xfId="1192"/>
    <cellStyle name="Total 6 2 5 2" xfId="10520"/>
    <cellStyle name="Total 6 2 5 3" xfId="14930"/>
    <cellStyle name="Total 6 2 5_Table" xfId="8941"/>
    <cellStyle name="Total 6 2 6" xfId="1045"/>
    <cellStyle name="Total 6 2 6 2" xfId="10373"/>
    <cellStyle name="Total 6 2 6 3" xfId="14783"/>
    <cellStyle name="Total 6 2 6_Table" xfId="8942"/>
    <cellStyle name="Total 6 2 7" xfId="1385"/>
    <cellStyle name="Total 6 2 7 2" xfId="10713"/>
    <cellStyle name="Total 6 2 7 3" xfId="15123"/>
    <cellStyle name="Total 6 2 7_Table" xfId="8943"/>
    <cellStyle name="Total 6 2 8" xfId="958"/>
    <cellStyle name="Total 6 2 8 2" xfId="10286"/>
    <cellStyle name="Total 6 2 8 3" xfId="14696"/>
    <cellStyle name="Total 6 2 8_Table" xfId="8944"/>
    <cellStyle name="Total 6 2 9" xfId="3376"/>
    <cellStyle name="Total 6 2 9 2" xfId="12704"/>
    <cellStyle name="Total 6 2 9 3" xfId="17114"/>
    <cellStyle name="Total 6 2 9_Table" xfId="8945"/>
    <cellStyle name="Total 6 2_Table" xfId="8926"/>
    <cellStyle name="Total 6 3" xfId="502"/>
    <cellStyle name="Total 6 3 10" xfId="4167"/>
    <cellStyle name="Total 6 3 10 2" xfId="13495"/>
    <cellStyle name="Total 6 3 10 3" xfId="17905"/>
    <cellStyle name="Total 6 3 10_Table" xfId="8947"/>
    <cellStyle name="Total 6 3 11" xfId="4528"/>
    <cellStyle name="Total 6 3 11 2" xfId="13856"/>
    <cellStyle name="Total 6 3 11 3" xfId="18266"/>
    <cellStyle name="Total 6 3 11_Table" xfId="8948"/>
    <cellStyle name="Total 6 3 12" xfId="9830"/>
    <cellStyle name="Total 6 3 13" xfId="14306"/>
    <cellStyle name="Total 6 3 2" xfId="793"/>
    <cellStyle name="Total 6 3 2 10" xfId="4753"/>
    <cellStyle name="Total 6 3 2 10 2" xfId="14081"/>
    <cellStyle name="Total 6 3 2 10 3" xfId="18491"/>
    <cellStyle name="Total 6 3 2 10_Table" xfId="8950"/>
    <cellStyle name="Total 6 3 2 11" xfId="10121"/>
    <cellStyle name="Total 6 3 2 12" xfId="14531"/>
    <cellStyle name="Total 6 3 2 2" xfId="1579"/>
    <cellStyle name="Total 6 3 2 2 2" xfId="10907"/>
    <cellStyle name="Total 6 3 2 2 3" xfId="15317"/>
    <cellStyle name="Total 6 3 2 2_Table" xfId="8951"/>
    <cellStyle name="Total 6 3 2 3" xfId="1939"/>
    <cellStyle name="Total 6 3 2 3 2" xfId="11267"/>
    <cellStyle name="Total 6 3 2 3 3" xfId="15677"/>
    <cellStyle name="Total 6 3 2 3_Table" xfId="8952"/>
    <cellStyle name="Total 6 3 2 4" xfId="2369"/>
    <cellStyle name="Total 6 3 2 4 2" xfId="11697"/>
    <cellStyle name="Total 6 3 2 4 3" xfId="16107"/>
    <cellStyle name="Total 6 3 2 4_Table" xfId="8953"/>
    <cellStyle name="Total 6 3 2 5" xfId="2807"/>
    <cellStyle name="Total 6 3 2 5 2" xfId="12135"/>
    <cellStyle name="Total 6 3 2 5 3" xfId="16545"/>
    <cellStyle name="Total 6 3 2 5_Table" xfId="8954"/>
    <cellStyle name="Total 6 3 2 6" xfId="3214"/>
    <cellStyle name="Total 6 3 2 6 2" xfId="12542"/>
    <cellStyle name="Total 6 3 2 6 3" xfId="16952"/>
    <cellStyle name="Total 6 3 2 6_Table" xfId="8955"/>
    <cellStyle name="Total 6 3 2 7" xfId="3806"/>
    <cellStyle name="Total 6 3 2 7 2" xfId="13134"/>
    <cellStyle name="Total 6 3 2 7 3" xfId="17544"/>
    <cellStyle name="Total 6 3 2 7_Table" xfId="8956"/>
    <cellStyle name="Total 6 3 2 8" xfId="4031"/>
    <cellStyle name="Total 6 3 2 8 2" xfId="13359"/>
    <cellStyle name="Total 6 3 2 8 3" xfId="17769"/>
    <cellStyle name="Total 6 3 2 8_Table" xfId="8957"/>
    <cellStyle name="Total 6 3 2 9" xfId="4392"/>
    <cellStyle name="Total 6 3 2 9 2" xfId="13720"/>
    <cellStyle name="Total 6 3 2 9 3" xfId="18130"/>
    <cellStyle name="Total 6 3 2 9_Table" xfId="8958"/>
    <cellStyle name="Total 6 3 2_Table" xfId="8949"/>
    <cellStyle name="Total 6 3 3" xfId="1305"/>
    <cellStyle name="Total 6 3 3 2" xfId="10633"/>
    <cellStyle name="Total 6 3 3 3" xfId="15043"/>
    <cellStyle name="Total 6 3 3_Table" xfId="8959"/>
    <cellStyle name="Total 6 3 4" xfId="912"/>
    <cellStyle name="Total 6 3 4 2" xfId="10240"/>
    <cellStyle name="Total 6 3 4 3" xfId="14650"/>
    <cellStyle name="Total 6 3 4_Table" xfId="8960"/>
    <cellStyle name="Total 6 3 5" xfId="2093"/>
    <cellStyle name="Total 6 3 5 2" xfId="11421"/>
    <cellStyle name="Total 6 3 5 3" xfId="15831"/>
    <cellStyle name="Total 6 3 5_Table" xfId="8961"/>
    <cellStyle name="Total 6 3 6" xfId="2525"/>
    <cellStyle name="Total 6 3 6 2" xfId="11853"/>
    <cellStyle name="Total 6 3 6 3" xfId="16263"/>
    <cellStyle name="Total 6 3 6_Table" xfId="8962"/>
    <cellStyle name="Total 6 3 7" xfId="2953"/>
    <cellStyle name="Total 6 3 7 2" xfId="12281"/>
    <cellStyle name="Total 6 3 7 3" xfId="16691"/>
    <cellStyle name="Total 6 3 7_Table" xfId="8963"/>
    <cellStyle name="Total 6 3 8" xfId="3366"/>
    <cellStyle name="Total 6 3 8 2" xfId="12694"/>
    <cellStyle name="Total 6 3 8 3" xfId="17104"/>
    <cellStyle name="Total 6 3 8_Table" xfId="8964"/>
    <cellStyle name="Total 6 3 9" xfId="3309"/>
    <cellStyle name="Total 6 3 9 2" xfId="12637"/>
    <cellStyle name="Total 6 3 9 3" xfId="17047"/>
    <cellStyle name="Total 6 3 9_Table" xfId="8965"/>
    <cellStyle name="Total 6 3_Table" xfId="8946"/>
    <cellStyle name="Total 6 4" xfId="566"/>
    <cellStyle name="Total 6 4 10" xfId="4212"/>
    <cellStyle name="Total 6 4 10 2" xfId="13540"/>
    <cellStyle name="Total 6 4 10 3" xfId="17950"/>
    <cellStyle name="Total 6 4 10_Table" xfId="8967"/>
    <cellStyle name="Total 6 4 11" xfId="4573"/>
    <cellStyle name="Total 6 4 11 2" xfId="13901"/>
    <cellStyle name="Total 6 4 11 3" xfId="18311"/>
    <cellStyle name="Total 6 4 11_Table" xfId="8968"/>
    <cellStyle name="Total 6 4 12" xfId="9894"/>
    <cellStyle name="Total 6 4 13" xfId="14351"/>
    <cellStyle name="Total 6 4 2" xfId="838"/>
    <cellStyle name="Total 6 4 2 10" xfId="4798"/>
    <cellStyle name="Total 6 4 2 10 2" xfId="14126"/>
    <cellStyle name="Total 6 4 2 10 3" xfId="18536"/>
    <cellStyle name="Total 6 4 2 10_Table" xfId="8970"/>
    <cellStyle name="Total 6 4 2 11" xfId="10166"/>
    <cellStyle name="Total 6 4 2 12" xfId="14576"/>
    <cellStyle name="Total 6 4 2 2" xfId="1624"/>
    <cellStyle name="Total 6 4 2 2 2" xfId="10952"/>
    <cellStyle name="Total 6 4 2 2 3" xfId="15362"/>
    <cellStyle name="Total 6 4 2 2_Table" xfId="8971"/>
    <cellStyle name="Total 6 4 2 3" xfId="1984"/>
    <cellStyle name="Total 6 4 2 3 2" xfId="11312"/>
    <cellStyle name="Total 6 4 2 3 3" xfId="15722"/>
    <cellStyle name="Total 6 4 2 3_Table" xfId="8972"/>
    <cellStyle name="Total 6 4 2 4" xfId="2414"/>
    <cellStyle name="Total 6 4 2 4 2" xfId="11742"/>
    <cellStyle name="Total 6 4 2 4 3" xfId="16152"/>
    <cellStyle name="Total 6 4 2 4_Table" xfId="8973"/>
    <cellStyle name="Total 6 4 2 5" xfId="2852"/>
    <cellStyle name="Total 6 4 2 5 2" xfId="12180"/>
    <cellStyle name="Total 6 4 2 5 3" xfId="16590"/>
    <cellStyle name="Total 6 4 2 5_Table" xfId="8974"/>
    <cellStyle name="Total 6 4 2 6" xfId="3259"/>
    <cellStyle name="Total 6 4 2 6 2" xfId="12587"/>
    <cellStyle name="Total 6 4 2 6 3" xfId="16997"/>
    <cellStyle name="Total 6 4 2 6_Table" xfId="8975"/>
    <cellStyle name="Total 6 4 2 7" xfId="3851"/>
    <cellStyle name="Total 6 4 2 7 2" xfId="13179"/>
    <cellStyle name="Total 6 4 2 7 3" xfId="17589"/>
    <cellStyle name="Total 6 4 2 7_Table" xfId="8976"/>
    <cellStyle name="Total 6 4 2 8" xfId="4076"/>
    <cellStyle name="Total 6 4 2 8 2" xfId="13404"/>
    <cellStyle name="Total 6 4 2 8 3" xfId="17814"/>
    <cellStyle name="Total 6 4 2 8_Table" xfId="8977"/>
    <cellStyle name="Total 6 4 2 9" xfId="4437"/>
    <cellStyle name="Total 6 4 2 9 2" xfId="13765"/>
    <cellStyle name="Total 6 4 2 9 3" xfId="18175"/>
    <cellStyle name="Total 6 4 2 9_Table" xfId="8978"/>
    <cellStyle name="Total 6 4 2_Table" xfId="8969"/>
    <cellStyle name="Total 6 4 3" xfId="1361"/>
    <cellStyle name="Total 6 4 3 2" xfId="10689"/>
    <cellStyle name="Total 6 4 3 3" xfId="15099"/>
    <cellStyle name="Total 6 4 3_Table" xfId="8979"/>
    <cellStyle name="Total 6 4 4" xfId="1718"/>
    <cellStyle name="Total 6 4 4 2" xfId="11046"/>
    <cellStyle name="Total 6 4 4 3" xfId="15456"/>
    <cellStyle name="Total 6 4 4_Table" xfId="8980"/>
    <cellStyle name="Total 6 4 5" xfId="2152"/>
    <cellStyle name="Total 6 4 5 2" xfId="11480"/>
    <cellStyle name="Total 6 4 5 3" xfId="15890"/>
    <cellStyle name="Total 6 4 5_Table" xfId="8981"/>
    <cellStyle name="Total 6 4 6" xfId="2584"/>
    <cellStyle name="Total 6 4 6 2" xfId="11912"/>
    <cellStyle name="Total 6 4 6 3" xfId="16322"/>
    <cellStyle name="Total 6 4 6_Table" xfId="8982"/>
    <cellStyle name="Total 6 4 7" xfId="3010"/>
    <cellStyle name="Total 6 4 7 2" xfId="12338"/>
    <cellStyle name="Total 6 4 7 3" xfId="16748"/>
    <cellStyle name="Total 6 4 7_Table" xfId="8983"/>
    <cellStyle name="Total 6 4 8" xfId="3424"/>
    <cellStyle name="Total 6 4 8 2" xfId="12752"/>
    <cellStyle name="Total 6 4 8 3" xfId="17162"/>
    <cellStyle name="Total 6 4 8_Table" xfId="8984"/>
    <cellStyle name="Total 6 4 9" xfId="3566"/>
    <cellStyle name="Total 6 4 9 2" xfId="12894"/>
    <cellStyle name="Total 6 4 9 3" xfId="17304"/>
    <cellStyle name="Total 6 4 9_Table" xfId="8985"/>
    <cellStyle name="Total 6 4_Table" xfId="8966"/>
    <cellStyle name="Total 6 5" xfId="641"/>
    <cellStyle name="Total 6 5 10" xfId="4257"/>
    <cellStyle name="Total 6 5 10 2" xfId="13585"/>
    <cellStyle name="Total 6 5 10 3" xfId="17995"/>
    <cellStyle name="Total 6 5 10_Table" xfId="8987"/>
    <cellStyle name="Total 6 5 11" xfId="4618"/>
    <cellStyle name="Total 6 5 11 2" xfId="13946"/>
    <cellStyle name="Total 6 5 11 3" xfId="18356"/>
    <cellStyle name="Total 6 5 11_Table" xfId="8988"/>
    <cellStyle name="Total 6 5 12" xfId="9969"/>
    <cellStyle name="Total 6 5 13" xfId="14396"/>
    <cellStyle name="Total 6 5 2" xfId="883"/>
    <cellStyle name="Total 6 5 2 10" xfId="4843"/>
    <cellStyle name="Total 6 5 2 10 2" xfId="14171"/>
    <cellStyle name="Total 6 5 2 10 3" xfId="18581"/>
    <cellStyle name="Total 6 5 2 10_Table" xfId="8990"/>
    <cellStyle name="Total 6 5 2 11" xfId="10211"/>
    <cellStyle name="Total 6 5 2 12" xfId="14621"/>
    <cellStyle name="Total 6 5 2 2" xfId="1669"/>
    <cellStyle name="Total 6 5 2 2 2" xfId="10997"/>
    <cellStyle name="Total 6 5 2 2 3" xfId="15407"/>
    <cellStyle name="Total 6 5 2 2_Table" xfId="8991"/>
    <cellStyle name="Total 6 5 2 3" xfId="2029"/>
    <cellStyle name="Total 6 5 2 3 2" xfId="11357"/>
    <cellStyle name="Total 6 5 2 3 3" xfId="15767"/>
    <cellStyle name="Total 6 5 2 3_Table" xfId="8992"/>
    <cellStyle name="Total 6 5 2 4" xfId="2459"/>
    <cellStyle name="Total 6 5 2 4 2" xfId="11787"/>
    <cellStyle name="Total 6 5 2 4 3" xfId="16197"/>
    <cellStyle name="Total 6 5 2 4_Table" xfId="8993"/>
    <cellStyle name="Total 6 5 2 5" xfId="2897"/>
    <cellStyle name="Total 6 5 2 5 2" xfId="12225"/>
    <cellStyle name="Total 6 5 2 5 3" xfId="16635"/>
    <cellStyle name="Total 6 5 2 5_Table" xfId="8994"/>
    <cellStyle name="Total 6 5 2 6" xfId="3304"/>
    <cellStyle name="Total 6 5 2 6 2" xfId="12632"/>
    <cellStyle name="Total 6 5 2 6 3" xfId="17042"/>
    <cellStyle name="Total 6 5 2 6_Table" xfId="8995"/>
    <cellStyle name="Total 6 5 2 7" xfId="3896"/>
    <cellStyle name="Total 6 5 2 7 2" xfId="13224"/>
    <cellStyle name="Total 6 5 2 7 3" xfId="17634"/>
    <cellStyle name="Total 6 5 2 7_Table" xfId="8996"/>
    <cellStyle name="Total 6 5 2 8" xfId="4121"/>
    <cellStyle name="Total 6 5 2 8 2" xfId="13449"/>
    <cellStyle name="Total 6 5 2 8 3" xfId="17859"/>
    <cellStyle name="Total 6 5 2 8_Table" xfId="8997"/>
    <cellStyle name="Total 6 5 2 9" xfId="4482"/>
    <cellStyle name="Total 6 5 2 9 2" xfId="13810"/>
    <cellStyle name="Total 6 5 2 9 3" xfId="18220"/>
    <cellStyle name="Total 6 5 2 9_Table" xfId="8998"/>
    <cellStyle name="Total 6 5 2_Table" xfId="8989"/>
    <cellStyle name="Total 6 5 3" xfId="1428"/>
    <cellStyle name="Total 6 5 3 2" xfId="10756"/>
    <cellStyle name="Total 6 5 3 3" xfId="15166"/>
    <cellStyle name="Total 6 5 3_Table" xfId="8999"/>
    <cellStyle name="Total 6 5 4" xfId="1788"/>
    <cellStyle name="Total 6 5 4 2" xfId="11116"/>
    <cellStyle name="Total 6 5 4 3" xfId="15526"/>
    <cellStyle name="Total 6 5 4_Table" xfId="9000"/>
    <cellStyle name="Total 6 5 5" xfId="2221"/>
    <cellStyle name="Total 6 5 5 2" xfId="11549"/>
    <cellStyle name="Total 6 5 5 3" xfId="15959"/>
    <cellStyle name="Total 6 5 5_Table" xfId="9001"/>
    <cellStyle name="Total 6 5 6" xfId="2656"/>
    <cellStyle name="Total 6 5 6 2" xfId="11984"/>
    <cellStyle name="Total 6 5 6 3" xfId="16394"/>
    <cellStyle name="Total 6 5 6_Table" xfId="9002"/>
    <cellStyle name="Total 6 5 7" xfId="3069"/>
    <cellStyle name="Total 6 5 7 2" xfId="12397"/>
    <cellStyle name="Total 6 5 7 3" xfId="16807"/>
    <cellStyle name="Total 6 5 7_Table" xfId="9003"/>
    <cellStyle name="Total 6 5 8" xfId="3495"/>
    <cellStyle name="Total 6 5 8 2" xfId="12823"/>
    <cellStyle name="Total 6 5 8 3" xfId="17233"/>
    <cellStyle name="Total 6 5 8_Table" xfId="9004"/>
    <cellStyle name="Total 6 5 9" xfId="3576"/>
    <cellStyle name="Total 6 5 9 2" xfId="12904"/>
    <cellStyle name="Total 6 5 9 3" xfId="17314"/>
    <cellStyle name="Total 6 5 9_Table" xfId="9005"/>
    <cellStyle name="Total 6 5_Table" xfId="8986"/>
    <cellStyle name="Total 6 6" xfId="703"/>
    <cellStyle name="Total 6 6 10" xfId="4663"/>
    <cellStyle name="Total 6 6 10 2" xfId="13991"/>
    <cellStyle name="Total 6 6 10 3" xfId="18401"/>
    <cellStyle name="Total 6 6 10_Table" xfId="9007"/>
    <cellStyle name="Total 6 6 11" xfId="10031"/>
    <cellStyle name="Total 6 6 12" xfId="14441"/>
    <cellStyle name="Total 6 6 2" xfId="1489"/>
    <cellStyle name="Total 6 6 2 2" xfId="10817"/>
    <cellStyle name="Total 6 6 2 3" xfId="15227"/>
    <cellStyle name="Total 6 6 2_Table" xfId="9008"/>
    <cellStyle name="Total 6 6 3" xfId="1849"/>
    <cellStyle name="Total 6 6 3 2" xfId="11177"/>
    <cellStyle name="Total 6 6 3 3" xfId="15587"/>
    <cellStyle name="Total 6 6 3_Table" xfId="9009"/>
    <cellStyle name="Total 6 6 4" xfId="2279"/>
    <cellStyle name="Total 6 6 4 2" xfId="11607"/>
    <cellStyle name="Total 6 6 4 3" xfId="16017"/>
    <cellStyle name="Total 6 6 4_Table" xfId="9010"/>
    <cellStyle name="Total 6 6 5" xfId="2717"/>
    <cellStyle name="Total 6 6 5 2" xfId="12045"/>
    <cellStyle name="Total 6 6 5 3" xfId="16455"/>
    <cellStyle name="Total 6 6 5_Table" xfId="9011"/>
    <cellStyle name="Total 6 6 6" xfId="3124"/>
    <cellStyle name="Total 6 6 6 2" xfId="12452"/>
    <cellStyle name="Total 6 6 6 3" xfId="16862"/>
    <cellStyle name="Total 6 6 6_Table" xfId="9012"/>
    <cellStyle name="Total 6 6 7" xfId="3716"/>
    <cellStyle name="Total 6 6 7 2" xfId="13044"/>
    <cellStyle name="Total 6 6 7 3" xfId="17454"/>
    <cellStyle name="Total 6 6 7_Table" xfId="9013"/>
    <cellStyle name="Total 6 6 8" xfId="3941"/>
    <cellStyle name="Total 6 6 8 2" xfId="13269"/>
    <cellStyle name="Total 6 6 8 3" xfId="17679"/>
    <cellStyle name="Total 6 6 8_Table" xfId="9014"/>
    <cellStyle name="Total 6 6 9" xfId="4302"/>
    <cellStyle name="Total 6 6 9 2" xfId="13630"/>
    <cellStyle name="Total 6 6 9 3" xfId="18040"/>
    <cellStyle name="Total 6 6 9_Table" xfId="9015"/>
    <cellStyle name="Total 6 6_Table" xfId="9006"/>
    <cellStyle name="Total 6 7" xfId="1204"/>
    <cellStyle name="Total 6 7 2" xfId="10532"/>
    <cellStyle name="Total 6 7 3" xfId="14942"/>
    <cellStyle name="Total 6 7_Table" xfId="9016"/>
    <cellStyle name="Total 6 8" xfId="1038"/>
    <cellStyle name="Total 6 8 2" xfId="10366"/>
    <cellStyle name="Total 6 8 3" xfId="14776"/>
    <cellStyle name="Total 6 8_Table" xfId="9017"/>
    <cellStyle name="Total 6 9" xfId="1268"/>
    <cellStyle name="Total 6 9 2" xfId="10596"/>
    <cellStyle name="Total 6 9 3" xfId="15006"/>
    <cellStyle name="Total 6 9_Table" xfId="9018"/>
    <cellStyle name="Total 6_Table" xfId="8919"/>
    <cellStyle name="Total 7" xfId="373"/>
    <cellStyle name="Total 7 10" xfId="1726"/>
    <cellStyle name="Total 7 10 2" xfId="11054"/>
    <cellStyle name="Total 7 10 3" xfId="15464"/>
    <cellStyle name="Total 7 10_Table" xfId="9020"/>
    <cellStyle name="Total 7 11" xfId="2161"/>
    <cellStyle name="Total 7 11 2" xfId="11489"/>
    <cellStyle name="Total 7 11 3" xfId="15899"/>
    <cellStyle name="Total 7 11_Table" xfId="9021"/>
    <cellStyle name="Total 7 12" xfId="2593"/>
    <cellStyle name="Total 7 12 2" xfId="11921"/>
    <cellStyle name="Total 7 12 3" xfId="16331"/>
    <cellStyle name="Total 7 12_Table" xfId="9022"/>
    <cellStyle name="Total 7 13" xfId="3428"/>
    <cellStyle name="Total 7 13 2" xfId="12756"/>
    <cellStyle name="Total 7 13 3" xfId="17166"/>
    <cellStyle name="Total 7 13_Table" xfId="9023"/>
    <cellStyle name="Total 7 14" xfId="1334"/>
    <cellStyle name="Total 7 14 2" xfId="10662"/>
    <cellStyle name="Total 7 14 3" xfId="15072"/>
    <cellStyle name="Total 7 14_Table" xfId="9024"/>
    <cellStyle name="Total 7 15" xfId="3568"/>
    <cellStyle name="Total 7 15 2" xfId="12896"/>
    <cellStyle name="Total 7 15 3" xfId="17306"/>
    <cellStyle name="Total 7 15_Table" xfId="9025"/>
    <cellStyle name="Total 7 16" xfId="9701"/>
    <cellStyle name="Total 7 17" xfId="14217"/>
    <cellStyle name="Total 7 2" xfId="435"/>
    <cellStyle name="Total 7 2 10" xfId="1329"/>
    <cellStyle name="Total 7 2 10 2" xfId="10657"/>
    <cellStyle name="Total 7 2 10 3" xfId="15067"/>
    <cellStyle name="Total 7 2 10_Table" xfId="9027"/>
    <cellStyle name="Total 7 2 11" xfId="3321"/>
    <cellStyle name="Total 7 2 11 2" xfId="12649"/>
    <cellStyle name="Total 7 2 11 3" xfId="17059"/>
    <cellStyle name="Total 7 2 11_Table" xfId="9028"/>
    <cellStyle name="Total 7 2 12" xfId="9763"/>
    <cellStyle name="Total 7 2 13" xfId="14262"/>
    <cellStyle name="Total 7 2 2" xfId="749"/>
    <cellStyle name="Total 7 2 2 10" xfId="4709"/>
    <cellStyle name="Total 7 2 2 10 2" xfId="14037"/>
    <cellStyle name="Total 7 2 2 10 3" xfId="18447"/>
    <cellStyle name="Total 7 2 2 10_Table" xfId="9030"/>
    <cellStyle name="Total 7 2 2 11" xfId="10077"/>
    <cellStyle name="Total 7 2 2 12" xfId="14487"/>
    <cellStyle name="Total 7 2 2 2" xfId="1535"/>
    <cellStyle name="Total 7 2 2 2 2" xfId="10863"/>
    <cellStyle name="Total 7 2 2 2 3" xfId="15273"/>
    <cellStyle name="Total 7 2 2 2_Table" xfId="9031"/>
    <cellStyle name="Total 7 2 2 3" xfId="1895"/>
    <cellStyle name="Total 7 2 2 3 2" xfId="11223"/>
    <cellStyle name="Total 7 2 2 3 3" xfId="15633"/>
    <cellStyle name="Total 7 2 2 3_Table" xfId="9032"/>
    <cellStyle name="Total 7 2 2 4" xfId="2325"/>
    <cellStyle name="Total 7 2 2 4 2" xfId="11653"/>
    <cellStyle name="Total 7 2 2 4 3" xfId="16063"/>
    <cellStyle name="Total 7 2 2 4_Table" xfId="9033"/>
    <cellStyle name="Total 7 2 2 5" xfId="2763"/>
    <cellStyle name="Total 7 2 2 5 2" xfId="12091"/>
    <cellStyle name="Total 7 2 2 5 3" xfId="16501"/>
    <cellStyle name="Total 7 2 2 5_Table" xfId="9034"/>
    <cellStyle name="Total 7 2 2 6" xfId="3170"/>
    <cellStyle name="Total 7 2 2 6 2" xfId="12498"/>
    <cellStyle name="Total 7 2 2 6 3" xfId="16908"/>
    <cellStyle name="Total 7 2 2 6_Table" xfId="9035"/>
    <cellStyle name="Total 7 2 2 7" xfId="3762"/>
    <cellStyle name="Total 7 2 2 7 2" xfId="13090"/>
    <cellStyle name="Total 7 2 2 7 3" xfId="17500"/>
    <cellStyle name="Total 7 2 2 7_Table" xfId="9036"/>
    <cellStyle name="Total 7 2 2 8" xfId="3987"/>
    <cellStyle name="Total 7 2 2 8 2" xfId="13315"/>
    <cellStyle name="Total 7 2 2 8 3" xfId="17725"/>
    <cellStyle name="Total 7 2 2 8_Table" xfId="9037"/>
    <cellStyle name="Total 7 2 2 9" xfId="4348"/>
    <cellStyle name="Total 7 2 2 9 2" xfId="13676"/>
    <cellStyle name="Total 7 2 2 9 3" xfId="18086"/>
    <cellStyle name="Total 7 2 2 9_Table" xfId="9038"/>
    <cellStyle name="Total 7 2 2_Table" xfId="9029"/>
    <cellStyle name="Total 7 2 3" xfId="1249"/>
    <cellStyle name="Total 7 2 3 2" xfId="10577"/>
    <cellStyle name="Total 7 2 3 3" xfId="14987"/>
    <cellStyle name="Total 7 2 3_Table" xfId="9039"/>
    <cellStyle name="Total 7 2 4" xfId="977"/>
    <cellStyle name="Total 7 2 4 2" xfId="10305"/>
    <cellStyle name="Total 7 2 4 3" xfId="14715"/>
    <cellStyle name="Total 7 2 4_Table" xfId="9040"/>
    <cellStyle name="Total 7 2 5" xfId="1198"/>
    <cellStyle name="Total 7 2 5 2" xfId="10526"/>
    <cellStyle name="Total 7 2 5 3" xfId="14936"/>
    <cellStyle name="Total 7 2 5_Table" xfId="9041"/>
    <cellStyle name="Total 7 2 6" xfId="1028"/>
    <cellStyle name="Total 7 2 6 2" xfId="10356"/>
    <cellStyle name="Total 7 2 6 3" xfId="14766"/>
    <cellStyle name="Total 7 2 6_Table" xfId="9042"/>
    <cellStyle name="Total 7 2 7" xfId="1257"/>
    <cellStyle name="Total 7 2 7 2" xfId="10585"/>
    <cellStyle name="Total 7 2 7 3" xfId="14995"/>
    <cellStyle name="Total 7 2 7_Table" xfId="9043"/>
    <cellStyle name="Total 7 2 8" xfId="970"/>
    <cellStyle name="Total 7 2 8 2" xfId="10298"/>
    <cellStyle name="Total 7 2 8 3" xfId="14708"/>
    <cellStyle name="Total 7 2 8_Table" xfId="9044"/>
    <cellStyle name="Total 7 2 9" xfId="3446"/>
    <cellStyle name="Total 7 2 9 2" xfId="12774"/>
    <cellStyle name="Total 7 2 9 3" xfId="17184"/>
    <cellStyle name="Total 7 2 9_Table" xfId="9045"/>
    <cellStyle name="Total 7 2_Table" xfId="9026"/>
    <cellStyle name="Total 7 3" xfId="503"/>
    <cellStyle name="Total 7 3 10" xfId="4168"/>
    <cellStyle name="Total 7 3 10 2" xfId="13496"/>
    <cellStyle name="Total 7 3 10 3" xfId="17906"/>
    <cellStyle name="Total 7 3 10_Table" xfId="9047"/>
    <cellStyle name="Total 7 3 11" xfId="4529"/>
    <cellStyle name="Total 7 3 11 2" xfId="13857"/>
    <cellStyle name="Total 7 3 11 3" xfId="18267"/>
    <cellStyle name="Total 7 3 11_Table" xfId="9048"/>
    <cellStyle name="Total 7 3 12" xfId="9831"/>
    <cellStyle name="Total 7 3 13" xfId="14307"/>
    <cellStyle name="Total 7 3 2" xfId="794"/>
    <cellStyle name="Total 7 3 2 10" xfId="4754"/>
    <cellStyle name="Total 7 3 2 10 2" xfId="14082"/>
    <cellStyle name="Total 7 3 2 10 3" xfId="18492"/>
    <cellStyle name="Total 7 3 2 10_Table" xfId="9050"/>
    <cellStyle name="Total 7 3 2 11" xfId="10122"/>
    <cellStyle name="Total 7 3 2 12" xfId="14532"/>
    <cellStyle name="Total 7 3 2 2" xfId="1580"/>
    <cellStyle name="Total 7 3 2 2 2" xfId="10908"/>
    <cellStyle name="Total 7 3 2 2 3" xfId="15318"/>
    <cellStyle name="Total 7 3 2 2_Table" xfId="9051"/>
    <cellStyle name="Total 7 3 2 3" xfId="1940"/>
    <cellStyle name="Total 7 3 2 3 2" xfId="11268"/>
    <cellStyle name="Total 7 3 2 3 3" xfId="15678"/>
    <cellStyle name="Total 7 3 2 3_Table" xfId="9052"/>
    <cellStyle name="Total 7 3 2 4" xfId="2370"/>
    <cellStyle name="Total 7 3 2 4 2" xfId="11698"/>
    <cellStyle name="Total 7 3 2 4 3" xfId="16108"/>
    <cellStyle name="Total 7 3 2 4_Table" xfId="9053"/>
    <cellStyle name="Total 7 3 2 5" xfId="2808"/>
    <cellStyle name="Total 7 3 2 5 2" xfId="12136"/>
    <cellStyle name="Total 7 3 2 5 3" xfId="16546"/>
    <cellStyle name="Total 7 3 2 5_Table" xfId="9054"/>
    <cellStyle name="Total 7 3 2 6" xfId="3215"/>
    <cellStyle name="Total 7 3 2 6 2" xfId="12543"/>
    <cellStyle name="Total 7 3 2 6 3" xfId="16953"/>
    <cellStyle name="Total 7 3 2 6_Table" xfId="9055"/>
    <cellStyle name="Total 7 3 2 7" xfId="3807"/>
    <cellStyle name="Total 7 3 2 7 2" xfId="13135"/>
    <cellStyle name="Total 7 3 2 7 3" xfId="17545"/>
    <cellStyle name="Total 7 3 2 7_Table" xfId="9056"/>
    <cellStyle name="Total 7 3 2 8" xfId="4032"/>
    <cellStyle name="Total 7 3 2 8 2" xfId="13360"/>
    <cellStyle name="Total 7 3 2 8 3" xfId="17770"/>
    <cellStyle name="Total 7 3 2 8_Table" xfId="9057"/>
    <cellStyle name="Total 7 3 2 9" xfId="4393"/>
    <cellStyle name="Total 7 3 2 9 2" xfId="13721"/>
    <cellStyle name="Total 7 3 2 9 3" xfId="18131"/>
    <cellStyle name="Total 7 3 2 9_Table" xfId="9058"/>
    <cellStyle name="Total 7 3 2_Table" xfId="9049"/>
    <cellStyle name="Total 7 3 3" xfId="1306"/>
    <cellStyle name="Total 7 3 3 2" xfId="10634"/>
    <cellStyle name="Total 7 3 3 3" xfId="15044"/>
    <cellStyle name="Total 7 3 3_Table" xfId="9059"/>
    <cellStyle name="Total 7 3 4" xfId="911"/>
    <cellStyle name="Total 7 3 4 2" xfId="10239"/>
    <cellStyle name="Total 7 3 4 3" xfId="14649"/>
    <cellStyle name="Total 7 3 4_Table" xfId="9060"/>
    <cellStyle name="Total 7 3 5" xfId="2094"/>
    <cellStyle name="Total 7 3 5 2" xfId="11422"/>
    <cellStyle name="Total 7 3 5 3" xfId="15832"/>
    <cellStyle name="Total 7 3 5_Table" xfId="9061"/>
    <cellStyle name="Total 7 3 6" xfId="2526"/>
    <cellStyle name="Total 7 3 6 2" xfId="11854"/>
    <cellStyle name="Total 7 3 6 3" xfId="16264"/>
    <cellStyle name="Total 7 3 6_Table" xfId="9062"/>
    <cellStyle name="Total 7 3 7" xfId="2954"/>
    <cellStyle name="Total 7 3 7 2" xfId="12282"/>
    <cellStyle name="Total 7 3 7 3" xfId="16692"/>
    <cellStyle name="Total 7 3 7_Table" xfId="9063"/>
    <cellStyle name="Total 7 3 8" xfId="3367"/>
    <cellStyle name="Total 7 3 8 2" xfId="12695"/>
    <cellStyle name="Total 7 3 8 3" xfId="17105"/>
    <cellStyle name="Total 7 3 8_Table" xfId="9064"/>
    <cellStyle name="Total 7 3 9" xfId="3447"/>
    <cellStyle name="Total 7 3 9 2" xfId="12775"/>
    <cellStyle name="Total 7 3 9 3" xfId="17185"/>
    <cellStyle name="Total 7 3 9_Table" xfId="9065"/>
    <cellStyle name="Total 7 3_Table" xfId="9046"/>
    <cellStyle name="Total 7 4" xfId="567"/>
    <cellStyle name="Total 7 4 10" xfId="4213"/>
    <cellStyle name="Total 7 4 10 2" xfId="13541"/>
    <cellStyle name="Total 7 4 10 3" xfId="17951"/>
    <cellStyle name="Total 7 4 10_Table" xfId="9067"/>
    <cellStyle name="Total 7 4 11" xfId="4574"/>
    <cellStyle name="Total 7 4 11 2" xfId="13902"/>
    <cellStyle name="Total 7 4 11 3" xfId="18312"/>
    <cellStyle name="Total 7 4 11_Table" xfId="9068"/>
    <cellStyle name="Total 7 4 12" xfId="9895"/>
    <cellStyle name="Total 7 4 13" xfId="14352"/>
    <cellStyle name="Total 7 4 2" xfId="839"/>
    <cellStyle name="Total 7 4 2 10" xfId="4799"/>
    <cellStyle name="Total 7 4 2 10 2" xfId="14127"/>
    <cellStyle name="Total 7 4 2 10 3" xfId="18537"/>
    <cellStyle name="Total 7 4 2 10_Table" xfId="9070"/>
    <cellStyle name="Total 7 4 2 11" xfId="10167"/>
    <cellStyle name="Total 7 4 2 12" xfId="14577"/>
    <cellStyle name="Total 7 4 2 2" xfId="1625"/>
    <cellStyle name="Total 7 4 2 2 2" xfId="10953"/>
    <cellStyle name="Total 7 4 2 2 3" xfId="15363"/>
    <cellStyle name="Total 7 4 2 2_Table" xfId="9071"/>
    <cellStyle name="Total 7 4 2 3" xfId="1985"/>
    <cellStyle name="Total 7 4 2 3 2" xfId="11313"/>
    <cellStyle name="Total 7 4 2 3 3" xfId="15723"/>
    <cellStyle name="Total 7 4 2 3_Table" xfId="9072"/>
    <cellStyle name="Total 7 4 2 4" xfId="2415"/>
    <cellStyle name="Total 7 4 2 4 2" xfId="11743"/>
    <cellStyle name="Total 7 4 2 4 3" xfId="16153"/>
    <cellStyle name="Total 7 4 2 4_Table" xfId="9073"/>
    <cellStyle name="Total 7 4 2 5" xfId="2853"/>
    <cellStyle name="Total 7 4 2 5 2" xfId="12181"/>
    <cellStyle name="Total 7 4 2 5 3" xfId="16591"/>
    <cellStyle name="Total 7 4 2 5_Table" xfId="9074"/>
    <cellStyle name="Total 7 4 2 6" xfId="3260"/>
    <cellStyle name="Total 7 4 2 6 2" xfId="12588"/>
    <cellStyle name="Total 7 4 2 6 3" xfId="16998"/>
    <cellStyle name="Total 7 4 2 6_Table" xfId="9075"/>
    <cellStyle name="Total 7 4 2 7" xfId="3852"/>
    <cellStyle name="Total 7 4 2 7 2" xfId="13180"/>
    <cellStyle name="Total 7 4 2 7 3" xfId="17590"/>
    <cellStyle name="Total 7 4 2 7_Table" xfId="9076"/>
    <cellStyle name="Total 7 4 2 8" xfId="4077"/>
    <cellStyle name="Total 7 4 2 8 2" xfId="13405"/>
    <cellStyle name="Total 7 4 2 8 3" xfId="17815"/>
    <cellStyle name="Total 7 4 2 8_Table" xfId="9077"/>
    <cellStyle name="Total 7 4 2 9" xfId="4438"/>
    <cellStyle name="Total 7 4 2 9 2" xfId="13766"/>
    <cellStyle name="Total 7 4 2 9 3" xfId="18176"/>
    <cellStyle name="Total 7 4 2 9_Table" xfId="9078"/>
    <cellStyle name="Total 7 4 2_Table" xfId="9069"/>
    <cellStyle name="Total 7 4 3" xfId="1362"/>
    <cellStyle name="Total 7 4 3 2" xfId="10690"/>
    <cellStyle name="Total 7 4 3 3" xfId="15100"/>
    <cellStyle name="Total 7 4 3_Table" xfId="9079"/>
    <cellStyle name="Total 7 4 4" xfId="1719"/>
    <cellStyle name="Total 7 4 4 2" xfId="11047"/>
    <cellStyle name="Total 7 4 4 3" xfId="15457"/>
    <cellStyle name="Total 7 4 4_Table" xfId="9080"/>
    <cellStyle name="Total 7 4 5" xfId="2153"/>
    <cellStyle name="Total 7 4 5 2" xfId="11481"/>
    <cellStyle name="Total 7 4 5 3" xfId="15891"/>
    <cellStyle name="Total 7 4 5_Table" xfId="9081"/>
    <cellStyle name="Total 7 4 6" xfId="2585"/>
    <cellStyle name="Total 7 4 6 2" xfId="11913"/>
    <cellStyle name="Total 7 4 6 3" xfId="16323"/>
    <cellStyle name="Total 7 4 6_Table" xfId="9082"/>
    <cellStyle name="Total 7 4 7" xfId="3011"/>
    <cellStyle name="Total 7 4 7 2" xfId="12339"/>
    <cellStyle name="Total 7 4 7 3" xfId="16749"/>
    <cellStyle name="Total 7 4 7_Table" xfId="9083"/>
    <cellStyle name="Total 7 4 8" xfId="3425"/>
    <cellStyle name="Total 7 4 8 2" xfId="12753"/>
    <cellStyle name="Total 7 4 8 3" xfId="17163"/>
    <cellStyle name="Total 7 4 8_Table" xfId="9084"/>
    <cellStyle name="Total 7 4 9" xfId="3599"/>
    <cellStyle name="Total 7 4 9 2" xfId="12927"/>
    <cellStyle name="Total 7 4 9 3" xfId="17337"/>
    <cellStyle name="Total 7 4 9_Table" xfId="9085"/>
    <cellStyle name="Total 7 4_Table" xfId="9066"/>
    <cellStyle name="Total 7 5" xfId="642"/>
    <cellStyle name="Total 7 5 10" xfId="4258"/>
    <cellStyle name="Total 7 5 10 2" xfId="13586"/>
    <cellStyle name="Total 7 5 10 3" xfId="17996"/>
    <cellStyle name="Total 7 5 10_Table" xfId="9087"/>
    <cellStyle name="Total 7 5 11" xfId="4619"/>
    <cellStyle name="Total 7 5 11 2" xfId="13947"/>
    <cellStyle name="Total 7 5 11 3" xfId="18357"/>
    <cellStyle name="Total 7 5 11_Table" xfId="9088"/>
    <cellStyle name="Total 7 5 12" xfId="9970"/>
    <cellStyle name="Total 7 5 13" xfId="14397"/>
    <cellStyle name="Total 7 5 2" xfId="884"/>
    <cellStyle name="Total 7 5 2 10" xfId="4844"/>
    <cellStyle name="Total 7 5 2 10 2" xfId="14172"/>
    <cellStyle name="Total 7 5 2 10 3" xfId="18582"/>
    <cellStyle name="Total 7 5 2 10_Table" xfId="9090"/>
    <cellStyle name="Total 7 5 2 11" xfId="10212"/>
    <cellStyle name="Total 7 5 2 12" xfId="14622"/>
    <cellStyle name="Total 7 5 2 2" xfId="1670"/>
    <cellStyle name="Total 7 5 2 2 2" xfId="10998"/>
    <cellStyle name="Total 7 5 2 2 3" xfId="15408"/>
    <cellStyle name="Total 7 5 2 2_Table" xfId="9091"/>
    <cellStyle name="Total 7 5 2 3" xfId="2030"/>
    <cellStyle name="Total 7 5 2 3 2" xfId="11358"/>
    <cellStyle name="Total 7 5 2 3 3" xfId="15768"/>
    <cellStyle name="Total 7 5 2 3_Table" xfId="9092"/>
    <cellStyle name="Total 7 5 2 4" xfId="2460"/>
    <cellStyle name="Total 7 5 2 4 2" xfId="11788"/>
    <cellStyle name="Total 7 5 2 4 3" xfId="16198"/>
    <cellStyle name="Total 7 5 2 4_Table" xfId="9093"/>
    <cellStyle name="Total 7 5 2 5" xfId="2898"/>
    <cellStyle name="Total 7 5 2 5 2" xfId="12226"/>
    <cellStyle name="Total 7 5 2 5 3" xfId="16636"/>
    <cellStyle name="Total 7 5 2 5_Table" xfId="9094"/>
    <cellStyle name="Total 7 5 2 6" xfId="3305"/>
    <cellStyle name="Total 7 5 2 6 2" xfId="12633"/>
    <cellStyle name="Total 7 5 2 6 3" xfId="17043"/>
    <cellStyle name="Total 7 5 2 6_Table" xfId="9095"/>
    <cellStyle name="Total 7 5 2 7" xfId="3897"/>
    <cellStyle name="Total 7 5 2 7 2" xfId="13225"/>
    <cellStyle name="Total 7 5 2 7 3" xfId="17635"/>
    <cellStyle name="Total 7 5 2 7_Table" xfId="9096"/>
    <cellStyle name="Total 7 5 2 8" xfId="4122"/>
    <cellStyle name="Total 7 5 2 8 2" xfId="13450"/>
    <cellStyle name="Total 7 5 2 8 3" xfId="17860"/>
    <cellStyle name="Total 7 5 2 8_Table" xfId="9097"/>
    <cellStyle name="Total 7 5 2 9" xfId="4483"/>
    <cellStyle name="Total 7 5 2 9 2" xfId="13811"/>
    <cellStyle name="Total 7 5 2 9 3" xfId="18221"/>
    <cellStyle name="Total 7 5 2 9_Table" xfId="9098"/>
    <cellStyle name="Total 7 5 2_Table" xfId="9089"/>
    <cellStyle name="Total 7 5 3" xfId="1429"/>
    <cellStyle name="Total 7 5 3 2" xfId="10757"/>
    <cellStyle name="Total 7 5 3 3" xfId="15167"/>
    <cellStyle name="Total 7 5 3_Table" xfId="9099"/>
    <cellStyle name="Total 7 5 4" xfId="1789"/>
    <cellStyle name="Total 7 5 4 2" xfId="11117"/>
    <cellStyle name="Total 7 5 4 3" xfId="15527"/>
    <cellStyle name="Total 7 5 4_Table" xfId="9100"/>
    <cellStyle name="Total 7 5 5" xfId="2222"/>
    <cellStyle name="Total 7 5 5 2" xfId="11550"/>
    <cellStyle name="Total 7 5 5 3" xfId="15960"/>
    <cellStyle name="Total 7 5 5_Table" xfId="9101"/>
    <cellStyle name="Total 7 5 6" xfId="2657"/>
    <cellStyle name="Total 7 5 6 2" xfId="11985"/>
    <cellStyle name="Total 7 5 6 3" xfId="16395"/>
    <cellStyle name="Total 7 5 6_Table" xfId="9102"/>
    <cellStyle name="Total 7 5 7" xfId="3070"/>
    <cellStyle name="Total 7 5 7 2" xfId="12398"/>
    <cellStyle name="Total 7 5 7 3" xfId="16808"/>
    <cellStyle name="Total 7 5 7_Table" xfId="9103"/>
    <cellStyle name="Total 7 5 8" xfId="3496"/>
    <cellStyle name="Total 7 5 8 2" xfId="12824"/>
    <cellStyle name="Total 7 5 8 3" xfId="17234"/>
    <cellStyle name="Total 7 5 8_Table" xfId="9104"/>
    <cellStyle name="Total 7 5 9" xfId="3609"/>
    <cellStyle name="Total 7 5 9 2" xfId="12937"/>
    <cellStyle name="Total 7 5 9 3" xfId="17347"/>
    <cellStyle name="Total 7 5 9_Table" xfId="9105"/>
    <cellStyle name="Total 7 5_Table" xfId="9086"/>
    <cellStyle name="Total 7 6" xfId="704"/>
    <cellStyle name="Total 7 6 10" xfId="4664"/>
    <cellStyle name="Total 7 6 10 2" xfId="13992"/>
    <cellStyle name="Total 7 6 10 3" xfId="18402"/>
    <cellStyle name="Total 7 6 10_Table" xfId="9107"/>
    <cellStyle name="Total 7 6 11" xfId="10032"/>
    <cellStyle name="Total 7 6 12" xfId="14442"/>
    <cellStyle name="Total 7 6 2" xfId="1490"/>
    <cellStyle name="Total 7 6 2 2" xfId="10818"/>
    <cellStyle name="Total 7 6 2 3" xfId="15228"/>
    <cellStyle name="Total 7 6 2_Table" xfId="9108"/>
    <cellStyle name="Total 7 6 3" xfId="1850"/>
    <cellStyle name="Total 7 6 3 2" xfId="11178"/>
    <cellStyle name="Total 7 6 3 3" xfId="15588"/>
    <cellStyle name="Total 7 6 3_Table" xfId="9109"/>
    <cellStyle name="Total 7 6 4" xfId="2280"/>
    <cellStyle name="Total 7 6 4 2" xfId="11608"/>
    <cellStyle name="Total 7 6 4 3" xfId="16018"/>
    <cellStyle name="Total 7 6 4_Table" xfId="9110"/>
    <cellStyle name="Total 7 6 5" xfId="2718"/>
    <cellStyle name="Total 7 6 5 2" xfId="12046"/>
    <cellStyle name="Total 7 6 5 3" xfId="16456"/>
    <cellStyle name="Total 7 6 5_Table" xfId="9111"/>
    <cellStyle name="Total 7 6 6" xfId="3125"/>
    <cellStyle name="Total 7 6 6 2" xfId="12453"/>
    <cellStyle name="Total 7 6 6 3" xfId="16863"/>
    <cellStyle name="Total 7 6 6_Table" xfId="9112"/>
    <cellStyle name="Total 7 6 7" xfId="3717"/>
    <cellStyle name="Total 7 6 7 2" xfId="13045"/>
    <cellStyle name="Total 7 6 7 3" xfId="17455"/>
    <cellStyle name="Total 7 6 7_Table" xfId="9113"/>
    <cellStyle name="Total 7 6 8" xfId="3942"/>
    <cellStyle name="Total 7 6 8 2" xfId="13270"/>
    <cellStyle name="Total 7 6 8 3" xfId="17680"/>
    <cellStyle name="Total 7 6 8_Table" xfId="9114"/>
    <cellStyle name="Total 7 6 9" xfId="4303"/>
    <cellStyle name="Total 7 6 9 2" xfId="13631"/>
    <cellStyle name="Total 7 6 9 3" xfId="18041"/>
    <cellStyle name="Total 7 6 9_Table" xfId="9115"/>
    <cellStyle name="Total 7 6_Table" xfId="9106"/>
    <cellStyle name="Total 7 7" xfId="1205"/>
    <cellStyle name="Total 7 7 2" xfId="10533"/>
    <cellStyle name="Total 7 7 3" xfId="14943"/>
    <cellStyle name="Total 7 7_Table" xfId="9116"/>
    <cellStyle name="Total 7 8" xfId="1037"/>
    <cellStyle name="Total 7 8 2" xfId="10365"/>
    <cellStyle name="Total 7 8 3" xfId="14775"/>
    <cellStyle name="Total 7 8_Table" xfId="9117"/>
    <cellStyle name="Total 7 9" xfId="1323"/>
    <cellStyle name="Total 7 9 2" xfId="10651"/>
    <cellStyle name="Total 7 9 3" xfId="15061"/>
    <cellStyle name="Total 7 9_Table" xfId="9118"/>
    <cellStyle name="Total 7_Table" xfId="9019"/>
    <cellStyle name="Total 8" xfId="374"/>
    <cellStyle name="Total 8 10" xfId="1797"/>
    <cellStyle name="Total 8 10 2" xfId="11125"/>
    <cellStyle name="Total 8 10 3" xfId="15535"/>
    <cellStyle name="Total 8 10_Table" xfId="9120"/>
    <cellStyle name="Total 8 11" xfId="2229"/>
    <cellStyle name="Total 8 11 2" xfId="11557"/>
    <cellStyle name="Total 8 11 3" xfId="15967"/>
    <cellStyle name="Total 8 11_Table" xfId="9121"/>
    <cellStyle name="Total 8 12" xfId="2664"/>
    <cellStyle name="Total 8 12 2" xfId="11992"/>
    <cellStyle name="Total 8 12 3" xfId="16402"/>
    <cellStyle name="Total 8 12_Table" xfId="9122"/>
    <cellStyle name="Total 8 13" xfId="3452"/>
    <cellStyle name="Total 8 13 2" xfId="12780"/>
    <cellStyle name="Total 8 13 3" xfId="17190"/>
    <cellStyle name="Total 8 13_Table" xfId="9123"/>
    <cellStyle name="Total 8 14" xfId="3082"/>
    <cellStyle name="Total 8 14 2" xfId="12410"/>
    <cellStyle name="Total 8 14 3" xfId="16820"/>
    <cellStyle name="Total 8 14_Table" xfId="9124"/>
    <cellStyle name="Total 8 15" xfId="3545"/>
    <cellStyle name="Total 8 15 2" xfId="12873"/>
    <cellStyle name="Total 8 15 3" xfId="17283"/>
    <cellStyle name="Total 8 15_Table" xfId="9125"/>
    <cellStyle name="Total 8 16" xfId="9702"/>
    <cellStyle name="Total 8 17" xfId="14218"/>
    <cellStyle name="Total 8 2" xfId="436"/>
    <cellStyle name="Total 8 2 10" xfId="907"/>
    <cellStyle name="Total 8 2 10 2" xfId="10235"/>
    <cellStyle name="Total 8 2 10 3" xfId="14645"/>
    <cellStyle name="Total 8 2 10_Table" xfId="9127"/>
    <cellStyle name="Total 8 2 11" xfId="2611"/>
    <cellStyle name="Total 8 2 11 2" xfId="11939"/>
    <cellStyle name="Total 8 2 11 3" xfId="16349"/>
    <cellStyle name="Total 8 2 11_Table" xfId="9128"/>
    <cellStyle name="Total 8 2 12" xfId="9764"/>
    <cellStyle name="Total 8 2 13" xfId="14263"/>
    <cellStyle name="Total 8 2 2" xfId="750"/>
    <cellStyle name="Total 8 2 2 10" xfId="4710"/>
    <cellStyle name="Total 8 2 2 10 2" xfId="14038"/>
    <cellStyle name="Total 8 2 2 10 3" xfId="18448"/>
    <cellStyle name="Total 8 2 2 10_Table" xfId="9130"/>
    <cellStyle name="Total 8 2 2 11" xfId="10078"/>
    <cellStyle name="Total 8 2 2 12" xfId="14488"/>
    <cellStyle name="Total 8 2 2 2" xfId="1536"/>
    <cellStyle name="Total 8 2 2 2 2" xfId="10864"/>
    <cellStyle name="Total 8 2 2 2 3" xfId="15274"/>
    <cellStyle name="Total 8 2 2 2_Table" xfId="9131"/>
    <cellStyle name="Total 8 2 2 3" xfId="1896"/>
    <cellStyle name="Total 8 2 2 3 2" xfId="11224"/>
    <cellStyle name="Total 8 2 2 3 3" xfId="15634"/>
    <cellStyle name="Total 8 2 2 3_Table" xfId="9132"/>
    <cellStyle name="Total 8 2 2 4" xfId="2326"/>
    <cellStyle name="Total 8 2 2 4 2" xfId="11654"/>
    <cellStyle name="Total 8 2 2 4 3" xfId="16064"/>
    <cellStyle name="Total 8 2 2 4_Table" xfId="9133"/>
    <cellStyle name="Total 8 2 2 5" xfId="2764"/>
    <cellStyle name="Total 8 2 2 5 2" xfId="12092"/>
    <cellStyle name="Total 8 2 2 5 3" xfId="16502"/>
    <cellStyle name="Total 8 2 2 5_Table" xfId="9134"/>
    <cellStyle name="Total 8 2 2 6" xfId="3171"/>
    <cellStyle name="Total 8 2 2 6 2" xfId="12499"/>
    <cellStyle name="Total 8 2 2 6 3" xfId="16909"/>
    <cellStyle name="Total 8 2 2 6_Table" xfId="9135"/>
    <cellStyle name="Total 8 2 2 7" xfId="3763"/>
    <cellStyle name="Total 8 2 2 7 2" xfId="13091"/>
    <cellStyle name="Total 8 2 2 7 3" xfId="17501"/>
    <cellStyle name="Total 8 2 2 7_Table" xfId="9136"/>
    <cellStyle name="Total 8 2 2 8" xfId="3988"/>
    <cellStyle name="Total 8 2 2 8 2" xfId="13316"/>
    <cellStyle name="Total 8 2 2 8 3" xfId="17726"/>
    <cellStyle name="Total 8 2 2 8_Table" xfId="9137"/>
    <cellStyle name="Total 8 2 2 9" xfId="4349"/>
    <cellStyle name="Total 8 2 2 9 2" xfId="13677"/>
    <cellStyle name="Total 8 2 2 9 3" xfId="18087"/>
    <cellStyle name="Total 8 2 2 9_Table" xfId="9138"/>
    <cellStyle name="Total 8 2 2_Table" xfId="9129"/>
    <cellStyle name="Total 8 2 3" xfId="1250"/>
    <cellStyle name="Total 8 2 3 2" xfId="10578"/>
    <cellStyle name="Total 8 2 3 3" xfId="14988"/>
    <cellStyle name="Total 8 2 3_Table" xfId="9139"/>
    <cellStyle name="Total 8 2 4" xfId="976"/>
    <cellStyle name="Total 8 2 4 2" xfId="10304"/>
    <cellStyle name="Total 8 2 4 3" xfId="14714"/>
    <cellStyle name="Total 8 2 4_Table" xfId="9140"/>
    <cellStyle name="Total 8 2 5" xfId="1193"/>
    <cellStyle name="Total 8 2 5 2" xfId="10521"/>
    <cellStyle name="Total 8 2 5 3" xfId="14931"/>
    <cellStyle name="Total 8 2 5_Table" xfId="9141"/>
    <cellStyle name="Total 8 2 6" xfId="1044"/>
    <cellStyle name="Total 8 2 6 2" xfId="10372"/>
    <cellStyle name="Total 8 2 6 3" xfId="14782"/>
    <cellStyle name="Total 8 2 6_Table" xfId="9142"/>
    <cellStyle name="Total 8 2 7" xfId="1368"/>
    <cellStyle name="Total 8 2 7 2" xfId="10696"/>
    <cellStyle name="Total 8 2 7 3" xfId="15106"/>
    <cellStyle name="Total 8 2 7_Table" xfId="9143"/>
    <cellStyle name="Total 8 2 8" xfId="1673"/>
    <cellStyle name="Total 8 2 8 2" xfId="11001"/>
    <cellStyle name="Total 8 2 8 3" xfId="15411"/>
    <cellStyle name="Total 8 2 8_Table" xfId="9144"/>
    <cellStyle name="Total 8 2 9" xfId="3435"/>
    <cellStyle name="Total 8 2 9 2" xfId="12763"/>
    <cellStyle name="Total 8 2 9 3" xfId="17173"/>
    <cellStyle name="Total 8 2 9_Table" xfId="9145"/>
    <cellStyle name="Total 8 2_Table" xfId="9126"/>
    <cellStyle name="Total 8 3" xfId="504"/>
    <cellStyle name="Total 8 3 10" xfId="4169"/>
    <cellStyle name="Total 8 3 10 2" xfId="13497"/>
    <cellStyle name="Total 8 3 10 3" xfId="17907"/>
    <cellStyle name="Total 8 3 10_Table" xfId="9147"/>
    <cellStyle name="Total 8 3 11" xfId="4530"/>
    <cellStyle name="Total 8 3 11 2" xfId="13858"/>
    <cellStyle name="Total 8 3 11 3" xfId="18268"/>
    <cellStyle name="Total 8 3 11_Table" xfId="9148"/>
    <cellStyle name="Total 8 3 12" xfId="9832"/>
    <cellStyle name="Total 8 3 13" xfId="14308"/>
    <cellStyle name="Total 8 3 2" xfId="795"/>
    <cellStyle name="Total 8 3 2 10" xfId="4755"/>
    <cellStyle name="Total 8 3 2 10 2" xfId="14083"/>
    <cellStyle name="Total 8 3 2 10 3" xfId="18493"/>
    <cellStyle name="Total 8 3 2 10_Table" xfId="9150"/>
    <cellStyle name="Total 8 3 2 11" xfId="10123"/>
    <cellStyle name="Total 8 3 2 12" xfId="14533"/>
    <cellStyle name="Total 8 3 2 2" xfId="1581"/>
    <cellStyle name="Total 8 3 2 2 2" xfId="10909"/>
    <cellStyle name="Total 8 3 2 2 3" xfId="15319"/>
    <cellStyle name="Total 8 3 2 2_Table" xfId="9151"/>
    <cellStyle name="Total 8 3 2 3" xfId="1941"/>
    <cellStyle name="Total 8 3 2 3 2" xfId="11269"/>
    <cellStyle name="Total 8 3 2 3 3" xfId="15679"/>
    <cellStyle name="Total 8 3 2 3_Table" xfId="9152"/>
    <cellStyle name="Total 8 3 2 4" xfId="2371"/>
    <cellStyle name="Total 8 3 2 4 2" xfId="11699"/>
    <cellStyle name="Total 8 3 2 4 3" xfId="16109"/>
    <cellStyle name="Total 8 3 2 4_Table" xfId="9153"/>
    <cellStyle name="Total 8 3 2 5" xfId="2809"/>
    <cellStyle name="Total 8 3 2 5 2" xfId="12137"/>
    <cellStyle name="Total 8 3 2 5 3" xfId="16547"/>
    <cellStyle name="Total 8 3 2 5_Table" xfId="9154"/>
    <cellStyle name="Total 8 3 2 6" xfId="3216"/>
    <cellStyle name="Total 8 3 2 6 2" xfId="12544"/>
    <cellStyle name="Total 8 3 2 6 3" xfId="16954"/>
    <cellStyle name="Total 8 3 2 6_Table" xfId="9155"/>
    <cellStyle name="Total 8 3 2 7" xfId="3808"/>
    <cellStyle name="Total 8 3 2 7 2" xfId="13136"/>
    <cellStyle name="Total 8 3 2 7 3" xfId="17546"/>
    <cellStyle name="Total 8 3 2 7_Table" xfId="9156"/>
    <cellStyle name="Total 8 3 2 8" xfId="4033"/>
    <cellStyle name="Total 8 3 2 8 2" xfId="13361"/>
    <cellStyle name="Total 8 3 2 8 3" xfId="17771"/>
    <cellStyle name="Total 8 3 2 8_Table" xfId="9157"/>
    <cellStyle name="Total 8 3 2 9" xfId="4394"/>
    <cellStyle name="Total 8 3 2 9 2" xfId="13722"/>
    <cellStyle name="Total 8 3 2 9 3" xfId="18132"/>
    <cellStyle name="Total 8 3 2 9_Table" xfId="9158"/>
    <cellStyle name="Total 8 3 2_Table" xfId="9149"/>
    <cellStyle name="Total 8 3 3" xfId="1307"/>
    <cellStyle name="Total 8 3 3 2" xfId="10635"/>
    <cellStyle name="Total 8 3 3 3" xfId="15045"/>
    <cellStyle name="Total 8 3 3_Table" xfId="9159"/>
    <cellStyle name="Total 8 3 4" xfId="910"/>
    <cellStyle name="Total 8 3 4 2" xfId="10238"/>
    <cellStyle name="Total 8 3 4 3" xfId="14648"/>
    <cellStyle name="Total 8 3 4_Table" xfId="9160"/>
    <cellStyle name="Total 8 3 5" xfId="2095"/>
    <cellStyle name="Total 8 3 5 2" xfId="11423"/>
    <cellStyle name="Total 8 3 5 3" xfId="15833"/>
    <cellStyle name="Total 8 3 5_Table" xfId="9161"/>
    <cellStyle name="Total 8 3 6" xfId="2527"/>
    <cellStyle name="Total 8 3 6 2" xfId="11855"/>
    <cellStyle name="Total 8 3 6 3" xfId="16265"/>
    <cellStyle name="Total 8 3 6_Table" xfId="9162"/>
    <cellStyle name="Total 8 3 7" xfId="2955"/>
    <cellStyle name="Total 8 3 7 2" xfId="12283"/>
    <cellStyle name="Total 8 3 7 3" xfId="16693"/>
    <cellStyle name="Total 8 3 7_Table" xfId="9163"/>
    <cellStyle name="Total 8 3 8" xfId="3368"/>
    <cellStyle name="Total 8 3 8 2" xfId="12696"/>
    <cellStyle name="Total 8 3 8 3" xfId="17106"/>
    <cellStyle name="Total 8 3 8_Table" xfId="9164"/>
    <cellStyle name="Total 8 3 9" xfId="3316"/>
    <cellStyle name="Total 8 3 9 2" xfId="12644"/>
    <cellStyle name="Total 8 3 9 3" xfId="17054"/>
    <cellStyle name="Total 8 3 9_Table" xfId="9165"/>
    <cellStyle name="Total 8 3_Table" xfId="9146"/>
    <cellStyle name="Total 8 4" xfId="568"/>
    <cellStyle name="Total 8 4 10" xfId="4214"/>
    <cellStyle name="Total 8 4 10 2" xfId="13542"/>
    <cellStyle name="Total 8 4 10 3" xfId="17952"/>
    <cellStyle name="Total 8 4 10_Table" xfId="9167"/>
    <cellStyle name="Total 8 4 11" xfId="4575"/>
    <cellStyle name="Total 8 4 11 2" xfId="13903"/>
    <cellStyle name="Total 8 4 11 3" xfId="18313"/>
    <cellStyle name="Total 8 4 11_Table" xfId="9168"/>
    <cellStyle name="Total 8 4 12" xfId="9896"/>
    <cellStyle name="Total 8 4 13" xfId="14353"/>
    <cellStyle name="Total 8 4 2" xfId="840"/>
    <cellStyle name="Total 8 4 2 10" xfId="4800"/>
    <cellStyle name="Total 8 4 2 10 2" xfId="14128"/>
    <cellStyle name="Total 8 4 2 10 3" xfId="18538"/>
    <cellStyle name="Total 8 4 2 10_Table" xfId="9170"/>
    <cellStyle name="Total 8 4 2 11" xfId="10168"/>
    <cellStyle name="Total 8 4 2 12" xfId="14578"/>
    <cellStyle name="Total 8 4 2 2" xfId="1626"/>
    <cellStyle name="Total 8 4 2 2 2" xfId="10954"/>
    <cellStyle name="Total 8 4 2 2 3" xfId="15364"/>
    <cellStyle name="Total 8 4 2 2_Table" xfId="9171"/>
    <cellStyle name="Total 8 4 2 3" xfId="1986"/>
    <cellStyle name="Total 8 4 2 3 2" xfId="11314"/>
    <cellStyle name="Total 8 4 2 3 3" xfId="15724"/>
    <cellStyle name="Total 8 4 2 3_Table" xfId="9172"/>
    <cellStyle name="Total 8 4 2 4" xfId="2416"/>
    <cellStyle name="Total 8 4 2 4 2" xfId="11744"/>
    <cellStyle name="Total 8 4 2 4 3" xfId="16154"/>
    <cellStyle name="Total 8 4 2 4_Table" xfId="9173"/>
    <cellStyle name="Total 8 4 2 5" xfId="2854"/>
    <cellStyle name="Total 8 4 2 5 2" xfId="12182"/>
    <cellStyle name="Total 8 4 2 5 3" xfId="16592"/>
    <cellStyle name="Total 8 4 2 5_Table" xfId="9174"/>
    <cellStyle name="Total 8 4 2 6" xfId="3261"/>
    <cellStyle name="Total 8 4 2 6 2" xfId="12589"/>
    <cellStyle name="Total 8 4 2 6 3" xfId="16999"/>
    <cellStyle name="Total 8 4 2 6_Table" xfId="9175"/>
    <cellStyle name="Total 8 4 2 7" xfId="3853"/>
    <cellStyle name="Total 8 4 2 7 2" xfId="13181"/>
    <cellStyle name="Total 8 4 2 7 3" xfId="17591"/>
    <cellStyle name="Total 8 4 2 7_Table" xfId="9176"/>
    <cellStyle name="Total 8 4 2 8" xfId="4078"/>
    <cellStyle name="Total 8 4 2 8 2" xfId="13406"/>
    <cellStyle name="Total 8 4 2 8 3" xfId="17816"/>
    <cellStyle name="Total 8 4 2 8_Table" xfId="9177"/>
    <cellStyle name="Total 8 4 2 9" xfId="4439"/>
    <cellStyle name="Total 8 4 2 9 2" xfId="13767"/>
    <cellStyle name="Total 8 4 2 9 3" xfId="18177"/>
    <cellStyle name="Total 8 4 2 9_Table" xfId="9178"/>
    <cellStyle name="Total 8 4 2_Table" xfId="9169"/>
    <cellStyle name="Total 8 4 3" xfId="1363"/>
    <cellStyle name="Total 8 4 3 2" xfId="10691"/>
    <cellStyle name="Total 8 4 3 3" xfId="15101"/>
    <cellStyle name="Total 8 4 3_Table" xfId="9179"/>
    <cellStyle name="Total 8 4 4" xfId="1720"/>
    <cellStyle name="Total 8 4 4 2" xfId="11048"/>
    <cellStyle name="Total 8 4 4 3" xfId="15458"/>
    <cellStyle name="Total 8 4 4_Table" xfId="9180"/>
    <cellStyle name="Total 8 4 5" xfId="2154"/>
    <cellStyle name="Total 8 4 5 2" xfId="11482"/>
    <cellStyle name="Total 8 4 5 3" xfId="15892"/>
    <cellStyle name="Total 8 4 5_Table" xfId="9181"/>
    <cellStyle name="Total 8 4 6" xfId="2586"/>
    <cellStyle name="Total 8 4 6 2" xfId="11914"/>
    <cellStyle name="Total 8 4 6 3" xfId="16324"/>
    <cellStyle name="Total 8 4 6_Table" xfId="9182"/>
    <cellStyle name="Total 8 4 7" xfId="3012"/>
    <cellStyle name="Total 8 4 7 2" xfId="12340"/>
    <cellStyle name="Total 8 4 7 3" xfId="16750"/>
    <cellStyle name="Total 8 4 7_Table" xfId="9183"/>
    <cellStyle name="Total 8 4 8" xfId="3426"/>
    <cellStyle name="Total 8 4 8 2" xfId="12754"/>
    <cellStyle name="Total 8 4 8 3" xfId="17164"/>
    <cellStyle name="Total 8 4 8_Table" xfId="9184"/>
    <cellStyle name="Total 8 4 9" xfId="3630"/>
    <cellStyle name="Total 8 4 9 2" xfId="12958"/>
    <cellStyle name="Total 8 4 9 3" xfId="17368"/>
    <cellStyle name="Total 8 4 9_Table" xfId="9185"/>
    <cellStyle name="Total 8 4_Table" xfId="9166"/>
    <cellStyle name="Total 8 5" xfId="643"/>
    <cellStyle name="Total 8 5 10" xfId="4259"/>
    <cellStyle name="Total 8 5 10 2" xfId="13587"/>
    <cellStyle name="Total 8 5 10 3" xfId="17997"/>
    <cellStyle name="Total 8 5 10_Table" xfId="9187"/>
    <cellStyle name="Total 8 5 11" xfId="4620"/>
    <cellStyle name="Total 8 5 11 2" xfId="13948"/>
    <cellStyle name="Total 8 5 11 3" xfId="18358"/>
    <cellStyle name="Total 8 5 11_Table" xfId="9188"/>
    <cellStyle name="Total 8 5 12" xfId="9971"/>
    <cellStyle name="Total 8 5 13" xfId="14398"/>
    <cellStyle name="Total 8 5 2" xfId="885"/>
    <cellStyle name="Total 8 5 2 10" xfId="4845"/>
    <cellStyle name="Total 8 5 2 10 2" xfId="14173"/>
    <cellStyle name="Total 8 5 2 10 3" xfId="18583"/>
    <cellStyle name="Total 8 5 2 10_Table" xfId="9190"/>
    <cellStyle name="Total 8 5 2 11" xfId="10213"/>
    <cellStyle name="Total 8 5 2 12" xfId="14623"/>
    <cellStyle name="Total 8 5 2 2" xfId="1671"/>
    <cellStyle name="Total 8 5 2 2 2" xfId="10999"/>
    <cellStyle name="Total 8 5 2 2 3" xfId="15409"/>
    <cellStyle name="Total 8 5 2 2_Table" xfId="9191"/>
    <cellStyle name="Total 8 5 2 3" xfId="2031"/>
    <cellStyle name="Total 8 5 2 3 2" xfId="11359"/>
    <cellStyle name="Total 8 5 2 3 3" xfId="15769"/>
    <cellStyle name="Total 8 5 2 3_Table" xfId="9192"/>
    <cellStyle name="Total 8 5 2 4" xfId="2461"/>
    <cellStyle name="Total 8 5 2 4 2" xfId="11789"/>
    <cellStyle name="Total 8 5 2 4 3" xfId="16199"/>
    <cellStyle name="Total 8 5 2 4_Table" xfId="9193"/>
    <cellStyle name="Total 8 5 2 5" xfId="2899"/>
    <cellStyle name="Total 8 5 2 5 2" xfId="12227"/>
    <cellStyle name="Total 8 5 2 5 3" xfId="16637"/>
    <cellStyle name="Total 8 5 2 5_Table" xfId="9194"/>
    <cellStyle name="Total 8 5 2 6" xfId="3306"/>
    <cellStyle name="Total 8 5 2 6 2" xfId="12634"/>
    <cellStyle name="Total 8 5 2 6 3" xfId="17044"/>
    <cellStyle name="Total 8 5 2 6_Table" xfId="9195"/>
    <cellStyle name="Total 8 5 2 7" xfId="3898"/>
    <cellStyle name="Total 8 5 2 7 2" xfId="13226"/>
    <cellStyle name="Total 8 5 2 7 3" xfId="17636"/>
    <cellStyle name="Total 8 5 2 7_Table" xfId="9196"/>
    <cellStyle name="Total 8 5 2 8" xfId="4123"/>
    <cellStyle name="Total 8 5 2 8 2" xfId="13451"/>
    <cellStyle name="Total 8 5 2 8 3" xfId="17861"/>
    <cellStyle name="Total 8 5 2 8_Table" xfId="9197"/>
    <cellStyle name="Total 8 5 2 9" xfId="4484"/>
    <cellStyle name="Total 8 5 2 9 2" xfId="13812"/>
    <cellStyle name="Total 8 5 2 9 3" xfId="18222"/>
    <cellStyle name="Total 8 5 2 9_Table" xfId="9198"/>
    <cellStyle name="Total 8 5 2_Table" xfId="9189"/>
    <cellStyle name="Total 8 5 3" xfId="1430"/>
    <cellStyle name="Total 8 5 3 2" xfId="10758"/>
    <cellStyle name="Total 8 5 3 3" xfId="15168"/>
    <cellStyle name="Total 8 5 3_Table" xfId="9199"/>
    <cellStyle name="Total 8 5 4" xfId="1790"/>
    <cellStyle name="Total 8 5 4 2" xfId="11118"/>
    <cellStyle name="Total 8 5 4 3" xfId="15528"/>
    <cellStyle name="Total 8 5 4_Table" xfId="9200"/>
    <cellStyle name="Total 8 5 5" xfId="2223"/>
    <cellStyle name="Total 8 5 5 2" xfId="11551"/>
    <cellStyle name="Total 8 5 5 3" xfId="15961"/>
    <cellStyle name="Total 8 5 5_Table" xfId="9201"/>
    <cellStyle name="Total 8 5 6" xfId="2658"/>
    <cellStyle name="Total 8 5 6 2" xfId="11986"/>
    <cellStyle name="Total 8 5 6 3" xfId="16396"/>
    <cellStyle name="Total 8 5 6_Table" xfId="9202"/>
    <cellStyle name="Total 8 5 7" xfId="3071"/>
    <cellStyle name="Total 8 5 7 2" xfId="12399"/>
    <cellStyle name="Total 8 5 7 3" xfId="16809"/>
    <cellStyle name="Total 8 5 7_Table" xfId="9203"/>
    <cellStyle name="Total 8 5 8" xfId="3497"/>
    <cellStyle name="Total 8 5 8 2" xfId="12825"/>
    <cellStyle name="Total 8 5 8 3" xfId="17235"/>
    <cellStyle name="Total 8 5 8_Table" xfId="9204"/>
    <cellStyle name="Total 8 5 9" xfId="3641"/>
    <cellStyle name="Total 8 5 9 2" xfId="12969"/>
    <cellStyle name="Total 8 5 9 3" xfId="17379"/>
    <cellStyle name="Total 8 5 9_Table" xfId="9205"/>
    <cellStyle name="Total 8 5_Table" xfId="9186"/>
    <cellStyle name="Total 8 6" xfId="705"/>
    <cellStyle name="Total 8 6 10" xfId="4665"/>
    <cellStyle name="Total 8 6 10 2" xfId="13993"/>
    <cellStyle name="Total 8 6 10 3" xfId="18403"/>
    <cellStyle name="Total 8 6 10_Table" xfId="9207"/>
    <cellStyle name="Total 8 6 11" xfId="10033"/>
    <cellStyle name="Total 8 6 12" xfId="14443"/>
    <cellStyle name="Total 8 6 2" xfId="1491"/>
    <cellStyle name="Total 8 6 2 2" xfId="10819"/>
    <cellStyle name="Total 8 6 2 3" xfId="15229"/>
    <cellStyle name="Total 8 6 2_Table" xfId="9208"/>
    <cellStyle name="Total 8 6 3" xfId="1851"/>
    <cellStyle name="Total 8 6 3 2" xfId="11179"/>
    <cellStyle name="Total 8 6 3 3" xfId="15589"/>
    <cellStyle name="Total 8 6 3_Table" xfId="9209"/>
    <cellStyle name="Total 8 6 4" xfId="2281"/>
    <cellStyle name="Total 8 6 4 2" xfId="11609"/>
    <cellStyle name="Total 8 6 4 3" xfId="16019"/>
    <cellStyle name="Total 8 6 4_Table" xfId="9210"/>
    <cellStyle name="Total 8 6 5" xfId="2719"/>
    <cellStyle name="Total 8 6 5 2" xfId="12047"/>
    <cellStyle name="Total 8 6 5 3" xfId="16457"/>
    <cellStyle name="Total 8 6 5_Table" xfId="9211"/>
    <cellStyle name="Total 8 6 6" xfId="3126"/>
    <cellStyle name="Total 8 6 6 2" xfId="12454"/>
    <cellStyle name="Total 8 6 6 3" xfId="16864"/>
    <cellStyle name="Total 8 6 6_Table" xfId="9212"/>
    <cellStyle name="Total 8 6 7" xfId="3718"/>
    <cellStyle name="Total 8 6 7 2" xfId="13046"/>
    <cellStyle name="Total 8 6 7 3" xfId="17456"/>
    <cellStyle name="Total 8 6 7_Table" xfId="9213"/>
    <cellStyle name="Total 8 6 8" xfId="3943"/>
    <cellStyle name="Total 8 6 8 2" xfId="13271"/>
    <cellStyle name="Total 8 6 8 3" xfId="17681"/>
    <cellStyle name="Total 8 6 8_Table" xfId="9214"/>
    <cellStyle name="Total 8 6 9" xfId="4304"/>
    <cellStyle name="Total 8 6 9 2" xfId="13632"/>
    <cellStyle name="Total 8 6 9 3" xfId="18042"/>
    <cellStyle name="Total 8 6 9_Table" xfId="9215"/>
    <cellStyle name="Total 8 6_Table" xfId="9206"/>
    <cellStyle name="Total 8 7" xfId="1206"/>
    <cellStyle name="Total 8 7 2" xfId="10534"/>
    <cellStyle name="Total 8 7 3" xfId="14944"/>
    <cellStyle name="Total 8 7_Table" xfId="9216"/>
    <cellStyle name="Total 8 8" xfId="1036"/>
    <cellStyle name="Total 8 8 2" xfId="10364"/>
    <cellStyle name="Total 8 8 3" xfId="14774"/>
    <cellStyle name="Total 8 8_Table" xfId="9217"/>
    <cellStyle name="Total 8 9" xfId="1380"/>
    <cellStyle name="Total 8 9 2" xfId="10708"/>
    <cellStyle name="Total 8 9 3" xfId="15118"/>
    <cellStyle name="Total 8 9_Table" xfId="9218"/>
    <cellStyle name="Total 8_Table" xfId="9119"/>
    <cellStyle name="Total 9" xfId="375"/>
    <cellStyle name="Total 9 10" xfId="969"/>
    <cellStyle name="Total 9 10 2" xfId="10297"/>
    <cellStyle name="Total 9 10 3" xfId="14707"/>
    <cellStyle name="Total 9 10_Table" xfId="9220"/>
    <cellStyle name="Total 9 11" xfId="2039"/>
    <cellStyle name="Total 9 11 2" xfId="11367"/>
    <cellStyle name="Total 9 11 3" xfId="15777"/>
    <cellStyle name="Total 9 11_Table" xfId="9221"/>
    <cellStyle name="Total 9 12" xfId="2468"/>
    <cellStyle name="Total 9 12 2" xfId="11796"/>
    <cellStyle name="Total 9 12 3" xfId="16206"/>
    <cellStyle name="Total 9 12_Table" xfId="9222"/>
    <cellStyle name="Total 9 13" xfId="2044"/>
    <cellStyle name="Total 9 13 2" xfId="11372"/>
    <cellStyle name="Total 9 13 3" xfId="15782"/>
    <cellStyle name="Total 9 13_Table" xfId="9223"/>
    <cellStyle name="Total 9 14" xfId="2960"/>
    <cellStyle name="Total 9 14 2" xfId="12288"/>
    <cellStyle name="Total 9 14 3" xfId="16698"/>
    <cellStyle name="Total 9 14_Table" xfId="9224"/>
    <cellStyle name="Total 9 15" xfId="3510"/>
    <cellStyle name="Total 9 15 2" xfId="12838"/>
    <cellStyle name="Total 9 15 3" xfId="17248"/>
    <cellStyle name="Total 9 15_Table" xfId="9225"/>
    <cellStyle name="Total 9 16" xfId="9703"/>
    <cellStyle name="Total 9 17" xfId="14219"/>
    <cellStyle name="Total 9 2" xfId="437"/>
    <cellStyle name="Total 9 2 10" xfId="4125"/>
    <cellStyle name="Total 9 2 10 2" xfId="13453"/>
    <cellStyle name="Total 9 2 10 3" xfId="17863"/>
    <cellStyle name="Total 9 2 10_Table" xfId="9227"/>
    <cellStyle name="Total 9 2 11" xfId="4486"/>
    <cellStyle name="Total 9 2 11 2" xfId="13814"/>
    <cellStyle name="Total 9 2 11 3" xfId="18224"/>
    <cellStyle name="Total 9 2 11_Table" xfId="9228"/>
    <cellStyle name="Total 9 2 12" xfId="9765"/>
    <cellStyle name="Total 9 2 13" xfId="14264"/>
    <cellStyle name="Total 9 2 2" xfId="751"/>
    <cellStyle name="Total 9 2 2 10" xfId="4711"/>
    <cellStyle name="Total 9 2 2 10 2" xfId="14039"/>
    <cellStyle name="Total 9 2 2 10 3" xfId="18449"/>
    <cellStyle name="Total 9 2 2 10_Table" xfId="9230"/>
    <cellStyle name="Total 9 2 2 11" xfId="10079"/>
    <cellStyle name="Total 9 2 2 12" xfId="14489"/>
    <cellStyle name="Total 9 2 2 2" xfId="1537"/>
    <cellStyle name="Total 9 2 2 2 2" xfId="10865"/>
    <cellStyle name="Total 9 2 2 2 3" xfId="15275"/>
    <cellStyle name="Total 9 2 2 2_Table" xfId="9231"/>
    <cellStyle name="Total 9 2 2 3" xfId="1897"/>
    <cellStyle name="Total 9 2 2 3 2" xfId="11225"/>
    <cellStyle name="Total 9 2 2 3 3" xfId="15635"/>
    <cellStyle name="Total 9 2 2 3_Table" xfId="9232"/>
    <cellStyle name="Total 9 2 2 4" xfId="2327"/>
    <cellStyle name="Total 9 2 2 4 2" xfId="11655"/>
    <cellStyle name="Total 9 2 2 4 3" xfId="16065"/>
    <cellStyle name="Total 9 2 2 4_Table" xfId="9233"/>
    <cellStyle name="Total 9 2 2 5" xfId="2765"/>
    <cellStyle name="Total 9 2 2 5 2" xfId="12093"/>
    <cellStyle name="Total 9 2 2 5 3" xfId="16503"/>
    <cellStyle name="Total 9 2 2 5_Table" xfId="9234"/>
    <cellStyle name="Total 9 2 2 6" xfId="3172"/>
    <cellStyle name="Total 9 2 2 6 2" xfId="12500"/>
    <cellStyle name="Total 9 2 2 6 3" xfId="16910"/>
    <cellStyle name="Total 9 2 2 6_Table" xfId="9235"/>
    <cellStyle name="Total 9 2 2 7" xfId="3764"/>
    <cellStyle name="Total 9 2 2 7 2" xfId="13092"/>
    <cellStyle name="Total 9 2 2 7 3" xfId="17502"/>
    <cellStyle name="Total 9 2 2 7_Table" xfId="9236"/>
    <cellStyle name="Total 9 2 2 8" xfId="3989"/>
    <cellStyle name="Total 9 2 2 8 2" xfId="13317"/>
    <cellStyle name="Total 9 2 2 8 3" xfId="17727"/>
    <cellStyle name="Total 9 2 2 8_Table" xfId="9237"/>
    <cellStyle name="Total 9 2 2 9" xfId="4350"/>
    <cellStyle name="Total 9 2 2 9 2" xfId="13678"/>
    <cellStyle name="Total 9 2 2 9 3" xfId="18088"/>
    <cellStyle name="Total 9 2 2 9_Table" xfId="9238"/>
    <cellStyle name="Total 9 2 2_Table" xfId="9229"/>
    <cellStyle name="Total 9 2 3" xfId="1251"/>
    <cellStyle name="Total 9 2 3 2" xfId="10579"/>
    <cellStyle name="Total 9 2 3 3" xfId="14989"/>
    <cellStyle name="Total 9 2 3_Table" xfId="9239"/>
    <cellStyle name="Total 9 2 4" xfId="975"/>
    <cellStyle name="Total 9 2 4 2" xfId="10303"/>
    <cellStyle name="Total 9 2 4 3" xfId="14713"/>
    <cellStyle name="Total 9 2 4_Table" xfId="9240"/>
    <cellStyle name="Total 9 2 5" xfId="2033"/>
    <cellStyle name="Total 9 2 5 2" xfId="11361"/>
    <cellStyle name="Total 9 2 5 3" xfId="15771"/>
    <cellStyle name="Total 9 2 5_Table" xfId="9241"/>
    <cellStyle name="Total 9 2 6" xfId="2463"/>
    <cellStyle name="Total 9 2 6 2" xfId="11791"/>
    <cellStyle name="Total 9 2 6 3" xfId="16201"/>
    <cellStyle name="Total 9 2 6_Table" xfId="9242"/>
    <cellStyle name="Total 9 2 7" xfId="2901"/>
    <cellStyle name="Total 9 2 7 2" xfId="12229"/>
    <cellStyle name="Total 9 2 7 3" xfId="16639"/>
    <cellStyle name="Total 9 2 7_Table" xfId="9243"/>
    <cellStyle name="Total 9 2 8" xfId="3308"/>
    <cellStyle name="Total 9 2 8 2" xfId="12636"/>
    <cellStyle name="Total 9 2 8 3" xfId="17046"/>
    <cellStyle name="Total 9 2 8_Table" xfId="9244"/>
    <cellStyle name="Total 9 2 9" xfId="3506"/>
    <cellStyle name="Total 9 2 9 2" xfId="12834"/>
    <cellStyle name="Total 9 2 9 3" xfId="17244"/>
    <cellStyle name="Total 9 2 9_Table" xfId="9245"/>
    <cellStyle name="Total 9 2_Table" xfId="9226"/>
    <cellStyle name="Total 9 3" xfId="505"/>
    <cellStyle name="Total 9 3 10" xfId="4170"/>
    <cellStyle name="Total 9 3 10 2" xfId="13498"/>
    <cellStyle name="Total 9 3 10 3" xfId="17908"/>
    <cellStyle name="Total 9 3 10_Table" xfId="9247"/>
    <cellStyle name="Total 9 3 11" xfId="4531"/>
    <cellStyle name="Total 9 3 11 2" xfId="13859"/>
    <cellStyle name="Total 9 3 11 3" xfId="18269"/>
    <cellStyle name="Total 9 3 11_Table" xfId="9248"/>
    <cellStyle name="Total 9 3 12" xfId="9833"/>
    <cellStyle name="Total 9 3 13" xfId="14309"/>
    <cellStyle name="Total 9 3 2" xfId="796"/>
    <cellStyle name="Total 9 3 2 10" xfId="4756"/>
    <cellStyle name="Total 9 3 2 10 2" xfId="14084"/>
    <cellStyle name="Total 9 3 2 10 3" xfId="18494"/>
    <cellStyle name="Total 9 3 2 10_Table" xfId="9250"/>
    <cellStyle name="Total 9 3 2 11" xfId="10124"/>
    <cellStyle name="Total 9 3 2 12" xfId="14534"/>
    <cellStyle name="Total 9 3 2 2" xfId="1582"/>
    <cellStyle name="Total 9 3 2 2 2" xfId="10910"/>
    <cellStyle name="Total 9 3 2 2 3" xfId="15320"/>
    <cellStyle name="Total 9 3 2 2_Table" xfId="9251"/>
    <cellStyle name="Total 9 3 2 3" xfId="1942"/>
    <cellStyle name="Total 9 3 2 3 2" xfId="11270"/>
    <cellStyle name="Total 9 3 2 3 3" xfId="15680"/>
    <cellStyle name="Total 9 3 2 3_Table" xfId="9252"/>
    <cellStyle name="Total 9 3 2 4" xfId="2372"/>
    <cellStyle name="Total 9 3 2 4 2" xfId="11700"/>
    <cellStyle name="Total 9 3 2 4 3" xfId="16110"/>
    <cellStyle name="Total 9 3 2 4_Table" xfId="9253"/>
    <cellStyle name="Total 9 3 2 5" xfId="2810"/>
    <cellStyle name="Total 9 3 2 5 2" xfId="12138"/>
    <cellStyle name="Total 9 3 2 5 3" xfId="16548"/>
    <cellStyle name="Total 9 3 2 5_Table" xfId="9254"/>
    <cellStyle name="Total 9 3 2 6" xfId="3217"/>
    <cellStyle name="Total 9 3 2 6 2" xfId="12545"/>
    <cellStyle name="Total 9 3 2 6 3" xfId="16955"/>
    <cellStyle name="Total 9 3 2 6_Table" xfId="9255"/>
    <cellStyle name="Total 9 3 2 7" xfId="3809"/>
    <cellStyle name="Total 9 3 2 7 2" xfId="13137"/>
    <cellStyle name="Total 9 3 2 7 3" xfId="17547"/>
    <cellStyle name="Total 9 3 2 7_Table" xfId="9256"/>
    <cellStyle name="Total 9 3 2 8" xfId="4034"/>
    <cellStyle name="Total 9 3 2 8 2" xfId="13362"/>
    <cellStyle name="Total 9 3 2 8 3" xfId="17772"/>
    <cellStyle name="Total 9 3 2 8_Table" xfId="9257"/>
    <cellStyle name="Total 9 3 2 9" xfId="4395"/>
    <cellStyle name="Total 9 3 2 9 2" xfId="13723"/>
    <cellStyle name="Total 9 3 2 9 3" xfId="18133"/>
    <cellStyle name="Total 9 3 2 9_Table" xfId="9258"/>
    <cellStyle name="Total 9 3 2_Table" xfId="9249"/>
    <cellStyle name="Total 9 3 3" xfId="1308"/>
    <cellStyle name="Total 9 3 3 2" xfId="10636"/>
    <cellStyle name="Total 9 3 3 3" xfId="15046"/>
    <cellStyle name="Total 9 3 3_Table" xfId="9259"/>
    <cellStyle name="Total 9 3 4" xfId="909"/>
    <cellStyle name="Total 9 3 4 2" xfId="10237"/>
    <cellStyle name="Total 9 3 4 3" xfId="14647"/>
    <cellStyle name="Total 9 3 4_Table" xfId="9260"/>
    <cellStyle name="Total 9 3 5" xfId="2096"/>
    <cellStyle name="Total 9 3 5 2" xfId="11424"/>
    <cellStyle name="Total 9 3 5 3" xfId="15834"/>
    <cellStyle name="Total 9 3 5_Table" xfId="9261"/>
    <cellStyle name="Total 9 3 6" xfId="2528"/>
    <cellStyle name="Total 9 3 6 2" xfId="11856"/>
    <cellStyle name="Total 9 3 6 3" xfId="16266"/>
    <cellStyle name="Total 9 3 6_Table" xfId="9262"/>
    <cellStyle name="Total 9 3 7" xfId="2956"/>
    <cellStyle name="Total 9 3 7 2" xfId="12284"/>
    <cellStyle name="Total 9 3 7 3" xfId="16694"/>
    <cellStyle name="Total 9 3 7_Table" xfId="9263"/>
    <cellStyle name="Total 9 3 8" xfId="3369"/>
    <cellStyle name="Total 9 3 8 2" xfId="12697"/>
    <cellStyle name="Total 9 3 8 3" xfId="17107"/>
    <cellStyle name="Total 9 3 8_Table" xfId="9264"/>
    <cellStyle name="Total 9 3 9" xfId="3450"/>
    <cellStyle name="Total 9 3 9 2" xfId="12778"/>
    <cellStyle name="Total 9 3 9 3" xfId="17188"/>
    <cellStyle name="Total 9 3 9_Table" xfId="9265"/>
    <cellStyle name="Total 9 3_Table" xfId="9246"/>
    <cellStyle name="Total 9 4" xfId="569"/>
    <cellStyle name="Total 9 4 10" xfId="4215"/>
    <cellStyle name="Total 9 4 10 2" xfId="13543"/>
    <cellStyle name="Total 9 4 10 3" xfId="17953"/>
    <cellStyle name="Total 9 4 10_Table" xfId="9267"/>
    <cellStyle name="Total 9 4 11" xfId="4576"/>
    <cellStyle name="Total 9 4 11 2" xfId="13904"/>
    <cellStyle name="Total 9 4 11 3" xfId="18314"/>
    <cellStyle name="Total 9 4 11_Table" xfId="9268"/>
    <cellStyle name="Total 9 4 12" xfId="9897"/>
    <cellStyle name="Total 9 4 13" xfId="14354"/>
    <cellStyle name="Total 9 4 2" xfId="841"/>
    <cellStyle name="Total 9 4 2 10" xfId="4801"/>
    <cellStyle name="Total 9 4 2 10 2" xfId="14129"/>
    <cellStyle name="Total 9 4 2 10 3" xfId="18539"/>
    <cellStyle name="Total 9 4 2 10_Table" xfId="9270"/>
    <cellStyle name="Total 9 4 2 11" xfId="10169"/>
    <cellStyle name="Total 9 4 2 12" xfId="14579"/>
    <cellStyle name="Total 9 4 2 2" xfId="1627"/>
    <cellStyle name="Total 9 4 2 2 2" xfId="10955"/>
    <cellStyle name="Total 9 4 2 2 3" xfId="15365"/>
    <cellStyle name="Total 9 4 2 2_Table" xfId="9271"/>
    <cellStyle name="Total 9 4 2 3" xfId="1987"/>
    <cellStyle name="Total 9 4 2 3 2" xfId="11315"/>
    <cellStyle name="Total 9 4 2 3 3" xfId="15725"/>
    <cellStyle name="Total 9 4 2 3_Table" xfId="9272"/>
    <cellStyle name="Total 9 4 2 4" xfId="2417"/>
    <cellStyle name="Total 9 4 2 4 2" xfId="11745"/>
    <cellStyle name="Total 9 4 2 4 3" xfId="16155"/>
    <cellStyle name="Total 9 4 2 4_Table" xfId="9273"/>
    <cellStyle name="Total 9 4 2 5" xfId="2855"/>
    <cellStyle name="Total 9 4 2 5 2" xfId="12183"/>
    <cellStyle name="Total 9 4 2 5 3" xfId="16593"/>
    <cellStyle name="Total 9 4 2 5_Table" xfId="9274"/>
    <cellStyle name="Total 9 4 2 6" xfId="3262"/>
    <cellStyle name="Total 9 4 2 6 2" xfId="12590"/>
    <cellStyle name="Total 9 4 2 6 3" xfId="17000"/>
    <cellStyle name="Total 9 4 2 6_Table" xfId="9275"/>
    <cellStyle name="Total 9 4 2 7" xfId="3854"/>
    <cellStyle name="Total 9 4 2 7 2" xfId="13182"/>
    <cellStyle name="Total 9 4 2 7 3" xfId="17592"/>
    <cellStyle name="Total 9 4 2 7_Table" xfId="9276"/>
    <cellStyle name="Total 9 4 2 8" xfId="4079"/>
    <cellStyle name="Total 9 4 2 8 2" xfId="13407"/>
    <cellStyle name="Total 9 4 2 8 3" xfId="17817"/>
    <cellStyle name="Total 9 4 2 8_Table" xfId="9277"/>
    <cellStyle name="Total 9 4 2 9" xfId="4440"/>
    <cellStyle name="Total 9 4 2 9 2" xfId="13768"/>
    <cellStyle name="Total 9 4 2 9 3" xfId="18178"/>
    <cellStyle name="Total 9 4 2 9_Table" xfId="9278"/>
    <cellStyle name="Total 9 4 2_Table" xfId="9269"/>
    <cellStyle name="Total 9 4 3" xfId="1364"/>
    <cellStyle name="Total 9 4 3 2" xfId="10692"/>
    <cellStyle name="Total 9 4 3 3" xfId="15102"/>
    <cellStyle name="Total 9 4 3_Table" xfId="9279"/>
    <cellStyle name="Total 9 4 4" xfId="1721"/>
    <cellStyle name="Total 9 4 4 2" xfId="11049"/>
    <cellStyle name="Total 9 4 4 3" xfId="15459"/>
    <cellStyle name="Total 9 4 4_Table" xfId="9280"/>
    <cellStyle name="Total 9 4 5" xfId="2155"/>
    <cellStyle name="Total 9 4 5 2" xfId="11483"/>
    <cellStyle name="Total 9 4 5 3" xfId="15893"/>
    <cellStyle name="Total 9 4 5_Table" xfId="9281"/>
    <cellStyle name="Total 9 4 6" xfId="2587"/>
    <cellStyle name="Total 9 4 6 2" xfId="11915"/>
    <cellStyle name="Total 9 4 6 3" xfId="16325"/>
    <cellStyle name="Total 9 4 6_Table" xfId="9282"/>
    <cellStyle name="Total 9 4 7" xfId="3013"/>
    <cellStyle name="Total 9 4 7 2" xfId="12341"/>
    <cellStyle name="Total 9 4 7 3" xfId="16751"/>
    <cellStyle name="Total 9 4 7_Table" xfId="9283"/>
    <cellStyle name="Total 9 4 8" xfId="3427"/>
    <cellStyle name="Total 9 4 8 2" xfId="12755"/>
    <cellStyle name="Total 9 4 8 3" xfId="17165"/>
    <cellStyle name="Total 9 4 8_Table" xfId="9284"/>
    <cellStyle name="Total 9 4 9" xfId="3662"/>
    <cellStyle name="Total 9 4 9 2" xfId="12990"/>
    <cellStyle name="Total 9 4 9 3" xfId="17400"/>
    <cellStyle name="Total 9 4 9_Table" xfId="9285"/>
    <cellStyle name="Total 9 4_Table" xfId="9266"/>
    <cellStyle name="Total 9 5" xfId="644"/>
    <cellStyle name="Total 9 5 10" xfId="4260"/>
    <cellStyle name="Total 9 5 10 2" xfId="13588"/>
    <cellStyle name="Total 9 5 10 3" xfId="17998"/>
    <cellStyle name="Total 9 5 10_Table" xfId="9287"/>
    <cellStyle name="Total 9 5 11" xfId="4621"/>
    <cellStyle name="Total 9 5 11 2" xfId="13949"/>
    <cellStyle name="Total 9 5 11 3" xfId="18359"/>
    <cellStyle name="Total 9 5 11_Table" xfId="9288"/>
    <cellStyle name="Total 9 5 12" xfId="9972"/>
    <cellStyle name="Total 9 5 13" xfId="14399"/>
    <cellStyle name="Total 9 5 2" xfId="886"/>
    <cellStyle name="Total 9 5 2 10" xfId="4846"/>
    <cellStyle name="Total 9 5 2 10 2" xfId="14174"/>
    <cellStyle name="Total 9 5 2 10 3" xfId="18584"/>
    <cellStyle name="Total 9 5 2 10_Table" xfId="9290"/>
    <cellStyle name="Total 9 5 2 11" xfId="10214"/>
    <cellStyle name="Total 9 5 2 12" xfId="14624"/>
    <cellStyle name="Total 9 5 2 2" xfId="1672"/>
    <cellStyle name="Total 9 5 2 2 2" xfId="11000"/>
    <cellStyle name="Total 9 5 2 2 3" xfId="15410"/>
    <cellStyle name="Total 9 5 2 2_Table" xfId="9291"/>
    <cellStyle name="Total 9 5 2 3" xfId="2032"/>
    <cellStyle name="Total 9 5 2 3 2" xfId="11360"/>
    <cellStyle name="Total 9 5 2 3 3" xfId="15770"/>
    <cellStyle name="Total 9 5 2 3_Table" xfId="9292"/>
    <cellStyle name="Total 9 5 2 4" xfId="2462"/>
    <cellStyle name="Total 9 5 2 4 2" xfId="11790"/>
    <cellStyle name="Total 9 5 2 4 3" xfId="16200"/>
    <cellStyle name="Total 9 5 2 4_Table" xfId="9293"/>
    <cellStyle name="Total 9 5 2 5" xfId="2900"/>
    <cellStyle name="Total 9 5 2 5 2" xfId="12228"/>
    <cellStyle name="Total 9 5 2 5 3" xfId="16638"/>
    <cellStyle name="Total 9 5 2 5_Table" xfId="9294"/>
    <cellStyle name="Total 9 5 2 6" xfId="3307"/>
    <cellStyle name="Total 9 5 2 6 2" xfId="12635"/>
    <cellStyle name="Total 9 5 2 6 3" xfId="17045"/>
    <cellStyle name="Total 9 5 2 6_Table" xfId="9295"/>
    <cellStyle name="Total 9 5 2 7" xfId="3899"/>
    <cellStyle name="Total 9 5 2 7 2" xfId="13227"/>
    <cellStyle name="Total 9 5 2 7 3" xfId="17637"/>
    <cellStyle name="Total 9 5 2 7_Table" xfId="9296"/>
    <cellStyle name="Total 9 5 2 8" xfId="4124"/>
    <cellStyle name="Total 9 5 2 8 2" xfId="13452"/>
    <cellStyle name="Total 9 5 2 8 3" xfId="17862"/>
    <cellStyle name="Total 9 5 2 8_Table" xfId="9297"/>
    <cellStyle name="Total 9 5 2 9" xfId="4485"/>
    <cellStyle name="Total 9 5 2 9 2" xfId="13813"/>
    <cellStyle name="Total 9 5 2 9 3" xfId="18223"/>
    <cellStyle name="Total 9 5 2 9_Table" xfId="9298"/>
    <cellStyle name="Total 9 5 2_Table" xfId="9289"/>
    <cellStyle name="Total 9 5 3" xfId="1431"/>
    <cellStyle name="Total 9 5 3 2" xfId="10759"/>
    <cellStyle name="Total 9 5 3 3" xfId="15169"/>
    <cellStyle name="Total 9 5 3_Table" xfId="9299"/>
    <cellStyle name="Total 9 5 4" xfId="1791"/>
    <cellStyle name="Total 9 5 4 2" xfId="11119"/>
    <cellStyle name="Total 9 5 4 3" xfId="15529"/>
    <cellStyle name="Total 9 5 4_Table" xfId="9300"/>
    <cellStyle name="Total 9 5 5" xfId="2224"/>
    <cellStyle name="Total 9 5 5 2" xfId="11552"/>
    <cellStyle name="Total 9 5 5 3" xfId="15962"/>
    <cellStyle name="Total 9 5 5_Table" xfId="9301"/>
    <cellStyle name="Total 9 5 6" xfId="2659"/>
    <cellStyle name="Total 9 5 6 2" xfId="11987"/>
    <cellStyle name="Total 9 5 6 3" xfId="16397"/>
    <cellStyle name="Total 9 5 6_Table" xfId="9302"/>
    <cellStyle name="Total 9 5 7" xfId="3072"/>
    <cellStyle name="Total 9 5 7 2" xfId="12400"/>
    <cellStyle name="Total 9 5 7 3" xfId="16810"/>
    <cellStyle name="Total 9 5 7_Table" xfId="9303"/>
    <cellStyle name="Total 9 5 8" xfId="3498"/>
    <cellStyle name="Total 9 5 8 2" xfId="12826"/>
    <cellStyle name="Total 9 5 8 3" xfId="17236"/>
    <cellStyle name="Total 9 5 8_Table" xfId="9304"/>
    <cellStyle name="Total 9 5 9" xfId="3671"/>
    <cellStyle name="Total 9 5 9 2" xfId="12999"/>
    <cellStyle name="Total 9 5 9 3" xfId="17409"/>
    <cellStyle name="Total 9 5 9_Table" xfId="9305"/>
    <cellStyle name="Total 9 5_Table" xfId="9286"/>
    <cellStyle name="Total 9 6" xfId="706"/>
    <cellStyle name="Total 9 6 10" xfId="4666"/>
    <cellStyle name="Total 9 6 10 2" xfId="13994"/>
    <cellStyle name="Total 9 6 10 3" xfId="18404"/>
    <cellStyle name="Total 9 6 10_Table" xfId="9307"/>
    <cellStyle name="Total 9 6 11" xfId="10034"/>
    <cellStyle name="Total 9 6 12" xfId="14444"/>
    <cellStyle name="Total 9 6 2" xfId="1492"/>
    <cellStyle name="Total 9 6 2 2" xfId="10820"/>
    <cellStyle name="Total 9 6 2 3" xfId="15230"/>
    <cellStyle name="Total 9 6 2_Table" xfId="9308"/>
    <cellStyle name="Total 9 6 3" xfId="1852"/>
    <cellStyle name="Total 9 6 3 2" xfId="11180"/>
    <cellStyle name="Total 9 6 3 3" xfId="15590"/>
    <cellStyle name="Total 9 6 3_Table" xfId="9309"/>
    <cellStyle name="Total 9 6 4" xfId="2282"/>
    <cellStyle name="Total 9 6 4 2" xfId="11610"/>
    <cellStyle name="Total 9 6 4 3" xfId="16020"/>
    <cellStyle name="Total 9 6 4_Table" xfId="9310"/>
    <cellStyle name="Total 9 6 5" xfId="2720"/>
    <cellStyle name="Total 9 6 5 2" xfId="12048"/>
    <cellStyle name="Total 9 6 5 3" xfId="16458"/>
    <cellStyle name="Total 9 6 5_Table" xfId="9311"/>
    <cellStyle name="Total 9 6 6" xfId="3127"/>
    <cellStyle name="Total 9 6 6 2" xfId="12455"/>
    <cellStyle name="Total 9 6 6 3" xfId="16865"/>
    <cellStyle name="Total 9 6 6_Table" xfId="9312"/>
    <cellStyle name="Total 9 6 7" xfId="3719"/>
    <cellStyle name="Total 9 6 7 2" xfId="13047"/>
    <cellStyle name="Total 9 6 7 3" xfId="17457"/>
    <cellStyle name="Total 9 6 7_Table" xfId="9313"/>
    <cellStyle name="Total 9 6 8" xfId="3944"/>
    <cellStyle name="Total 9 6 8 2" xfId="13272"/>
    <cellStyle name="Total 9 6 8 3" xfId="17682"/>
    <cellStyle name="Total 9 6 8_Table" xfId="9314"/>
    <cellStyle name="Total 9 6 9" xfId="4305"/>
    <cellStyle name="Total 9 6 9 2" xfId="13633"/>
    <cellStyle name="Total 9 6 9 3" xfId="18043"/>
    <cellStyle name="Total 9 6 9_Table" xfId="9315"/>
    <cellStyle name="Total 9 6_Table" xfId="9306"/>
    <cellStyle name="Total 9 7" xfId="1207"/>
    <cellStyle name="Total 9 7 2" xfId="10535"/>
    <cellStyle name="Total 9 7 3" xfId="14945"/>
    <cellStyle name="Total 9 7_Table" xfId="9316"/>
    <cellStyle name="Total 9 8" xfId="1035"/>
    <cellStyle name="Total 9 8 2" xfId="10363"/>
    <cellStyle name="Total 9 8 3" xfId="14773"/>
    <cellStyle name="Total 9 8_Table" xfId="9317"/>
    <cellStyle name="Total 9 9" xfId="1445"/>
    <cellStyle name="Total 9 9 2" xfId="10773"/>
    <cellStyle name="Total 9 9 3" xfId="15183"/>
    <cellStyle name="Total 9 9_Table" xfId="9318"/>
    <cellStyle name="Total 9_Table" xfId="9219"/>
    <cellStyle name="Warning Text 10" xfId="376"/>
    <cellStyle name="Warning Text 10 2" xfId="9704"/>
    <cellStyle name="Warning Text 10_Table" xfId="9319"/>
    <cellStyle name="Warning Text 2" xfId="377"/>
    <cellStyle name="Warning Text 2 2" xfId="9705"/>
    <cellStyle name="Warning Text 2_Table" xfId="9320"/>
    <cellStyle name="Warning Text 3" xfId="378"/>
    <cellStyle name="Warning Text 3 2" xfId="9706"/>
    <cellStyle name="Warning Text 3_Table" xfId="9321"/>
    <cellStyle name="Warning Text 4" xfId="379"/>
    <cellStyle name="Warning Text 4 2" xfId="9707"/>
    <cellStyle name="Warning Text 4_Table" xfId="9322"/>
    <cellStyle name="Warning Text 5" xfId="380"/>
    <cellStyle name="Warning Text 5 2" xfId="9708"/>
    <cellStyle name="Warning Text 5_Table" xfId="9323"/>
    <cellStyle name="Warning Text 6" xfId="381"/>
    <cellStyle name="Warning Text 6 2" xfId="9709"/>
    <cellStyle name="Warning Text 6_Table" xfId="9324"/>
    <cellStyle name="Warning Text 7" xfId="382"/>
    <cellStyle name="Warning Text 7 2" xfId="9710"/>
    <cellStyle name="Warning Text 7_Table" xfId="9325"/>
    <cellStyle name="Warning Text 8" xfId="383"/>
    <cellStyle name="Warning Text 8 2" xfId="9711"/>
    <cellStyle name="Warning Text 8_Table" xfId="9326"/>
    <cellStyle name="Warning Text 9" xfId="384"/>
    <cellStyle name="Warning Text 9 2" xfId="9712"/>
    <cellStyle name="Warning Text 9_Table" xfId="9327"/>
  </cellStyles>
  <dxfs count="7122">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s>
  <tableStyles count="0" defaultTableStyle="TableStyleMedium9" defaultPivotStyle="PivotStyleLight16"/>
  <colors>
    <mruColors>
      <color rgb="FF00FF00"/>
      <color rgb="FF00CC00"/>
      <color rgb="FF99CCFF"/>
      <color rgb="FF96969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26"/>
          <c:y val="0.2131476176812454"/>
          <c:w val="0.74041511227620382"/>
          <c:h val="0.5439890510567611"/>
        </c:manualLayout>
      </c:layout>
      <c:lineChart>
        <c:grouping val="standard"/>
        <c:varyColors val="0"/>
        <c:ser>
          <c:idx val="0"/>
          <c:order val="0"/>
          <c:tx>
            <c:strRef>
              <c:f>'used space Charts'!$D$2</c:f>
              <c:strCache>
                <c:ptCount val="1"/>
                <c:pt idx="0">
                  <c:v>RDC T3 V-MAX 0552</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Charts'!$D$3:$D$91</c:f>
              <c:numCache>
                <c:formatCode>0.00%</c:formatCode>
                <c:ptCount val="89"/>
                <c:pt idx="0">
                  <c:v>0.56181141361722653</c:v>
                </c:pt>
                <c:pt idx="1">
                  <c:v>0.56142474555979505</c:v>
                </c:pt>
                <c:pt idx="2">
                  <c:v>0.5601345232788123</c:v>
                </c:pt>
                <c:pt idx="3">
                  <c:v>0.55985083382774126</c:v>
                </c:pt>
                <c:pt idx="4">
                  <c:v>0.55941433741239333</c:v>
                </c:pt>
                <c:pt idx="5">
                  <c:v>0.56324580594711404</c:v>
                </c:pt>
                <c:pt idx="6">
                  <c:v>0.57010285237452052</c:v>
                </c:pt>
                <c:pt idx="7">
                  <c:v>0.56992612779844354</c:v>
                </c:pt>
                <c:pt idx="8">
                  <c:v>0.56759999999999999</c:v>
                </c:pt>
                <c:pt idx="9">
                  <c:v>0.56642751269460467</c:v>
                </c:pt>
                <c:pt idx="10">
                  <c:v>0.56622687050672782</c:v>
                </c:pt>
                <c:pt idx="11">
                  <c:v>0.56566347787321936</c:v>
                </c:pt>
                <c:pt idx="12">
                  <c:v>0.56266381072665028</c:v>
                </c:pt>
                <c:pt idx="13">
                  <c:v>0.56197817252172022</c:v>
                </c:pt>
                <c:pt idx="14">
                  <c:v>0.56108126207922437</c:v>
                </c:pt>
                <c:pt idx="15">
                  <c:v>0.55869548030218574</c:v>
                </c:pt>
                <c:pt idx="16">
                  <c:v>0.55868817214302458</c:v>
                </c:pt>
                <c:pt idx="17">
                  <c:v>0.55868817214302458</c:v>
                </c:pt>
                <c:pt idx="18">
                  <c:v>0.55862106995436389</c:v>
                </c:pt>
                <c:pt idx="19">
                  <c:v>0.55846693423387572</c:v>
                </c:pt>
                <c:pt idx="20">
                  <c:v>0.55846693423387572</c:v>
                </c:pt>
                <c:pt idx="21">
                  <c:v>0.55821912120050465</c:v>
                </c:pt>
                <c:pt idx="22">
                  <c:v>0.54497607242252843</c:v>
                </c:pt>
                <c:pt idx="23">
                  <c:v>0.55350668729782138</c:v>
                </c:pt>
                <c:pt idx="24">
                  <c:v>0.55122056223661553</c:v>
                </c:pt>
                <c:pt idx="25">
                  <c:v>0.54974497846418369</c:v>
                </c:pt>
                <c:pt idx="26">
                  <c:v>0.54847335877015635</c:v>
                </c:pt>
                <c:pt idx="27">
                  <c:v>0.54823949767700186</c:v>
                </c:pt>
                <c:pt idx="28">
                  <c:v>0.54798902713120867</c:v>
                </c:pt>
                <c:pt idx="29">
                  <c:v>0.54532752844036569</c:v>
                </c:pt>
                <c:pt idx="30">
                  <c:v>0.5442685097401152</c:v>
                </c:pt>
                <c:pt idx="31">
                  <c:v>0.5441037439699381</c:v>
                </c:pt>
                <c:pt idx="32">
                  <c:v>0.54345198904839132</c:v>
                </c:pt>
                <c:pt idx="33">
                  <c:v>0.53848576270938708</c:v>
                </c:pt>
                <c:pt idx="34">
                  <c:v>0.53605281008685401</c:v>
                </c:pt>
                <c:pt idx="35">
                  <c:v>0.53605281008685401</c:v>
                </c:pt>
                <c:pt idx="36">
                  <c:v>0.53555718402011199</c:v>
                </c:pt>
                <c:pt idx="37">
                  <c:v>0.53444567944952281</c:v>
                </c:pt>
                <c:pt idx="38">
                  <c:v>0.53408226462578567</c:v>
                </c:pt>
                <c:pt idx="39">
                  <c:v>0.53335078433157246</c:v>
                </c:pt>
                <c:pt idx="40">
                  <c:v>0.53266647488285346</c:v>
                </c:pt>
                <c:pt idx="41">
                  <c:v>0.53555718402011199</c:v>
                </c:pt>
                <c:pt idx="42">
                  <c:v>0.53444567944952281</c:v>
                </c:pt>
                <c:pt idx="43">
                  <c:v>0.53408226462578567</c:v>
                </c:pt>
                <c:pt idx="44">
                  <c:v>0.53335078433157246</c:v>
                </c:pt>
                <c:pt idx="45">
                  <c:v>0.53266647488285346</c:v>
                </c:pt>
                <c:pt idx="46">
                  <c:v>0.53266647488285346</c:v>
                </c:pt>
                <c:pt idx="47">
                  <c:v>0.53199146672761233</c:v>
                </c:pt>
                <c:pt idx="48">
                  <c:v>0.53196024095665129</c:v>
                </c:pt>
                <c:pt idx="49">
                  <c:v>0.53181208463911311</c:v>
                </c:pt>
                <c:pt idx="50">
                  <c:v>0.53168703883579005</c:v>
                </c:pt>
                <c:pt idx="51">
                  <c:v>0.53166046355266361</c:v>
                </c:pt>
                <c:pt idx="52">
                  <c:v>0.53003937128195189</c:v>
                </c:pt>
                <c:pt idx="53">
                  <c:v>0.53001146723466908</c:v>
                </c:pt>
                <c:pt idx="54">
                  <c:v>0.52950985876565793</c:v>
                </c:pt>
                <c:pt idx="55">
                  <c:v>0.52901356535327193</c:v>
                </c:pt>
                <c:pt idx="56">
                  <c:v>0.52886673691399844</c:v>
                </c:pt>
                <c:pt idx="57">
                  <c:v>0.5273645690352774</c:v>
                </c:pt>
                <c:pt idx="58">
                  <c:v>0.52730676779447738</c:v>
                </c:pt>
                <c:pt idx="59">
                  <c:v>0.5269752411374754</c:v>
                </c:pt>
                <c:pt idx="60">
                  <c:v>0.52679851550468459</c:v>
                </c:pt>
                <c:pt idx="61">
                  <c:v>0.52549699101356806</c:v>
                </c:pt>
                <c:pt idx="62">
                  <c:v>0.52503059479469927</c:v>
                </c:pt>
                <c:pt idx="63">
                  <c:v>0.52485254039775231</c:v>
                </c:pt>
                <c:pt idx="64">
                  <c:v>0.5247867665720144</c:v>
                </c:pt>
                <c:pt idx="65">
                  <c:v>0.52454692464179853</c:v>
                </c:pt>
                <c:pt idx="66">
                  <c:v>0.52445989058955944</c:v>
                </c:pt>
                <c:pt idx="67">
                  <c:v>0.52393303560157811</c:v>
                </c:pt>
                <c:pt idx="68">
                  <c:v>0.52381676873789995</c:v>
                </c:pt>
                <c:pt idx="69">
                  <c:v>0.5236985087279874</c:v>
                </c:pt>
                <c:pt idx="70">
                  <c:v>0.52229599816099048</c:v>
                </c:pt>
                <c:pt idx="71">
                  <c:v>0.52229599816099048</c:v>
                </c:pt>
                <c:pt idx="72">
                  <c:v>0.52229599816099048</c:v>
                </c:pt>
                <c:pt idx="73">
                  <c:v>0.52217042994821805</c:v>
                </c:pt>
                <c:pt idx="74">
                  <c:v>0.52211661499988715</c:v>
                </c:pt>
                <c:pt idx="75">
                  <c:v>0.52192793048968944</c:v>
                </c:pt>
                <c:pt idx="76">
                  <c:v>0.52151933551162066</c:v>
                </c:pt>
                <c:pt idx="77">
                  <c:v>0.52124627447749683</c:v>
                </c:pt>
                <c:pt idx="78">
                  <c:v>0.52114196649122557</c:v>
                </c:pt>
                <c:pt idx="79">
                  <c:v>0.51864455425941991</c:v>
                </c:pt>
                <c:pt idx="80">
                  <c:v>0.51864455425941991</c:v>
                </c:pt>
                <c:pt idx="81">
                  <c:v>0.5170752837908047</c:v>
                </c:pt>
                <c:pt idx="82">
                  <c:v>0.51685138703046463</c:v>
                </c:pt>
                <c:pt idx="83">
                  <c:v>0.516699907916644</c:v>
                </c:pt>
                <c:pt idx="84">
                  <c:v>0.51653115486879131</c:v>
                </c:pt>
                <c:pt idx="85">
                  <c:v>0.51568207457290205</c:v>
                </c:pt>
                <c:pt idx="86">
                  <c:v>0.51552660916661242</c:v>
                </c:pt>
                <c:pt idx="87">
                  <c:v>0.51519707565584483</c:v>
                </c:pt>
                <c:pt idx="88">
                  <c:v>0.51493198720665867</c:v>
                </c:pt>
              </c:numCache>
            </c:numRef>
          </c:val>
          <c:smooth val="0"/>
        </c:ser>
        <c:dLbls>
          <c:showLegendKey val="0"/>
          <c:showVal val="0"/>
          <c:showCatName val="0"/>
          <c:showSerName val="0"/>
          <c:showPercent val="0"/>
          <c:showBubbleSize val="0"/>
        </c:dLbls>
        <c:marker val="1"/>
        <c:smooth val="0"/>
        <c:axId val="165943552"/>
        <c:axId val="166126336"/>
      </c:lineChart>
      <c:dateAx>
        <c:axId val="1659435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66126336"/>
        <c:crosses val="autoZero"/>
        <c:auto val="1"/>
        <c:lblOffset val="100"/>
        <c:baseTimeUnit val="days"/>
      </c:dateAx>
      <c:valAx>
        <c:axId val="16612633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659435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97647517437415"/>
        </c:manualLayout>
      </c:layout>
      <c:lineChart>
        <c:grouping val="standard"/>
        <c:varyColors val="0"/>
        <c:ser>
          <c:idx val="0"/>
          <c:order val="0"/>
          <c:tx>
            <c:strRef>
              <c:f>'used space Charts'!$O$2</c:f>
              <c:strCache>
                <c:ptCount val="1"/>
                <c:pt idx="0">
                  <c:v>FDC T3 V-MAX 2231</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Charts'!$O$3:$O$91</c:f>
              <c:numCache>
                <c:formatCode>0.00%</c:formatCode>
                <c:ptCount val="89"/>
                <c:pt idx="0">
                  <c:v>0.82018930186607486</c:v>
                </c:pt>
                <c:pt idx="1">
                  <c:v>0.81902391044231271</c:v>
                </c:pt>
                <c:pt idx="2">
                  <c:v>0.81713205065432848</c:v>
                </c:pt>
                <c:pt idx="3">
                  <c:v>0.81565521217511727</c:v>
                </c:pt>
                <c:pt idx="4">
                  <c:v>0.80929662217560971</c:v>
                </c:pt>
                <c:pt idx="5">
                  <c:v>0.82789471930653047</c:v>
                </c:pt>
                <c:pt idx="6">
                  <c:v>0.84565589301286626</c:v>
                </c:pt>
                <c:pt idx="7">
                  <c:v>0.8410754484113302</c:v>
                </c:pt>
                <c:pt idx="8">
                  <c:v>0.83979999999999999</c:v>
                </c:pt>
                <c:pt idx="9">
                  <c:v>0.83332005458290714</c:v>
                </c:pt>
                <c:pt idx="10">
                  <c:v>0.81769048246770359</c:v>
                </c:pt>
                <c:pt idx="11">
                  <c:v>0.80970874630247158</c:v>
                </c:pt>
                <c:pt idx="12">
                  <c:v>0.8071719013915164</c:v>
                </c:pt>
                <c:pt idx="13">
                  <c:v>0.80071191002511843</c:v>
                </c:pt>
                <c:pt idx="14">
                  <c:v>0.79081549876435187</c:v>
                </c:pt>
                <c:pt idx="15">
                  <c:v>0.78955413818978271</c:v>
                </c:pt>
                <c:pt idx="16">
                  <c:v>0.78829096687651912</c:v>
                </c:pt>
                <c:pt idx="17">
                  <c:v>0.78936410944497837</c:v>
                </c:pt>
                <c:pt idx="18">
                  <c:v>0.78001668147449732</c:v>
                </c:pt>
                <c:pt idx="19">
                  <c:v>0.77838878714801185</c:v>
                </c:pt>
                <c:pt idx="20">
                  <c:v>0.77496291998331845</c:v>
                </c:pt>
                <c:pt idx="21">
                  <c:v>0.76327573389421777</c:v>
                </c:pt>
                <c:pt idx="22">
                  <c:v>0.73959493028231582</c:v>
                </c:pt>
                <c:pt idx="23">
                  <c:v>0.73959493028231582</c:v>
                </c:pt>
                <c:pt idx="24">
                  <c:v>0.7376315932621349</c:v>
                </c:pt>
                <c:pt idx="25">
                  <c:v>0.7342390890464362</c:v>
                </c:pt>
                <c:pt idx="26">
                  <c:v>0.71264890935794456</c:v>
                </c:pt>
                <c:pt idx="27">
                  <c:v>0.69845116135700169</c:v>
                </c:pt>
                <c:pt idx="28">
                  <c:v>0.68345632898768838</c:v>
                </c:pt>
                <c:pt idx="29">
                  <c:v>0.65853928305923737</c:v>
                </c:pt>
                <c:pt idx="30">
                  <c:v>0.65033199760657101</c:v>
                </c:pt>
                <c:pt idx="31">
                  <c:v>0.65121539047342747</c:v>
                </c:pt>
                <c:pt idx="32">
                  <c:v>0.64565175608783165</c:v>
                </c:pt>
                <c:pt idx="33">
                  <c:v>0.61336113579082885</c:v>
                </c:pt>
                <c:pt idx="34">
                  <c:v>0.61153487697412556</c:v>
                </c:pt>
                <c:pt idx="35">
                  <c:v>0.60881325814581777</c:v>
                </c:pt>
                <c:pt idx="36">
                  <c:v>0.60618737647549459</c:v>
                </c:pt>
                <c:pt idx="37">
                  <c:v>0.60371743032764591</c:v>
                </c:pt>
                <c:pt idx="38">
                  <c:v>0.59821218110279051</c:v>
                </c:pt>
                <c:pt idx="39">
                  <c:v>0.59514967996953816</c:v>
                </c:pt>
                <c:pt idx="40">
                  <c:v>0.58513172925241608</c:v>
                </c:pt>
                <c:pt idx="41">
                  <c:v>0.60618737647549459</c:v>
                </c:pt>
                <c:pt idx="42">
                  <c:v>0.60371743032764591</c:v>
                </c:pt>
                <c:pt idx="43">
                  <c:v>0.59821218110279051</c:v>
                </c:pt>
                <c:pt idx="44">
                  <c:v>0.59514967996953816</c:v>
                </c:pt>
                <c:pt idx="45">
                  <c:v>0.58513172925241608</c:v>
                </c:pt>
                <c:pt idx="46">
                  <c:v>0.58513172925241608</c:v>
                </c:pt>
                <c:pt idx="47">
                  <c:v>0.58063861036064623</c:v>
                </c:pt>
                <c:pt idx="48">
                  <c:v>0.57952240213232764</c:v>
                </c:pt>
                <c:pt idx="49">
                  <c:v>0.58043625682217914</c:v>
                </c:pt>
                <c:pt idx="50">
                  <c:v>0.57929067469311524</c:v>
                </c:pt>
                <c:pt idx="51">
                  <c:v>0.57823974179978599</c:v>
                </c:pt>
                <c:pt idx="52">
                  <c:v>0.5713919965186488</c:v>
                </c:pt>
                <c:pt idx="53">
                  <c:v>0.5709452231147214</c:v>
                </c:pt>
                <c:pt idx="54">
                  <c:v>0.5679019419412159</c:v>
                </c:pt>
                <c:pt idx="55">
                  <c:v>0.56538086344762561</c:v>
                </c:pt>
                <c:pt idx="56">
                  <c:v>0.87670802860563657</c:v>
                </c:pt>
                <c:pt idx="57">
                  <c:v>0.87539798518495016</c:v>
                </c:pt>
                <c:pt idx="58">
                  <c:v>0.87552434317924632</c:v>
                </c:pt>
                <c:pt idx="59">
                  <c:v>0.86422975169804173</c:v>
                </c:pt>
                <c:pt idx="60">
                  <c:v>0.85670323493464218</c:v>
                </c:pt>
                <c:pt idx="61">
                  <c:v>0.8119980032037134</c:v>
                </c:pt>
                <c:pt idx="62">
                  <c:v>0.8119980032037134</c:v>
                </c:pt>
                <c:pt idx="63">
                  <c:v>0.78343826335385836</c:v>
                </c:pt>
                <c:pt idx="64">
                  <c:v>0.78337366778726747</c:v>
                </c:pt>
                <c:pt idx="65">
                  <c:v>0.77393704878721814</c:v>
                </c:pt>
                <c:pt idx="66">
                  <c:v>0.77272163220530954</c:v>
                </c:pt>
                <c:pt idx="67">
                  <c:v>0.75008371925406836</c:v>
                </c:pt>
                <c:pt idx="68">
                  <c:v>0.74971881096560733</c:v>
                </c:pt>
                <c:pt idx="69">
                  <c:v>0.74945759556035796</c:v>
                </c:pt>
                <c:pt idx="70">
                  <c:v>0.7472341481629643</c:v>
                </c:pt>
                <c:pt idx="71">
                  <c:v>0.748365137206083</c:v>
                </c:pt>
                <c:pt idx="72">
                  <c:v>0.74821894723958782</c:v>
                </c:pt>
                <c:pt idx="73">
                  <c:v>0.733386331918086</c:v>
                </c:pt>
                <c:pt idx="74">
                  <c:v>0.73305145490181178</c:v>
                </c:pt>
                <c:pt idx="75">
                  <c:v>0.73271091160776658</c:v>
                </c:pt>
                <c:pt idx="76">
                  <c:v>0.7297106175279503</c:v>
                </c:pt>
                <c:pt idx="77">
                  <c:v>0.72805493116322451</c:v>
                </c:pt>
                <c:pt idx="78">
                  <c:v>0.72522915843875913</c:v>
                </c:pt>
                <c:pt idx="79">
                  <c:v>0.72431688771760627</c:v>
                </c:pt>
                <c:pt idx="80">
                  <c:v>0.72431688771760627</c:v>
                </c:pt>
                <c:pt idx="81">
                  <c:v>0.69905435490277512</c:v>
                </c:pt>
                <c:pt idx="82">
                  <c:v>0.6309604284159297</c:v>
                </c:pt>
                <c:pt idx="83">
                  <c:v>0.62517742532270859</c:v>
                </c:pt>
                <c:pt idx="84">
                  <c:v>0.61680946631029554</c:v>
                </c:pt>
                <c:pt idx="85">
                  <c:v>0.61339383406985493</c:v>
                </c:pt>
                <c:pt idx="86">
                  <c:v>0.61196989846596861</c:v>
                </c:pt>
                <c:pt idx="87">
                  <c:v>0.61094883521160992</c:v>
                </c:pt>
                <c:pt idx="88">
                  <c:v>0.60886874464182605</c:v>
                </c:pt>
              </c:numCache>
            </c:numRef>
          </c:val>
          <c:smooth val="0"/>
        </c:ser>
        <c:dLbls>
          <c:showLegendKey val="0"/>
          <c:showVal val="0"/>
          <c:showCatName val="0"/>
          <c:showSerName val="0"/>
          <c:showPercent val="0"/>
          <c:showBubbleSize val="0"/>
        </c:dLbls>
        <c:marker val="1"/>
        <c:smooth val="0"/>
        <c:axId val="192038400"/>
        <c:axId val="192053248"/>
      </c:lineChart>
      <c:dateAx>
        <c:axId val="1920384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2053248"/>
        <c:crosses val="autoZero"/>
        <c:auto val="1"/>
        <c:lblOffset val="100"/>
        <c:baseTimeUnit val="days"/>
      </c:dateAx>
      <c:valAx>
        <c:axId val="192053248"/>
        <c:scaling>
          <c:orientation val="minMax"/>
        </c:scaling>
        <c:delete val="0"/>
        <c:axPos val="l"/>
        <c:majorGridlines/>
        <c:numFmt formatCode="0.00%" sourceLinked="0"/>
        <c:majorTickMark val="out"/>
        <c:minorTickMark val="none"/>
        <c:tickLblPos val="nextTo"/>
        <c:txPr>
          <a:bodyPr rot="0" vert="horz"/>
          <a:lstStyle/>
          <a:p>
            <a:pPr>
              <a:defRPr/>
            </a:pPr>
            <a:endParaRPr lang="en-US"/>
          </a:p>
        </c:txPr>
        <c:crossAx val="1920384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'used space Charts'!$E$2</c:f>
              <c:strCache>
                <c:ptCount val="1"/>
                <c:pt idx="0">
                  <c:v>RDC T4 V-MAX 0678</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Charts'!$E$3:$E$91</c:f>
              <c:numCache>
                <c:formatCode>0.00%</c:formatCode>
                <c:ptCount val="89"/>
                <c:pt idx="0">
                  <c:v>0.75977753699474948</c:v>
                </c:pt>
                <c:pt idx="1">
                  <c:v>0.7594484139455866</c:v>
                </c:pt>
                <c:pt idx="2">
                  <c:v>0.75893137756952256</c:v>
                </c:pt>
                <c:pt idx="3">
                  <c:v>0.81215590432464391</c:v>
                </c:pt>
                <c:pt idx="4">
                  <c:v>0.8110789741470823</c:v>
                </c:pt>
                <c:pt idx="5">
                  <c:v>0.80957292026101269</c:v>
                </c:pt>
                <c:pt idx="6">
                  <c:v>0.8321043875014561</c:v>
                </c:pt>
                <c:pt idx="7">
                  <c:v>0.8316417470884423</c:v>
                </c:pt>
                <c:pt idx="8">
                  <c:v>0.83040000000000003</c:v>
                </c:pt>
                <c:pt idx="9">
                  <c:v>0.8284939241357635</c:v>
                </c:pt>
                <c:pt idx="10">
                  <c:v>0.8271065523508947</c:v>
                </c:pt>
                <c:pt idx="11">
                  <c:v>0.82636863539759609</c:v>
                </c:pt>
                <c:pt idx="12">
                  <c:v>0.82532412301619573</c:v>
                </c:pt>
                <c:pt idx="13">
                  <c:v>0.82396367448576591</c:v>
                </c:pt>
                <c:pt idx="14">
                  <c:v>0.80805203111229307</c:v>
                </c:pt>
                <c:pt idx="15">
                  <c:v>0.86177326443910629</c:v>
                </c:pt>
                <c:pt idx="16">
                  <c:v>0.86158699947472184</c:v>
                </c:pt>
                <c:pt idx="17">
                  <c:v>0.86158699947472184</c:v>
                </c:pt>
                <c:pt idx="18">
                  <c:v>0.86091666538460687</c:v>
                </c:pt>
                <c:pt idx="19">
                  <c:v>0.85985731774055663</c:v>
                </c:pt>
                <c:pt idx="20">
                  <c:v>0.85985731774055663</c:v>
                </c:pt>
                <c:pt idx="21">
                  <c:v>0.86433207251915944</c:v>
                </c:pt>
                <c:pt idx="22">
                  <c:v>0.85508256098391866</c:v>
                </c:pt>
                <c:pt idx="23">
                  <c:v>0.85207265102846841</c:v>
                </c:pt>
                <c:pt idx="24">
                  <c:v>0.84885010230836699</c:v>
                </c:pt>
                <c:pt idx="25">
                  <c:v>0.8454050246485143</c:v>
                </c:pt>
                <c:pt idx="26">
                  <c:v>0.84271434756712682</c:v>
                </c:pt>
                <c:pt idx="27">
                  <c:v>0.84059620173319827</c:v>
                </c:pt>
                <c:pt idx="28">
                  <c:v>0.83704013433055602</c:v>
                </c:pt>
                <c:pt idx="29">
                  <c:v>0.82875381595922626</c:v>
                </c:pt>
                <c:pt idx="30">
                  <c:v>0.8265186363866136</c:v>
                </c:pt>
                <c:pt idx="31">
                  <c:v>0.82551478361395803</c:v>
                </c:pt>
                <c:pt idx="32">
                  <c:v>0.82154113104042448</c:v>
                </c:pt>
                <c:pt idx="33">
                  <c:v>0.81273722683885841</c:v>
                </c:pt>
                <c:pt idx="34">
                  <c:v>0.81115424936867719</c:v>
                </c:pt>
                <c:pt idx="35">
                  <c:v>0.80370584860999084</c:v>
                </c:pt>
                <c:pt idx="36">
                  <c:v>0.79981406470811911</c:v>
                </c:pt>
                <c:pt idx="37">
                  <c:v>0.79760196221073998</c:v>
                </c:pt>
                <c:pt idx="38">
                  <c:v>0.79704756295096457</c:v>
                </c:pt>
                <c:pt idx="39">
                  <c:v>0.79391402580676362</c:v>
                </c:pt>
                <c:pt idx="40">
                  <c:v>0.79000240662249777</c:v>
                </c:pt>
                <c:pt idx="41">
                  <c:v>0.79981406470811911</c:v>
                </c:pt>
                <c:pt idx="42">
                  <c:v>0.79760196221073998</c:v>
                </c:pt>
                <c:pt idx="43">
                  <c:v>0.79704756295096457</c:v>
                </c:pt>
                <c:pt idx="44">
                  <c:v>0.79391402580676362</c:v>
                </c:pt>
                <c:pt idx="45">
                  <c:v>0.79000240662249777</c:v>
                </c:pt>
                <c:pt idx="46">
                  <c:v>0.79000240662249777</c:v>
                </c:pt>
                <c:pt idx="47">
                  <c:v>0.78931283784749062</c:v>
                </c:pt>
                <c:pt idx="48">
                  <c:v>0.78846942105893603</c:v>
                </c:pt>
                <c:pt idx="49">
                  <c:v>0.88547334088653828</c:v>
                </c:pt>
                <c:pt idx="50">
                  <c:v>0.88431068946987279</c:v>
                </c:pt>
                <c:pt idx="51">
                  <c:v>0.88410629139473118</c:v>
                </c:pt>
                <c:pt idx="52">
                  <c:v>0.88314968642478098</c:v>
                </c:pt>
                <c:pt idx="53">
                  <c:v>0.88296946446605407</c:v>
                </c:pt>
                <c:pt idx="54">
                  <c:v>0.87609905174677949</c:v>
                </c:pt>
                <c:pt idx="55">
                  <c:v>0.87468804567967307</c:v>
                </c:pt>
                <c:pt idx="56">
                  <c:v>0.87133635681310428</c:v>
                </c:pt>
                <c:pt idx="57">
                  <c:v>0.86762037782874302</c:v>
                </c:pt>
                <c:pt idx="58">
                  <c:v>0.86698960097319866</c:v>
                </c:pt>
                <c:pt idx="59">
                  <c:v>0.86663904728518704</c:v>
                </c:pt>
                <c:pt idx="60">
                  <c:v>0.86588464256161346</c:v>
                </c:pt>
                <c:pt idx="61">
                  <c:v>0.86532749296969536</c:v>
                </c:pt>
                <c:pt idx="62">
                  <c:v>0.8645708904173568</c:v>
                </c:pt>
                <c:pt idx="63">
                  <c:v>0.86976106304581713</c:v>
                </c:pt>
                <c:pt idx="64">
                  <c:v>0.86937534409756601</c:v>
                </c:pt>
                <c:pt idx="65">
                  <c:v>0.86600991880121625</c:v>
                </c:pt>
                <c:pt idx="66">
                  <c:v>0.86579892723977991</c:v>
                </c:pt>
                <c:pt idx="67">
                  <c:v>0.86513738078152602</c:v>
                </c:pt>
                <c:pt idx="68">
                  <c:v>0.86459671490534518</c:v>
                </c:pt>
                <c:pt idx="69">
                  <c:v>0.86085491143299542</c:v>
                </c:pt>
                <c:pt idx="70">
                  <c:v>0.8597735796806335</c:v>
                </c:pt>
                <c:pt idx="71">
                  <c:v>0.85957797292055182</c:v>
                </c:pt>
                <c:pt idx="72">
                  <c:v>0.85947302659702496</c:v>
                </c:pt>
                <c:pt idx="73">
                  <c:v>0.8568235440208618</c:v>
                </c:pt>
                <c:pt idx="74">
                  <c:v>0.85565924423262263</c:v>
                </c:pt>
                <c:pt idx="75">
                  <c:v>0.85540649392465196</c:v>
                </c:pt>
                <c:pt idx="76">
                  <c:v>0.85001961562172745</c:v>
                </c:pt>
                <c:pt idx="77">
                  <c:v>0.84873443525141512</c:v>
                </c:pt>
                <c:pt idx="78">
                  <c:v>0.84820805526220655</c:v>
                </c:pt>
                <c:pt idx="79">
                  <c:v>0.8468465003423119</c:v>
                </c:pt>
                <c:pt idx="80">
                  <c:v>0.8468465003423119</c:v>
                </c:pt>
                <c:pt idx="81">
                  <c:v>0.84355854850992706</c:v>
                </c:pt>
                <c:pt idx="82">
                  <c:v>0.84262666911358286</c:v>
                </c:pt>
                <c:pt idx="83">
                  <c:v>0.89517785379823278</c:v>
                </c:pt>
                <c:pt idx="84">
                  <c:v>0.89402674098258328</c:v>
                </c:pt>
                <c:pt idx="85">
                  <c:v>0.89261463600109459</c:v>
                </c:pt>
                <c:pt idx="86">
                  <c:v>0.89201957386298081</c:v>
                </c:pt>
                <c:pt idx="87">
                  <c:v>0.88960196222152144</c:v>
                </c:pt>
                <c:pt idx="88">
                  <c:v>0.88875140248948059</c:v>
                </c:pt>
              </c:numCache>
            </c:numRef>
          </c:val>
          <c:smooth val="0"/>
        </c:ser>
        <c:dLbls>
          <c:showLegendKey val="0"/>
          <c:showVal val="0"/>
          <c:showCatName val="0"/>
          <c:showSerName val="0"/>
          <c:showPercent val="0"/>
          <c:showBubbleSize val="0"/>
        </c:dLbls>
        <c:marker val="1"/>
        <c:smooth val="0"/>
        <c:axId val="198626688"/>
        <c:axId val="198890624"/>
      </c:lineChart>
      <c:dateAx>
        <c:axId val="1986266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8890624"/>
        <c:crosses val="autoZero"/>
        <c:auto val="1"/>
        <c:lblOffset val="100"/>
        <c:baseTimeUnit val="days"/>
      </c:dateAx>
      <c:valAx>
        <c:axId val="1988906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86266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Charts'!$G$2</c:f>
              <c:strCache>
                <c:ptCount val="1"/>
                <c:pt idx="0">
                  <c:v>RDC T4 V-MAX 3073</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Charts'!$G$3:$G$91</c:f>
              <c:numCache>
                <c:formatCode>0.00%</c:formatCode>
                <c:ptCount val="89"/>
                <c:pt idx="0">
                  <c:v>0.55547733661955567</c:v>
                </c:pt>
                <c:pt idx="1">
                  <c:v>0.55368377812865044</c:v>
                </c:pt>
                <c:pt idx="2">
                  <c:v>0.55158059588452013</c:v>
                </c:pt>
                <c:pt idx="3">
                  <c:v>0.55006559607707217</c:v>
                </c:pt>
                <c:pt idx="4">
                  <c:v>0.54898525051026303</c:v>
                </c:pt>
                <c:pt idx="5">
                  <c:v>0.54726922632572117</c:v>
                </c:pt>
                <c:pt idx="6">
                  <c:v>0.54451881233873756</c:v>
                </c:pt>
                <c:pt idx="7">
                  <c:v>0.54150832466848953</c:v>
                </c:pt>
                <c:pt idx="8">
                  <c:v>0.54020000000000001</c:v>
                </c:pt>
                <c:pt idx="9">
                  <c:v>0.53690812698168189</c:v>
                </c:pt>
                <c:pt idx="10">
                  <c:v>0.53466451008331084</c:v>
                </c:pt>
                <c:pt idx="11">
                  <c:v>0.53042399969191667</c:v>
                </c:pt>
                <c:pt idx="12">
                  <c:v>0.52918011322062619</c:v>
                </c:pt>
                <c:pt idx="13">
                  <c:v>0.52777242910874056</c:v>
                </c:pt>
                <c:pt idx="14">
                  <c:v>0.52144670800118098</c:v>
                </c:pt>
                <c:pt idx="15">
                  <c:v>0.52003363243090595</c:v>
                </c:pt>
                <c:pt idx="16">
                  <c:v>0.51952734881452101</c:v>
                </c:pt>
                <c:pt idx="17">
                  <c:v>0.51954069909243783</c:v>
                </c:pt>
                <c:pt idx="18">
                  <c:v>0.50540781289141468</c:v>
                </c:pt>
                <c:pt idx="19">
                  <c:v>0.50595423244324467</c:v>
                </c:pt>
                <c:pt idx="20">
                  <c:v>0.50595423244324467</c:v>
                </c:pt>
                <c:pt idx="21">
                  <c:v>0.50687527481800521</c:v>
                </c:pt>
                <c:pt idx="22">
                  <c:v>0.44305619569388099</c:v>
                </c:pt>
                <c:pt idx="23">
                  <c:v>0.4763075660944398</c:v>
                </c:pt>
                <c:pt idx="24">
                  <c:v>0.48619609499223887</c:v>
                </c:pt>
                <c:pt idx="25">
                  <c:v>0.47801872205938112</c:v>
                </c:pt>
                <c:pt idx="26">
                  <c:v>0.49603694462166503</c:v>
                </c:pt>
                <c:pt idx="27">
                  <c:v>0.49594082927113536</c:v>
                </c:pt>
                <c:pt idx="28">
                  <c:v>0.48727606826157605</c:v>
                </c:pt>
                <c:pt idx="29">
                  <c:v>0.48444255745541048</c:v>
                </c:pt>
                <c:pt idx="30">
                  <c:v>0.45500628533847365</c:v>
                </c:pt>
                <c:pt idx="31">
                  <c:v>0.44316820413386826</c:v>
                </c:pt>
                <c:pt idx="32">
                  <c:v>0.44491493034664342</c:v>
                </c:pt>
                <c:pt idx="33">
                  <c:v>0.453779490195099</c:v>
                </c:pt>
                <c:pt idx="34">
                  <c:v>0.44502466834527965</c:v>
                </c:pt>
                <c:pt idx="35">
                  <c:v>0.42956069230297678</c:v>
                </c:pt>
                <c:pt idx="36">
                  <c:v>0.43069061528203806</c:v>
                </c:pt>
                <c:pt idx="37">
                  <c:v>0.42905211344033167</c:v>
                </c:pt>
                <c:pt idx="38">
                  <c:v>0.44968437081150875</c:v>
                </c:pt>
                <c:pt idx="39">
                  <c:v>0.45318160730597756</c:v>
                </c:pt>
                <c:pt idx="40">
                  <c:v>0.44421412078293904</c:v>
                </c:pt>
                <c:pt idx="41">
                  <c:v>0.43069061528203806</c:v>
                </c:pt>
                <c:pt idx="42">
                  <c:v>0.42905211344033167</c:v>
                </c:pt>
                <c:pt idx="43">
                  <c:v>0.44968437081150875</c:v>
                </c:pt>
                <c:pt idx="44">
                  <c:v>0.45318160730597756</c:v>
                </c:pt>
                <c:pt idx="45">
                  <c:v>0.44421412078293904</c:v>
                </c:pt>
                <c:pt idx="46">
                  <c:v>0.44421412078293904</c:v>
                </c:pt>
                <c:pt idx="47">
                  <c:v>0.43361872781116589</c:v>
                </c:pt>
                <c:pt idx="48">
                  <c:v>0.43301479041177482</c:v>
                </c:pt>
                <c:pt idx="49">
                  <c:v>0.41639970060446718</c:v>
                </c:pt>
                <c:pt idx="50">
                  <c:v>0.39464701964701965</c:v>
                </c:pt>
                <c:pt idx="51">
                  <c:v>0.40575182393364212</c:v>
                </c:pt>
                <c:pt idx="52">
                  <c:v>0.41163760481942302</c:v>
                </c:pt>
                <c:pt idx="53">
                  <c:v>0.41622090031180942</c:v>
                </c:pt>
                <c:pt idx="54">
                  <c:v>0.42291950473768652</c:v>
                </c:pt>
                <c:pt idx="55">
                  <c:v>0.42195229013410834</c:v>
                </c:pt>
                <c:pt idx="56">
                  <c:v>0.38604955650410194</c:v>
                </c:pt>
                <c:pt idx="57">
                  <c:v>0.38434292979747525</c:v>
                </c:pt>
                <c:pt idx="58">
                  <c:v>0.38990025126388766</c:v>
                </c:pt>
                <c:pt idx="59">
                  <c:v>0.37599597372324645</c:v>
                </c:pt>
                <c:pt idx="60">
                  <c:v>0.40295840523113247</c:v>
                </c:pt>
                <c:pt idx="61">
                  <c:v>0.38223367541549363</c:v>
                </c:pt>
                <c:pt idx="62">
                  <c:v>0.3913798322889232</c:v>
                </c:pt>
                <c:pt idx="63">
                  <c:v>0.38039233493778946</c:v>
                </c:pt>
                <c:pt idx="64">
                  <c:v>0.3840265794811249</c:v>
                </c:pt>
                <c:pt idx="65">
                  <c:v>0.36703296703296706</c:v>
                </c:pt>
                <c:pt idx="66">
                  <c:v>0.36941164895710349</c:v>
                </c:pt>
                <c:pt idx="67">
                  <c:v>0.34652014652014651</c:v>
                </c:pt>
                <c:pt idx="68">
                  <c:v>0.3491236036690582</c:v>
                </c:pt>
                <c:pt idx="69">
                  <c:v>0.35431992250174066</c:v>
                </c:pt>
                <c:pt idx="70">
                  <c:v>0.34593285502376414</c:v>
                </c:pt>
                <c:pt idx="71">
                  <c:v>0.35446825901371354</c:v>
                </c:pt>
                <c:pt idx="72">
                  <c:v>0.35642312233221324</c:v>
                </c:pt>
                <c:pt idx="73">
                  <c:v>0.33045515090969635</c:v>
                </c:pt>
                <c:pt idx="74">
                  <c:v>0.33626222262585898</c:v>
                </c:pt>
                <c:pt idx="75">
                  <c:v>0.3424302969757515</c:v>
                </c:pt>
                <c:pt idx="76">
                  <c:v>0.29948006538915634</c:v>
                </c:pt>
                <c:pt idx="77">
                  <c:v>0.31367798867798868</c:v>
                </c:pt>
                <c:pt idx="78">
                  <c:v>0.30419504737686559</c:v>
                </c:pt>
                <c:pt idx="79">
                  <c:v>0.3045053431417068</c:v>
                </c:pt>
                <c:pt idx="80">
                  <c:v>0.3045053431417068</c:v>
                </c:pt>
                <c:pt idx="81">
                  <c:v>0.29005388550843098</c:v>
                </c:pt>
                <c:pt idx="82">
                  <c:v>0.28605258377985648</c:v>
                </c:pt>
                <c:pt idx="83">
                  <c:v>0.29125495716404809</c:v>
                </c:pt>
                <c:pt idx="84">
                  <c:v>0.26442723942723945</c:v>
                </c:pt>
                <c:pt idx="85">
                  <c:v>0.25068794841522113</c:v>
                </c:pt>
                <c:pt idx="86">
                  <c:v>0.26121000211909301</c:v>
                </c:pt>
                <c:pt idx="87">
                  <c:v>0.24044137680501318</c:v>
                </c:pt>
                <c:pt idx="88">
                  <c:v>0.23468955287137105</c:v>
                </c:pt>
              </c:numCache>
            </c:numRef>
          </c:val>
          <c:smooth val="0"/>
        </c:ser>
        <c:dLbls>
          <c:showLegendKey val="0"/>
          <c:showVal val="0"/>
          <c:showCatName val="0"/>
          <c:showSerName val="0"/>
          <c:showPercent val="0"/>
          <c:showBubbleSize val="0"/>
        </c:dLbls>
        <c:marker val="1"/>
        <c:smooth val="0"/>
        <c:axId val="270142080"/>
        <c:axId val="270147968"/>
      </c:lineChart>
      <c:dateAx>
        <c:axId val="2701420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147968"/>
        <c:crosses val="autoZero"/>
        <c:auto val="1"/>
        <c:lblOffset val="100"/>
        <c:baseTimeUnit val="days"/>
      </c:dateAx>
      <c:valAx>
        <c:axId val="27014796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1420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756513880323586"/>
        </c:manualLayout>
      </c:layout>
      <c:lineChart>
        <c:grouping val="standard"/>
        <c:varyColors val="0"/>
        <c:ser>
          <c:idx val="0"/>
          <c:order val="0"/>
          <c:tx>
            <c:strRef>
              <c:f>'used space Charts'!$H$2</c:f>
              <c:strCache>
                <c:ptCount val="1"/>
                <c:pt idx="0">
                  <c:v>RDC T3 V-MAX 2230</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Charts'!$H$3:$H$91</c:f>
              <c:numCache>
                <c:formatCode>0.00%</c:formatCode>
                <c:ptCount val="89"/>
                <c:pt idx="0">
                  <c:v>0.71175603501661577</c:v>
                </c:pt>
                <c:pt idx="1">
                  <c:v>0.71062505996493686</c:v>
                </c:pt>
                <c:pt idx="2">
                  <c:v>0.70945628883183942</c:v>
                </c:pt>
                <c:pt idx="3">
                  <c:v>0.70824390683556671</c:v>
                </c:pt>
                <c:pt idx="4">
                  <c:v>0.70301990690534411</c:v>
                </c:pt>
                <c:pt idx="5">
                  <c:v>0.71789818898622182</c:v>
                </c:pt>
                <c:pt idx="6">
                  <c:v>0.7321356821175109</c:v>
                </c:pt>
                <c:pt idx="7">
                  <c:v>0.7279792761178191</c:v>
                </c:pt>
                <c:pt idx="8">
                  <c:v>0.72689999999999999</c:v>
                </c:pt>
                <c:pt idx="9">
                  <c:v>0.72578477748283909</c:v>
                </c:pt>
                <c:pt idx="10">
                  <c:v>0.71225494329134087</c:v>
                </c:pt>
                <c:pt idx="11">
                  <c:v>0.70575110989646783</c:v>
                </c:pt>
                <c:pt idx="12">
                  <c:v>0.70290128535750729</c:v>
                </c:pt>
                <c:pt idx="13">
                  <c:v>0.69767147064552792</c:v>
                </c:pt>
                <c:pt idx="14">
                  <c:v>0.6887888100339874</c:v>
                </c:pt>
                <c:pt idx="15">
                  <c:v>0.6877875046154831</c:v>
                </c:pt>
                <c:pt idx="16">
                  <c:v>0.68673037729211428</c:v>
                </c:pt>
                <c:pt idx="17">
                  <c:v>0.69077479724347046</c:v>
                </c:pt>
                <c:pt idx="18">
                  <c:v>0.68622893326610857</c:v>
                </c:pt>
                <c:pt idx="19">
                  <c:v>0.68218550072937367</c:v>
                </c:pt>
                <c:pt idx="20">
                  <c:v>0.68218550072937367</c:v>
                </c:pt>
                <c:pt idx="21">
                  <c:v>0.67269779362994131</c:v>
                </c:pt>
                <c:pt idx="22">
                  <c:v>0.64884429070601268</c:v>
                </c:pt>
                <c:pt idx="23">
                  <c:v>0.64653743435929167</c:v>
                </c:pt>
                <c:pt idx="24">
                  <c:v>0.64493948011506197</c:v>
                </c:pt>
                <c:pt idx="25">
                  <c:v>0.64220564477921671</c:v>
                </c:pt>
                <c:pt idx="26">
                  <c:v>0.62494399556409774</c:v>
                </c:pt>
                <c:pt idx="27">
                  <c:v>0.61472516005863065</c:v>
                </c:pt>
                <c:pt idx="28">
                  <c:v>0.61167957157045205</c:v>
                </c:pt>
                <c:pt idx="29">
                  <c:v>0.59180574678625197</c:v>
                </c:pt>
                <c:pt idx="30">
                  <c:v>0.58173430676744153</c:v>
                </c:pt>
                <c:pt idx="31">
                  <c:v>0.57380068620787672</c:v>
                </c:pt>
                <c:pt idx="32">
                  <c:v>0.56977831016923575</c:v>
                </c:pt>
                <c:pt idx="33">
                  <c:v>0.54729581923230342</c:v>
                </c:pt>
                <c:pt idx="34">
                  <c:v>0.54581192101941522</c:v>
                </c:pt>
                <c:pt idx="35">
                  <c:v>0.54196092147914876</c:v>
                </c:pt>
                <c:pt idx="36">
                  <c:v>0.53964704629972982</c:v>
                </c:pt>
                <c:pt idx="37">
                  <c:v>0.53736885018652547</c:v>
                </c:pt>
                <c:pt idx="38">
                  <c:v>0.53295107990590085</c:v>
                </c:pt>
                <c:pt idx="39">
                  <c:v>0.5273272402066812</c:v>
                </c:pt>
                <c:pt idx="40">
                  <c:v>0.51803547552006624</c:v>
                </c:pt>
                <c:pt idx="41">
                  <c:v>0.53964704629972982</c:v>
                </c:pt>
                <c:pt idx="42">
                  <c:v>0.53736885018652547</c:v>
                </c:pt>
                <c:pt idx="43">
                  <c:v>0.53295107990590085</c:v>
                </c:pt>
                <c:pt idx="44">
                  <c:v>0.5273272402066812</c:v>
                </c:pt>
                <c:pt idx="45">
                  <c:v>0.51803547552006624</c:v>
                </c:pt>
                <c:pt idx="46">
                  <c:v>0.51803547552006624</c:v>
                </c:pt>
                <c:pt idx="47">
                  <c:v>0.51447283302313984</c:v>
                </c:pt>
                <c:pt idx="48">
                  <c:v>0.51353640376069054</c:v>
                </c:pt>
                <c:pt idx="49">
                  <c:v>0.51215193901102307</c:v>
                </c:pt>
                <c:pt idx="50">
                  <c:v>0.51095347332785079</c:v>
                </c:pt>
                <c:pt idx="51">
                  <c:v>0.5093449908345743</c:v>
                </c:pt>
                <c:pt idx="52">
                  <c:v>0.50634385495348266</c:v>
                </c:pt>
                <c:pt idx="53">
                  <c:v>0.50506876701335801</c:v>
                </c:pt>
                <c:pt idx="54">
                  <c:v>0.50159912404967921</c:v>
                </c:pt>
                <c:pt idx="55">
                  <c:v>0.49927998474573693</c:v>
                </c:pt>
                <c:pt idx="56">
                  <c:v>0.69532884206778434</c:v>
                </c:pt>
                <c:pt idx="57">
                  <c:v>0.69353376443768244</c:v>
                </c:pt>
                <c:pt idx="58">
                  <c:v>0.6927837549595407</c:v>
                </c:pt>
                <c:pt idx="59">
                  <c:v>0.68529931971667779</c:v>
                </c:pt>
                <c:pt idx="60">
                  <c:v>0.68425013063351903</c:v>
                </c:pt>
                <c:pt idx="61">
                  <c:v>0.64368780484588539</c:v>
                </c:pt>
                <c:pt idx="62">
                  <c:v>0.64286691535112805</c:v>
                </c:pt>
                <c:pt idx="63">
                  <c:v>0.62978543135435228</c:v>
                </c:pt>
                <c:pt idx="64">
                  <c:v>0.62559691688411445</c:v>
                </c:pt>
                <c:pt idx="65">
                  <c:v>0.59642237237063989</c:v>
                </c:pt>
                <c:pt idx="66">
                  <c:v>0.57789631407429876</c:v>
                </c:pt>
                <c:pt idx="67">
                  <c:v>0.56124857621827096</c:v>
                </c:pt>
                <c:pt idx="68">
                  <c:v>0.56103758454090347</c:v>
                </c:pt>
                <c:pt idx="69">
                  <c:v>0.56082082355985807</c:v>
                </c:pt>
                <c:pt idx="70">
                  <c:v>0.55905788919310517</c:v>
                </c:pt>
                <c:pt idx="71">
                  <c:v>0.5582600769130599</c:v>
                </c:pt>
                <c:pt idx="72">
                  <c:v>0.55788095124279036</c:v>
                </c:pt>
                <c:pt idx="73">
                  <c:v>0.54617997919753924</c:v>
                </c:pt>
                <c:pt idx="74">
                  <c:v>0.54585854656404997</c:v>
                </c:pt>
                <c:pt idx="75">
                  <c:v>0.54519672501355787</c:v>
                </c:pt>
                <c:pt idx="76">
                  <c:v>0.54461072859711968</c:v>
                </c:pt>
                <c:pt idx="77">
                  <c:v>0.53643644947161417</c:v>
                </c:pt>
                <c:pt idx="78">
                  <c:v>0.53437598387232366</c:v>
                </c:pt>
                <c:pt idx="79">
                  <c:v>0.53365646928505139</c:v>
                </c:pt>
                <c:pt idx="80">
                  <c:v>0.53365646928505139</c:v>
                </c:pt>
                <c:pt idx="81">
                  <c:v>0.50626134286312408</c:v>
                </c:pt>
                <c:pt idx="82">
                  <c:v>0.46492593038263674</c:v>
                </c:pt>
                <c:pt idx="83">
                  <c:v>0.4607126903252074</c:v>
                </c:pt>
                <c:pt idx="84">
                  <c:v>0.44627212321913956</c:v>
                </c:pt>
                <c:pt idx="85">
                  <c:v>0.44360258398869873</c:v>
                </c:pt>
                <c:pt idx="86">
                  <c:v>0.44254927397434146</c:v>
                </c:pt>
                <c:pt idx="87">
                  <c:v>0.44178442914388477</c:v>
                </c:pt>
                <c:pt idx="88">
                  <c:v>0.44020034319115026</c:v>
                </c:pt>
              </c:numCache>
            </c:numRef>
          </c:val>
          <c:smooth val="0"/>
        </c:ser>
        <c:dLbls>
          <c:showLegendKey val="0"/>
          <c:showVal val="0"/>
          <c:showCatName val="0"/>
          <c:showSerName val="0"/>
          <c:showPercent val="0"/>
          <c:showBubbleSize val="0"/>
        </c:dLbls>
        <c:marker val="1"/>
        <c:smooth val="0"/>
        <c:axId val="270155136"/>
        <c:axId val="270169216"/>
      </c:lineChart>
      <c:dateAx>
        <c:axId val="2701551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169216"/>
        <c:crosses val="autoZero"/>
        <c:auto val="1"/>
        <c:lblOffset val="100"/>
        <c:baseTimeUnit val="days"/>
      </c:dateAx>
      <c:valAx>
        <c:axId val="27016921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1551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5750987745313921"/>
          <c:y val="1.5708269806231689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4876325204889931"/>
        </c:manualLayout>
      </c:layout>
      <c:lineChart>
        <c:grouping val="standard"/>
        <c:varyColors val="0"/>
        <c:ser>
          <c:idx val="0"/>
          <c:order val="0"/>
          <c:tx>
            <c:strRef>
              <c:f>'used space Charts'!$L$2</c:f>
              <c:strCache>
                <c:ptCount val="1"/>
                <c:pt idx="0">
                  <c:v>FDC T4 V-MAX 0879</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Charts'!$L$3:$L$91</c:f>
              <c:numCache>
                <c:formatCode>0.00%</c:formatCode>
                <c:ptCount val="89"/>
                <c:pt idx="0">
                  <c:v>0.7032255758328666</c:v>
                </c:pt>
                <c:pt idx="1">
                  <c:v>0.70250288687042517</c:v>
                </c:pt>
                <c:pt idx="2">
                  <c:v>0.70067570122846756</c:v>
                </c:pt>
                <c:pt idx="3">
                  <c:v>0.76297977869657985</c:v>
                </c:pt>
                <c:pt idx="4">
                  <c:v>0.76165407184719813</c:v>
                </c:pt>
                <c:pt idx="5">
                  <c:v>0.79776313519567776</c:v>
                </c:pt>
                <c:pt idx="6">
                  <c:v>0.82850565018435052</c:v>
                </c:pt>
                <c:pt idx="7">
                  <c:v>0.82799070192007307</c:v>
                </c:pt>
                <c:pt idx="8">
                  <c:v>0.82699999999999996</c:v>
                </c:pt>
                <c:pt idx="9">
                  <c:v>0.82499633474952727</c:v>
                </c:pt>
                <c:pt idx="10">
                  <c:v>0.82261327437158427</c:v>
                </c:pt>
                <c:pt idx="11">
                  <c:v>0.82109692269196721</c:v>
                </c:pt>
                <c:pt idx="12">
                  <c:v>0.82046023112577326</c:v>
                </c:pt>
                <c:pt idx="13">
                  <c:v>0.81976499916333856</c:v>
                </c:pt>
                <c:pt idx="14">
                  <c:v>0.81026694938742394</c:v>
                </c:pt>
                <c:pt idx="15">
                  <c:v>0.87432672068615558</c:v>
                </c:pt>
                <c:pt idx="16">
                  <c:v>0.87375012368601424</c:v>
                </c:pt>
                <c:pt idx="17">
                  <c:v>0.87375012368601424</c:v>
                </c:pt>
                <c:pt idx="18">
                  <c:v>0.88929700236907283</c:v>
                </c:pt>
                <c:pt idx="19">
                  <c:v>0.89355180125690892</c:v>
                </c:pt>
                <c:pt idx="20">
                  <c:v>0.888112724972556</c:v>
                </c:pt>
                <c:pt idx="21">
                  <c:v>0.88137229049920451</c:v>
                </c:pt>
                <c:pt idx="22">
                  <c:v>0.87589902247899409</c:v>
                </c:pt>
                <c:pt idx="23">
                  <c:v>0.87339162851611485</c:v>
                </c:pt>
                <c:pt idx="24">
                  <c:v>0.86359362396654182</c:v>
                </c:pt>
                <c:pt idx="25">
                  <c:v>0.86299267830601711</c:v>
                </c:pt>
                <c:pt idx="26">
                  <c:v>0.85075928966150693</c:v>
                </c:pt>
                <c:pt idx="27">
                  <c:v>0.83916570092281417</c:v>
                </c:pt>
                <c:pt idx="28">
                  <c:v>0.83916570092281417</c:v>
                </c:pt>
                <c:pt idx="29">
                  <c:v>0.8334391032232964</c:v>
                </c:pt>
                <c:pt idx="30">
                  <c:v>0.83091150505286504</c:v>
                </c:pt>
                <c:pt idx="31">
                  <c:v>0.83008002420360449</c:v>
                </c:pt>
                <c:pt idx="32">
                  <c:v>0.82935992552418258</c:v>
                </c:pt>
                <c:pt idx="33">
                  <c:v>0.82623449003284988</c:v>
                </c:pt>
                <c:pt idx="34">
                  <c:v>0.82468342856077137</c:v>
                </c:pt>
                <c:pt idx="35">
                  <c:v>0.82188903123933121</c:v>
                </c:pt>
                <c:pt idx="36">
                  <c:v>0.82037164344650626</c:v>
                </c:pt>
                <c:pt idx="37">
                  <c:v>0.81779690212512002</c:v>
                </c:pt>
                <c:pt idx="38">
                  <c:v>0.81680896818148141</c:v>
                </c:pt>
                <c:pt idx="39">
                  <c:v>0.81318153584096908</c:v>
                </c:pt>
                <c:pt idx="40">
                  <c:v>0.83950036548893403</c:v>
                </c:pt>
                <c:pt idx="41">
                  <c:v>0.82037164344650626</c:v>
                </c:pt>
                <c:pt idx="42">
                  <c:v>0.81779690212512002</c:v>
                </c:pt>
                <c:pt idx="43">
                  <c:v>0.81680896818148141</c:v>
                </c:pt>
                <c:pt idx="44">
                  <c:v>0.81318153584096908</c:v>
                </c:pt>
                <c:pt idx="45">
                  <c:v>0.83950036548893403</c:v>
                </c:pt>
                <c:pt idx="46">
                  <c:v>0.83950036548893403</c:v>
                </c:pt>
                <c:pt idx="47">
                  <c:v>0.83728722767707031</c:v>
                </c:pt>
                <c:pt idx="48">
                  <c:v>0.83709192033739988</c:v>
                </c:pt>
                <c:pt idx="49">
                  <c:v>0.83617340597868395</c:v>
                </c:pt>
                <c:pt idx="50">
                  <c:v>0.83339377392799974</c:v>
                </c:pt>
                <c:pt idx="51">
                  <c:v>0.83315494723536088</c:v>
                </c:pt>
                <c:pt idx="52">
                  <c:v>0.8326187528169634</c:v>
                </c:pt>
                <c:pt idx="53">
                  <c:v>0.83238976930688457</c:v>
                </c:pt>
                <c:pt idx="54">
                  <c:v>0.82796707196402575</c:v>
                </c:pt>
                <c:pt idx="55">
                  <c:v>0.82496904578116004</c:v>
                </c:pt>
                <c:pt idx="56">
                  <c:v>0.82352727856724706</c:v>
                </c:pt>
                <c:pt idx="57">
                  <c:v>0.82183580535365519</c:v>
                </c:pt>
                <c:pt idx="58">
                  <c:v>0.82151823320053674</c:v>
                </c:pt>
                <c:pt idx="59">
                  <c:v>0.82099913483605924</c:v>
                </c:pt>
                <c:pt idx="60">
                  <c:v>0.81983297673382483</c:v>
                </c:pt>
                <c:pt idx="61">
                  <c:v>0.81218067938682148</c:v>
                </c:pt>
                <c:pt idx="62">
                  <c:v>0.81218067938682148</c:v>
                </c:pt>
                <c:pt idx="63">
                  <c:v>0.81258684018297966</c:v>
                </c:pt>
                <c:pt idx="64">
                  <c:v>0.81226667771866112</c:v>
                </c:pt>
                <c:pt idx="65">
                  <c:v>0.80800665191916154</c:v>
                </c:pt>
                <c:pt idx="66">
                  <c:v>0.80767871852124307</c:v>
                </c:pt>
                <c:pt idx="67">
                  <c:v>0.80695913006988662</c:v>
                </c:pt>
                <c:pt idx="68">
                  <c:v>0.80678350697052748</c:v>
                </c:pt>
                <c:pt idx="69">
                  <c:v>0.80660322131100837</c:v>
                </c:pt>
                <c:pt idx="70">
                  <c:v>0.80487600180285657</c:v>
                </c:pt>
                <c:pt idx="71">
                  <c:v>0.80452475560413828</c:v>
                </c:pt>
                <c:pt idx="72">
                  <c:v>0.80434291575789907</c:v>
                </c:pt>
                <c:pt idx="73">
                  <c:v>0.80302392929486544</c:v>
                </c:pt>
                <c:pt idx="74">
                  <c:v>0.80260688919166745</c:v>
                </c:pt>
                <c:pt idx="75">
                  <c:v>0.80177591735871145</c:v>
                </c:pt>
                <c:pt idx="76">
                  <c:v>0.79838053743776782</c:v>
                </c:pt>
                <c:pt idx="77">
                  <c:v>0.79613162925393854</c:v>
                </c:pt>
                <c:pt idx="78">
                  <c:v>0.79433084490770711</c:v>
                </c:pt>
                <c:pt idx="79">
                  <c:v>0.79363819569283056</c:v>
                </c:pt>
                <c:pt idx="80">
                  <c:v>0.79363819569283056</c:v>
                </c:pt>
                <c:pt idx="81">
                  <c:v>0.78853113813093501</c:v>
                </c:pt>
                <c:pt idx="82">
                  <c:v>0.78763540851797931</c:v>
                </c:pt>
                <c:pt idx="83">
                  <c:v>0.78682723142358324</c:v>
                </c:pt>
                <c:pt idx="84">
                  <c:v>0.78391209519911731</c:v>
                </c:pt>
                <c:pt idx="85">
                  <c:v>0.78353753619959898</c:v>
                </c:pt>
                <c:pt idx="86">
                  <c:v>0.78172690867080763</c:v>
                </c:pt>
                <c:pt idx="87">
                  <c:v>0.78115185958441047</c:v>
                </c:pt>
                <c:pt idx="88">
                  <c:v>0.7797080201215375</c:v>
                </c:pt>
              </c:numCache>
            </c:numRef>
          </c:val>
          <c:smooth val="0"/>
        </c:ser>
        <c:dLbls>
          <c:showLegendKey val="0"/>
          <c:showVal val="0"/>
          <c:showCatName val="0"/>
          <c:showSerName val="0"/>
          <c:showPercent val="0"/>
          <c:showBubbleSize val="0"/>
        </c:dLbls>
        <c:marker val="1"/>
        <c:smooth val="0"/>
        <c:axId val="270185984"/>
        <c:axId val="270187520"/>
      </c:lineChart>
      <c:dateAx>
        <c:axId val="2701859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187520"/>
        <c:crosses val="autoZero"/>
        <c:auto val="1"/>
        <c:lblOffset val="100"/>
        <c:baseTimeUnit val="days"/>
      </c:dateAx>
      <c:valAx>
        <c:axId val="270187520"/>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1859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Charts'!$N$2</c:f>
              <c:strCache>
                <c:ptCount val="1"/>
                <c:pt idx="0">
                  <c:v>FDC T3 V-MAX 2804</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Charts'!$N$3:$N$91</c:f>
              <c:numCache>
                <c:formatCode>0.00%</c:formatCode>
                <c:ptCount val="89"/>
                <c:pt idx="0">
                  <c:v>0.70495840498658457</c:v>
                </c:pt>
                <c:pt idx="1">
                  <c:v>0.70254146254521976</c:v>
                </c:pt>
                <c:pt idx="2">
                  <c:v>0.70197666632947486</c:v>
                </c:pt>
                <c:pt idx="3">
                  <c:v>0.69744384552763283</c:v>
                </c:pt>
                <c:pt idx="4">
                  <c:v>0.69554955033068877</c:v>
                </c:pt>
                <c:pt idx="5">
                  <c:v>0.6931169525571178</c:v>
                </c:pt>
                <c:pt idx="6">
                  <c:v>0.69082043574810814</c:v>
                </c:pt>
                <c:pt idx="7">
                  <c:v>0.68623101489905924</c:v>
                </c:pt>
                <c:pt idx="8">
                  <c:v>0.67559999999999998</c:v>
                </c:pt>
                <c:pt idx="9">
                  <c:v>0.67560947412534866</c:v>
                </c:pt>
                <c:pt idx="10">
                  <c:v>0.69701633453277267</c:v>
                </c:pt>
                <c:pt idx="11">
                  <c:v>0.71278366257701209</c:v>
                </c:pt>
                <c:pt idx="12">
                  <c:v>0.7174140281410617</c:v>
                </c:pt>
                <c:pt idx="13">
                  <c:v>0.7148345110960177</c:v>
                </c:pt>
                <c:pt idx="14">
                  <c:v>0.71232965794303382</c:v>
                </c:pt>
                <c:pt idx="15">
                  <c:v>0.71031734562638182</c:v>
                </c:pt>
                <c:pt idx="16">
                  <c:v>0.70893606362327</c:v>
                </c:pt>
                <c:pt idx="17">
                  <c:v>0.71161150101660153</c:v>
                </c:pt>
                <c:pt idx="18">
                  <c:v>0.71286261009155449</c:v>
                </c:pt>
                <c:pt idx="19">
                  <c:v>0.70913225008642922</c:v>
                </c:pt>
                <c:pt idx="20">
                  <c:v>0.70416528661881417</c:v>
                </c:pt>
                <c:pt idx="21">
                  <c:v>0.70172592612291573</c:v>
                </c:pt>
                <c:pt idx="22">
                  <c:v>0.68384292355783982</c:v>
                </c:pt>
                <c:pt idx="23">
                  <c:v>0.68384292355783982</c:v>
                </c:pt>
                <c:pt idx="24">
                  <c:v>0.73254068219895407</c:v>
                </c:pt>
                <c:pt idx="25">
                  <c:v>0.73124968268972734</c:v>
                </c:pt>
                <c:pt idx="26">
                  <c:v>0.72723041923637621</c:v>
                </c:pt>
                <c:pt idx="27">
                  <c:v>0.72422413105337335</c:v>
                </c:pt>
                <c:pt idx="28">
                  <c:v>0.72199993714234589</c:v>
                </c:pt>
                <c:pt idx="29">
                  <c:v>0.7433606602954792</c:v>
                </c:pt>
                <c:pt idx="30">
                  <c:v>0.73643543914532927</c:v>
                </c:pt>
                <c:pt idx="31">
                  <c:v>0.73449893988148907</c:v>
                </c:pt>
                <c:pt idx="32">
                  <c:v>0.73193749048069179</c:v>
                </c:pt>
                <c:pt idx="33">
                  <c:v>0.73193144647549868</c:v>
                </c:pt>
                <c:pt idx="34">
                  <c:v>0.72632019205430898</c:v>
                </c:pt>
                <c:pt idx="35">
                  <c:v>0.71881474640563003</c:v>
                </c:pt>
                <c:pt idx="36">
                  <c:v>0.71201886696661043</c:v>
                </c:pt>
                <c:pt idx="37">
                  <c:v>0.70945258236165865</c:v>
                </c:pt>
                <c:pt idx="38">
                  <c:v>0.70406737373468742</c:v>
                </c:pt>
                <c:pt idx="39">
                  <c:v>0.69568917373613803</c:v>
                </c:pt>
                <c:pt idx="40">
                  <c:v>0.65545423116627533</c:v>
                </c:pt>
                <c:pt idx="41">
                  <c:v>0.71201886696661043</c:v>
                </c:pt>
                <c:pt idx="42">
                  <c:v>0.70945258236165865</c:v>
                </c:pt>
                <c:pt idx="43">
                  <c:v>0.70406737373468742</c:v>
                </c:pt>
                <c:pt idx="44">
                  <c:v>0.69568917373613803</c:v>
                </c:pt>
                <c:pt idx="45">
                  <c:v>0.65545423116627533</c:v>
                </c:pt>
                <c:pt idx="46">
                  <c:v>0.65545423116627533</c:v>
                </c:pt>
                <c:pt idx="47">
                  <c:v>0.65353586391801421</c:v>
                </c:pt>
                <c:pt idx="48">
                  <c:v>0.65065770864510319</c:v>
                </c:pt>
                <c:pt idx="49">
                  <c:v>0.64526041200774586</c:v>
                </c:pt>
                <c:pt idx="50">
                  <c:v>0.64013862580581993</c:v>
                </c:pt>
                <c:pt idx="51">
                  <c:v>0.63922476890662339</c:v>
                </c:pt>
                <c:pt idx="52">
                  <c:v>0.63447899881899705</c:v>
                </c:pt>
                <c:pt idx="53">
                  <c:v>0.63314689524371326</c:v>
                </c:pt>
                <c:pt idx="54">
                  <c:v>0.62255050691255387</c:v>
                </c:pt>
                <c:pt idx="55">
                  <c:v>0.61796792555692681</c:v>
                </c:pt>
                <c:pt idx="56">
                  <c:v>0.61271083077570254</c:v>
                </c:pt>
                <c:pt idx="57">
                  <c:v>0.60816088716647543</c:v>
                </c:pt>
                <c:pt idx="58">
                  <c:v>0.607152743444346</c:v>
                </c:pt>
                <c:pt idx="59">
                  <c:v>0.60495392638133216</c:v>
                </c:pt>
                <c:pt idx="60">
                  <c:v>0.60049706078961584</c:v>
                </c:pt>
                <c:pt idx="61">
                  <c:v>0.59477941114252664</c:v>
                </c:pt>
                <c:pt idx="62">
                  <c:v>0.59477941114252664</c:v>
                </c:pt>
                <c:pt idx="63">
                  <c:v>0.58787713218166415</c:v>
                </c:pt>
                <c:pt idx="64">
                  <c:v>0.58697657214211196</c:v>
                </c:pt>
                <c:pt idx="65">
                  <c:v>0.55628621127742928</c:v>
                </c:pt>
                <c:pt idx="66">
                  <c:v>0.55538444243245499</c:v>
                </c:pt>
                <c:pt idx="67">
                  <c:v>0.5530792504922859</c:v>
                </c:pt>
                <c:pt idx="68">
                  <c:v>0.55182451046402414</c:v>
                </c:pt>
                <c:pt idx="69">
                  <c:v>0.54108064787135401</c:v>
                </c:pt>
                <c:pt idx="70">
                  <c:v>0.54108064787135401</c:v>
                </c:pt>
                <c:pt idx="71">
                  <c:v>0.53708917236719156</c:v>
                </c:pt>
                <c:pt idx="72">
                  <c:v>0.53649564890488277</c:v>
                </c:pt>
                <c:pt idx="73">
                  <c:v>0.53084690116685984</c:v>
                </c:pt>
                <c:pt idx="74">
                  <c:v>0.530264256953351</c:v>
                </c:pt>
                <c:pt idx="75">
                  <c:v>0.52603102036474492</c:v>
                </c:pt>
                <c:pt idx="76">
                  <c:v>0.52161041893569515</c:v>
                </c:pt>
                <c:pt idx="77">
                  <c:v>0.5176685044538436</c:v>
                </c:pt>
                <c:pt idx="78">
                  <c:v>0.51636662101411523</c:v>
                </c:pt>
                <c:pt idx="79">
                  <c:v>0.51056193737662625</c:v>
                </c:pt>
                <c:pt idx="80">
                  <c:v>0.51056193737662625</c:v>
                </c:pt>
                <c:pt idx="81">
                  <c:v>0.49477735617330881</c:v>
                </c:pt>
                <c:pt idx="82">
                  <c:v>0.48229885779975656</c:v>
                </c:pt>
                <c:pt idx="83">
                  <c:v>0.48149258458313737</c:v>
                </c:pt>
                <c:pt idx="84">
                  <c:v>0.47711066492759857</c:v>
                </c:pt>
                <c:pt idx="85">
                  <c:v>0.47590306831080315</c:v>
                </c:pt>
                <c:pt idx="86">
                  <c:v>0.47165049083544169</c:v>
                </c:pt>
                <c:pt idx="87">
                  <c:v>0.46927397937536192</c:v>
                </c:pt>
                <c:pt idx="88">
                  <c:v>0.46175158323290172</c:v>
                </c:pt>
              </c:numCache>
            </c:numRef>
          </c:val>
          <c:smooth val="0"/>
        </c:ser>
        <c:dLbls>
          <c:showLegendKey val="0"/>
          <c:showVal val="0"/>
          <c:showCatName val="0"/>
          <c:showSerName val="0"/>
          <c:showPercent val="0"/>
          <c:showBubbleSize val="0"/>
        </c:dLbls>
        <c:marker val="1"/>
        <c:smooth val="0"/>
        <c:axId val="270482816"/>
        <c:axId val="270488704"/>
      </c:lineChart>
      <c:dateAx>
        <c:axId val="27048281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488704"/>
        <c:crosses val="autoZero"/>
        <c:auto val="1"/>
        <c:lblOffset val="100"/>
        <c:baseTimeUnit val="days"/>
      </c:dateAx>
      <c:valAx>
        <c:axId val="270488704"/>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4828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416484159011479"/>
        </c:manualLayout>
      </c:layout>
      <c:lineChart>
        <c:grouping val="standard"/>
        <c:varyColors val="0"/>
        <c:ser>
          <c:idx val="0"/>
          <c:order val="0"/>
          <c:tx>
            <c:strRef>
              <c:f>'used space Charts'!$M$2</c:f>
              <c:strCache>
                <c:ptCount val="1"/>
                <c:pt idx="0">
                  <c:v>FDC T4 V-MAX 3004</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Charts'!$M$3:$M$91</c:f>
              <c:numCache>
                <c:formatCode>0.00%</c:formatCode>
                <c:ptCount val="89"/>
                <c:pt idx="0">
                  <c:v>0.48427855512723178</c:v>
                </c:pt>
                <c:pt idx="1">
                  <c:v>0.48355083828917855</c:v>
                </c:pt>
                <c:pt idx="2">
                  <c:v>0.48248721703418762</c:v>
                </c:pt>
                <c:pt idx="3">
                  <c:v>0.48167255754473948</c:v>
                </c:pt>
                <c:pt idx="4">
                  <c:v>0.48081522541536792</c:v>
                </c:pt>
                <c:pt idx="5">
                  <c:v>0.47945517764026685</c:v>
                </c:pt>
                <c:pt idx="6">
                  <c:v>0.47754152652583781</c:v>
                </c:pt>
                <c:pt idx="7">
                  <c:v>0.47618649906131599</c:v>
                </c:pt>
                <c:pt idx="8">
                  <c:v>0.47499999999999998</c:v>
                </c:pt>
                <c:pt idx="9">
                  <c:v>0.472260844384292</c:v>
                </c:pt>
                <c:pt idx="10">
                  <c:v>0.47082754571392121</c:v>
                </c:pt>
                <c:pt idx="11">
                  <c:v>0.46752737609588241</c:v>
                </c:pt>
                <c:pt idx="12">
                  <c:v>0.46492320408087356</c:v>
                </c:pt>
                <c:pt idx="13">
                  <c:v>0.46427124829337962</c:v>
                </c:pt>
                <c:pt idx="14">
                  <c:v>0.46092589588012772</c:v>
                </c:pt>
                <c:pt idx="15">
                  <c:v>0.45734572984932903</c:v>
                </c:pt>
                <c:pt idx="16">
                  <c:v>0.45694684335421554</c:v>
                </c:pt>
                <c:pt idx="17">
                  <c:v>0.45695551479976149</c:v>
                </c:pt>
                <c:pt idx="18">
                  <c:v>0.51097720552564874</c:v>
                </c:pt>
                <c:pt idx="19">
                  <c:v>0.50355437593513808</c:v>
                </c:pt>
                <c:pt idx="20">
                  <c:v>0.51153649091180176</c:v>
                </c:pt>
                <c:pt idx="21">
                  <c:v>0.53902169709436487</c:v>
                </c:pt>
                <c:pt idx="22">
                  <c:v>0.53530195734748875</c:v>
                </c:pt>
                <c:pt idx="23">
                  <c:v>0.54405829282487561</c:v>
                </c:pt>
                <c:pt idx="24">
                  <c:v>0.19773758918385556</c:v>
                </c:pt>
                <c:pt idx="25">
                  <c:v>0.20275016834255277</c:v>
                </c:pt>
                <c:pt idx="26">
                  <c:v>0.20258500650987371</c:v>
                </c:pt>
                <c:pt idx="27">
                  <c:v>0.2052631727752984</c:v>
                </c:pt>
                <c:pt idx="28">
                  <c:v>0.39497238899404902</c:v>
                </c:pt>
                <c:pt idx="29">
                  <c:v>0.37308031765733141</c:v>
                </c:pt>
                <c:pt idx="30">
                  <c:v>0.36728598819787944</c:v>
                </c:pt>
                <c:pt idx="31">
                  <c:v>0.44488087372637702</c:v>
                </c:pt>
                <c:pt idx="32">
                  <c:v>0.43781071935906957</c:v>
                </c:pt>
                <c:pt idx="33">
                  <c:v>0.41028540204597036</c:v>
                </c:pt>
                <c:pt idx="34">
                  <c:v>0.39777829745657595</c:v>
                </c:pt>
                <c:pt idx="35">
                  <c:v>0.45165360027669116</c:v>
                </c:pt>
                <c:pt idx="36">
                  <c:v>0.47674122039249878</c:v>
                </c:pt>
                <c:pt idx="37">
                  <c:v>0.49172764693728815</c:v>
                </c:pt>
                <c:pt idx="38">
                  <c:v>0.4235674839498717</c:v>
                </c:pt>
                <c:pt idx="39">
                  <c:v>0.41888129300121318</c:v>
                </c:pt>
                <c:pt idx="40">
                  <c:v>0.41714743262276088</c:v>
                </c:pt>
                <c:pt idx="41">
                  <c:v>0.47674122039249878</c:v>
                </c:pt>
                <c:pt idx="42">
                  <c:v>0.49172764693728815</c:v>
                </c:pt>
                <c:pt idx="43">
                  <c:v>0.4235674839498717</c:v>
                </c:pt>
                <c:pt idx="44">
                  <c:v>0.41888129300121318</c:v>
                </c:pt>
                <c:pt idx="45">
                  <c:v>0.41714743262276088</c:v>
                </c:pt>
                <c:pt idx="46">
                  <c:v>0.41714743262276088</c:v>
                </c:pt>
                <c:pt idx="47">
                  <c:v>0.42697617323164783</c:v>
                </c:pt>
                <c:pt idx="48">
                  <c:v>0.43820199208524147</c:v>
                </c:pt>
                <c:pt idx="49">
                  <c:v>0.42481849713432462</c:v>
                </c:pt>
                <c:pt idx="50">
                  <c:v>0.45924611865994808</c:v>
                </c:pt>
                <c:pt idx="51">
                  <c:v>0.46626560369084896</c:v>
                </c:pt>
                <c:pt idx="52">
                  <c:v>0.47843220653254842</c:v>
                </c:pt>
                <c:pt idx="53">
                  <c:v>0.48207855465965144</c:v>
                </c:pt>
                <c:pt idx="54">
                  <c:v>0.48381999240154927</c:v>
                </c:pt>
                <c:pt idx="55">
                  <c:v>0.48442544663602055</c:v>
                </c:pt>
                <c:pt idx="56">
                  <c:v>0.47882575178495473</c:v>
                </c:pt>
                <c:pt idx="57">
                  <c:v>0.49346487835667607</c:v>
                </c:pt>
                <c:pt idx="58">
                  <c:v>0.49179155421615622</c:v>
                </c:pt>
                <c:pt idx="59">
                  <c:v>0.47222327335804593</c:v>
                </c:pt>
                <c:pt idx="60">
                  <c:v>0.48772895630285418</c:v>
                </c:pt>
                <c:pt idx="61">
                  <c:v>0.41817058975783344</c:v>
                </c:pt>
                <c:pt idx="62">
                  <c:v>0.41817058975783344</c:v>
                </c:pt>
                <c:pt idx="63">
                  <c:v>0.42306871451470568</c:v>
                </c:pt>
                <c:pt idx="64">
                  <c:v>0.42944263396810156</c:v>
                </c:pt>
                <c:pt idx="65">
                  <c:v>0.49197243366870447</c:v>
                </c:pt>
                <c:pt idx="66">
                  <c:v>0.46187076276638089</c:v>
                </c:pt>
                <c:pt idx="67">
                  <c:v>0.42537473833024797</c:v>
                </c:pt>
                <c:pt idx="68">
                  <c:v>0.44071694863174909</c:v>
                </c:pt>
                <c:pt idx="69">
                  <c:v>0.44094929169422742</c:v>
                </c:pt>
                <c:pt idx="70">
                  <c:v>0.4174387469519163</c:v>
                </c:pt>
                <c:pt idx="71">
                  <c:v>0.41286302657489993</c:v>
                </c:pt>
                <c:pt idx="72">
                  <c:v>0.41683934725978977</c:v>
                </c:pt>
                <c:pt idx="73">
                  <c:v>0.39675567348458585</c:v>
                </c:pt>
                <c:pt idx="74">
                  <c:v>0.40246283646227032</c:v>
                </c:pt>
                <c:pt idx="75">
                  <c:v>0.39338632066975343</c:v>
                </c:pt>
                <c:pt idx="76">
                  <c:v>0.39457376778711017</c:v>
                </c:pt>
                <c:pt idx="77">
                  <c:v>0.38749827823952071</c:v>
                </c:pt>
                <c:pt idx="78">
                  <c:v>0.38236402633120459</c:v>
                </c:pt>
                <c:pt idx="79">
                  <c:v>0.38091244980405986</c:v>
                </c:pt>
                <c:pt idx="80">
                  <c:v>0.38091244980405986</c:v>
                </c:pt>
                <c:pt idx="81">
                  <c:v>0.3787676281784455</c:v>
                </c:pt>
                <c:pt idx="82">
                  <c:v>0.3610512804600241</c:v>
                </c:pt>
                <c:pt idx="83">
                  <c:v>0.35675936675541614</c:v>
                </c:pt>
                <c:pt idx="84">
                  <c:v>0.35414229082691423</c:v>
                </c:pt>
                <c:pt idx="85">
                  <c:v>0.31954058132688318</c:v>
                </c:pt>
                <c:pt idx="86">
                  <c:v>0.31443811576587688</c:v>
                </c:pt>
                <c:pt idx="87">
                  <c:v>0.31126704921283382</c:v>
                </c:pt>
                <c:pt idx="88">
                  <c:v>0.31507157225869237</c:v>
                </c:pt>
              </c:numCache>
            </c:numRef>
          </c:val>
          <c:smooth val="0"/>
        </c:ser>
        <c:dLbls>
          <c:showLegendKey val="0"/>
          <c:showVal val="0"/>
          <c:showCatName val="0"/>
          <c:showSerName val="0"/>
          <c:showPercent val="0"/>
          <c:showBubbleSize val="0"/>
        </c:dLbls>
        <c:marker val="1"/>
        <c:smooth val="0"/>
        <c:axId val="270509184"/>
        <c:axId val="270510720"/>
      </c:lineChart>
      <c:dateAx>
        <c:axId val="2705091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510720"/>
        <c:crosses val="autoZero"/>
        <c:auto val="1"/>
        <c:lblOffset val="100"/>
        <c:baseTimeUnit val="days"/>
      </c:dateAx>
      <c:valAx>
        <c:axId val="270510720"/>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5091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2175887656222164"/>
        </c:manualLayout>
      </c:layout>
      <c:lineChart>
        <c:grouping val="standard"/>
        <c:varyColors val="0"/>
        <c:ser>
          <c:idx val="0"/>
          <c:order val="0"/>
          <c:tx>
            <c:strRef>
              <c:f>'used space Charts'!$F$2</c:f>
              <c:strCache>
                <c:ptCount val="1"/>
                <c:pt idx="0">
                  <c:v>RDC T3 V-MAX 3286</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Charts'!$F$3:$F$91</c:f>
              <c:numCache>
                <c:formatCode>0.00%</c:formatCode>
                <c:ptCount val="89"/>
                <c:pt idx="0">
                  <c:v>0.69977444067138139</c:v>
                </c:pt>
                <c:pt idx="1">
                  <c:v>0.69729805381933652</c:v>
                </c:pt>
                <c:pt idx="2">
                  <c:v>0.69667790139938479</c:v>
                </c:pt>
                <c:pt idx="3">
                  <c:v>0.69209130718839895</c:v>
                </c:pt>
                <c:pt idx="4">
                  <c:v>0.69008787704573371</c:v>
                </c:pt>
                <c:pt idx="5">
                  <c:v>0.68725978896719886</c:v>
                </c:pt>
                <c:pt idx="6">
                  <c:v>0.68662214197508886</c:v>
                </c:pt>
                <c:pt idx="7">
                  <c:v>0.68186603139250157</c:v>
                </c:pt>
                <c:pt idx="8">
                  <c:v>0.67100000000000004</c:v>
                </c:pt>
                <c:pt idx="9">
                  <c:v>0.67248049506019636</c:v>
                </c:pt>
                <c:pt idx="10">
                  <c:v>0.67939989997930805</c:v>
                </c:pt>
                <c:pt idx="11">
                  <c:v>0.69521378668807843</c:v>
                </c:pt>
                <c:pt idx="12">
                  <c:v>0.69374243284346515</c:v>
                </c:pt>
                <c:pt idx="13">
                  <c:v>0.69109954592536327</c:v>
                </c:pt>
                <c:pt idx="14">
                  <c:v>0.69110256223090782</c:v>
                </c:pt>
                <c:pt idx="15">
                  <c:v>0.6892740778098243</c:v>
                </c:pt>
                <c:pt idx="16">
                  <c:v>0.68787873486493278</c:v>
                </c:pt>
                <c:pt idx="17">
                  <c:v>0.68917671732541164</c:v>
                </c:pt>
                <c:pt idx="18">
                  <c:v>0.6893574327530092</c:v>
                </c:pt>
                <c:pt idx="19">
                  <c:v>0.68065468545543006</c:v>
                </c:pt>
                <c:pt idx="20">
                  <c:v>0.68065468545543006</c:v>
                </c:pt>
                <c:pt idx="21">
                  <c:v>0.67813857065580352</c:v>
                </c:pt>
                <c:pt idx="22">
                  <c:v>0.66667069599615603</c:v>
                </c:pt>
                <c:pt idx="23">
                  <c:v>0.66328122402971224</c:v>
                </c:pt>
                <c:pt idx="24">
                  <c:v>0.71304868135155797</c:v>
                </c:pt>
                <c:pt idx="25">
                  <c:v>0.71179153055087985</c:v>
                </c:pt>
                <c:pt idx="26">
                  <c:v>0.70782727473277995</c:v>
                </c:pt>
                <c:pt idx="27">
                  <c:v>0.69853523799738304</c:v>
                </c:pt>
                <c:pt idx="28">
                  <c:v>0.70090448373712255</c:v>
                </c:pt>
                <c:pt idx="29">
                  <c:v>0.7232297896387806</c:v>
                </c:pt>
                <c:pt idx="30">
                  <c:v>0.71628524026388074</c:v>
                </c:pt>
                <c:pt idx="31">
                  <c:v>0.71431671134185737</c:v>
                </c:pt>
                <c:pt idx="32">
                  <c:v>0.71174438739585444</c:v>
                </c:pt>
                <c:pt idx="33">
                  <c:v>0.70758309736572511</c:v>
                </c:pt>
                <c:pt idx="34">
                  <c:v>0.70647583762205091</c:v>
                </c:pt>
                <c:pt idx="35">
                  <c:v>0.70011755568785183</c:v>
                </c:pt>
                <c:pt idx="36">
                  <c:v>0.69332954576361339</c:v>
                </c:pt>
                <c:pt idx="37">
                  <c:v>0.6908865632942186</c:v>
                </c:pt>
                <c:pt idx="38">
                  <c:v>0.68560471673310019</c:v>
                </c:pt>
                <c:pt idx="39">
                  <c:v>0.67790345928009987</c:v>
                </c:pt>
                <c:pt idx="40">
                  <c:v>0.63792810625406082</c:v>
                </c:pt>
                <c:pt idx="41">
                  <c:v>0.69332954576361339</c:v>
                </c:pt>
                <c:pt idx="42">
                  <c:v>0.6908865632942186</c:v>
                </c:pt>
                <c:pt idx="43">
                  <c:v>0.68560471673310019</c:v>
                </c:pt>
                <c:pt idx="44">
                  <c:v>0.67790345928009987</c:v>
                </c:pt>
                <c:pt idx="45">
                  <c:v>0.63792810625406082</c:v>
                </c:pt>
                <c:pt idx="46">
                  <c:v>0.63792810625406082</c:v>
                </c:pt>
                <c:pt idx="47">
                  <c:v>0.6360091264864538</c:v>
                </c:pt>
                <c:pt idx="48">
                  <c:v>0.63424245629410259</c:v>
                </c:pt>
                <c:pt idx="49">
                  <c:v>0.62832655898218526</c:v>
                </c:pt>
                <c:pt idx="50">
                  <c:v>0.62386304226288514</c:v>
                </c:pt>
                <c:pt idx="51">
                  <c:v>0.62273401731614808</c:v>
                </c:pt>
                <c:pt idx="52">
                  <c:v>0.6177730768649613</c:v>
                </c:pt>
                <c:pt idx="53">
                  <c:v>0.61644218129070272</c:v>
                </c:pt>
                <c:pt idx="54">
                  <c:v>0.60585364379504691</c:v>
                </c:pt>
                <c:pt idx="55">
                  <c:v>0.6010716066544779</c:v>
                </c:pt>
                <c:pt idx="56">
                  <c:v>0.59451202006618209</c:v>
                </c:pt>
                <c:pt idx="57">
                  <c:v>0.58990163339931401</c:v>
                </c:pt>
                <c:pt idx="58">
                  <c:v>0.58897931430470984</c:v>
                </c:pt>
                <c:pt idx="59">
                  <c:v>0.58710022514014593</c:v>
                </c:pt>
                <c:pt idx="60">
                  <c:v>0.5828754476360285</c:v>
                </c:pt>
                <c:pt idx="61">
                  <c:v>0.57972832081715298</c:v>
                </c:pt>
                <c:pt idx="62">
                  <c:v>0.56729091431075385</c:v>
                </c:pt>
                <c:pt idx="63">
                  <c:v>0.56729091431075385</c:v>
                </c:pt>
                <c:pt idx="64">
                  <c:v>0.56639398014535891</c:v>
                </c:pt>
                <c:pt idx="65">
                  <c:v>0.53617987035554016</c:v>
                </c:pt>
                <c:pt idx="66">
                  <c:v>0.53530650791012524</c:v>
                </c:pt>
                <c:pt idx="67">
                  <c:v>0.53301279823514303</c:v>
                </c:pt>
                <c:pt idx="68">
                  <c:v>0.53143591060878492</c:v>
                </c:pt>
                <c:pt idx="69">
                  <c:v>0.53057886704643331</c:v>
                </c:pt>
                <c:pt idx="70">
                  <c:v>0.51726447167616085</c:v>
                </c:pt>
                <c:pt idx="71">
                  <c:v>0.51726447167616085</c:v>
                </c:pt>
                <c:pt idx="72">
                  <c:v>0.51726447167616085</c:v>
                </c:pt>
                <c:pt idx="73">
                  <c:v>0.51204242909596409</c:v>
                </c:pt>
                <c:pt idx="74">
                  <c:v>0.51146220214260885</c:v>
                </c:pt>
                <c:pt idx="75">
                  <c:v>0.50872848702799889</c:v>
                </c:pt>
                <c:pt idx="76">
                  <c:v>0.50462761215454588</c:v>
                </c:pt>
                <c:pt idx="77">
                  <c:v>0.50068569529018903</c:v>
                </c:pt>
                <c:pt idx="78">
                  <c:v>0.49411946026805276</c:v>
                </c:pt>
                <c:pt idx="79">
                  <c:v>0.49411946026805276</c:v>
                </c:pt>
                <c:pt idx="80">
                  <c:v>0.49411946026805276</c:v>
                </c:pt>
                <c:pt idx="81">
                  <c:v>0.47887520587479793</c:v>
                </c:pt>
                <c:pt idx="82">
                  <c:v>0.46741149272449795</c:v>
                </c:pt>
                <c:pt idx="83">
                  <c:v>0.46646862392529576</c:v>
                </c:pt>
                <c:pt idx="84">
                  <c:v>0.46235505658723802</c:v>
                </c:pt>
                <c:pt idx="85">
                  <c:v>0.4612103171605143</c:v>
                </c:pt>
                <c:pt idx="86">
                  <c:v>0.45706229884710114</c:v>
                </c:pt>
                <c:pt idx="87">
                  <c:v>0.45479216089209895</c:v>
                </c:pt>
                <c:pt idx="88">
                  <c:v>0.44734954140916583</c:v>
                </c:pt>
              </c:numCache>
            </c:numRef>
          </c:val>
          <c:smooth val="0"/>
        </c:ser>
        <c:dLbls>
          <c:showLegendKey val="0"/>
          <c:showVal val="0"/>
          <c:showCatName val="0"/>
          <c:showSerName val="0"/>
          <c:showPercent val="0"/>
          <c:showBubbleSize val="0"/>
        </c:dLbls>
        <c:marker val="1"/>
        <c:smooth val="0"/>
        <c:axId val="270523392"/>
        <c:axId val="270525184"/>
      </c:lineChart>
      <c:dateAx>
        <c:axId val="2705233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525184"/>
        <c:crosses val="autoZero"/>
        <c:auto val="1"/>
        <c:lblOffset val="100"/>
        <c:baseTimeUnit val="days"/>
      </c:dateAx>
      <c:valAx>
        <c:axId val="27052518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5233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Charts'!$I$2</c:f>
              <c:strCache>
                <c:ptCount val="1"/>
                <c:pt idx="0">
                  <c:v>RDC T3 V-MAX 3696</c:v>
                </c:pt>
              </c:strCache>
            </c:strRef>
          </c:tx>
          <c:cat>
            <c:numRef>
              <c:f>'used space Charts'!$A$3:$A$78</c:f>
              <c:numCache>
                <c:formatCode>[$-409]d\-mmm\-yy;@</c:formatCode>
                <c:ptCount val="76"/>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numCache>
            </c:numRef>
          </c:cat>
          <c:val>
            <c:numRef>
              <c:f>'used space Charts'!$I$3:$I$78</c:f>
              <c:numCache>
                <c:formatCode>0.00%</c:formatCode>
                <c:ptCount val="76"/>
                <c:pt idx="0">
                  <c:v>0.30330025650597914</c:v>
                </c:pt>
                <c:pt idx="1">
                  <c:v>0.30255000662339382</c:v>
                </c:pt>
                <c:pt idx="2">
                  <c:v>0.30148303809053578</c:v>
                </c:pt>
                <c:pt idx="3">
                  <c:v>0.30110550464239694</c:v>
                </c:pt>
                <c:pt idx="4">
                  <c:v>0.29703753657919774</c:v>
                </c:pt>
                <c:pt idx="5">
                  <c:v>0.29617830176182275</c:v>
                </c:pt>
                <c:pt idx="6">
                  <c:v>0.2950896566673491</c:v>
                </c:pt>
                <c:pt idx="7">
                  <c:v>0.29272992208480353</c:v>
                </c:pt>
                <c:pt idx="8">
                  <c:v>0.28689999999999999</c:v>
                </c:pt>
                <c:pt idx="9">
                  <c:v>0.2753804088322408</c:v>
                </c:pt>
                <c:pt idx="10">
                  <c:v>0.26910323408472769</c:v>
                </c:pt>
                <c:pt idx="11">
                  <c:v>0.26867933662455989</c:v>
                </c:pt>
                <c:pt idx="12">
                  <c:v>0.26061324233988992</c:v>
                </c:pt>
                <c:pt idx="13">
                  <c:v>0.25961491565102884</c:v>
                </c:pt>
                <c:pt idx="14">
                  <c:v>0.245810550350167</c:v>
                </c:pt>
                <c:pt idx="15">
                  <c:v>0.23374091314979295</c:v>
                </c:pt>
                <c:pt idx="16">
                  <c:v>0.2335012665743004</c:v>
                </c:pt>
                <c:pt idx="17">
                  <c:v>0.23438246999912363</c:v>
                </c:pt>
                <c:pt idx="18">
                  <c:v>0.22456762776248312</c:v>
                </c:pt>
                <c:pt idx="19">
                  <c:v>0.21863544742178315</c:v>
                </c:pt>
                <c:pt idx="20">
                  <c:v>0.21863544742178315</c:v>
                </c:pt>
                <c:pt idx="21">
                  <c:v>0.20166270281378154</c:v>
                </c:pt>
                <c:pt idx="22">
                  <c:v>0.18069548241650979</c:v>
                </c:pt>
                <c:pt idx="23">
                  <c:v>0.17841689659028065</c:v>
                </c:pt>
                <c:pt idx="24">
                  <c:v>0.17597995811511996</c:v>
                </c:pt>
                <c:pt idx="25">
                  <c:v>0.16327971303115377</c:v>
                </c:pt>
                <c:pt idx="26">
                  <c:v>0.16301921687966708</c:v>
                </c:pt>
                <c:pt idx="27">
                  <c:v>0.16047771730425769</c:v>
                </c:pt>
                <c:pt idx="28">
                  <c:v>0.15652917587116622</c:v>
                </c:pt>
                <c:pt idx="29">
                  <c:v>0.14871247812829586</c:v>
                </c:pt>
                <c:pt idx="30">
                  <c:v>0.14731208466427123</c:v>
                </c:pt>
                <c:pt idx="31">
                  <c:v>0.14719785317324807</c:v>
                </c:pt>
                <c:pt idx="32">
                  <c:v>0.14690774145001467</c:v>
                </c:pt>
                <c:pt idx="33">
                  <c:v>0.14656806897406222</c:v>
                </c:pt>
                <c:pt idx="34">
                  <c:v>0.14205683167778257</c:v>
                </c:pt>
                <c:pt idx="35">
                  <c:v>0.13840928115754578</c:v>
                </c:pt>
                <c:pt idx="36">
                  <c:v>0.1372718014427014</c:v>
                </c:pt>
                <c:pt idx="37">
                  <c:v>0.13724943866403552</c:v>
                </c:pt>
                <c:pt idx="38">
                  <c:v>0.13711163559549963</c:v>
                </c:pt>
                <c:pt idx="39">
                  <c:v>0.13408178128598064</c:v>
                </c:pt>
                <c:pt idx="40">
                  <c:v>0.10239311951696398</c:v>
                </c:pt>
                <c:pt idx="41">
                  <c:v>0.1372718014427014</c:v>
                </c:pt>
                <c:pt idx="42">
                  <c:v>0.13724943866403552</c:v>
                </c:pt>
                <c:pt idx="43">
                  <c:v>0.13711163559549963</c:v>
                </c:pt>
                <c:pt idx="44">
                  <c:v>0.13408178128598064</c:v>
                </c:pt>
                <c:pt idx="45">
                  <c:v>0.10239311951696398</c:v>
                </c:pt>
                <c:pt idx="46">
                  <c:v>0.10239311951696398</c:v>
                </c:pt>
                <c:pt idx="47">
                  <c:v>0.10238042712907253</c:v>
                </c:pt>
                <c:pt idx="48">
                  <c:v>0.10237800953137891</c:v>
                </c:pt>
                <c:pt idx="49">
                  <c:v>9.9834092358275894E-2</c:v>
                </c:pt>
                <c:pt idx="50">
                  <c:v>9.5759279229807218E-2</c:v>
                </c:pt>
                <c:pt idx="51">
                  <c:v>9.5640660196209121E-2</c:v>
                </c:pt>
                <c:pt idx="52">
                  <c:v>9.5543717737278724E-2</c:v>
                </c:pt>
                <c:pt idx="53">
                  <c:v>9.5540707101908207E-2</c:v>
                </c:pt>
                <c:pt idx="54">
                  <c:v>8.6121633281731044E-2</c:v>
                </c:pt>
                <c:pt idx="55">
                  <c:v>8.5373189328622298E-2</c:v>
                </c:pt>
                <c:pt idx="56">
                  <c:v>8.2987561861030276E-2</c:v>
                </c:pt>
                <c:pt idx="57">
                  <c:v>8.2836427965430684E-2</c:v>
                </c:pt>
                <c:pt idx="58">
                  <c:v>8.283582583835658E-2</c:v>
                </c:pt>
                <c:pt idx="59">
                  <c:v>8.2793676943169442E-2</c:v>
                </c:pt>
                <c:pt idx="60">
                  <c:v>8.1001144643567877E-2</c:v>
                </c:pt>
                <c:pt idx="61">
                  <c:v>8.0878310720451069E-2</c:v>
                </c:pt>
                <c:pt idx="62">
                  <c:v>7.9640337456097415E-2</c:v>
                </c:pt>
                <c:pt idx="63">
                  <c:v>7.8026636897504123E-2</c:v>
                </c:pt>
                <c:pt idx="64">
                  <c:v>5.3613394678039647E-2</c:v>
                </c:pt>
                <c:pt idx="65">
                  <c:v>5.3613394678039647E-2</c:v>
                </c:pt>
                <c:pt idx="66">
                  <c:v>5.3298482218284315E-2</c:v>
                </c:pt>
                <c:pt idx="67">
                  <c:v>4.8819861041113841E-2</c:v>
                </c:pt>
                <c:pt idx="68">
                  <c:v>4.8803603610113086E-2</c:v>
                </c:pt>
                <c:pt idx="69">
                  <c:v>4.8787948306186435E-2</c:v>
                </c:pt>
                <c:pt idx="70">
                  <c:v>4.5898942604645172E-2</c:v>
                </c:pt>
                <c:pt idx="71">
                  <c:v>4.5894125588052358E-2</c:v>
                </c:pt>
                <c:pt idx="72">
                  <c:v>4.5894125588052358E-2</c:v>
                </c:pt>
                <c:pt idx="73">
                  <c:v>4.5880878792422114E-2</c:v>
                </c:pt>
                <c:pt idx="74">
                  <c:v>4.5880878792422114E-2</c:v>
                </c:pt>
                <c:pt idx="75">
                  <c:v>4.3814980801178245E-2</c:v>
                </c:pt>
              </c:numCache>
            </c:numRef>
          </c:val>
          <c:smooth val="0"/>
        </c:ser>
        <c:dLbls>
          <c:showLegendKey val="0"/>
          <c:showVal val="0"/>
          <c:showCatName val="0"/>
          <c:showSerName val="0"/>
          <c:showPercent val="0"/>
          <c:showBubbleSize val="0"/>
        </c:dLbls>
        <c:marker val="1"/>
        <c:smooth val="0"/>
        <c:axId val="270238080"/>
        <c:axId val="270239616"/>
      </c:lineChart>
      <c:dateAx>
        <c:axId val="2702380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239616"/>
        <c:crosses val="autoZero"/>
        <c:auto val="1"/>
        <c:lblOffset val="100"/>
        <c:baseTimeUnit val="days"/>
      </c:dateAx>
      <c:valAx>
        <c:axId val="27023961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2380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Charts'!$P$2</c:f>
              <c:strCache>
                <c:ptCount val="1"/>
                <c:pt idx="0">
                  <c:v>FDC T3 V-MAX 3875</c:v>
                </c:pt>
              </c:strCache>
            </c:strRef>
          </c:tx>
          <c:cat>
            <c:numRef>
              <c:f>'used space Charts'!$A$3:$A$77</c:f>
              <c:numCache>
                <c:formatCode>[$-409]d\-mmm\-yy;@</c:formatCode>
                <c:ptCount val="7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numCache>
            </c:numRef>
          </c:cat>
          <c:val>
            <c:numRef>
              <c:f>'used space Charts'!$P$3:$P$78</c:f>
              <c:numCache>
                <c:formatCode>0.00%</c:formatCode>
                <c:ptCount val="76"/>
                <c:pt idx="0">
                  <c:v>0.31363290413637962</c:v>
                </c:pt>
                <c:pt idx="1">
                  <c:v>0.31288144819048441</c:v>
                </c:pt>
                <c:pt idx="2">
                  <c:v>0.31180845580620142</c:v>
                </c:pt>
                <c:pt idx="3">
                  <c:v>0.31143031932060672</c:v>
                </c:pt>
                <c:pt idx="4">
                  <c:v>0.30736234145965502</c:v>
                </c:pt>
                <c:pt idx="5">
                  <c:v>0.30650250244464033</c:v>
                </c:pt>
                <c:pt idx="6">
                  <c:v>0.30540542493388634</c:v>
                </c:pt>
                <c:pt idx="7">
                  <c:v>0.30302942720752224</c:v>
                </c:pt>
                <c:pt idx="8">
                  <c:v>0.29670000000000002</c:v>
                </c:pt>
                <c:pt idx="9">
                  <c:v>0.28523533577074811</c:v>
                </c:pt>
                <c:pt idx="10">
                  <c:v>0.27895875181240576</c:v>
                </c:pt>
                <c:pt idx="11">
                  <c:v>0.27841322369783761</c:v>
                </c:pt>
                <c:pt idx="12">
                  <c:v>0.27034109356108227</c:v>
                </c:pt>
                <c:pt idx="13">
                  <c:v>0.26874424967605504</c:v>
                </c:pt>
                <c:pt idx="14">
                  <c:v>0.25488687216096573</c:v>
                </c:pt>
                <c:pt idx="15">
                  <c:v>0.24275278544487638</c:v>
                </c:pt>
                <c:pt idx="16">
                  <c:v>0.24251554694913702</c:v>
                </c:pt>
                <c:pt idx="17">
                  <c:v>0.24343077075571823</c:v>
                </c:pt>
                <c:pt idx="18">
                  <c:v>0.2330314554206265</c:v>
                </c:pt>
                <c:pt idx="19">
                  <c:v>0.23048088522917659</c:v>
                </c:pt>
                <c:pt idx="20">
                  <c:v>0.22707327510135794</c:v>
                </c:pt>
                <c:pt idx="21">
                  <c:v>0.20894005072129157</c:v>
                </c:pt>
                <c:pt idx="22">
                  <c:v>0.18793229747142998</c:v>
                </c:pt>
                <c:pt idx="23">
                  <c:v>0.1856597515188585</c:v>
                </c:pt>
                <c:pt idx="24">
                  <c:v>0.18322280862503715</c:v>
                </c:pt>
                <c:pt idx="25">
                  <c:v>0.17037929758989248</c:v>
                </c:pt>
                <c:pt idx="26">
                  <c:v>0.17005775651362437</c:v>
                </c:pt>
                <c:pt idx="27">
                  <c:v>0.16739235022350729</c:v>
                </c:pt>
                <c:pt idx="28">
                  <c:v>0.16324737146214155</c:v>
                </c:pt>
                <c:pt idx="29">
                  <c:v>0.15463345526106473</c:v>
                </c:pt>
                <c:pt idx="30">
                  <c:v>0.15297014503194861</c:v>
                </c:pt>
                <c:pt idx="31">
                  <c:v>0.15285530893328142</c:v>
                </c:pt>
                <c:pt idx="32">
                  <c:v>0.15254948227051515</c:v>
                </c:pt>
                <c:pt idx="33">
                  <c:v>0.15218684195893459</c:v>
                </c:pt>
                <c:pt idx="34">
                  <c:v>0.14766471727352506</c:v>
                </c:pt>
                <c:pt idx="35">
                  <c:v>0.14402259974421769</c:v>
                </c:pt>
                <c:pt idx="36">
                  <c:v>0.14285127153781249</c:v>
                </c:pt>
                <c:pt idx="37">
                  <c:v>0.14281621630769306</c:v>
                </c:pt>
                <c:pt idx="38">
                  <c:v>0.14266874258098361</c:v>
                </c:pt>
                <c:pt idx="39">
                  <c:v>0.86044512889445468</c:v>
                </c:pt>
                <c:pt idx="40">
                  <c:v>0.10522129520613684</c:v>
                </c:pt>
                <c:pt idx="41">
                  <c:v>0.14285127153781249</c:v>
                </c:pt>
                <c:pt idx="42">
                  <c:v>0.14281621630769306</c:v>
                </c:pt>
                <c:pt idx="43">
                  <c:v>0.14266874258098361</c:v>
                </c:pt>
                <c:pt idx="44">
                  <c:v>0.86044512889445468</c:v>
                </c:pt>
                <c:pt idx="45">
                  <c:v>0.10522129520613684</c:v>
                </c:pt>
                <c:pt idx="46">
                  <c:v>0.10522129520613684</c:v>
                </c:pt>
                <c:pt idx="47">
                  <c:v>0.10520799839471222</c:v>
                </c:pt>
                <c:pt idx="48">
                  <c:v>0.10520558079263501</c:v>
                </c:pt>
                <c:pt idx="49">
                  <c:v>0.1026622634074167</c:v>
                </c:pt>
                <c:pt idx="50">
                  <c:v>9.6986957935427928E-2</c:v>
                </c:pt>
                <c:pt idx="51">
                  <c:v>9.6868941099965078E-2</c:v>
                </c:pt>
                <c:pt idx="52">
                  <c:v>9.6771396572694762E-2</c:v>
                </c:pt>
                <c:pt idx="53">
                  <c:v>8.734931779043581E-2</c:v>
                </c:pt>
                <c:pt idx="54">
                  <c:v>8.734931779043581E-2</c:v>
                </c:pt>
                <c:pt idx="55">
                  <c:v>8.6601476414696704E-2</c:v>
                </c:pt>
                <c:pt idx="56">
                  <c:v>8.4215850383554711E-2</c:v>
                </c:pt>
                <c:pt idx="57">
                  <c:v>8.4047254904322063E-2</c:v>
                </c:pt>
                <c:pt idx="58">
                  <c:v>8.4047254904322063E-2</c:v>
                </c:pt>
                <c:pt idx="59">
                  <c:v>8.3983429472898274E-2</c:v>
                </c:pt>
                <c:pt idx="60">
                  <c:v>8.2190296125916731E-2</c:v>
                </c:pt>
                <c:pt idx="61">
                  <c:v>8.2067462276761524E-2</c:v>
                </c:pt>
                <c:pt idx="62">
                  <c:v>8.0760847312708495E-2</c:v>
                </c:pt>
                <c:pt idx="63">
                  <c:v>8.1313599633906955E-2</c:v>
                </c:pt>
                <c:pt idx="64">
                  <c:v>7.8507689158106436E-2</c:v>
                </c:pt>
                <c:pt idx="65">
                  <c:v>5.4736930839725917E-2</c:v>
                </c:pt>
                <c:pt idx="66">
                  <c:v>5.4417803682606972E-2</c:v>
                </c:pt>
                <c:pt idx="67">
                  <c:v>4.9939185202133932E-2</c:v>
                </c:pt>
                <c:pt idx="68">
                  <c:v>4.9919917147364497E-2</c:v>
                </c:pt>
                <c:pt idx="69">
                  <c:v>4.9898240585748863E-2</c:v>
                </c:pt>
                <c:pt idx="70">
                  <c:v>4.7003215356639649E-2</c:v>
                </c:pt>
                <c:pt idx="71">
                  <c:v>4.6998398342947285E-2</c:v>
                </c:pt>
                <c:pt idx="72">
                  <c:v>4.6993581329254928E-2</c:v>
                </c:pt>
                <c:pt idx="73">
                  <c:v>4.6980334541600929E-2</c:v>
                </c:pt>
                <c:pt idx="74">
                  <c:v>4.6980334541600929E-2</c:v>
                </c:pt>
                <c:pt idx="75">
                  <c:v>4.4913835667577881E-2</c:v>
                </c:pt>
              </c:numCache>
            </c:numRef>
          </c:val>
          <c:smooth val="0"/>
        </c:ser>
        <c:dLbls>
          <c:showLegendKey val="0"/>
          <c:showVal val="0"/>
          <c:showCatName val="0"/>
          <c:showSerName val="0"/>
          <c:showPercent val="0"/>
          <c:showBubbleSize val="0"/>
        </c:dLbls>
        <c:marker val="1"/>
        <c:smooth val="0"/>
        <c:axId val="270263808"/>
        <c:axId val="270265344"/>
      </c:lineChart>
      <c:dateAx>
        <c:axId val="2702638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265344"/>
        <c:crosses val="autoZero"/>
        <c:auto val="1"/>
        <c:lblOffset val="100"/>
        <c:baseTimeUnit val="days"/>
      </c:dateAx>
      <c:valAx>
        <c:axId val="270265344"/>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2638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Charts'!$T$2</c:f>
              <c:strCache>
                <c:ptCount val="1"/>
                <c:pt idx="0">
                  <c:v>ZDC T4 VMAX 0377</c:v>
                </c:pt>
              </c:strCache>
            </c:strRef>
          </c:tx>
          <c:cat>
            <c:numRef>
              <c:f>'used space Charts'!$A$3:$A$75</c:f>
              <c:numCache>
                <c:formatCode>[$-409]d\-mmm\-yy;@</c:formatCode>
                <c:ptCount val="7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numCache>
            </c:numRef>
          </c:cat>
          <c:val>
            <c:numRef>
              <c:f>'used space Charts'!$T$3:$T$77</c:f>
              <c:numCache>
                <c:formatCode>0.00%</c:formatCode>
                <c:ptCount val="75"/>
                <c:pt idx="0">
                  <c:v>0.30904942506157357</c:v>
                </c:pt>
                <c:pt idx="1">
                  <c:v>0.30904942506157357</c:v>
                </c:pt>
                <c:pt idx="2">
                  <c:v>0.30904942506157357</c:v>
                </c:pt>
                <c:pt idx="3">
                  <c:v>0.30904942506157357</c:v>
                </c:pt>
                <c:pt idx="4">
                  <c:v>0.30904942506157357</c:v>
                </c:pt>
                <c:pt idx="5">
                  <c:v>0.30904942506157357</c:v>
                </c:pt>
                <c:pt idx="6">
                  <c:v>0.30904942506157357</c:v>
                </c:pt>
                <c:pt idx="7">
                  <c:v>0.28577386258896059</c:v>
                </c:pt>
                <c:pt idx="8">
                  <c:v>0.2858</c:v>
                </c:pt>
                <c:pt idx="9">
                  <c:v>0.28577386258896059</c:v>
                </c:pt>
                <c:pt idx="10">
                  <c:v>0.28577386258896059</c:v>
                </c:pt>
                <c:pt idx="11">
                  <c:v>0.22119641588975689</c:v>
                </c:pt>
                <c:pt idx="12">
                  <c:v>0.22119641588975689</c:v>
                </c:pt>
                <c:pt idx="13">
                  <c:v>0.22119641588975689</c:v>
                </c:pt>
                <c:pt idx="14">
                  <c:v>0.22119641588975689</c:v>
                </c:pt>
                <c:pt idx="15">
                  <c:v>0.22119641588975689</c:v>
                </c:pt>
                <c:pt idx="16">
                  <c:v>0.22119641588975689</c:v>
                </c:pt>
                <c:pt idx="17">
                  <c:v>0.22119641588975689</c:v>
                </c:pt>
                <c:pt idx="18">
                  <c:v>0.22119641588975689</c:v>
                </c:pt>
                <c:pt idx="19">
                  <c:v>0.22119641588975689</c:v>
                </c:pt>
                <c:pt idx="20">
                  <c:v>0.22119641588975689</c:v>
                </c:pt>
                <c:pt idx="21">
                  <c:v>0.22119641588975689</c:v>
                </c:pt>
                <c:pt idx="22">
                  <c:v>0.21148063643643947</c:v>
                </c:pt>
                <c:pt idx="23">
                  <c:v>0.20851603934664026</c:v>
                </c:pt>
                <c:pt idx="24">
                  <c:v>0.20851603934664026</c:v>
                </c:pt>
                <c:pt idx="25">
                  <c:v>0.20069506353787342</c:v>
                </c:pt>
                <c:pt idx="26">
                  <c:v>0.20069506353787342</c:v>
                </c:pt>
                <c:pt idx="27">
                  <c:v>0.20069506353787342</c:v>
                </c:pt>
                <c:pt idx="28">
                  <c:v>0.20069506353787342</c:v>
                </c:pt>
                <c:pt idx="29">
                  <c:v>0.18917816291684925</c:v>
                </c:pt>
                <c:pt idx="30">
                  <c:v>0.18457261147459242</c:v>
                </c:pt>
                <c:pt idx="31">
                  <c:v>0.18302533959897854</c:v>
                </c:pt>
                <c:pt idx="32">
                  <c:v>0.18028134963206963</c:v>
                </c:pt>
                <c:pt idx="33">
                  <c:v>0.17748900741904775</c:v>
                </c:pt>
                <c:pt idx="34">
                  <c:v>0.17727444432692163</c:v>
                </c:pt>
                <c:pt idx="35">
                  <c:v>0.17460298272918209</c:v>
                </c:pt>
                <c:pt idx="36">
                  <c:v>0.17292576419213973</c:v>
                </c:pt>
                <c:pt idx="37">
                  <c:v>0.17099469636300449</c:v>
                </c:pt>
                <c:pt idx="38">
                  <c:v>0.16901527628775631</c:v>
                </c:pt>
                <c:pt idx="39">
                  <c:v>0.16777322796573035</c:v>
                </c:pt>
                <c:pt idx="40">
                  <c:v>0.1527326574092262</c:v>
                </c:pt>
                <c:pt idx="41">
                  <c:v>0.17292576419213973</c:v>
                </c:pt>
                <c:pt idx="42">
                  <c:v>0.17099469636300449</c:v>
                </c:pt>
                <c:pt idx="43">
                  <c:v>0.16901527628775631</c:v>
                </c:pt>
                <c:pt idx="44">
                  <c:v>0.16777322796573035</c:v>
                </c:pt>
                <c:pt idx="45">
                  <c:v>0.1527326574092262</c:v>
                </c:pt>
                <c:pt idx="46">
                  <c:v>0.1527326574092262</c:v>
                </c:pt>
                <c:pt idx="47">
                  <c:v>0.1520315498405887</c:v>
                </c:pt>
                <c:pt idx="48">
                  <c:v>0.15000377751922755</c:v>
                </c:pt>
                <c:pt idx="49">
                  <c:v>0.14198032667986279</c:v>
                </c:pt>
                <c:pt idx="50">
                  <c:v>0.14114625043441473</c:v>
                </c:pt>
                <c:pt idx="51">
                  <c:v>0.14084404889620888</c:v>
                </c:pt>
                <c:pt idx="52">
                  <c:v>0.14027893201976396</c:v>
                </c:pt>
                <c:pt idx="53">
                  <c:v>0.13979540955863465</c:v>
                </c:pt>
                <c:pt idx="54">
                  <c:v>0.13460963116302263</c:v>
                </c:pt>
                <c:pt idx="55">
                  <c:v>0.12060863389794654</c:v>
                </c:pt>
                <c:pt idx="56">
                  <c:v>0.10476118523443284</c:v>
                </c:pt>
                <c:pt idx="57">
                  <c:v>0.10436227920400115</c:v>
                </c:pt>
                <c:pt idx="58">
                  <c:v>0.10415980417340323</c:v>
                </c:pt>
                <c:pt idx="59">
                  <c:v>0.10401776945044651</c:v>
                </c:pt>
                <c:pt idx="60">
                  <c:v>0.10391502092745651</c:v>
                </c:pt>
                <c:pt idx="61">
                  <c:v>0.10391502092745651</c:v>
                </c:pt>
                <c:pt idx="62">
                  <c:v>0.10381227240446653</c:v>
                </c:pt>
                <c:pt idx="63">
                  <c:v>0.10059382602257445</c:v>
                </c:pt>
                <c:pt idx="64">
                  <c:v>9.5172330427161875E-2</c:v>
                </c:pt>
                <c:pt idx="65">
                  <c:v>9.5172330427161875E-2</c:v>
                </c:pt>
                <c:pt idx="66">
                  <c:v>9.0261555431317156E-2</c:v>
                </c:pt>
                <c:pt idx="67">
                  <c:v>7.1899789969930947E-2</c:v>
                </c:pt>
                <c:pt idx="68">
                  <c:v>7.1286320847373116E-2</c:v>
                </c:pt>
                <c:pt idx="69">
                  <c:v>7.1126154032124023E-2</c:v>
                </c:pt>
                <c:pt idx="70">
                  <c:v>6.9763225094815737E-2</c:v>
                </c:pt>
                <c:pt idx="71">
                  <c:v>6.6529668636013353E-2</c:v>
                </c:pt>
                <c:pt idx="72">
                  <c:v>6.5426633021562083E-2</c:v>
                </c:pt>
                <c:pt idx="73">
                  <c:v>6.1912029132228277E-2</c:v>
                </c:pt>
                <c:pt idx="74">
                  <c:v>5.9258699626781104E-2</c:v>
                </c:pt>
              </c:numCache>
            </c:numRef>
          </c:val>
          <c:smooth val="0"/>
        </c:ser>
        <c:dLbls>
          <c:showLegendKey val="0"/>
          <c:showVal val="0"/>
          <c:showCatName val="0"/>
          <c:showSerName val="0"/>
          <c:showPercent val="0"/>
          <c:showBubbleSize val="0"/>
        </c:dLbls>
        <c:marker val="1"/>
        <c:smooth val="0"/>
        <c:axId val="270359168"/>
        <c:axId val="270360960"/>
      </c:lineChart>
      <c:dateAx>
        <c:axId val="2703591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360960"/>
        <c:crosses val="autoZero"/>
        <c:auto val="1"/>
        <c:lblOffset val="100"/>
        <c:baseTimeUnit val="days"/>
      </c:dateAx>
      <c:valAx>
        <c:axId val="270360960"/>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3591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124391104896723"/>
          <c:y val="0.21744998239178107"/>
          <c:w val="0.74117753500911165"/>
          <c:h val="0.53416484159011479"/>
        </c:manualLayout>
      </c:layout>
      <c:lineChart>
        <c:grouping val="standard"/>
        <c:varyColors val="0"/>
        <c:ser>
          <c:idx val="0"/>
          <c:order val="0"/>
          <c:tx>
            <c:strRef>
              <c:f>'used space Charts'!$S$2</c:f>
              <c:strCache>
                <c:ptCount val="1"/>
                <c:pt idx="0">
                  <c:v>ZDC T4 VMAX 2262</c:v>
                </c:pt>
              </c:strCache>
            </c:strRef>
          </c:tx>
          <c:cat>
            <c:numRef>
              <c:f>'used space Charts'!$A$3:$A$75</c:f>
              <c:numCache>
                <c:formatCode>[$-409]d\-mmm\-yy;@</c:formatCode>
                <c:ptCount val="7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numCache>
            </c:numRef>
          </c:cat>
          <c:val>
            <c:numRef>
              <c:f>'used space Charts'!$S$3:$S$77</c:f>
              <c:numCache>
                <c:formatCode>0.00%</c:formatCode>
                <c:ptCount val="75"/>
                <c:pt idx="0">
                  <c:v>0.30087759061485742</c:v>
                </c:pt>
                <c:pt idx="1">
                  <c:v>0.30087759061485742</c:v>
                </c:pt>
                <c:pt idx="2">
                  <c:v>0.30087759061485742</c:v>
                </c:pt>
                <c:pt idx="3">
                  <c:v>0.30087759061485742</c:v>
                </c:pt>
                <c:pt idx="4">
                  <c:v>0.30087759061485742</c:v>
                </c:pt>
                <c:pt idx="5">
                  <c:v>0.30087759061485742</c:v>
                </c:pt>
                <c:pt idx="6">
                  <c:v>0.30087759061485742</c:v>
                </c:pt>
                <c:pt idx="7">
                  <c:v>0.28993853239288497</c:v>
                </c:pt>
                <c:pt idx="8">
                  <c:v>0.28989999999999999</c:v>
                </c:pt>
                <c:pt idx="9">
                  <c:v>0.28993853239288497</c:v>
                </c:pt>
                <c:pt idx="10">
                  <c:v>0.28993853239288497</c:v>
                </c:pt>
                <c:pt idx="11">
                  <c:v>0.25559101376221649</c:v>
                </c:pt>
                <c:pt idx="12">
                  <c:v>0.25559101376221649</c:v>
                </c:pt>
                <c:pt idx="13">
                  <c:v>0.25559101376221649</c:v>
                </c:pt>
                <c:pt idx="14">
                  <c:v>0.25559101376221649</c:v>
                </c:pt>
                <c:pt idx="15">
                  <c:v>0.25559101376221649</c:v>
                </c:pt>
                <c:pt idx="16">
                  <c:v>0.25559101376221649</c:v>
                </c:pt>
                <c:pt idx="17">
                  <c:v>0.25559101376221649</c:v>
                </c:pt>
                <c:pt idx="18">
                  <c:v>0.25559101376221649</c:v>
                </c:pt>
                <c:pt idx="19">
                  <c:v>0.25559101376221649</c:v>
                </c:pt>
                <c:pt idx="20">
                  <c:v>0.25559101376221649</c:v>
                </c:pt>
                <c:pt idx="21">
                  <c:v>0.25559101376221649</c:v>
                </c:pt>
                <c:pt idx="22">
                  <c:v>0.2496781563344273</c:v>
                </c:pt>
                <c:pt idx="23">
                  <c:v>0.24500009066018749</c:v>
                </c:pt>
                <c:pt idx="24">
                  <c:v>0.24500009066018749</c:v>
                </c:pt>
                <c:pt idx="25">
                  <c:v>0.24230385668437562</c:v>
                </c:pt>
                <c:pt idx="26">
                  <c:v>0.24230385668437562</c:v>
                </c:pt>
                <c:pt idx="27">
                  <c:v>0.24230385668437562</c:v>
                </c:pt>
                <c:pt idx="28">
                  <c:v>0.24230385668437562</c:v>
                </c:pt>
                <c:pt idx="29">
                  <c:v>0.22532682997588438</c:v>
                </c:pt>
                <c:pt idx="30">
                  <c:v>0.22118003300030822</c:v>
                </c:pt>
                <c:pt idx="31">
                  <c:v>0.22032601403419705</c:v>
                </c:pt>
                <c:pt idx="32">
                  <c:v>0.21903863937190624</c:v>
                </c:pt>
                <c:pt idx="33">
                  <c:v>0.21803775090206887</c:v>
                </c:pt>
                <c:pt idx="34">
                  <c:v>0.21723631484469907</c:v>
                </c:pt>
                <c:pt idx="35">
                  <c:v>0.21543217711374227</c:v>
                </c:pt>
                <c:pt idx="36">
                  <c:v>0.21431705680767346</c:v>
                </c:pt>
                <c:pt idx="37">
                  <c:v>0.21299523127413827</c:v>
                </c:pt>
                <c:pt idx="38">
                  <c:v>0.21117658791318381</c:v>
                </c:pt>
                <c:pt idx="39">
                  <c:v>0.20761182934126307</c:v>
                </c:pt>
                <c:pt idx="40">
                  <c:v>0.15835614948051713</c:v>
                </c:pt>
                <c:pt idx="41">
                  <c:v>0.21431705680767346</c:v>
                </c:pt>
                <c:pt idx="42">
                  <c:v>0.21299523127413827</c:v>
                </c:pt>
                <c:pt idx="43">
                  <c:v>0.21117658791318381</c:v>
                </c:pt>
                <c:pt idx="44">
                  <c:v>0.20761182934126307</c:v>
                </c:pt>
                <c:pt idx="45">
                  <c:v>0.15835614948051713</c:v>
                </c:pt>
                <c:pt idx="46">
                  <c:v>0.15835614948051713</c:v>
                </c:pt>
                <c:pt idx="47">
                  <c:v>0.15727910645319215</c:v>
                </c:pt>
                <c:pt idx="48">
                  <c:v>0.15496908487606753</c:v>
                </c:pt>
                <c:pt idx="49">
                  <c:v>0.14838171565338795</c:v>
                </c:pt>
                <c:pt idx="50">
                  <c:v>0.1471741219560842</c:v>
                </c:pt>
                <c:pt idx="51">
                  <c:v>0.14576707584631285</c:v>
                </c:pt>
                <c:pt idx="52">
                  <c:v>0.14545520480136354</c:v>
                </c:pt>
                <c:pt idx="53">
                  <c:v>0.14438904099653677</c:v>
                </c:pt>
                <c:pt idx="54">
                  <c:v>0.13387064604449603</c:v>
                </c:pt>
                <c:pt idx="55">
                  <c:v>0.12786168881797247</c:v>
                </c:pt>
                <c:pt idx="56">
                  <c:v>0.12721800148682708</c:v>
                </c:pt>
                <c:pt idx="57">
                  <c:v>0.1269206360718754</c:v>
                </c:pt>
                <c:pt idx="58">
                  <c:v>0.12686442675563453</c:v>
                </c:pt>
                <c:pt idx="59">
                  <c:v>0.12679915142064516</c:v>
                </c:pt>
                <c:pt idx="60">
                  <c:v>0.12678283258689779</c:v>
                </c:pt>
                <c:pt idx="61">
                  <c:v>0.12676107414190133</c:v>
                </c:pt>
                <c:pt idx="62">
                  <c:v>0.12649634639444435</c:v>
                </c:pt>
                <c:pt idx="63">
                  <c:v>0.12576743848706279</c:v>
                </c:pt>
                <c:pt idx="64">
                  <c:v>8.1467244474261569E-2</c:v>
                </c:pt>
                <c:pt idx="65">
                  <c:v>8.1467244474261569E-2</c:v>
                </c:pt>
                <c:pt idx="66">
                  <c:v>8.0828996754365293E-2</c:v>
                </c:pt>
                <c:pt idx="67">
                  <c:v>7.986437235952204E-2</c:v>
                </c:pt>
                <c:pt idx="68">
                  <c:v>7.8522601584740087E-2</c:v>
                </c:pt>
                <c:pt idx="69">
                  <c:v>7.8506282750992723E-2</c:v>
                </c:pt>
                <c:pt idx="70">
                  <c:v>7.8343094413519249E-2</c:v>
                </c:pt>
                <c:pt idx="71">
                  <c:v>7.8321335968522782E-2</c:v>
                </c:pt>
                <c:pt idx="72">
                  <c:v>7.7512647096154186E-2</c:v>
                </c:pt>
                <c:pt idx="73">
                  <c:v>7.6622364055048867E-2</c:v>
                </c:pt>
                <c:pt idx="74">
                  <c:v>5.4229297746187739E-2</c:v>
                </c:pt>
              </c:numCache>
            </c:numRef>
          </c:val>
          <c:smooth val="0"/>
        </c:ser>
        <c:dLbls>
          <c:showLegendKey val="0"/>
          <c:showVal val="0"/>
          <c:showCatName val="0"/>
          <c:showSerName val="0"/>
          <c:showPercent val="0"/>
          <c:showBubbleSize val="0"/>
        </c:dLbls>
        <c:marker val="1"/>
        <c:smooth val="0"/>
        <c:axId val="270381056"/>
        <c:axId val="270382592"/>
      </c:lineChart>
      <c:dateAx>
        <c:axId val="27038105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382592"/>
        <c:crosses val="autoZero"/>
        <c:auto val="1"/>
        <c:lblOffset val="100"/>
        <c:baseTimeUnit val="days"/>
      </c:dateAx>
      <c:valAx>
        <c:axId val="270382592"/>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3810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2508998749050954"/>
          <c:y val="2.5418462276433448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3"/>
          <c:y val="0.21343873517787956"/>
          <c:w val="0.74117753500911165"/>
          <c:h val="0.54062783460932506"/>
        </c:manualLayout>
      </c:layout>
      <c:lineChart>
        <c:grouping val="standard"/>
        <c:varyColors val="0"/>
        <c:ser>
          <c:idx val="0"/>
          <c:order val="0"/>
          <c:tx>
            <c:strRef>
              <c:f>'used space Charts'!$C$2</c:f>
              <c:strCache>
                <c:ptCount val="1"/>
                <c:pt idx="0">
                  <c:v>CGC T3 V-MAX 0745</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Charts'!$C$3:$C$91</c:f>
              <c:numCache>
                <c:formatCode>0.00%</c:formatCode>
                <c:ptCount val="89"/>
                <c:pt idx="0">
                  <c:v>0.55710030847075431</c:v>
                </c:pt>
                <c:pt idx="1">
                  <c:v>0.55671231165711177</c:v>
                </c:pt>
                <c:pt idx="2">
                  <c:v>0.55513972868126926</c:v>
                </c:pt>
                <c:pt idx="3">
                  <c:v>0.55513972868126926</c:v>
                </c:pt>
                <c:pt idx="4">
                  <c:v>0.55490985385674807</c:v>
                </c:pt>
                <c:pt idx="5">
                  <c:v>0.55433715992976196</c:v>
                </c:pt>
                <c:pt idx="6">
                  <c:v>0.56120948705359597</c:v>
                </c:pt>
                <c:pt idx="7">
                  <c:v>0.56102611869646357</c:v>
                </c:pt>
                <c:pt idx="8">
                  <c:v>0.55869999999999997</c:v>
                </c:pt>
                <c:pt idx="9">
                  <c:v>0.55751155851809131</c:v>
                </c:pt>
                <c:pt idx="10">
                  <c:v>0.55731025195210893</c:v>
                </c:pt>
                <c:pt idx="11">
                  <c:v>0.5567475236967061</c:v>
                </c:pt>
                <c:pt idx="12">
                  <c:v>0.55370932262001493</c:v>
                </c:pt>
                <c:pt idx="13">
                  <c:v>0.55306221834520686</c:v>
                </c:pt>
                <c:pt idx="14">
                  <c:v>0.55216397914649995</c:v>
                </c:pt>
                <c:pt idx="15">
                  <c:v>0.54977952612567238</c:v>
                </c:pt>
                <c:pt idx="16">
                  <c:v>0.54977155358840579</c:v>
                </c:pt>
                <c:pt idx="17">
                  <c:v>0.54977155358840579</c:v>
                </c:pt>
                <c:pt idx="18">
                  <c:v>0.54970511577785053</c:v>
                </c:pt>
                <c:pt idx="19">
                  <c:v>0.54955098005736236</c:v>
                </c:pt>
                <c:pt idx="20">
                  <c:v>0.54955098005736236</c:v>
                </c:pt>
                <c:pt idx="21">
                  <c:v>0.54930316702399129</c:v>
                </c:pt>
                <c:pt idx="22">
                  <c:v>0.54437946088374245</c:v>
                </c:pt>
                <c:pt idx="23">
                  <c:v>0.54437946088374245</c:v>
                </c:pt>
                <c:pt idx="24">
                  <c:v>0.54207805512610896</c:v>
                </c:pt>
                <c:pt idx="25">
                  <c:v>0.54063834777137687</c:v>
                </c:pt>
                <c:pt idx="26">
                  <c:v>0.53936672807734953</c:v>
                </c:pt>
                <c:pt idx="27">
                  <c:v>0.53913286698419505</c:v>
                </c:pt>
                <c:pt idx="28">
                  <c:v>0.53888173206029621</c:v>
                </c:pt>
                <c:pt idx="29">
                  <c:v>0.5358833936699382</c:v>
                </c:pt>
                <c:pt idx="30">
                  <c:v>0.53444966571815622</c:v>
                </c:pt>
                <c:pt idx="31">
                  <c:v>0.53426031795807372</c:v>
                </c:pt>
                <c:pt idx="32">
                  <c:v>0.53361254930516011</c:v>
                </c:pt>
                <c:pt idx="33">
                  <c:v>0.52864698734426141</c:v>
                </c:pt>
                <c:pt idx="34">
                  <c:v>0.52792215083110383</c:v>
                </c:pt>
                <c:pt idx="35">
                  <c:v>0.52620938407498963</c:v>
                </c:pt>
                <c:pt idx="36">
                  <c:v>0.52571774427688089</c:v>
                </c:pt>
                <c:pt idx="37">
                  <c:v>0.52460623970629172</c:v>
                </c:pt>
                <c:pt idx="38">
                  <c:v>0.52423883861392118</c:v>
                </c:pt>
                <c:pt idx="39">
                  <c:v>0.52350735831970807</c:v>
                </c:pt>
                <c:pt idx="40">
                  <c:v>0.52281241882130014</c:v>
                </c:pt>
                <c:pt idx="41">
                  <c:v>0.52571774427688089</c:v>
                </c:pt>
                <c:pt idx="42">
                  <c:v>0.52460623970629172</c:v>
                </c:pt>
                <c:pt idx="43">
                  <c:v>0.52423883861392118</c:v>
                </c:pt>
                <c:pt idx="44">
                  <c:v>0.52350735831970807</c:v>
                </c:pt>
                <c:pt idx="45">
                  <c:v>0.52281241882130014</c:v>
                </c:pt>
                <c:pt idx="46">
                  <c:v>0.52281241882130014</c:v>
                </c:pt>
                <c:pt idx="47">
                  <c:v>0.52214272569090336</c:v>
                </c:pt>
                <c:pt idx="48">
                  <c:v>0.52211083554183679</c:v>
                </c:pt>
                <c:pt idx="49">
                  <c:v>0.52196002171187639</c:v>
                </c:pt>
                <c:pt idx="50">
                  <c:v>0.52170004743688048</c:v>
                </c:pt>
                <c:pt idx="51">
                  <c:v>0.52167280777167579</c:v>
                </c:pt>
                <c:pt idx="52">
                  <c:v>0.52005105111888583</c:v>
                </c:pt>
                <c:pt idx="53">
                  <c:v>0.52002314707160313</c:v>
                </c:pt>
                <c:pt idx="54">
                  <c:v>0.51951755231012298</c:v>
                </c:pt>
                <c:pt idx="55">
                  <c:v>0.5189103070906842</c:v>
                </c:pt>
                <c:pt idx="56">
                  <c:v>0.51861930774044984</c:v>
                </c:pt>
                <c:pt idx="57">
                  <c:v>0.51693775670062547</c:v>
                </c:pt>
                <c:pt idx="58">
                  <c:v>0.51687929107774733</c:v>
                </c:pt>
                <c:pt idx="59">
                  <c:v>7.0000000000000007E-2</c:v>
                </c:pt>
                <c:pt idx="60">
                  <c:v>0.5163703744058763</c:v>
                </c:pt>
                <c:pt idx="61">
                  <c:v>0.5161258818011133</c:v>
                </c:pt>
                <c:pt idx="62">
                  <c:v>0.51565882120016637</c:v>
                </c:pt>
                <c:pt idx="63">
                  <c:v>0.51547810927490678</c:v>
                </c:pt>
                <c:pt idx="64">
                  <c:v>0.51541167106709074</c:v>
                </c:pt>
                <c:pt idx="65">
                  <c:v>0.51516850722648388</c:v>
                </c:pt>
                <c:pt idx="66">
                  <c:v>0.51508213755632304</c:v>
                </c:pt>
                <c:pt idx="67">
                  <c:v>0.51455328942210721</c:v>
                </c:pt>
                <c:pt idx="68">
                  <c:v>0.51443702255842905</c:v>
                </c:pt>
                <c:pt idx="69">
                  <c:v>0.51431809816643836</c:v>
                </c:pt>
                <c:pt idx="70">
                  <c:v>0.51316805278914235</c:v>
                </c:pt>
                <c:pt idx="71">
                  <c:v>0.51296142996283456</c:v>
                </c:pt>
                <c:pt idx="72">
                  <c:v>0.51289831366540928</c:v>
                </c:pt>
                <c:pt idx="73">
                  <c:v>0.51277274545263685</c:v>
                </c:pt>
                <c:pt idx="74">
                  <c:v>0.51253157475826461</c:v>
                </c:pt>
                <c:pt idx="75">
                  <c:v>0.51253157475826461</c:v>
                </c:pt>
                <c:pt idx="76">
                  <c:v>0.5121223153981177</c:v>
                </c:pt>
                <c:pt idx="77">
                  <c:v>0.51185058312815013</c:v>
                </c:pt>
                <c:pt idx="78">
                  <c:v>0.51174561075980074</c:v>
                </c:pt>
                <c:pt idx="79">
                  <c:v>0.51170441907095476</c:v>
                </c:pt>
                <c:pt idx="80">
                  <c:v>0.50924819852799508</c:v>
                </c:pt>
                <c:pt idx="81">
                  <c:v>0.50768092120561437</c:v>
                </c:pt>
                <c:pt idx="82">
                  <c:v>0.50745636006319605</c:v>
                </c:pt>
                <c:pt idx="83">
                  <c:v>0.50730554533145367</c:v>
                </c:pt>
                <c:pt idx="84">
                  <c:v>0.5071354635194445</c:v>
                </c:pt>
                <c:pt idx="85">
                  <c:v>0.50628571884147711</c:v>
                </c:pt>
                <c:pt idx="86">
                  <c:v>0.50613025343518758</c:v>
                </c:pt>
                <c:pt idx="87">
                  <c:v>0.50580071992441988</c:v>
                </c:pt>
                <c:pt idx="88">
                  <c:v>0.50553496709315571</c:v>
                </c:pt>
              </c:numCache>
            </c:numRef>
          </c:val>
          <c:smooth val="0"/>
        </c:ser>
        <c:dLbls>
          <c:showLegendKey val="0"/>
          <c:showVal val="0"/>
          <c:showCatName val="0"/>
          <c:showSerName val="0"/>
          <c:showPercent val="0"/>
          <c:showBubbleSize val="0"/>
        </c:dLbls>
        <c:marker val="1"/>
        <c:smooth val="0"/>
        <c:axId val="270415744"/>
        <c:axId val="270417280"/>
      </c:lineChart>
      <c:dateAx>
        <c:axId val="2704157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417280"/>
        <c:crosses val="autoZero"/>
        <c:auto val="1"/>
        <c:lblOffset val="100"/>
        <c:baseTimeUnit val="days"/>
      </c:dateAx>
      <c:valAx>
        <c:axId val="27041728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4157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9570434648693713"/>
          <c:y val="0.19152187288132491"/>
          <c:w val="0.76143851503852555"/>
          <c:h val="0.56534299693528367"/>
        </c:manualLayout>
      </c:layout>
      <c:lineChart>
        <c:grouping val="standard"/>
        <c:varyColors val="0"/>
        <c:ser>
          <c:idx val="0"/>
          <c:order val="0"/>
          <c:tx>
            <c:strRef>
              <c:f>'used space Charts'!$C$2</c:f>
              <c:strCache>
                <c:ptCount val="1"/>
                <c:pt idx="0">
                  <c:v>CGC T3 V-MAX 0745</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Charts'!$C$3:$C$91</c:f>
              <c:numCache>
                <c:formatCode>0.00%</c:formatCode>
                <c:ptCount val="89"/>
                <c:pt idx="0">
                  <c:v>0.55710030847075431</c:v>
                </c:pt>
                <c:pt idx="1">
                  <c:v>0.55671231165711177</c:v>
                </c:pt>
                <c:pt idx="2">
                  <c:v>0.55513972868126926</c:v>
                </c:pt>
                <c:pt idx="3">
                  <c:v>0.55513972868126926</c:v>
                </c:pt>
                <c:pt idx="4">
                  <c:v>0.55490985385674807</c:v>
                </c:pt>
                <c:pt idx="5">
                  <c:v>0.55433715992976196</c:v>
                </c:pt>
                <c:pt idx="6">
                  <c:v>0.56120948705359597</c:v>
                </c:pt>
                <c:pt idx="7">
                  <c:v>0.56102611869646357</c:v>
                </c:pt>
                <c:pt idx="8">
                  <c:v>0.55869999999999997</c:v>
                </c:pt>
                <c:pt idx="9">
                  <c:v>0.55751155851809131</c:v>
                </c:pt>
                <c:pt idx="10">
                  <c:v>0.55731025195210893</c:v>
                </c:pt>
                <c:pt idx="11">
                  <c:v>0.5567475236967061</c:v>
                </c:pt>
                <c:pt idx="12">
                  <c:v>0.55370932262001493</c:v>
                </c:pt>
                <c:pt idx="13">
                  <c:v>0.55306221834520686</c:v>
                </c:pt>
                <c:pt idx="14">
                  <c:v>0.55216397914649995</c:v>
                </c:pt>
                <c:pt idx="15">
                  <c:v>0.54977952612567238</c:v>
                </c:pt>
                <c:pt idx="16">
                  <c:v>0.54977155358840579</c:v>
                </c:pt>
                <c:pt idx="17">
                  <c:v>0.54977155358840579</c:v>
                </c:pt>
                <c:pt idx="18">
                  <c:v>0.54970511577785053</c:v>
                </c:pt>
                <c:pt idx="19">
                  <c:v>0.54955098005736236</c:v>
                </c:pt>
                <c:pt idx="20">
                  <c:v>0.54955098005736236</c:v>
                </c:pt>
                <c:pt idx="21">
                  <c:v>0.54930316702399129</c:v>
                </c:pt>
                <c:pt idx="22">
                  <c:v>0.54437946088374245</c:v>
                </c:pt>
                <c:pt idx="23">
                  <c:v>0.54437946088374245</c:v>
                </c:pt>
                <c:pt idx="24">
                  <c:v>0.54207805512610896</c:v>
                </c:pt>
                <c:pt idx="25">
                  <c:v>0.54063834777137687</c:v>
                </c:pt>
                <c:pt idx="26">
                  <c:v>0.53936672807734953</c:v>
                </c:pt>
                <c:pt idx="27">
                  <c:v>0.53913286698419505</c:v>
                </c:pt>
                <c:pt idx="28">
                  <c:v>0.53888173206029621</c:v>
                </c:pt>
                <c:pt idx="29">
                  <c:v>0.5358833936699382</c:v>
                </c:pt>
                <c:pt idx="30">
                  <c:v>0.53444966571815622</c:v>
                </c:pt>
                <c:pt idx="31">
                  <c:v>0.53426031795807372</c:v>
                </c:pt>
                <c:pt idx="32">
                  <c:v>0.53361254930516011</c:v>
                </c:pt>
                <c:pt idx="33">
                  <c:v>0.52864698734426141</c:v>
                </c:pt>
                <c:pt idx="34">
                  <c:v>0.52792215083110383</c:v>
                </c:pt>
                <c:pt idx="35">
                  <c:v>0.52620938407498963</c:v>
                </c:pt>
                <c:pt idx="36">
                  <c:v>0.52571774427688089</c:v>
                </c:pt>
                <c:pt idx="37">
                  <c:v>0.52460623970629172</c:v>
                </c:pt>
                <c:pt idx="38">
                  <c:v>0.52423883861392118</c:v>
                </c:pt>
                <c:pt idx="39">
                  <c:v>0.52350735831970807</c:v>
                </c:pt>
                <c:pt idx="40">
                  <c:v>0.52281241882130014</c:v>
                </c:pt>
                <c:pt idx="41">
                  <c:v>0.52571774427688089</c:v>
                </c:pt>
                <c:pt idx="42">
                  <c:v>0.52460623970629172</c:v>
                </c:pt>
                <c:pt idx="43">
                  <c:v>0.52423883861392118</c:v>
                </c:pt>
                <c:pt idx="44">
                  <c:v>0.52350735831970807</c:v>
                </c:pt>
                <c:pt idx="45">
                  <c:v>0.52281241882130014</c:v>
                </c:pt>
                <c:pt idx="46">
                  <c:v>0.52281241882130014</c:v>
                </c:pt>
                <c:pt idx="47">
                  <c:v>0.52214272569090336</c:v>
                </c:pt>
                <c:pt idx="48">
                  <c:v>0.52211083554183679</c:v>
                </c:pt>
                <c:pt idx="49">
                  <c:v>0.52196002171187639</c:v>
                </c:pt>
                <c:pt idx="50">
                  <c:v>0.52170004743688048</c:v>
                </c:pt>
                <c:pt idx="51">
                  <c:v>0.52167280777167579</c:v>
                </c:pt>
                <c:pt idx="52">
                  <c:v>0.52005105111888583</c:v>
                </c:pt>
                <c:pt idx="53">
                  <c:v>0.52002314707160313</c:v>
                </c:pt>
                <c:pt idx="54">
                  <c:v>0.51951755231012298</c:v>
                </c:pt>
                <c:pt idx="55">
                  <c:v>0.5189103070906842</c:v>
                </c:pt>
                <c:pt idx="56">
                  <c:v>0.51861930774044984</c:v>
                </c:pt>
                <c:pt idx="57">
                  <c:v>0.51693775670062547</c:v>
                </c:pt>
                <c:pt idx="58">
                  <c:v>0.51687929107774733</c:v>
                </c:pt>
                <c:pt idx="59">
                  <c:v>7.0000000000000007E-2</c:v>
                </c:pt>
                <c:pt idx="60">
                  <c:v>0.5163703744058763</c:v>
                </c:pt>
                <c:pt idx="61">
                  <c:v>0.5161258818011133</c:v>
                </c:pt>
                <c:pt idx="62">
                  <c:v>0.51565882120016637</c:v>
                </c:pt>
                <c:pt idx="63">
                  <c:v>0.51547810927490678</c:v>
                </c:pt>
                <c:pt idx="64">
                  <c:v>0.51541167106709074</c:v>
                </c:pt>
                <c:pt idx="65">
                  <c:v>0.51516850722648388</c:v>
                </c:pt>
                <c:pt idx="66">
                  <c:v>0.51508213755632304</c:v>
                </c:pt>
                <c:pt idx="67">
                  <c:v>0.51455328942210721</c:v>
                </c:pt>
                <c:pt idx="68">
                  <c:v>0.51443702255842905</c:v>
                </c:pt>
                <c:pt idx="69">
                  <c:v>0.51431809816643836</c:v>
                </c:pt>
                <c:pt idx="70">
                  <c:v>0.51316805278914235</c:v>
                </c:pt>
                <c:pt idx="71">
                  <c:v>0.51296142996283456</c:v>
                </c:pt>
                <c:pt idx="72">
                  <c:v>0.51289831366540928</c:v>
                </c:pt>
                <c:pt idx="73">
                  <c:v>0.51277274545263685</c:v>
                </c:pt>
                <c:pt idx="74">
                  <c:v>0.51253157475826461</c:v>
                </c:pt>
                <c:pt idx="75">
                  <c:v>0.51253157475826461</c:v>
                </c:pt>
                <c:pt idx="76">
                  <c:v>0.5121223153981177</c:v>
                </c:pt>
                <c:pt idx="77">
                  <c:v>0.51185058312815013</c:v>
                </c:pt>
                <c:pt idx="78">
                  <c:v>0.51174561075980074</c:v>
                </c:pt>
                <c:pt idx="79">
                  <c:v>0.51170441907095476</c:v>
                </c:pt>
                <c:pt idx="80">
                  <c:v>0.50924819852799508</c:v>
                </c:pt>
                <c:pt idx="81">
                  <c:v>0.50768092120561437</c:v>
                </c:pt>
                <c:pt idx="82">
                  <c:v>0.50745636006319605</c:v>
                </c:pt>
                <c:pt idx="83">
                  <c:v>0.50730554533145367</c:v>
                </c:pt>
                <c:pt idx="84">
                  <c:v>0.5071354635194445</c:v>
                </c:pt>
                <c:pt idx="85">
                  <c:v>0.50628571884147711</c:v>
                </c:pt>
                <c:pt idx="86">
                  <c:v>0.50613025343518758</c:v>
                </c:pt>
                <c:pt idx="87">
                  <c:v>0.50580071992441988</c:v>
                </c:pt>
                <c:pt idx="88">
                  <c:v>0.50553496709315571</c:v>
                </c:pt>
              </c:numCache>
            </c:numRef>
          </c:val>
          <c:smooth val="0"/>
        </c:ser>
        <c:dLbls>
          <c:showLegendKey val="0"/>
          <c:showVal val="0"/>
          <c:showCatName val="0"/>
          <c:showSerName val="0"/>
          <c:showPercent val="0"/>
          <c:showBubbleSize val="0"/>
        </c:dLbls>
        <c:marker val="1"/>
        <c:smooth val="0"/>
        <c:axId val="270442496"/>
        <c:axId val="270444032"/>
      </c:lineChart>
      <c:dateAx>
        <c:axId val="2704424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444032"/>
        <c:crosses val="autoZero"/>
        <c:auto val="1"/>
        <c:lblOffset val="100"/>
        <c:baseTimeUnit val="days"/>
      </c:dateAx>
      <c:valAx>
        <c:axId val="27044403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4424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3756513880323586"/>
        </c:manualLayout>
      </c:layout>
      <c:lineChart>
        <c:grouping val="standard"/>
        <c:varyColors val="0"/>
        <c:ser>
          <c:idx val="0"/>
          <c:order val="0"/>
          <c:tx>
            <c:strRef>
              <c:f>'used space Charts'!$J$2</c:f>
              <c:strCache>
                <c:ptCount val="1"/>
                <c:pt idx="0">
                  <c:v>RDC T3 V-MAX 4330</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Charts'!$J$3:$J$56</c:f>
              <c:numCache>
                <c:formatCode>0.00%</c:formatCode>
                <c:ptCount val="54"/>
                <c:pt idx="0">
                  <c:v>0.67940851094024146</c:v>
                </c:pt>
                <c:pt idx="1">
                  <c:v>0.6754268693879657</c:v>
                </c:pt>
                <c:pt idx="2">
                  <c:v>0.6720120755495923</c:v>
                </c:pt>
                <c:pt idx="3">
                  <c:v>0.66655808132934258</c:v>
                </c:pt>
                <c:pt idx="4">
                  <c:v>0.66562193595830321</c:v>
                </c:pt>
                <c:pt idx="5">
                  <c:v>0.66391574852926005</c:v>
                </c:pt>
                <c:pt idx="6">
                  <c:v>0.6620579716689029</c:v>
                </c:pt>
                <c:pt idx="7">
                  <c:v>0.66008569640829806</c:v>
                </c:pt>
                <c:pt idx="8">
                  <c:v>0.65800000000000003</c:v>
                </c:pt>
                <c:pt idx="9">
                  <c:v>0.62700936629167092</c:v>
                </c:pt>
                <c:pt idx="10">
                  <c:v>0.62171341211683351</c:v>
                </c:pt>
                <c:pt idx="11">
                  <c:v>0.61931458999896782</c:v>
                </c:pt>
                <c:pt idx="12">
                  <c:v>0.61362837367117351</c:v>
                </c:pt>
                <c:pt idx="13">
                  <c:v>0.60936532407885236</c:v>
                </c:pt>
                <c:pt idx="14">
                  <c:v>0.52744575033543195</c:v>
                </c:pt>
                <c:pt idx="15">
                  <c:v>0.52594275725049022</c:v>
                </c:pt>
                <c:pt idx="16">
                  <c:v>0.52587341314893177</c:v>
                </c:pt>
                <c:pt idx="17">
                  <c:v>0.53729611987220571</c:v>
                </c:pt>
                <c:pt idx="18">
                  <c:v>0.5252762751827692</c:v>
                </c:pt>
                <c:pt idx="19">
                  <c:v>0.5032821837726329</c:v>
                </c:pt>
                <c:pt idx="20">
                  <c:v>0.5032821837726329</c:v>
                </c:pt>
                <c:pt idx="21">
                  <c:v>0.50015900137251956</c:v>
                </c:pt>
                <c:pt idx="22">
                  <c:v>0.62613892628198187</c:v>
                </c:pt>
                <c:pt idx="23">
                  <c:v>0.60448580048392186</c:v>
                </c:pt>
                <c:pt idx="24">
                  <c:v>0.60106090577373394</c:v>
                </c:pt>
                <c:pt idx="25">
                  <c:v>0.58612446922247852</c:v>
                </c:pt>
                <c:pt idx="26">
                  <c:v>0.5796447632115449</c:v>
                </c:pt>
                <c:pt idx="27">
                  <c:v>0.56465746724437194</c:v>
                </c:pt>
                <c:pt idx="28">
                  <c:v>0.56050755532855179</c:v>
                </c:pt>
                <c:pt idx="29">
                  <c:v>0.49937561951097043</c:v>
                </c:pt>
                <c:pt idx="30">
                  <c:v>0.48354752000831064</c:v>
                </c:pt>
                <c:pt idx="31">
                  <c:v>0.48246215843032686</c:v>
                </c:pt>
                <c:pt idx="32">
                  <c:v>0.47454540339091628</c:v>
                </c:pt>
                <c:pt idx="33">
                  <c:v>0.35935531902921275</c:v>
                </c:pt>
                <c:pt idx="34">
                  <c:v>0.35816391015846494</c:v>
                </c:pt>
                <c:pt idx="35">
                  <c:v>0.25580554822121898</c:v>
                </c:pt>
                <c:pt idx="36">
                  <c:v>0.25381878465474028</c:v>
                </c:pt>
                <c:pt idx="37">
                  <c:v>0.22582121724978249</c:v>
                </c:pt>
                <c:pt idx="38">
                  <c:v>0.21041189634201765</c:v>
                </c:pt>
                <c:pt idx="39">
                  <c:v>0.12026628691636114</c:v>
                </c:pt>
                <c:pt idx="40">
                  <c:v>9.0026576750104961E-2</c:v>
                </c:pt>
                <c:pt idx="41">
                  <c:v>0.25381878465474028</c:v>
                </c:pt>
                <c:pt idx="42">
                  <c:v>0.22582121724978249</c:v>
                </c:pt>
                <c:pt idx="43">
                  <c:v>0.21041189634201765</c:v>
                </c:pt>
                <c:pt idx="44">
                  <c:v>0.12026628691636114</c:v>
                </c:pt>
                <c:pt idx="45">
                  <c:v>9.0026576750104961E-2</c:v>
                </c:pt>
                <c:pt idx="46">
                  <c:v>9.0026576750104961E-2</c:v>
                </c:pt>
                <c:pt idx="47">
                  <c:v>9.0205125763432297E-3</c:v>
                </c:pt>
                <c:pt idx="48">
                  <c:v>8.9934596955360581E-3</c:v>
                </c:pt>
                <c:pt idx="49">
                  <c:v>2.9217111271745105E-5</c:v>
                </c:pt>
                <c:pt idx="50">
                  <c:v>2.8407835512319535E-5</c:v>
                </c:pt>
                <c:pt idx="51">
                  <c:v>2.8407835512319535E-5</c:v>
                </c:pt>
                <c:pt idx="52">
                  <c:v>2.8407835512319535E-5</c:v>
                </c:pt>
                <c:pt idx="53">
                  <c:v>2.8407835512319535E-5</c:v>
                </c:pt>
              </c:numCache>
            </c:numRef>
          </c:val>
          <c:smooth val="0"/>
        </c:ser>
        <c:dLbls>
          <c:showLegendKey val="0"/>
          <c:showVal val="0"/>
          <c:showCatName val="0"/>
          <c:showSerName val="0"/>
          <c:showPercent val="0"/>
          <c:showBubbleSize val="0"/>
        </c:dLbls>
        <c:marker val="1"/>
        <c:smooth val="0"/>
        <c:axId val="270464512"/>
        <c:axId val="270466048"/>
      </c:lineChart>
      <c:dateAx>
        <c:axId val="27046451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466048"/>
        <c:crosses val="autoZero"/>
        <c:auto val="1"/>
        <c:lblOffset val="100"/>
        <c:baseTimeUnit val="days"/>
      </c:dateAx>
      <c:valAx>
        <c:axId val="27046604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4645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Charts'!$Q$2</c:f>
              <c:strCache>
                <c:ptCount val="1"/>
                <c:pt idx="0">
                  <c:v>FDC T3 V-MAX 4652</c:v>
                </c:pt>
              </c:strCache>
            </c:strRef>
          </c:tx>
          <c:cat>
            <c:numRef>
              <c:f>'used space Charts'!$A$3:$A$91</c:f>
              <c:numCache>
                <c:formatCode>[$-409]d\-mmm\-yy;@</c:formatCode>
                <c:ptCount val="8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pt idx="50">
                  <c:v>41430</c:v>
                </c:pt>
                <c:pt idx="51">
                  <c:v>41428</c:v>
                </c:pt>
                <c:pt idx="52">
                  <c:v>41423</c:v>
                </c:pt>
                <c:pt idx="53">
                  <c:v>41422</c:v>
                </c:pt>
                <c:pt idx="54">
                  <c:v>41414</c:v>
                </c:pt>
                <c:pt idx="55">
                  <c:v>41408</c:v>
                </c:pt>
                <c:pt idx="56">
                  <c:v>41401</c:v>
                </c:pt>
                <c:pt idx="57">
                  <c:v>41395</c:v>
                </c:pt>
                <c:pt idx="58">
                  <c:v>41393</c:v>
                </c:pt>
                <c:pt idx="59">
                  <c:v>41390</c:v>
                </c:pt>
                <c:pt idx="60">
                  <c:v>41387</c:v>
                </c:pt>
                <c:pt idx="61">
                  <c:v>41383</c:v>
                </c:pt>
                <c:pt idx="62">
                  <c:v>41379</c:v>
                </c:pt>
                <c:pt idx="63">
                  <c:v>41374</c:v>
                </c:pt>
                <c:pt idx="64">
                  <c:v>41373</c:v>
                </c:pt>
                <c:pt idx="65">
                  <c:v>41361</c:v>
                </c:pt>
                <c:pt idx="66">
                  <c:v>41359</c:v>
                </c:pt>
                <c:pt idx="67">
                  <c:v>41355</c:v>
                </c:pt>
                <c:pt idx="68">
                  <c:v>41353</c:v>
                </c:pt>
                <c:pt idx="69">
                  <c:v>41351</c:v>
                </c:pt>
                <c:pt idx="70">
                  <c:v>41347</c:v>
                </c:pt>
                <c:pt idx="71">
                  <c:v>41345</c:v>
                </c:pt>
                <c:pt idx="72">
                  <c:v>41344</c:v>
                </c:pt>
                <c:pt idx="73">
                  <c:v>41341</c:v>
                </c:pt>
                <c:pt idx="74">
                  <c:v>41340</c:v>
                </c:pt>
                <c:pt idx="75">
                  <c:v>41337</c:v>
                </c:pt>
                <c:pt idx="76">
                  <c:v>41334</c:v>
                </c:pt>
                <c:pt idx="77">
                  <c:v>41330</c:v>
                </c:pt>
                <c:pt idx="78">
                  <c:v>41327</c:v>
                </c:pt>
                <c:pt idx="79">
                  <c:v>41326</c:v>
                </c:pt>
                <c:pt idx="80">
                  <c:v>41323</c:v>
                </c:pt>
                <c:pt idx="81">
                  <c:v>41310</c:v>
                </c:pt>
                <c:pt idx="82">
                  <c:v>41304</c:v>
                </c:pt>
                <c:pt idx="83">
                  <c:v>41297</c:v>
                </c:pt>
                <c:pt idx="84">
                  <c:v>41296</c:v>
                </c:pt>
                <c:pt idx="85">
                  <c:v>41292</c:v>
                </c:pt>
                <c:pt idx="86">
                  <c:v>41289</c:v>
                </c:pt>
                <c:pt idx="87">
                  <c:v>41285</c:v>
                </c:pt>
                <c:pt idx="88">
                  <c:v>41281</c:v>
                </c:pt>
              </c:numCache>
            </c:numRef>
          </c:cat>
          <c:val>
            <c:numRef>
              <c:f>'used space Charts'!$Q$3:$Q$56</c:f>
              <c:numCache>
                <c:formatCode>0.00%</c:formatCode>
                <c:ptCount val="54"/>
                <c:pt idx="0">
                  <c:v>0.695391147604977</c:v>
                </c:pt>
                <c:pt idx="1">
                  <c:v>0.69137848074974095</c:v>
                </c:pt>
                <c:pt idx="2">
                  <c:v>0.68739660428915417</c:v>
                </c:pt>
                <c:pt idx="3">
                  <c:v>0.65722880185702603</c:v>
                </c:pt>
                <c:pt idx="4">
                  <c:v>0.6562054126382566</c:v>
                </c:pt>
                <c:pt idx="5">
                  <c:v>0.67485134501837507</c:v>
                </c:pt>
                <c:pt idx="6">
                  <c:v>0.67254102167748153</c:v>
                </c:pt>
                <c:pt idx="7">
                  <c:v>0.65761185524130794</c:v>
                </c:pt>
                <c:pt idx="8">
                  <c:v>0.65610000000000002</c:v>
                </c:pt>
                <c:pt idx="9">
                  <c:v>0.6226767603494866</c:v>
                </c:pt>
                <c:pt idx="10">
                  <c:v>0.61634855144239953</c:v>
                </c:pt>
                <c:pt idx="11">
                  <c:v>0.6158031961473388</c:v>
                </c:pt>
                <c:pt idx="12">
                  <c:v>0.60439457212310732</c:v>
                </c:pt>
                <c:pt idx="13">
                  <c:v>0.60289836769158667</c:v>
                </c:pt>
                <c:pt idx="14">
                  <c:v>0.56088931009684884</c:v>
                </c:pt>
                <c:pt idx="15">
                  <c:v>0.55893959968311979</c:v>
                </c:pt>
                <c:pt idx="16">
                  <c:v>0.55889471876888519</c:v>
                </c:pt>
                <c:pt idx="17">
                  <c:v>0.56669220707201118</c:v>
                </c:pt>
                <c:pt idx="18">
                  <c:v>0.55237917342217446</c:v>
                </c:pt>
                <c:pt idx="19">
                  <c:v>0.53265397266188874</c:v>
                </c:pt>
                <c:pt idx="20">
                  <c:v>0.52999604194270766</c:v>
                </c:pt>
                <c:pt idx="21">
                  <c:v>0.50993059641785232</c:v>
                </c:pt>
                <c:pt idx="22">
                  <c:v>0.49229660453716129</c:v>
                </c:pt>
                <c:pt idx="23">
                  <c:v>0.47999381950412101</c:v>
                </c:pt>
                <c:pt idx="24">
                  <c:v>0.47757294890084534</c:v>
                </c:pt>
                <c:pt idx="25">
                  <c:v>0.46079724163622277</c:v>
                </c:pt>
                <c:pt idx="26">
                  <c:v>0.45400240023367355</c:v>
                </c:pt>
                <c:pt idx="27">
                  <c:v>0.44366753165387529</c:v>
                </c:pt>
                <c:pt idx="28">
                  <c:v>0.44034445681484335</c:v>
                </c:pt>
                <c:pt idx="29">
                  <c:v>0.38502690208993889</c:v>
                </c:pt>
                <c:pt idx="30">
                  <c:v>0.37102342238609476</c:v>
                </c:pt>
                <c:pt idx="31">
                  <c:v>0.37069428981445807</c:v>
                </c:pt>
                <c:pt idx="32">
                  <c:v>0.36322107549094729</c:v>
                </c:pt>
                <c:pt idx="33">
                  <c:v>0.31183723706434913</c:v>
                </c:pt>
                <c:pt idx="34">
                  <c:v>0.3102185609604321</c:v>
                </c:pt>
                <c:pt idx="35">
                  <c:v>0.21367688706202084</c:v>
                </c:pt>
                <c:pt idx="36">
                  <c:v>0.21230638326694237</c:v>
                </c:pt>
                <c:pt idx="37">
                  <c:v>0.18437932581796324</c:v>
                </c:pt>
                <c:pt idx="38">
                  <c:v>0.16892332375215366</c:v>
                </c:pt>
                <c:pt idx="39">
                  <c:v>9.5354785862750646E-2</c:v>
                </c:pt>
                <c:pt idx="40">
                  <c:v>7.458927218311201E-2</c:v>
                </c:pt>
                <c:pt idx="41">
                  <c:v>0.21230638326694237</c:v>
                </c:pt>
                <c:pt idx="42">
                  <c:v>0.18437932581796324</c:v>
                </c:pt>
                <c:pt idx="43">
                  <c:v>0.16892332375215366</c:v>
                </c:pt>
                <c:pt idx="44">
                  <c:v>9.5354785862750646E-2</c:v>
                </c:pt>
                <c:pt idx="45">
                  <c:v>7.458927218311201E-2</c:v>
                </c:pt>
                <c:pt idx="46">
                  <c:v>7.458927218311201E-2</c:v>
                </c:pt>
                <c:pt idx="47">
                  <c:v>1.027031203037756E-2</c:v>
                </c:pt>
                <c:pt idx="48">
                  <c:v>1.0269782878333128E-2</c:v>
                </c:pt>
                <c:pt idx="49">
                  <c:v>2.8574210399319299E-5</c:v>
                </c:pt>
                <c:pt idx="50">
                  <c:v>2.8574210399319299E-5</c:v>
                </c:pt>
                <c:pt idx="51">
                  <c:v>2.8151656099369091E-5</c:v>
                </c:pt>
                <c:pt idx="52">
                  <c:v>2.8151656099369091E-5</c:v>
                </c:pt>
                <c:pt idx="53">
                  <c:v>2.8151656099369091E-5</c:v>
                </c:pt>
              </c:numCache>
            </c:numRef>
          </c:val>
          <c:smooth val="0"/>
        </c:ser>
        <c:dLbls>
          <c:showLegendKey val="0"/>
          <c:showVal val="0"/>
          <c:showCatName val="0"/>
          <c:showSerName val="0"/>
          <c:showPercent val="0"/>
          <c:showBubbleSize val="0"/>
        </c:dLbls>
        <c:marker val="1"/>
        <c:smooth val="0"/>
        <c:axId val="270638080"/>
        <c:axId val="270639872"/>
      </c:lineChart>
      <c:dateAx>
        <c:axId val="2706380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639872"/>
        <c:crosses val="autoZero"/>
        <c:auto val="1"/>
        <c:lblOffset val="100"/>
        <c:baseTimeUnit val="days"/>
      </c:dateAx>
      <c:valAx>
        <c:axId val="270639872"/>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6380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18"/>
          <c:y val="0.2559159892876765"/>
          <c:w val="0.73476543486411316"/>
          <c:h val="0.48459074354391396"/>
        </c:manualLayout>
      </c:layout>
      <c:lineChart>
        <c:grouping val="standard"/>
        <c:varyColors val="0"/>
        <c:ser>
          <c:idx val="0"/>
          <c:order val="0"/>
          <c:tx>
            <c:strRef>
              <c:f>'used space Charts'!$K$2</c:f>
              <c:strCache>
                <c:ptCount val="1"/>
                <c:pt idx="0">
                  <c:v>RDC T4 V-MAX 0347</c:v>
                </c:pt>
              </c:strCache>
            </c:strRef>
          </c:tx>
          <c:cat>
            <c:numRef>
              <c:f>'used space Charts'!$A$3:$A$52</c:f>
              <c:numCache>
                <c:formatCode>[$-409]d\-mmm\-yy;@</c:formatCode>
                <c:ptCount val="50"/>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numCache>
            </c:numRef>
          </c:cat>
          <c:val>
            <c:numRef>
              <c:f>'used space Charts'!$K$3:$K$52</c:f>
              <c:numCache>
                <c:formatCode>0.00%</c:formatCode>
                <c:ptCount val="50"/>
                <c:pt idx="0">
                  <c:v>0.34418613369321893</c:v>
                </c:pt>
                <c:pt idx="1">
                  <c:v>0.33821615629317825</c:v>
                </c:pt>
                <c:pt idx="2">
                  <c:v>0.3234074704825966</c:v>
                </c:pt>
                <c:pt idx="3">
                  <c:v>0.31912936602294267</c:v>
                </c:pt>
                <c:pt idx="4">
                  <c:v>0.29859303649911278</c:v>
                </c:pt>
                <c:pt idx="5">
                  <c:v>0.26282940422508561</c:v>
                </c:pt>
                <c:pt idx="6">
                  <c:v>0.26014811363530876</c:v>
                </c:pt>
                <c:pt idx="7">
                  <c:v>0.24417774350295796</c:v>
                </c:pt>
                <c:pt idx="8">
                  <c:v>0.2329</c:v>
                </c:pt>
                <c:pt idx="9">
                  <c:v>0.20100932203692398</c:v>
                </c:pt>
                <c:pt idx="10">
                  <c:v>0.18831871298051692</c:v>
                </c:pt>
                <c:pt idx="11">
                  <c:v>0.15712461039169692</c:v>
                </c:pt>
                <c:pt idx="12">
                  <c:v>0.14275507070966728</c:v>
                </c:pt>
                <c:pt idx="13">
                  <c:v>0.14091012142568968</c:v>
                </c:pt>
                <c:pt idx="14">
                  <c:v>0.11505539310719091</c:v>
                </c:pt>
                <c:pt idx="15">
                  <c:v>0.10829504193309983</c:v>
                </c:pt>
                <c:pt idx="16">
                  <c:v>0.10479303007258406</c:v>
                </c:pt>
                <c:pt idx="17">
                  <c:v>0.10487336168146552</c:v>
                </c:pt>
                <c:pt idx="18">
                  <c:v>9.8848383517977395E-2</c:v>
                </c:pt>
                <c:pt idx="19">
                  <c:v>5.3639533583905975E-2</c:v>
                </c:pt>
                <c:pt idx="20">
                  <c:v>5.3639533583905975E-2</c:v>
                </c:pt>
                <c:pt idx="21">
                  <c:v>3.9735035656719486E-2</c:v>
                </c:pt>
                <c:pt idx="22">
                  <c:v>3.0279063561873692E-2</c:v>
                </c:pt>
                <c:pt idx="23">
                  <c:v>3.1627684470786489E-2</c:v>
                </c:pt>
                <c:pt idx="24">
                  <c:v>2.4558860760963735E-2</c:v>
                </c:pt>
                <c:pt idx="25">
                  <c:v>2.5353689496507816E-2</c:v>
                </c:pt>
                <c:pt idx="26">
                  <c:v>2.3066292247051909E-2</c:v>
                </c:pt>
                <c:pt idx="27">
                  <c:v>2.0594936973472415E-2</c:v>
                </c:pt>
                <c:pt idx="28">
                  <c:v>1.69896384249291E-2</c:v>
                </c:pt>
                <c:pt idx="29">
                  <c:v>5.9958237812200227E-3</c:v>
                </c:pt>
                <c:pt idx="30">
                  <c:v>5.6845816696977922E-3</c:v>
                </c:pt>
                <c:pt idx="31">
                  <c:v>1.3888668897983651E-2</c:v>
                </c:pt>
                <c:pt idx="32">
                  <c:v>1.3655952364996995E-2</c:v>
                </c:pt>
                <c:pt idx="33">
                  <c:v>4.7322737165327623E-3</c:v>
                </c:pt>
                <c:pt idx="34">
                  <c:v>3.5058868890421872E-3</c:v>
                </c:pt>
                <c:pt idx="35">
                  <c:v>2.7180262604724844E-3</c:v>
                </c:pt>
                <c:pt idx="36">
                  <c:v>2.7091999916382713E-3</c:v>
                </c:pt>
                <c:pt idx="37">
                  <c:v>2.6567069190979557E-3</c:v>
                </c:pt>
                <c:pt idx="38">
                  <c:v>1.7573565789381997E-3</c:v>
                </c:pt>
                <c:pt idx="39">
                  <c:v>2.8987325013413607E-4</c:v>
                </c:pt>
                <c:pt idx="40">
                  <c:v>3.5587188612099643E-5</c:v>
                </c:pt>
                <c:pt idx="41">
                  <c:v>2.7091999916382713E-3</c:v>
                </c:pt>
                <c:pt idx="42">
                  <c:v>2.6567069190979557E-3</c:v>
                </c:pt>
                <c:pt idx="43">
                  <c:v>1.7573565789381997E-3</c:v>
                </c:pt>
                <c:pt idx="44">
                  <c:v>2.8987325013413607E-4</c:v>
                </c:pt>
                <c:pt idx="45">
                  <c:v>3.5587188612099643E-5</c:v>
                </c:pt>
                <c:pt idx="46">
                  <c:v>3.5587188612099643E-5</c:v>
                </c:pt>
                <c:pt idx="47">
                  <c:v>3.5587188612099643E-5</c:v>
                </c:pt>
                <c:pt idx="48">
                  <c:v>3.5587188612099643E-5</c:v>
                </c:pt>
                <c:pt idx="49">
                  <c:v>3.5587188612099643E-5</c:v>
                </c:pt>
              </c:numCache>
            </c:numRef>
          </c:val>
          <c:smooth val="0"/>
        </c:ser>
        <c:dLbls>
          <c:showLegendKey val="0"/>
          <c:showVal val="0"/>
          <c:showCatName val="0"/>
          <c:showSerName val="0"/>
          <c:showPercent val="0"/>
          <c:showBubbleSize val="0"/>
        </c:dLbls>
        <c:marker val="1"/>
        <c:smooth val="0"/>
        <c:axId val="270930688"/>
        <c:axId val="270932224"/>
      </c:lineChart>
      <c:dateAx>
        <c:axId val="2709306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932224"/>
        <c:crosses val="autoZero"/>
        <c:auto val="1"/>
        <c:lblOffset val="100"/>
        <c:baseTimeUnit val="days"/>
      </c:dateAx>
      <c:valAx>
        <c:axId val="2709322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9306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8999"/>
          <c:y val="0.2134387351778797"/>
          <c:w val="0.74117753500911165"/>
          <c:h val="0.51378020076388065"/>
        </c:manualLayout>
      </c:layout>
      <c:lineChart>
        <c:grouping val="standard"/>
        <c:varyColors val="0"/>
        <c:ser>
          <c:idx val="0"/>
          <c:order val="0"/>
          <c:tx>
            <c:strRef>
              <c:f>'used space Charts'!$R$2</c:f>
              <c:strCache>
                <c:ptCount val="1"/>
                <c:pt idx="0">
                  <c:v>FDC T4 V-MAX 0349</c:v>
                </c:pt>
              </c:strCache>
            </c:strRef>
          </c:tx>
          <c:cat>
            <c:numRef>
              <c:f>'used space Charts'!$A$3:$A$52</c:f>
              <c:numCache>
                <c:formatCode>[$-409]d\-mmm\-yy;@</c:formatCode>
                <c:ptCount val="50"/>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41491</c:v>
                </c:pt>
                <c:pt idx="42">
                  <c:v>41485</c:v>
                </c:pt>
                <c:pt idx="43">
                  <c:v>41478</c:v>
                </c:pt>
                <c:pt idx="44">
                  <c:v>41470</c:v>
                </c:pt>
                <c:pt idx="45">
                  <c:v>41464</c:v>
                </c:pt>
                <c:pt idx="46">
                  <c:v>41449</c:v>
                </c:pt>
                <c:pt idx="47">
                  <c:v>41445</c:v>
                </c:pt>
                <c:pt idx="48">
                  <c:v>41443</c:v>
                </c:pt>
                <c:pt idx="49">
                  <c:v>41437</c:v>
                </c:pt>
              </c:numCache>
            </c:numRef>
          </c:cat>
          <c:val>
            <c:numRef>
              <c:f>'used space Charts'!$R$3:$R$52</c:f>
              <c:numCache>
                <c:formatCode>0.00%</c:formatCode>
                <c:ptCount val="50"/>
                <c:pt idx="0">
                  <c:v>0.67203323942897353</c:v>
                </c:pt>
                <c:pt idx="1">
                  <c:v>0.66670764076444478</c:v>
                </c:pt>
                <c:pt idx="2">
                  <c:v>0.66487156171416495</c:v>
                </c:pt>
                <c:pt idx="3">
                  <c:v>0.65023682899259938</c:v>
                </c:pt>
                <c:pt idx="4">
                  <c:v>0.64428382253433203</c:v>
                </c:pt>
                <c:pt idx="5">
                  <c:v>0.63343951699681833</c:v>
                </c:pt>
                <c:pt idx="6">
                  <c:v>0.61635952250311665</c:v>
                </c:pt>
                <c:pt idx="7">
                  <c:v>0.68146374902263207</c:v>
                </c:pt>
                <c:pt idx="8">
                  <c:v>0.67</c:v>
                </c:pt>
                <c:pt idx="9">
                  <c:v>0.6459031772043885</c:v>
                </c:pt>
                <c:pt idx="10">
                  <c:v>0.63729162873229583</c:v>
                </c:pt>
                <c:pt idx="11">
                  <c:v>0.62493261070588269</c:v>
                </c:pt>
                <c:pt idx="12">
                  <c:v>0.55907988175187173</c:v>
                </c:pt>
                <c:pt idx="13">
                  <c:v>0.5356922263994659</c:v>
                </c:pt>
                <c:pt idx="14">
                  <c:v>0.51607301607703271</c:v>
                </c:pt>
                <c:pt idx="15">
                  <c:v>0.50014370432255462</c:v>
                </c:pt>
                <c:pt idx="16">
                  <c:v>0.48440540328252807</c:v>
                </c:pt>
                <c:pt idx="17">
                  <c:v>0.48454955389179866</c:v>
                </c:pt>
                <c:pt idx="18">
                  <c:v>0.70327214857427212</c:v>
                </c:pt>
                <c:pt idx="19">
                  <c:v>0.60892157204484343</c:v>
                </c:pt>
                <c:pt idx="20">
                  <c:v>0.55741795588975918</c:v>
                </c:pt>
                <c:pt idx="21">
                  <c:v>0.46932007630165351</c:v>
                </c:pt>
                <c:pt idx="22">
                  <c:v>0.37796122654787906</c:v>
                </c:pt>
                <c:pt idx="23">
                  <c:v>0.4429438399155729</c:v>
                </c:pt>
                <c:pt idx="24">
                  <c:v>0.29180016398278413</c:v>
                </c:pt>
                <c:pt idx="25">
                  <c:v>0.25803875661099146</c:v>
                </c:pt>
                <c:pt idx="26">
                  <c:v>0.25636130099202614</c:v>
                </c:pt>
                <c:pt idx="27">
                  <c:v>0.2529367086843517</c:v>
                </c:pt>
                <c:pt idx="28">
                  <c:v>0.21428880016166008</c:v>
                </c:pt>
                <c:pt idx="29">
                  <c:v>0.16865002218180719</c:v>
                </c:pt>
                <c:pt idx="30">
                  <c:v>0.16602769125711617</c:v>
                </c:pt>
                <c:pt idx="31">
                  <c:v>0.33950990491140809</c:v>
                </c:pt>
                <c:pt idx="32">
                  <c:v>0.28589200695705685</c:v>
                </c:pt>
                <c:pt idx="33">
                  <c:v>0.15985069669456231</c:v>
                </c:pt>
                <c:pt idx="34">
                  <c:v>0.15516534156499034</c:v>
                </c:pt>
                <c:pt idx="35">
                  <c:v>0.15784109464315163</c:v>
                </c:pt>
                <c:pt idx="36">
                  <c:v>0.16296590505257436</c:v>
                </c:pt>
                <c:pt idx="37">
                  <c:v>0.16267788996430005</c:v>
                </c:pt>
                <c:pt idx="38">
                  <c:v>0.14558651717754506</c:v>
                </c:pt>
                <c:pt idx="39">
                  <c:v>9.1727695670250603E-2</c:v>
                </c:pt>
                <c:pt idx="40">
                  <c:v>3.4072840160520936E-5</c:v>
                </c:pt>
                <c:pt idx="41">
                  <c:v>0.16296590505257436</c:v>
                </c:pt>
                <c:pt idx="42">
                  <c:v>0.16267788996430005</c:v>
                </c:pt>
                <c:pt idx="43">
                  <c:v>0.14558651717754506</c:v>
                </c:pt>
                <c:pt idx="44">
                  <c:v>9.1727695670250603E-2</c:v>
                </c:pt>
                <c:pt idx="45">
                  <c:v>3.4072840160520936E-5</c:v>
                </c:pt>
                <c:pt idx="46">
                  <c:v>3.4072840160520936E-5</c:v>
                </c:pt>
                <c:pt idx="47">
                  <c:v>3.4830014386310289E-5</c:v>
                </c:pt>
                <c:pt idx="48">
                  <c:v>3.5587188612099643E-5</c:v>
                </c:pt>
                <c:pt idx="49">
                  <c:v>3.5587188612099643E-5</c:v>
                </c:pt>
              </c:numCache>
            </c:numRef>
          </c:val>
          <c:smooth val="0"/>
        </c:ser>
        <c:dLbls>
          <c:showLegendKey val="0"/>
          <c:showVal val="0"/>
          <c:showCatName val="0"/>
          <c:showSerName val="0"/>
          <c:showPercent val="0"/>
          <c:showBubbleSize val="0"/>
        </c:dLbls>
        <c:marker val="1"/>
        <c:smooth val="0"/>
        <c:axId val="270960512"/>
        <c:axId val="270962048"/>
      </c:lineChart>
      <c:dateAx>
        <c:axId val="27096051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962048"/>
        <c:crosses val="autoZero"/>
        <c:auto val="1"/>
        <c:lblOffset val="100"/>
        <c:baseTimeUnit val="days"/>
      </c:dateAx>
      <c:valAx>
        <c:axId val="27096204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9605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26"/>
          <c:y val="0.21495327102803741"/>
          <c:w val="0.74041511227620382"/>
          <c:h val="0.57943925233645865"/>
        </c:manualLayout>
      </c:layout>
      <c:lineChart>
        <c:grouping val="standard"/>
        <c:varyColors val="0"/>
        <c:ser>
          <c:idx val="0"/>
          <c:order val="0"/>
          <c:tx>
            <c:strRef>
              <c:f>'subscription charts'!$B$2</c:f>
              <c:strCache>
                <c:ptCount val="1"/>
                <c:pt idx="0">
                  <c:v>CGC T4 V-MAX 0623</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charts'!$B$3:$B$87</c:f>
              <c:numCache>
                <c:formatCode>0.00%</c:formatCode>
                <c:ptCount val="85"/>
                <c:pt idx="0">
                  <c:v>0.71407350419009152</c:v>
                </c:pt>
                <c:pt idx="1">
                  <c:v>0.71407350419009152</c:v>
                </c:pt>
                <c:pt idx="2">
                  <c:v>0.71757981412568039</c:v>
                </c:pt>
                <c:pt idx="3">
                  <c:v>0.71757981412568039</c:v>
                </c:pt>
                <c:pt idx="4">
                  <c:v>0.71757981412568039</c:v>
                </c:pt>
                <c:pt idx="5">
                  <c:v>0.72351356940129208</c:v>
                </c:pt>
                <c:pt idx="6">
                  <c:v>0.72782902778355518</c:v>
                </c:pt>
                <c:pt idx="7">
                  <c:v>0.72782902778355518</c:v>
                </c:pt>
                <c:pt idx="8">
                  <c:v>0.7278</c:v>
                </c:pt>
                <c:pt idx="9">
                  <c:v>0.74455142901482452</c:v>
                </c:pt>
                <c:pt idx="10">
                  <c:v>0.74441657094037883</c:v>
                </c:pt>
                <c:pt idx="11">
                  <c:v>0.74428171286593303</c:v>
                </c:pt>
                <c:pt idx="12">
                  <c:v>0.74320284827036731</c:v>
                </c:pt>
                <c:pt idx="13">
                  <c:v>0.74320284827036731</c:v>
                </c:pt>
                <c:pt idx="14">
                  <c:v>0.74724859050373893</c:v>
                </c:pt>
                <c:pt idx="15">
                  <c:v>0.75722808801272223</c:v>
                </c:pt>
                <c:pt idx="16">
                  <c:v>0.75722808801272223</c:v>
                </c:pt>
                <c:pt idx="17">
                  <c:v>0.75722808801272223</c:v>
                </c:pt>
                <c:pt idx="18">
                  <c:v>1.3202942612261406</c:v>
                </c:pt>
                <c:pt idx="19">
                  <c:v>1.311123918182896</c:v>
                </c:pt>
                <c:pt idx="20">
                  <c:v>1.311123918182896</c:v>
                </c:pt>
                <c:pt idx="21">
                  <c:v>1.311123918182896</c:v>
                </c:pt>
                <c:pt idx="22">
                  <c:v>1.3012481641363247</c:v>
                </c:pt>
                <c:pt idx="23">
                  <c:v>1.3012481641363247</c:v>
                </c:pt>
                <c:pt idx="24">
                  <c:v>1.3012481641363247</c:v>
                </c:pt>
                <c:pt idx="25">
                  <c:v>1.3186483022183788</c:v>
                </c:pt>
                <c:pt idx="26">
                  <c:v>1.3165320692083993</c:v>
                </c:pt>
                <c:pt idx="27">
                  <c:v>1.3165320692083993</c:v>
                </c:pt>
                <c:pt idx="28">
                  <c:v>1.3165320692083993</c:v>
                </c:pt>
                <c:pt idx="29">
                  <c:v>1.3108887811817871</c:v>
                </c:pt>
                <c:pt idx="30">
                  <c:v>1.3108887811817871</c:v>
                </c:pt>
                <c:pt idx="31">
                  <c:v>1.3108887811817871</c:v>
                </c:pt>
                <c:pt idx="32">
                  <c:v>1.3092428221740251</c:v>
                </c:pt>
                <c:pt idx="33">
                  <c:v>1.2951346021074948</c:v>
                </c:pt>
                <c:pt idx="34">
                  <c:v>1.2894913140808826</c:v>
                </c:pt>
                <c:pt idx="35">
                  <c:v>1.2859642590642499</c:v>
                </c:pt>
                <c:pt idx="36">
                  <c:v>1.2859642590642499</c:v>
                </c:pt>
                <c:pt idx="37">
                  <c:v>1.2859642590642499</c:v>
                </c:pt>
                <c:pt idx="38">
                  <c:v>1.2859642590642499</c:v>
                </c:pt>
                <c:pt idx="39">
                  <c:v>1.2859642590642499</c:v>
                </c:pt>
                <c:pt idx="40">
                  <c:v>1.2782047380276582</c:v>
                </c:pt>
                <c:pt idx="41">
                  <c:v>1.2782047380276582</c:v>
                </c:pt>
                <c:pt idx="42">
                  <c:v>1.2711506279943929</c:v>
                </c:pt>
                <c:pt idx="43">
                  <c:v>1.2711506279943929</c:v>
                </c:pt>
                <c:pt idx="44">
                  <c:v>1.2553964489201006</c:v>
                </c:pt>
                <c:pt idx="45">
                  <c:v>1.2554034529074802</c:v>
                </c:pt>
                <c:pt idx="46">
                  <c:v>1.2554034529074802</c:v>
                </c:pt>
                <c:pt idx="47">
                  <c:v>1.2554034529074802</c:v>
                </c:pt>
                <c:pt idx="48">
                  <c:v>1.2554034529074802</c:v>
                </c:pt>
                <c:pt idx="49">
                  <c:v>1.2549331762815548</c:v>
                </c:pt>
                <c:pt idx="50">
                  <c:v>1.2450573671371243</c:v>
                </c:pt>
                <c:pt idx="51">
                  <c:v>1.2293031001686283</c:v>
                </c:pt>
                <c:pt idx="52">
                  <c:v>1.3428749053295783</c:v>
                </c:pt>
                <c:pt idx="53">
                  <c:v>1.3428749053295783</c:v>
                </c:pt>
                <c:pt idx="54">
                  <c:v>1.3428749053295783</c:v>
                </c:pt>
                <c:pt idx="55">
                  <c:v>1.3407586605129149</c:v>
                </c:pt>
                <c:pt idx="56">
                  <c:v>1.3407586605129149</c:v>
                </c:pt>
                <c:pt idx="57">
                  <c:v>1.3407586605129149</c:v>
                </c:pt>
                <c:pt idx="58">
                  <c:v>1.3407586605129149</c:v>
                </c:pt>
                <c:pt idx="59">
                  <c:v>1.3407586605129149</c:v>
                </c:pt>
                <c:pt idx="60">
                  <c:v>1.3407586605129149</c:v>
                </c:pt>
                <c:pt idx="61">
                  <c:v>1.3407586605129149</c:v>
                </c:pt>
                <c:pt idx="62">
                  <c:v>1.3407586605129149</c:v>
                </c:pt>
                <c:pt idx="63">
                  <c:v>1.3407586605129149</c:v>
                </c:pt>
                <c:pt idx="64">
                  <c:v>1.3407586605129149</c:v>
                </c:pt>
                <c:pt idx="65">
                  <c:v>1.3407586605129149</c:v>
                </c:pt>
                <c:pt idx="66">
                  <c:v>1.3407586605129149</c:v>
                </c:pt>
                <c:pt idx="67">
                  <c:v>1.3407586605129149</c:v>
                </c:pt>
                <c:pt idx="68">
                  <c:v>1.3345286563704302</c:v>
                </c:pt>
                <c:pt idx="69">
                  <c:v>1.3258277646901293</c:v>
                </c:pt>
                <c:pt idx="70">
                  <c:v>1.3258277646901293</c:v>
                </c:pt>
                <c:pt idx="71">
                  <c:v>1.3258277646901293</c:v>
                </c:pt>
                <c:pt idx="72">
                  <c:v>1.3258277646901293</c:v>
                </c:pt>
                <c:pt idx="73">
                  <c:v>1.3258277646901293</c:v>
                </c:pt>
                <c:pt idx="74">
                  <c:v>1.3258277646901293</c:v>
                </c:pt>
                <c:pt idx="75">
                  <c:v>1.3258277646901293</c:v>
                </c:pt>
                <c:pt idx="76">
                  <c:v>1.3213597392326777</c:v>
                </c:pt>
                <c:pt idx="77">
                  <c:v>1.3213597392326777</c:v>
                </c:pt>
                <c:pt idx="78">
                  <c:v>1.3204191022942668</c:v>
                </c:pt>
                <c:pt idx="79">
                  <c:v>1.3204191022942668</c:v>
                </c:pt>
                <c:pt idx="80">
                  <c:v>1.3215948984672805</c:v>
                </c:pt>
                <c:pt idx="81">
                  <c:v>1.3215948984672805</c:v>
                </c:pt>
                <c:pt idx="82">
                  <c:v>1.2938461087841597</c:v>
                </c:pt>
                <c:pt idx="83">
                  <c:v>1.2938461087841597</c:v>
                </c:pt>
                <c:pt idx="84">
                  <c:v>1.2938461087841597</c:v>
                </c:pt>
              </c:numCache>
            </c:numRef>
          </c:val>
          <c:smooth val="0"/>
        </c:ser>
        <c:dLbls>
          <c:showLegendKey val="0"/>
          <c:showVal val="0"/>
          <c:showCatName val="0"/>
          <c:showSerName val="0"/>
          <c:showPercent val="0"/>
          <c:showBubbleSize val="0"/>
        </c:dLbls>
        <c:marker val="1"/>
        <c:smooth val="0"/>
        <c:axId val="272311040"/>
        <c:axId val="272312576"/>
      </c:lineChart>
      <c:dateAx>
        <c:axId val="2723110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312576"/>
        <c:crosses val="autoZero"/>
        <c:auto val="1"/>
        <c:lblOffset val="100"/>
        <c:baseTimeUnit val="days"/>
      </c:dateAx>
      <c:valAx>
        <c:axId val="27231257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3110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'subscription charts'!$C$2</c:f>
              <c:strCache>
                <c:ptCount val="1"/>
                <c:pt idx="0">
                  <c:v>CGC T3 V-MAX 0745</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charts'!$C$3:$C$87</c:f>
              <c:numCache>
                <c:formatCode>0.00%</c:formatCode>
                <c:ptCount val="85"/>
                <c:pt idx="0">
                  <c:v>0.67404117283995724</c:v>
                </c:pt>
                <c:pt idx="1">
                  <c:v>0.67404117283995724</c:v>
                </c:pt>
                <c:pt idx="2">
                  <c:v>0.66037666252316185</c:v>
                </c:pt>
                <c:pt idx="3">
                  <c:v>0.66037666252316185</c:v>
                </c:pt>
                <c:pt idx="4">
                  <c:v>0.66037666252316185</c:v>
                </c:pt>
                <c:pt idx="5">
                  <c:v>0.66037666252316185</c:v>
                </c:pt>
                <c:pt idx="6">
                  <c:v>0.66776893859618225</c:v>
                </c:pt>
                <c:pt idx="7">
                  <c:v>0.66575286330354033</c:v>
                </c:pt>
                <c:pt idx="8">
                  <c:v>0.66349999999999998</c:v>
                </c:pt>
                <c:pt idx="9">
                  <c:v>0.66284075454750202</c:v>
                </c:pt>
                <c:pt idx="10">
                  <c:v>0.65836058723051982</c:v>
                </c:pt>
                <c:pt idx="11">
                  <c:v>0.65836058723051982</c:v>
                </c:pt>
                <c:pt idx="12">
                  <c:v>0.65836058723051982</c:v>
                </c:pt>
                <c:pt idx="13">
                  <c:v>0.65836058723051982</c:v>
                </c:pt>
                <c:pt idx="14">
                  <c:v>0.65836058723051982</c:v>
                </c:pt>
                <c:pt idx="15">
                  <c:v>0.65836058723051982</c:v>
                </c:pt>
                <c:pt idx="16">
                  <c:v>0.65836058723051982</c:v>
                </c:pt>
                <c:pt idx="17">
                  <c:v>0.58667791015880633</c:v>
                </c:pt>
                <c:pt idx="18">
                  <c:v>0.58667791015880633</c:v>
                </c:pt>
                <c:pt idx="19">
                  <c:v>0.57122133291521793</c:v>
                </c:pt>
                <c:pt idx="20">
                  <c:v>0.57122133291521793</c:v>
                </c:pt>
                <c:pt idx="21">
                  <c:v>0.64290400998693154</c:v>
                </c:pt>
                <c:pt idx="22">
                  <c:v>0.64178396815768612</c:v>
                </c:pt>
                <c:pt idx="23">
                  <c:v>0.64178396815768612</c:v>
                </c:pt>
                <c:pt idx="24">
                  <c:v>0.64178396815768612</c:v>
                </c:pt>
                <c:pt idx="25">
                  <c:v>0.64178396815768612</c:v>
                </c:pt>
                <c:pt idx="26">
                  <c:v>0.64178396815768612</c:v>
                </c:pt>
                <c:pt idx="27">
                  <c:v>0.64178396815768612</c:v>
                </c:pt>
                <c:pt idx="28">
                  <c:v>0.64178396815768612</c:v>
                </c:pt>
                <c:pt idx="29">
                  <c:v>0.64178396815768612</c:v>
                </c:pt>
                <c:pt idx="30">
                  <c:v>0.64178396815768612</c:v>
                </c:pt>
                <c:pt idx="31">
                  <c:v>0.64178396815768612</c:v>
                </c:pt>
                <c:pt idx="32">
                  <c:v>0.64178396815768612</c:v>
                </c:pt>
                <c:pt idx="33">
                  <c:v>0.62744743274334336</c:v>
                </c:pt>
                <c:pt idx="34">
                  <c:v>0.62475933235315417</c:v>
                </c:pt>
                <c:pt idx="35">
                  <c:v>0.62072718176787023</c:v>
                </c:pt>
                <c:pt idx="36">
                  <c:v>0.62610338254824871</c:v>
                </c:pt>
                <c:pt idx="37">
                  <c:v>0.62475933235315417</c:v>
                </c:pt>
                <c:pt idx="38">
                  <c:v>0.6231912737922104</c:v>
                </c:pt>
                <c:pt idx="39">
                  <c:v>0.6231912737922104</c:v>
                </c:pt>
                <c:pt idx="40">
                  <c:v>0.61691903954843541</c:v>
                </c:pt>
                <c:pt idx="41">
                  <c:v>0.61691903954843541</c:v>
                </c:pt>
                <c:pt idx="42">
                  <c:v>0.60504659615843281</c:v>
                </c:pt>
                <c:pt idx="43">
                  <c:v>0.60504659615843281</c:v>
                </c:pt>
                <c:pt idx="44">
                  <c:v>0.60191047903654538</c:v>
                </c:pt>
                <c:pt idx="45">
                  <c:v>0.60101803930218622</c:v>
                </c:pt>
                <c:pt idx="46">
                  <c:v>0.60101803930218622</c:v>
                </c:pt>
                <c:pt idx="47">
                  <c:v>0.60101803930218622</c:v>
                </c:pt>
                <c:pt idx="48">
                  <c:v>0.60101803930218622</c:v>
                </c:pt>
                <c:pt idx="49">
                  <c:v>0.59429774814338432</c:v>
                </c:pt>
                <c:pt idx="50">
                  <c:v>0.59429774814338432</c:v>
                </c:pt>
                <c:pt idx="51">
                  <c:v>0.59295368991162389</c:v>
                </c:pt>
                <c:pt idx="52">
                  <c:v>0.59295368991162389</c:v>
                </c:pt>
                <c:pt idx="53">
                  <c:v>0.59295368991162389</c:v>
                </c:pt>
                <c:pt idx="54">
                  <c:v>0.59295368991162389</c:v>
                </c:pt>
                <c:pt idx="55">
                  <c:v>0.59295368991162389</c:v>
                </c:pt>
                <c:pt idx="56">
                  <c:v>0.59295368991162389</c:v>
                </c:pt>
                <c:pt idx="57">
                  <c:v>0.59295368991162389</c:v>
                </c:pt>
                <c:pt idx="58">
                  <c:v>0.59295368991162389</c:v>
                </c:pt>
                <c:pt idx="59">
                  <c:v>0.59295368991162389</c:v>
                </c:pt>
                <c:pt idx="60">
                  <c:v>0.59295368991162389</c:v>
                </c:pt>
                <c:pt idx="61">
                  <c:v>0.59295368991162389</c:v>
                </c:pt>
                <c:pt idx="62">
                  <c:v>0.59295368991162389</c:v>
                </c:pt>
                <c:pt idx="63">
                  <c:v>0.59295368991162389</c:v>
                </c:pt>
                <c:pt idx="64">
                  <c:v>0.59295368991162389</c:v>
                </c:pt>
                <c:pt idx="65">
                  <c:v>0.59295368991162389</c:v>
                </c:pt>
                <c:pt idx="66">
                  <c:v>0.59295368991162389</c:v>
                </c:pt>
                <c:pt idx="67">
                  <c:v>0.59295368991162389</c:v>
                </c:pt>
                <c:pt idx="68">
                  <c:v>0.59233435958218339</c:v>
                </c:pt>
                <c:pt idx="69">
                  <c:v>0.59166227067191624</c:v>
                </c:pt>
                <c:pt idx="70">
                  <c:v>0.59166227067191624</c:v>
                </c:pt>
                <c:pt idx="71">
                  <c:v>0.59524674486000806</c:v>
                </c:pt>
                <c:pt idx="72">
                  <c:v>0.59524674486000806</c:v>
                </c:pt>
                <c:pt idx="73">
                  <c:v>0.59524674486000806</c:v>
                </c:pt>
                <c:pt idx="74">
                  <c:v>0.59524674486000806</c:v>
                </c:pt>
                <c:pt idx="75">
                  <c:v>0.59524674486000806</c:v>
                </c:pt>
                <c:pt idx="76">
                  <c:v>0.59883121904809999</c:v>
                </c:pt>
                <c:pt idx="77">
                  <c:v>0.59815913013783273</c:v>
                </c:pt>
                <c:pt idx="78">
                  <c:v>0.59547077449676378</c:v>
                </c:pt>
                <c:pt idx="79">
                  <c:v>0.59547077449676378</c:v>
                </c:pt>
                <c:pt idx="80">
                  <c:v>0.60062345614214585</c:v>
                </c:pt>
                <c:pt idx="81">
                  <c:v>0.60062345614214585</c:v>
                </c:pt>
                <c:pt idx="82">
                  <c:v>0.60532807851401649</c:v>
                </c:pt>
                <c:pt idx="83">
                  <c:v>0.60532807851401649</c:v>
                </c:pt>
                <c:pt idx="84">
                  <c:v>0.60532807851401649</c:v>
                </c:pt>
              </c:numCache>
            </c:numRef>
          </c:val>
          <c:smooth val="0"/>
        </c:ser>
        <c:dLbls>
          <c:showLegendKey val="0"/>
          <c:showVal val="0"/>
          <c:showCatName val="0"/>
          <c:showSerName val="0"/>
          <c:showPercent val="0"/>
          <c:showBubbleSize val="0"/>
        </c:dLbls>
        <c:marker val="1"/>
        <c:smooth val="0"/>
        <c:axId val="272325248"/>
        <c:axId val="272339328"/>
      </c:lineChart>
      <c:dateAx>
        <c:axId val="2723252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339328"/>
        <c:crosses val="autoZero"/>
        <c:auto val="1"/>
        <c:lblOffset val="100"/>
        <c:baseTimeUnit val="days"/>
      </c:dateAx>
      <c:valAx>
        <c:axId val="27233932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3252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828971437625141"/>
          <c:y val="0.21261682242990654"/>
          <c:w val="0.73746525127111962"/>
          <c:h val="0.58411214953265367"/>
        </c:manualLayout>
      </c:layout>
      <c:lineChart>
        <c:grouping val="standard"/>
        <c:varyColors val="0"/>
        <c:ser>
          <c:idx val="0"/>
          <c:order val="0"/>
          <c:tx>
            <c:strRef>
              <c:f>'subscription charts'!$E$2</c:f>
              <c:strCache>
                <c:ptCount val="1"/>
                <c:pt idx="0">
                  <c:v>RDC T4 V-MAX 0678</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charts'!$E$3:$E$87</c:f>
              <c:numCache>
                <c:formatCode>0.00%</c:formatCode>
                <c:ptCount val="85"/>
                <c:pt idx="0">
                  <c:v>1.2632842798963511</c:v>
                </c:pt>
                <c:pt idx="1">
                  <c:v>1.2632842798963511</c:v>
                </c:pt>
                <c:pt idx="2">
                  <c:v>1.3233083459890944</c:v>
                </c:pt>
                <c:pt idx="3">
                  <c:v>1.3938922014870427</c:v>
                </c:pt>
                <c:pt idx="4">
                  <c:v>1.3938922014870427</c:v>
                </c:pt>
                <c:pt idx="5">
                  <c:v>1.3938922014870427</c:v>
                </c:pt>
                <c:pt idx="6">
                  <c:v>1.4266831264821527</c:v>
                </c:pt>
                <c:pt idx="7">
                  <c:v>1.4266831264821527</c:v>
                </c:pt>
                <c:pt idx="8">
                  <c:v>1.4260999999999999</c:v>
                </c:pt>
                <c:pt idx="9">
                  <c:v>1.426127348092405</c:v>
                </c:pt>
                <c:pt idx="10">
                  <c:v>1.426127348092405</c:v>
                </c:pt>
                <c:pt idx="11">
                  <c:v>1.4264978670189035</c:v>
                </c:pt>
                <c:pt idx="12">
                  <c:v>1.4264978670189035</c:v>
                </c:pt>
                <c:pt idx="13">
                  <c:v>1.4264978670189035</c:v>
                </c:pt>
                <c:pt idx="14">
                  <c:v>1.4353903212548655</c:v>
                </c:pt>
                <c:pt idx="15">
                  <c:v>1.4998606144655899</c:v>
                </c:pt>
                <c:pt idx="16">
                  <c:v>1.4998606144655899</c:v>
                </c:pt>
                <c:pt idx="17">
                  <c:v>1.4998606144655899</c:v>
                </c:pt>
                <c:pt idx="18">
                  <c:v>1.4998606144655899</c:v>
                </c:pt>
                <c:pt idx="19">
                  <c:v>1.5363567287256841</c:v>
                </c:pt>
                <c:pt idx="20">
                  <c:v>1.5363567287256841</c:v>
                </c:pt>
                <c:pt idx="21">
                  <c:v>1.5363567287256841</c:v>
                </c:pt>
                <c:pt idx="22">
                  <c:v>1.542655550476157</c:v>
                </c:pt>
                <c:pt idx="23">
                  <c:v>1.542655550476157</c:v>
                </c:pt>
                <c:pt idx="24">
                  <c:v>1.542655550476157</c:v>
                </c:pt>
                <c:pt idx="25">
                  <c:v>1.542655550476157</c:v>
                </c:pt>
                <c:pt idx="26">
                  <c:v>1.542655550476157</c:v>
                </c:pt>
                <c:pt idx="27">
                  <c:v>1.542655550476157</c:v>
                </c:pt>
                <c:pt idx="28">
                  <c:v>1.542655550476157</c:v>
                </c:pt>
                <c:pt idx="29">
                  <c:v>1.542655550476157</c:v>
                </c:pt>
                <c:pt idx="30">
                  <c:v>1.542655550476157</c:v>
                </c:pt>
                <c:pt idx="31">
                  <c:v>1.542655550476157</c:v>
                </c:pt>
                <c:pt idx="32">
                  <c:v>1.542655550476157</c:v>
                </c:pt>
                <c:pt idx="33">
                  <c:v>1.542655550476157</c:v>
                </c:pt>
                <c:pt idx="34">
                  <c:v>1.542655550476157</c:v>
                </c:pt>
                <c:pt idx="35">
                  <c:v>1.532095761070952</c:v>
                </c:pt>
                <c:pt idx="36">
                  <c:v>1.5293168691222139</c:v>
                </c:pt>
                <c:pt idx="37">
                  <c:v>1.5293168691222139</c:v>
                </c:pt>
                <c:pt idx="38">
                  <c:v>1.5293168691222139</c:v>
                </c:pt>
                <c:pt idx="39">
                  <c:v>1.5306136853649586</c:v>
                </c:pt>
                <c:pt idx="40">
                  <c:v>1.5217295923357315</c:v>
                </c:pt>
                <c:pt idx="41">
                  <c:v>1.5217295923357315</c:v>
                </c:pt>
                <c:pt idx="42">
                  <c:v>1.5217295923357315</c:v>
                </c:pt>
                <c:pt idx="43">
                  <c:v>1.5217295923357315</c:v>
                </c:pt>
                <c:pt idx="44">
                  <c:v>1.5276579277331923</c:v>
                </c:pt>
                <c:pt idx="45">
                  <c:v>1.5276579277331923</c:v>
                </c:pt>
                <c:pt idx="46">
                  <c:v>1.5276579277331923</c:v>
                </c:pt>
                <c:pt idx="47">
                  <c:v>1.5276579277331923</c:v>
                </c:pt>
                <c:pt idx="48">
                  <c:v>1.5276579277331923</c:v>
                </c:pt>
                <c:pt idx="49">
                  <c:v>1.5276579277331923</c:v>
                </c:pt>
                <c:pt idx="50">
                  <c:v>1.5276579277331923</c:v>
                </c:pt>
                <c:pt idx="51">
                  <c:v>1.5276579277331923</c:v>
                </c:pt>
                <c:pt idx="52">
                  <c:v>1.5276579277331923</c:v>
                </c:pt>
                <c:pt idx="53">
                  <c:v>1.5276579277331923</c:v>
                </c:pt>
                <c:pt idx="54">
                  <c:v>1.5276579277331923</c:v>
                </c:pt>
                <c:pt idx="55">
                  <c:v>1.5276579277331923</c:v>
                </c:pt>
                <c:pt idx="56">
                  <c:v>1.5276579277331923</c:v>
                </c:pt>
                <c:pt idx="57">
                  <c:v>1.520988550411049</c:v>
                </c:pt>
                <c:pt idx="58">
                  <c:v>1.5276579277331923</c:v>
                </c:pt>
                <c:pt idx="59">
                  <c:v>1.5276579277331923</c:v>
                </c:pt>
                <c:pt idx="60">
                  <c:v>1.5276579277331923</c:v>
                </c:pt>
                <c:pt idx="61">
                  <c:v>1.5276579277331923</c:v>
                </c:pt>
                <c:pt idx="62">
                  <c:v>1.5276579277331923</c:v>
                </c:pt>
                <c:pt idx="63">
                  <c:v>1.5276579277331923</c:v>
                </c:pt>
                <c:pt idx="64">
                  <c:v>1.5276579277331923</c:v>
                </c:pt>
                <c:pt idx="65">
                  <c:v>1.5276579277331923</c:v>
                </c:pt>
                <c:pt idx="66">
                  <c:v>1.5276579277331923</c:v>
                </c:pt>
                <c:pt idx="67">
                  <c:v>1.5276579277331923</c:v>
                </c:pt>
                <c:pt idx="68">
                  <c:v>1.5277938524531616</c:v>
                </c:pt>
                <c:pt idx="69">
                  <c:v>1.5277938524531616</c:v>
                </c:pt>
                <c:pt idx="70">
                  <c:v>1.5277938524531616</c:v>
                </c:pt>
                <c:pt idx="71">
                  <c:v>1.5277938524531616</c:v>
                </c:pt>
                <c:pt idx="72">
                  <c:v>1.5277938524531616</c:v>
                </c:pt>
                <c:pt idx="73">
                  <c:v>1.5277938524531616</c:v>
                </c:pt>
                <c:pt idx="74">
                  <c:v>1.5198269429630467</c:v>
                </c:pt>
                <c:pt idx="75">
                  <c:v>1.5198269429630467</c:v>
                </c:pt>
                <c:pt idx="76">
                  <c:v>1.5190858351035013</c:v>
                </c:pt>
                <c:pt idx="77">
                  <c:v>1.5190858351035013</c:v>
                </c:pt>
                <c:pt idx="78">
                  <c:v>1.5190858351035013</c:v>
                </c:pt>
                <c:pt idx="79">
                  <c:v>1.5190858351035013</c:v>
                </c:pt>
                <c:pt idx="80">
                  <c:v>1.5190858351035013</c:v>
                </c:pt>
                <c:pt idx="81">
                  <c:v>1.5190858351035013</c:v>
                </c:pt>
                <c:pt idx="82">
                  <c:v>1.5213091586821379</c:v>
                </c:pt>
                <c:pt idx="83">
                  <c:v>1.5213091586821379</c:v>
                </c:pt>
                <c:pt idx="84">
                  <c:v>1.5213091586821379</c:v>
                </c:pt>
              </c:numCache>
            </c:numRef>
          </c:val>
          <c:smooth val="0"/>
        </c:ser>
        <c:dLbls>
          <c:showLegendKey val="0"/>
          <c:showVal val="0"/>
          <c:showCatName val="0"/>
          <c:showSerName val="0"/>
          <c:showPercent val="0"/>
          <c:showBubbleSize val="0"/>
        </c:dLbls>
        <c:marker val="1"/>
        <c:smooth val="0"/>
        <c:axId val="272356096"/>
        <c:axId val="272357632"/>
      </c:lineChart>
      <c:dateAx>
        <c:axId val="2723560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357632"/>
        <c:crosses val="autoZero"/>
        <c:auto val="1"/>
        <c:lblOffset val="100"/>
        <c:baseTimeUnit val="days"/>
      </c:dateAx>
      <c:valAx>
        <c:axId val="27235763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3560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0.20409323654167594"/>
          <c:y val="0.23233367568184413"/>
          <c:w val="0.74358381879930169"/>
          <c:h val="0.55309070960776952"/>
        </c:manualLayout>
      </c:layout>
      <c:lineChart>
        <c:grouping val="standard"/>
        <c:varyColors val="0"/>
        <c:ser>
          <c:idx val="0"/>
          <c:order val="0"/>
          <c:tx>
            <c:strRef>
              <c:f>'subscription charts'!$D$2</c:f>
              <c:strCache>
                <c:ptCount val="1"/>
                <c:pt idx="0">
                  <c:v>RDC T3 V-MAX 0552</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charts'!$D$3:$D$87</c:f>
              <c:numCache>
                <c:formatCode>0.00%</c:formatCode>
                <c:ptCount val="85"/>
                <c:pt idx="0">
                  <c:v>0.67404117283995724</c:v>
                </c:pt>
                <c:pt idx="1">
                  <c:v>0.67404117283995724</c:v>
                </c:pt>
                <c:pt idx="2">
                  <c:v>0.66037666252316185</c:v>
                </c:pt>
                <c:pt idx="3">
                  <c:v>0.66037666252316185</c:v>
                </c:pt>
                <c:pt idx="4">
                  <c:v>0.66037666252316185</c:v>
                </c:pt>
                <c:pt idx="5">
                  <c:v>0.66037666252316185</c:v>
                </c:pt>
                <c:pt idx="6">
                  <c:v>0.67359315610825898</c:v>
                </c:pt>
                <c:pt idx="7">
                  <c:v>0.67157708081561707</c:v>
                </c:pt>
                <c:pt idx="8">
                  <c:v>0.66930000000000001</c:v>
                </c:pt>
                <c:pt idx="9">
                  <c:v>0.66866497205957864</c:v>
                </c:pt>
                <c:pt idx="10">
                  <c:v>0.66418480474259656</c:v>
                </c:pt>
                <c:pt idx="11">
                  <c:v>0.66418480474259656</c:v>
                </c:pt>
                <c:pt idx="12">
                  <c:v>0.66418480474259656</c:v>
                </c:pt>
                <c:pt idx="13">
                  <c:v>0.66418480474259656</c:v>
                </c:pt>
                <c:pt idx="14">
                  <c:v>0.66418480474259656</c:v>
                </c:pt>
                <c:pt idx="15">
                  <c:v>0.66418480474259656</c:v>
                </c:pt>
                <c:pt idx="16">
                  <c:v>0.66418480474259656</c:v>
                </c:pt>
                <c:pt idx="17">
                  <c:v>0.59250212767088295</c:v>
                </c:pt>
                <c:pt idx="18">
                  <c:v>0.59250212767088295</c:v>
                </c:pt>
                <c:pt idx="19">
                  <c:v>0.57794158389069117</c:v>
                </c:pt>
                <c:pt idx="20">
                  <c:v>0.57794158389069117</c:v>
                </c:pt>
                <c:pt idx="21">
                  <c:v>0.64962426096240478</c:v>
                </c:pt>
                <c:pt idx="22">
                  <c:v>0.64850421913315925</c:v>
                </c:pt>
                <c:pt idx="23">
                  <c:v>0.64850421913315925</c:v>
                </c:pt>
                <c:pt idx="24">
                  <c:v>0.64850421913315925</c:v>
                </c:pt>
                <c:pt idx="25">
                  <c:v>0.64850421913315925</c:v>
                </c:pt>
                <c:pt idx="26">
                  <c:v>0.64850421913315925</c:v>
                </c:pt>
                <c:pt idx="27">
                  <c:v>0.64850421913315925</c:v>
                </c:pt>
                <c:pt idx="28">
                  <c:v>0.64850421913315925</c:v>
                </c:pt>
                <c:pt idx="29">
                  <c:v>0.64850421913315925</c:v>
                </c:pt>
                <c:pt idx="30">
                  <c:v>0.64850421913315925</c:v>
                </c:pt>
                <c:pt idx="31">
                  <c:v>0.64850421913315925</c:v>
                </c:pt>
                <c:pt idx="32">
                  <c:v>0.64850421913315925</c:v>
                </c:pt>
                <c:pt idx="33">
                  <c:v>0.63416768371881649</c:v>
                </c:pt>
                <c:pt idx="34">
                  <c:v>0.62767144110919249</c:v>
                </c:pt>
                <c:pt idx="35">
                  <c:v>0.62767144110919249</c:v>
                </c:pt>
                <c:pt idx="36">
                  <c:v>0.63304764188957097</c:v>
                </c:pt>
                <c:pt idx="37">
                  <c:v>0.63170359169447643</c:v>
                </c:pt>
                <c:pt idx="38">
                  <c:v>0.63013553313353265</c:v>
                </c:pt>
                <c:pt idx="39">
                  <c:v>0.63013553313353265</c:v>
                </c:pt>
                <c:pt idx="40">
                  <c:v>0.62386329888975767</c:v>
                </c:pt>
                <c:pt idx="41">
                  <c:v>0.62386329888975767</c:v>
                </c:pt>
                <c:pt idx="42">
                  <c:v>0.61199085549975507</c:v>
                </c:pt>
                <c:pt idx="43">
                  <c:v>0.61199085549975507</c:v>
                </c:pt>
                <c:pt idx="44">
                  <c:v>0.60885473837786763</c:v>
                </c:pt>
                <c:pt idx="45">
                  <c:v>0.60796234016628159</c:v>
                </c:pt>
                <c:pt idx="46">
                  <c:v>0.60796234016628159</c:v>
                </c:pt>
                <c:pt idx="47">
                  <c:v>0.60796234016628159</c:v>
                </c:pt>
                <c:pt idx="48">
                  <c:v>0.60796234016628159</c:v>
                </c:pt>
                <c:pt idx="49">
                  <c:v>0.60124204900747968</c:v>
                </c:pt>
                <c:pt idx="50">
                  <c:v>0.60124204900747968</c:v>
                </c:pt>
                <c:pt idx="51">
                  <c:v>0.59989799077571926</c:v>
                </c:pt>
                <c:pt idx="52">
                  <c:v>0.59989799077571926</c:v>
                </c:pt>
                <c:pt idx="53">
                  <c:v>0.59989799077571926</c:v>
                </c:pt>
                <c:pt idx="54">
                  <c:v>0.59989799077571926</c:v>
                </c:pt>
                <c:pt idx="55">
                  <c:v>0.59989799077571926</c:v>
                </c:pt>
                <c:pt idx="56">
                  <c:v>0.59989799077571926</c:v>
                </c:pt>
                <c:pt idx="57">
                  <c:v>0.59989799077571926</c:v>
                </c:pt>
                <c:pt idx="58">
                  <c:v>0.59989799077571926</c:v>
                </c:pt>
                <c:pt idx="59">
                  <c:v>0.59989799077571926</c:v>
                </c:pt>
                <c:pt idx="60">
                  <c:v>0.59989799077571926</c:v>
                </c:pt>
                <c:pt idx="61">
                  <c:v>0.59989799077571926</c:v>
                </c:pt>
                <c:pt idx="62">
                  <c:v>0.59989799077571926</c:v>
                </c:pt>
                <c:pt idx="63">
                  <c:v>0.59989799077571926</c:v>
                </c:pt>
                <c:pt idx="64">
                  <c:v>0.59989799077571926</c:v>
                </c:pt>
                <c:pt idx="65">
                  <c:v>0.59989799077571926</c:v>
                </c:pt>
                <c:pt idx="66">
                  <c:v>0.59989799077571926</c:v>
                </c:pt>
                <c:pt idx="67">
                  <c:v>0.59989799077571926</c:v>
                </c:pt>
                <c:pt idx="68">
                  <c:v>0.59927927832161143</c:v>
                </c:pt>
                <c:pt idx="69">
                  <c:v>0.59860718941134416</c:v>
                </c:pt>
                <c:pt idx="70">
                  <c:v>0.59860718941134416</c:v>
                </c:pt>
                <c:pt idx="71">
                  <c:v>0.59950330795836726</c:v>
                </c:pt>
                <c:pt idx="72">
                  <c:v>0.59950330795836726</c:v>
                </c:pt>
                <c:pt idx="73">
                  <c:v>0.59950330795836726</c:v>
                </c:pt>
                <c:pt idx="74">
                  <c:v>0.59950330795836726</c:v>
                </c:pt>
                <c:pt idx="75">
                  <c:v>0.59950330795836726</c:v>
                </c:pt>
                <c:pt idx="76">
                  <c:v>0.60308778214645897</c:v>
                </c:pt>
                <c:pt idx="77">
                  <c:v>0.60241569323619182</c:v>
                </c:pt>
                <c:pt idx="78">
                  <c:v>0.59972733759512298</c:v>
                </c:pt>
                <c:pt idx="79">
                  <c:v>0.59972733759512298</c:v>
                </c:pt>
                <c:pt idx="80">
                  <c:v>0.60488001924050505</c:v>
                </c:pt>
                <c:pt idx="81">
                  <c:v>0.60488001924050505</c:v>
                </c:pt>
                <c:pt idx="82">
                  <c:v>0.60868852306535259</c:v>
                </c:pt>
                <c:pt idx="83">
                  <c:v>0.60868852306535259</c:v>
                </c:pt>
                <c:pt idx="84">
                  <c:v>0.60868852306535259</c:v>
                </c:pt>
              </c:numCache>
            </c:numRef>
          </c:val>
          <c:smooth val="0"/>
        </c:ser>
        <c:dLbls>
          <c:showLegendKey val="0"/>
          <c:showVal val="0"/>
          <c:showCatName val="0"/>
          <c:showSerName val="0"/>
          <c:showPercent val="0"/>
          <c:showBubbleSize val="0"/>
        </c:dLbls>
        <c:marker val="1"/>
        <c:smooth val="0"/>
        <c:axId val="272378496"/>
        <c:axId val="272400768"/>
      </c:lineChart>
      <c:dateAx>
        <c:axId val="272378496"/>
        <c:scaling>
          <c:orientation val="minMax"/>
        </c:scaling>
        <c:delete val="0"/>
        <c:axPos val="b"/>
        <c:numFmt formatCode="[$-409]d\-mmm\-yy;@" sourceLinked="0"/>
        <c:majorTickMark val="out"/>
        <c:minorTickMark val="none"/>
        <c:tickLblPos val="nextTo"/>
        <c:txPr>
          <a:bodyPr rot="-2700000" vert="horz"/>
          <a:lstStyle/>
          <a:p>
            <a:pPr>
              <a:defRPr/>
            </a:pPr>
            <a:endParaRPr lang="en-US"/>
          </a:p>
        </c:txPr>
        <c:crossAx val="272400768"/>
        <c:crosses val="autoZero"/>
        <c:auto val="1"/>
        <c:lblOffset val="100"/>
        <c:baseTimeUnit val="days"/>
      </c:dateAx>
      <c:valAx>
        <c:axId val="272400768"/>
        <c:scaling>
          <c:orientation val="minMax"/>
        </c:scaling>
        <c:delete val="0"/>
        <c:axPos val="l"/>
        <c:majorGridlines/>
        <c:numFmt formatCode="0.00%" sourceLinked="1"/>
        <c:majorTickMark val="out"/>
        <c:minorTickMark val="none"/>
        <c:tickLblPos val="nextTo"/>
        <c:txPr>
          <a:bodyPr rot="0" vert="horz"/>
          <a:lstStyle/>
          <a:p>
            <a:pPr>
              <a:defRPr/>
            </a:pPr>
            <a:endParaRPr lang="en-US"/>
          </a:p>
        </c:txPr>
        <c:crossAx val="272378496"/>
        <c:crosses val="autoZero"/>
        <c:crossBetween val="between"/>
      </c:valAx>
    </c:plotArea>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11332114358816"/>
        </c:manualLayout>
      </c:layout>
      <c:lineChart>
        <c:grouping val="standard"/>
        <c:varyColors val="0"/>
        <c:ser>
          <c:idx val="0"/>
          <c:order val="0"/>
          <c:tx>
            <c:strRef>
              <c:f>'subscription charts'!$L$2</c:f>
              <c:strCache>
                <c:ptCount val="1"/>
                <c:pt idx="0">
                  <c:v>FDC T4 V-MAX 0879</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charts'!$L$3:$L$87</c:f>
              <c:numCache>
                <c:formatCode>0.00%</c:formatCode>
                <c:ptCount val="85"/>
                <c:pt idx="0">
                  <c:v>1.120353552909898</c:v>
                </c:pt>
                <c:pt idx="1">
                  <c:v>1.120353552909898</c:v>
                </c:pt>
                <c:pt idx="2">
                  <c:v>1.1648952049198797</c:v>
                </c:pt>
                <c:pt idx="3">
                  <c:v>1.2296989417657751</c:v>
                </c:pt>
                <c:pt idx="4">
                  <c:v>1.2296989417657751</c:v>
                </c:pt>
                <c:pt idx="5">
                  <c:v>1.2522317774884717</c:v>
                </c:pt>
                <c:pt idx="6">
                  <c:v>1.3289132882036956</c:v>
                </c:pt>
                <c:pt idx="7">
                  <c:v>1.3315333853807534</c:v>
                </c:pt>
                <c:pt idx="8">
                  <c:v>1.3303</c:v>
                </c:pt>
                <c:pt idx="9">
                  <c:v>1.3303106733647931</c:v>
                </c:pt>
                <c:pt idx="10">
                  <c:v>1.3303106733647931</c:v>
                </c:pt>
                <c:pt idx="11">
                  <c:v>1.3303106733647931</c:v>
                </c:pt>
                <c:pt idx="12">
                  <c:v>1.3303106733647931</c:v>
                </c:pt>
                <c:pt idx="13">
                  <c:v>1.3303106733647931</c:v>
                </c:pt>
                <c:pt idx="14">
                  <c:v>1.3303106733647931</c:v>
                </c:pt>
                <c:pt idx="15">
                  <c:v>1.4110096664181719</c:v>
                </c:pt>
                <c:pt idx="16">
                  <c:v>1.4110096664181719</c:v>
                </c:pt>
                <c:pt idx="17">
                  <c:v>1.4443722371393741</c:v>
                </c:pt>
                <c:pt idx="18">
                  <c:v>1.4122323784341324</c:v>
                </c:pt>
                <c:pt idx="19">
                  <c:v>1.4457696223004717</c:v>
                </c:pt>
                <c:pt idx="20">
                  <c:v>1.4480403731872551</c:v>
                </c:pt>
                <c:pt idx="21">
                  <c:v>1.4480403731872551</c:v>
                </c:pt>
                <c:pt idx="22">
                  <c:v>1.4581714156052119</c:v>
                </c:pt>
                <c:pt idx="23">
                  <c:v>1.4581714156052119</c:v>
                </c:pt>
                <c:pt idx="24">
                  <c:v>1.4564246841538397</c:v>
                </c:pt>
                <c:pt idx="25">
                  <c:v>1.4581714156052119</c:v>
                </c:pt>
                <c:pt idx="26">
                  <c:v>1.4581714156052119</c:v>
                </c:pt>
                <c:pt idx="27">
                  <c:v>1.4564246841538397</c:v>
                </c:pt>
                <c:pt idx="28">
                  <c:v>1.4564246841538397</c:v>
                </c:pt>
                <c:pt idx="29">
                  <c:v>1.4564246841538397</c:v>
                </c:pt>
                <c:pt idx="30">
                  <c:v>1.4564246841538397</c:v>
                </c:pt>
                <c:pt idx="31">
                  <c:v>1.4564246841538397</c:v>
                </c:pt>
                <c:pt idx="32">
                  <c:v>1.4214900551264031</c:v>
                </c:pt>
                <c:pt idx="33">
                  <c:v>1.4272542689159304</c:v>
                </c:pt>
                <c:pt idx="34">
                  <c:v>1.42603155689997</c:v>
                </c:pt>
                <c:pt idx="35">
                  <c:v>1.42603155689997</c:v>
                </c:pt>
                <c:pt idx="36">
                  <c:v>1.42603155689997</c:v>
                </c:pt>
                <c:pt idx="37">
                  <c:v>1.4269049226256558</c:v>
                </c:pt>
                <c:pt idx="38">
                  <c:v>1.42603155689997</c:v>
                </c:pt>
                <c:pt idx="39">
                  <c:v>1.4270795957707931</c:v>
                </c:pt>
                <c:pt idx="40">
                  <c:v>1.4590447813308975</c:v>
                </c:pt>
                <c:pt idx="41">
                  <c:v>1.4590447813308975</c:v>
                </c:pt>
                <c:pt idx="42">
                  <c:v>1.4590447813308975</c:v>
                </c:pt>
                <c:pt idx="43">
                  <c:v>1.4590447813308975</c:v>
                </c:pt>
                <c:pt idx="44">
                  <c:v>1.4637609562496015</c:v>
                </c:pt>
                <c:pt idx="45">
                  <c:v>1.4637768809544778</c:v>
                </c:pt>
                <c:pt idx="46">
                  <c:v>1.4637768809544778</c:v>
                </c:pt>
                <c:pt idx="47">
                  <c:v>1.4637768809544778</c:v>
                </c:pt>
                <c:pt idx="48">
                  <c:v>1.4637768809544778</c:v>
                </c:pt>
                <c:pt idx="49">
                  <c:v>1.4637768809544778</c:v>
                </c:pt>
                <c:pt idx="50">
                  <c:v>1.4637768809544778</c:v>
                </c:pt>
                <c:pt idx="51">
                  <c:v>1.4637768809544778</c:v>
                </c:pt>
                <c:pt idx="52">
                  <c:v>1.4637768809544778</c:v>
                </c:pt>
                <c:pt idx="53">
                  <c:v>1.4637768809544778</c:v>
                </c:pt>
                <c:pt idx="54">
                  <c:v>1.4637768809544778</c:v>
                </c:pt>
                <c:pt idx="55">
                  <c:v>1.4637768809544778</c:v>
                </c:pt>
                <c:pt idx="56">
                  <c:v>1.4637768809544778</c:v>
                </c:pt>
                <c:pt idx="57">
                  <c:v>1.4637768809544778</c:v>
                </c:pt>
                <c:pt idx="58">
                  <c:v>1.4676197319545969</c:v>
                </c:pt>
                <c:pt idx="59">
                  <c:v>1.4676197319545969</c:v>
                </c:pt>
                <c:pt idx="60">
                  <c:v>1.4676197319545969</c:v>
                </c:pt>
                <c:pt idx="61">
                  <c:v>1.4676197319545969</c:v>
                </c:pt>
                <c:pt idx="62">
                  <c:v>1.4676197319545969</c:v>
                </c:pt>
                <c:pt idx="63">
                  <c:v>1.4545191035450997</c:v>
                </c:pt>
                <c:pt idx="64">
                  <c:v>1.4545191035450997</c:v>
                </c:pt>
                <c:pt idx="65">
                  <c:v>1.4545191035450997</c:v>
                </c:pt>
                <c:pt idx="66">
                  <c:v>1.4545191035450997</c:v>
                </c:pt>
                <c:pt idx="67">
                  <c:v>1.4545191035450997</c:v>
                </c:pt>
                <c:pt idx="68">
                  <c:v>1.4546485206732738</c:v>
                </c:pt>
                <c:pt idx="69">
                  <c:v>1.4546485206732738</c:v>
                </c:pt>
                <c:pt idx="70">
                  <c:v>1.4567448077211997</c:v>
                </c:pt>
                <c:pt idx="71">
                  <c:v>1.4567448077211997</c:v>
                </c:pt>
                <c:pt idx="72">
                  <c:v>1.403114797411761</c:v>
                </c:pt>
                <c:pt idx="73">
                  <c:v>1.403114797411761</c:v>
                </c:pt>
                <c:pt idx="74">
                  <c:v>1.403114797411761</c:v>
                </c:pt>
                <c:pt idx="75">
                  <c:v>1.403114797411761</c:v>
                </c:pt>
                <c:pt idx="76">
                  <c:v>1.403114797411761</c:v>
                </c:pt>
                <c:pt idx="77">
                  <c:v>1.403114797411761</c:v>
                </c:pt>
                <c:pt idx="78">
                  <c:v>1.3863445010283535</c:v>
                </c:pt>
                <c:pt idx="79">
                  <c:v>1.3863445010283535</c:v>
                </c:pt>
                <c:pt idx="80">
                  <c:v>1.3863445010283535</c:v>
                </c:pt>
                <c:pt idx="81">
                  <c:v>1.3863445010283535</c:v>
                </c:pt>
                <c:pt idx="82">
                  <c:v>1.3873926445523164</c:v>
                </c:pt>
                <c:pt idx="83">
                  <c:v>1.3873926445523164</c:v>
                </c:pt>
                <c:pt idx="84">
                  <c:v>1.3873926445523164</c:v>
                </c:pt>
              </c:numCache>
            </c:numRef>
          </c:val>
          <c:smooth val="0"/>
        </c:ser>
        <c:dLbls>
          <c:showLegendKey val="0"/>
          <c:showVal val="0"/>
          <c:showCatName val="0"/>
          <c:showSerName val="0"/>
          <c:showPercent val="0"/>
          <c:showBubbleSize val="0"/>
        </c:dLbls>
        <c:marker val="1"/>
        <c:smooth val="0"/>
        <c:axId val="272425728"/>
        <c:axId val="272427264"/>
      </c:lineChart>
      <c:dateAx>
        <c:axId val="2724257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427264"/>
        <c:crosses val="autoZero"/>
        <c:auto val="1"/>
        <c:lblOffset val="100"/>
        <c:baseTimeUnit val="days"/>
      </c:dateAx>
      <c:valAx>
        <c:axId val="27242726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4257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lgn="ct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4022472559613794"/>
          <c:y val="0.26710671804322333"/>
          <c:w val="0.70240037799843069"/>
          <c:h val="0.53539054529883767"/>
        </c:manualLayout>
      </c:layout>
      <c:lineChart>
        <c:grouping val="standard"/>
        <c:varyColors val="0"/>
        <c:ser>
          <c:idx val="0"/>
          <c:order val="0"/>
          <c:tx>
            <c:strRef>
              <c:f>'subscription charts'!$O$2</c:f>
              <c:strCache>
                <c:ptCount val="1"/>
                <c:pt idx="0">
                  <c:v>FDC T3 V-MAX 2231</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charts'!$O$3:$O$87</c:f>
              <c:numCache>
                <c:formatCode>0.00%</c:formatCode>
                <c:ptCount val="85"/>
                <c:pt idx="0">
                  <c:v>0.62981941140852271</c:v>
                </c:pt>
                <c:pt idx="1">
                  <c:v>0.62981941140852271</c:v>
                </c:pt>
                <c:pt idx="2">
                  <c:v>0.63409309876782849</c:v>
                </c:pt>
                <c:pt idx="3">
                  <c:v>0.66632891199230504</c:v>
                </c:pt>
                <c:pt idx="4">
                  <c:v>0.66498575310795183</c:v>
                </c:pt>
                <c:pt idx="5">
                  <c:v>0.68232471325142019</c:v>
                </c:pt>
                <c:pt idx="6">
                  <c:v>0.68232471325142019</c:v>
                </c:pt>
                <c:pt idx="7">
                  <c:v>0.69136050938252347</c:v>
                </c:pt>
                <c:pt idx="8">
                  <c:v>0.69140000000000001</c:v>
                </c:pt>
                <c:pt idx="9">
                  <c:v>0.70894368023223808</c:v>
                </c:pt>
                <c:pt idx="10">
                  <c:v>0.72945737955690471</c:v>
                </c:pt>
                <c:pt idx="11">
                  <c:v>0.72933527420378197</c:v>
                </c:pt>
                <c:pt idx="12">
                  <c:v>0.72787000996630558</c:v>
                </c:pt>
                <c:pt idx="13">
                  <c:v>0.72787000996630558</c:v>
                </c:pt>
                <c:pt idx="14">
                  <c:v>0.72616053502258326</c:v>
                </c:pt>
                <c:pt idx="15">
                  <c:v>0.72616053502258326</c:v>
                </c:pt>
                <c:pt idx="16">
                  <c:v>0.72432895472573822</c:v>
                </c:pt>
                <c:pt idx="17">
                  <c:v>0.67640638973001377</c:v>
                </c:pt>
                <c:pt idx="18">
                  <c:v>0.674694587586807</c:v>
                </c:pt>
                <c:pt idx="19">
                  <c:v>0.674694587586807</c:v>
                </c:pt>
                <c:pt idx="20">
                  <c:v>0.67090416855542057</c:v>
                </c:pt>
                <c:pt idx="21">
                  <c:v>0.66980372432050173</c:v>
                </c:pt>
                <c:pt idx="22">
                  <c:v>0.70465112509292671</c:v>
                </c:pt>
                <c:pt idx="23">
                  <c:v>0.70465112509292671</c:v>
                </c:pt>
                <c:pt idx="24">
                  <c:v>1.0237799532193432</c:v>
                </c:pt>
                <c:pt idx="25">
                  <c:v>1.0237799532193432</c:v>
                </c:pt>
                <c:pt idx="26">
                  <c:v>1.0237799532193432</c:v>
                </c:pt>
                <c:pt idx="27">
                  <c:v>1.0146095845950209</c:v>
                </c:pt>
                <c:pt idx="28">
                  <c:v>1.0053169443890411</c:v>
                </c:pt>
                <c:pt idx="29">
                  <c:v>0.9516397200413409</c:v>
                </c:pt>
                <c:pt idx="30">
                  <c:v>0.94381433881525267</c:v>
                </c:pt>
                <c:pt idx="31">
                  <c:v>0.93195399539446244</c:v>
                </c:pt>
                <c:pt idx="32">
                  <c:v>0.93195399539446244</c:v>
                </c:pt>
                <c:pt idx="33">
                  <c:v>0.92828584794473346</c:v>
                </c:pt>
                <c:pt idx="34">
                  <c:v>0.92742994687313007</c:v>
                </c:pt>
                <c:pt idx="35">
                  <c:v>0.9237617994234012</c:v>
                </c:pt>
                <c:pt idx="36">
                  <c:v>0.9181373066671501</c:v>
                </c:pt>
                <c:pt idx="37">
                  <c:v>0.9181373066671501</c:v>
                </c:pt>
                <c:pt idx="38">
                  <c:v>0.9181373066671501</c:v>
                </c:pt>
                <c:pt idx="39">
                  <c:v>0.9181373066671501</c:v>
                </c:pt>
                <c:pt idx="40">
                  <c:v>0.91593641819731275</c:v>
                </c:pt>
                <c:pt idx="41">
                  <c:v>0.91593641819731275</c:v>
                </c:pt>
                <c:pt idx="42">
                  <c:v>0.91581414661565519</c:v>
                </c:pt>
                <c:pt idx="43">
                  <c:v>0.90970056753277362</c:v>
                </c:pt>
                <c:pt idx="44">
                  <c:v>0.90970056753277362</c:v>
                </c:pt>
                <c:pt idx="45">
                  <c:v>0.90970056753277362</c:v>
                </c:pt>
                <c:pt idx="46">
                  <c:v>0.90688832115464812</c:v>
                </c:pt>
                <c:pt idx="47">
                  <c:v>0.90688832115464812</c:v>
                </c:pt>
                <c:pt idx="48">
                  <c:v>0.90688832115464812</c:v>
                </c:pt>
                <c:pt idx="49">
                  <c:v>0.90688832115464812</c:v>
                </c:pt>
                <c:pt idx="50">
                  <c:v>0.90688832115464812</c:v>
                </c:pt>
                <c:pt idx="51">
                  <c:v>1.4496865471799785</c:v>
                </c:pt>
                <c:pt idx="52">
                  <c:v>1.4496865471799785</c:v>
                </c:pt>
                <c:pt idx="53">
                  <c:v>1.4481581480791033</c:v>
                </c:pt>
                <c:pt idx="54">
                  <c:v>1.4458655494277908</c:v>
                </c:pt>
                <c:pt idx="55">
                  <c:v>1.4451013498773533</c:v>
                </c:pt>
                <c:pt idx="56">
                  <c:v>1.4114765696581024</c:v>
                </c:pt>
                <c:pt idx="57">
                  <c:v>1.4114765696581024</c:v>
                </c:pt>
                <c:pt idx="58">
                  <c:v>1.3916073813467269</c:v>
                </c:pt>
                <c:pt idx="59">
                  <c:v>1.3673440456203354</c:v>
                </c:pt>
                <c:pt idx="60">
                  <c:v>1.357600501352257</c:v>
                </c:pt>
                <c:pt idx="61">
                  <c:v>1.357600501352257</c:v>
                </c:pt>
                <c:pt idx="62">
                  <c:v>1.357600501352257</c:v>
                </c:pt>
                <c:pt idx="63">
                  <c:v>1.3488122065222254</c:v>
                </c:pt>
                <c:pt idx="64">
                  <c:v>1.2632218568732232</c:v>
                </c:pt>
                <c:pt idx="65">
                  <c:v>1.2605471584466919</c:v>
                </c:pt>
                <c:pt idx="66">
                  <c:v>1.2366659224955194</c:v>
                </c:pt>
                <c:pt idx="67">
                  <c:v>1.2366659224955194</c:v>
                </c:pt>
                <c:pt idx="68">
                  <c:v>1.2367759559435569</c:v>
                </c:pt>
                <c:pt idx="69">
                  <c:v>1.2333367519875886</c:v>
                </c:pt>
                <c:pt idx="70">
                  <c:v>1.2333367519875886</c:v>
                </c:pt>
                <c:pt idx="71">
                  <c:v>1.4677758216527739</c:v>
                </c:pt>
                <c:pt idx="72">
                  <c:v>1.4677758216527739</c:v>
                </c:pt>
                <c:pt idx="73">
                  <c:v>1.4677758216527739</c:v>
                </c:pt>
                <c:pt idx="74">
                  <c:v>1.4677758216527739</c:v>
                </c:pt>
                <c:pt idx="75">
                  <c:v>1.4677758216527739</c:v>
                </c:pt>
                <c:pt idx="76">
                  <c:v>1.4616616812866075</c:v>
                </c:pt>
                <c:pt idx="77">
                  <c:v>1.4299445781371205</c:v>
                </c:pt>
                <c:pt idx="78">
                  <c:v>1.2835873431220168</c:v>
                </c:pt>
                <c:pt idx="79">
                  <c:v>1.2835873431220168</c:v>
                </c:pt>
                <c:pt idx="80">
                  <c:v>1.2835873431220168</c:v>
                </c:pt>
                <c:pt idx="81">
                  <c:v>1.2835873431220168</c:v>
                </c:pt>
                <c:pt idx="82">
                  <c:v>1.2835873431220168</c:v>
                </c:pt>
                <c:pt idx="83">
                  <c:v>1.2835873431220168</c:v>
                </c:pt>
                <c:pt idx="84">
                  <c:v>1.2598950492031227</c:v>
                </c:pt>
              </c:numCache>
            </c:numRef>
          </c:val>
          <c:smooth val="0"/>
        </c:ser>
        <c:dLbls>
          <c:showLegendKey val="0"/>
          <c:showVal val="0"/>
          <c:showCatName val="0"/>
          <c:showSerName val="0"/>
          <c:showPercent val="0"/>
          <c:showBubbleSize val="0"/>
        </c:dLbls>
        <c:marker val="1"/>
        <c:smooth val="0"/>
        <c:axId val="272456320"/>
        <c:axId val="272462208"/>
      </c:lineChart>
      <c:dateAx>
        <c:axId val="2724563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462208"/>
        <c:crosses val="autoZero"/>
        <c:auto val="1"/>
        <c:lblOffset val="100"/>
        <c:baseTimeUnit val="days"/>
      </c:dateAx>
      <c:valAx>
        <c:axId val="27246220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4563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charts'!$G$2</c:f>
              <c:strCache>
                <c:ptCount val="1"/>
                <c:pt idx="0">
                  <c:v>RDC T4 V-MAX 3073</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charts'!$G$3:$G$87</c:f>
              <c:numCache>
                <c:formatCode>0.00%</c:formatCode>
                <c:ptCount val="85"/>
                <c:pt idx="0">
                  <c:v>1.1790843686217121</c:v>
                </c:pt>
                <c:pt idx="1">
                  <c:v>1.1790843686217121</c:v>
                </c:pt>
                <c:pt idx="2">
                  <c:v>1.1786515500442869</c:v>
                </c:pt>
                <c:pt idx="3">
                  <c:v>1.1786515500442869</c:v>
                </c:pt>
                <c:pt idx="4">
                  <c:v>1.1786515500442869</c:v>
                </c:pt>
                <c:pt idx="5">
                  <c:v>1.1786515500442869</c:v>
                </c:pt>
                <c:pt idx="6">
                  <c:v>1.1785649863288019</c:v>
                </c:pt>
                <c:pt idx="7">
                  <c:v>1.1784784226133167</c:v>
                </c:pt>
                <c:pt idx="8">
                  <c:v>1.1785000000000001</c:v>
                </c:pt>
                <c:pt idx="9">
                  <c:v>1.1784784226133167</c:v>
                </c:pt>
                <c:pt idx="10">
                  <c:v>1.1788246774752569</c:v>
                </c:pt>
                <c:pt idx="11">
                  <c:v>1.1788246774752569</c:v>
                </c:pt>
                <c:pt idx="12">
                  <c:v>1.1788246774752569</c:v>
                </c:pt>
                <c:pt idx="13">
                  <c:v>1.1788246774752569</c:v>
                </c:pt>
                <c:pt idx="14">
                  <c:v>1.1788246774752569</c:v>
                </c:pt>
                <c:pt idx="15">
                  <c:v>1.1788246774752569</c:v>
                </c:pt>
                <c:pt idx="16">
                  <c:v>1.1788246774752569</c:v>
                </c:pt>
                <c:pt idx="17">
                  <c:v>1.1788246774752569</c:v>
                </c:pt>
                <c:pt idx="18">
                  <c:v>3.4749718351750398</c:v>
                </c:pt>
                <c:pt idx="19">
                  <c:v>3.4861995309268168</c:v>
                </c:pt>
                <c:pt idx="20">
                  <c:v>3.4861995309268168</c:v>
                </c:pt>
                <c:pt idx="21">
                  <c:v>3.4861995309268168</c:v>
                </c:pt>
                <c:pt idx="22">
                  <c:v>3.4861995309268168</c:v>
                </c:pt>
                <c:pt idx="23">
                  <c:v>3.4861995309268168</c:v>
                </c:pt>
                <c:pt idx="24">
                  <c:v>3.4861995309268168</c:v>
                </c:pt>
                <c:pt idx="25">
                  <c:v>3.4861995309268168</c:v>
                </c:pt>
                <c:pt idx="26">
                  <c:v>3.4861995309268168</c:v>
                </c:pt>
                <c:pt idx="27">
                  <c:v>3.4861995309268168</c:v>
                </c:pt>
                <c:pt idx="28">
                  <c:v>3.4861995309268168</c:v>
                </c:pt>
                <c:pt idx="29">
                  <c:v>3.4861995309268168</c:v>
                </c:pt>
                <c:pt idx="30">
                  <c:v>3.4910478540923573</c:v>
                </c:pt>
                <c:pt idx="31">
                  <c:v>3.4910478540923573</c:v>
                </c:pt>
                <c:pt idx="32">
                  <c:v>3.4910478540923573</c:v>
                </c:pt>
                <c:pt idx="33">
                  <c:v>3.4905375042854581</c:v>
                </c:pt>
                <c:pt idx="34">
                  <c:v>3.4887512799613116</c:v>
                </c:pt>
                <c:pt idx="35">
                  <c:v>3.4675717629750045</c:v>
                </c:pt>
                <c:pt idx="36">
                  <c:v>3.4675717629750045</c:v>
                </c:pt>
                <c:pt idx="37">
                  <c:v>3.4703786869129494</c:v>
                </c:pt>
                <c:pt idx="38">
                  <c:v>3.4703786869129494</c:v>
                </c:pt>
                <c:pt idx="39">
                  <c:v>3.4703786869129494</c:v>
                </c:pt>
                <c:pt idx="40">
                  <c:v>3.5022755498441343</c:v>
                </c:pt>
                <c:pt idx="41">
                  <c:v>3.5022755498441343</c:v>
                </c:pt>
                <c:pt idx="42">
                  <c:v>3.4849236564095691</c:v>
                </c:pt>
                <c:pt idx="43">
                  <c:v>3.4849236564095691</c:v>
                </c:pt>
                <c:pt idx="44">
                  <c:v>3.4772684093060851</c:v>
                </c:pt>
                <c:pt idx="45">
                  <c:v>3.4765265643447463</c:v>
                </c:pt>
                <c:pt idx="46">
                  <c:v>3.4760162110616655</c:v>
                </c:pt>
                <c:pt idx="47">
                  <c:v>3.4760162110616655</c:v>
                </c:pt>
                <c:pt idx="48">
                  <c:v>3.4760162110616655</c:v>
                </c:pt>
                <c:pt idx="49">
                  <c:v>3.4760162110616655</c:v>
                </c:pt>
                <c:pt idx="50">
                  <c:v>3.4744851512124235</c:v>
                </c:pt>
                <c:pt idx="51">
                  <c:v>3.463767732267732</c:v>
                </c:pt>
                <c:pt idx="52">
                  <c:v>3.4331465352828987</c:v>
                </c:pt>
                <c:pt idx="53">
                  <c:v>3.4331465352828987</c:v>
                </c:pt>
                <c:pt idx="54">
                  <c:v>3.4331465352828987</c:v>
                </c:pt>
                <c:pt idx="55">
                  <c:v>3.4331465352828987</c:v>
                </c:pt>
                <c:pt idx="56">
                  <c:v>3.4331465352828987</c:v>
                </c:pt>
                <c:pt idx="57">
                  <c:v>3.4308499455090362</c:v>
                </c:pt>
                <c:pt idx="58">
                  <c:v>3.4229394696212876</c:v>
                </c:pt>
                <c:pt idx="59">
                  <c:v>3.4229394696212876</c:v>
                </c:pt>
                <c:pt idx="60">
                  <c:v>3.4229394696212876</c:v>
                </c:pt>
                <c:pt idx="61">
                  <c:v>3.4229394696212876</c:v>
                </c:pt>
                <c:pt idx="62">
                  <c:v>3.4229394696212876</c:v>
                </c:pt>
                <c:pt idx="63">
                  <c:v>3.4229394696212876</c:v>
                </c:pt>
                <c:pt idx="64">
                  <c:v>3.4229394696212876</c:v>
                </c:pt>
                <c:pt idx="65">
                  <c:v>3.4229394696212876</c:v>
                </c:pt>
                <c:pt idx="66">
                  <c:v>3.4170704068658613</c:v>
                </c:pt>
                <c:pt idx="67">
                  <c:v>3.4170704068658613</c:v>
                </c:pt>
                <c:pt idx="68">
                  <c:v>3.4173744437380797</c:v>
                </c:pt>
                <c:pt idx="69">
                  <c:v>3.4173744437380797</c:v>
                </c:pt>
                <c:pt idx="70">
                  <c:v>3.4173744437380797</c:v>
                </c:pt>
                <c:pt idx="71">
                  <c:v>3.4173744437380797</c:v>
                </c:pt>
                <c:pt idx="72">
                  <c:v>3.412780855508128</c:v>
                </c:pt>
                <c:pt idx="73">
                  <c:v>3.412780855508128</c:v>
                </c:pt>
                <c:pt idx="74">
                  <c:v>3.4018072836254651</c:v>
                </c:pt>
                <c:pt idx="75">
                  <c:v>3.4018072836254651</c:v>
                </c:pt>
                <c:pt idx="76">
                  <c:v>3.3915993097811277</c:v>
                </c:pt>
                <c:pt idx="77">
                  <c:v>3.3900681137044772</c:v>
                </c:pt>
                <c:pt idx="78">
                  <c:v>3.3849641267823083</c:v>
                </c:pt>
                <c:pt idx="79">
                  <c:v>3.3849641267823083</c:v>
                </c:pt>
                <c:pt idx="80">
                  <c:v>3.3849641267823083</c:v>
                </c:pt>
                <c:pt idx="81">
                  <c:v>3.3849641267823083</c:v>
                </c:pt>
                <c:pt idx="82">
                  <c:v>3.3852193261284169</c:v>
                </c:pt>
                <c:pt idx="83">
                  <c:v>3.2941131595677051</c:v>
                </c:pt>
                <c:pt idx="84">
                  <c:v>3.2920715647988374</c:v>
                </c:pt>
              </c:numCache>
            </c:numRef>
          </c:val>
          <c:smooth val="0"/>
        </c:ser>
        <c:dLbls>
          <c:showLegendKey val="0"/>
          <c:showVal val="0"/>
          <c:showCatName val="0"/>
          <c:showSerName val="0"/>
          <c:showPercent val="0"/>
          <c:showBubbleSize val="0"/>
        </c:dLbls>
        <c:marker val="1"/>
        <c:smooth val="0"/>
        <c:axId val="272487168"/>
        <c:axId val="272488704"/>
      </c:lineChart>
      <c:dateAx>
        <c:axId val="2724871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488704"/>
        <c:crosses val="autoZero"/>
        <c:auto val="1"/>
        <c:lblOffset val="100"/>
        <c:baseTimeUnit val="days"/>
      </c:dateAx>
      <c:valAx>
        <c:axId val="27248870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4871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302847604007101"/>
        </c:manualLayout>
      </c:layout>
      <c:lineChart>
        <c:grouping val="standard"/>
        <c:varyColors val="0"/>
        <c:ser>
          <c:idx val="0"/>
          <c:order val="0"/>
          <c:tx>
            <c:strRef>
              <c:f>'subscription charts'!$F$2</c:f>
              <c:strCache>
                <c:ptCount val="1"/>
                <c:pt idx="0">
                  <c:v>RDC T3 V-MAX 3286</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charts'!$F$3:$F$87</c:f>
              <c:numCache>
                <c:formatCode>0.00%</c:formatCode>
                <c:ptCount val="85"/>
                <c:pt idx="0">
                  <c:v>0.68464961086642162</c:v>
                </c:pt>
                <c:pt idx="1">
                  <c:v>0.68464961086642162</c:v>
                </c:pt>
                <c:pt idx="2">
                  <c:v>0.68342920157788967</c:v>
                </c:pt>
                <c:pt idx="3">
                  <c:v>0.68098838300082576</c:v>
                </c:pt>
                <c:pt idx="4">
                  <c:v>0.68098838300082576</c:v>
                </c:pt>
                <c:pt idx="5">
                  <c:v>0.68098838300082576</c:v>
                </c:pt>
                <c:pt idx="6">
                  <c:v>0.68261559538553507</c:v>
                </c:pt>
                <c:pt idx="7">
                  <c:v>0.68261559538553507</c:v>
                </c:pt>
                <c:pt idx="8">
                  <c:v>0.68259999999999998</c:v>
                </c:pt>
                <c:pt idx="9">
                  <c:v>0.68261559538553507</c:v>
                </c:pt>
                <c:pt idx="10">
                  <c:v>0.698074113040273</c:v>
                </c:pt>
                <c:pt idx="11">
                  <c:v>0.7123122214064791</c:v>
                </c:pt>
                <c:pt idx="12">
                  <c:v>0.7123122214064791</c:v>
                </c:pt>
                <c:pt idx="13">
                  <c:v>0.7123122214064791</c:v>
                </c:pt>
                <c:pt idx="14">
                  <c:v>0.71800746475296151</c:v>
                </c:pt>
                <c:pt idx="15">
                  <c:v>0.72980475454210358</c:v>
                </c:pt>
                <c:pt idx="16">
                  <c:v>0.72980475454210358</c:v>
                </c:pt>
                <c:pt idx="17">
                  <c:v>0.73118184867651626</c:v>
                </c:pt>
                <c:pt idx="18">
                  <c:v>0.73403484362675908</c:v>
                </c:pt>
                <c:pt idx="19">
                  <c:v>0.73729540928417958</c:v>
                </c:pt>
                <c:pt idx="20">
                  <c:v>0.73729540928417958</c:v>
                </c:pt>
                <c:pt idx="21">
                  <c:v>0.73729540928417958</c:v>
                </c:pt>
                <c:pt idx="22">
                  <c:v>0.73729540928417958</c:v>
                </c:pt>
                <c:pt idx="23">
                  <c:v>0.73729540928417958</c:v>
                </c:pt>
                <c:pt idx="24">
                  <c:v>1.5561049600038681</c:v>
                </c:pt>
                <c:pt idx="25">
                  <c:v>1.5561049600038681</c:v>
                </c:pt>
                <c:pt idx="26">
                  <c:v>1.5561049600038681</c:v>
                </c:pt>
                <c:pt idx="27">
                  <c:v>1.5561049600038681</c:v>
                </c:pt>
                <c:pt idx="28">
                  <c:v>1.5561049600038681</c:v>
                </c:pt>
                <c:pt idx="29">
                  <c:v>1.5561049600038681</c:v>
                </c:pt>
                <c:pt idx="30">
                  <c:v>1.5931938943570247</c:v>
                </c:pt>
                <c:pt idx="31">
                  <c:v>1.5931938943570247</c:v>
                </c:pt>
                <c:pt idx="32">
                  <c:v>1.5931938943570247</c:v>
                </c:pt>
                <c:pt idx="33">
                  <c:v>1.5931938943570247</c:v>
                </c:pt>
                <c:pt idx="34">
                  <c:v>1.5891181872852491</c:v>
                </c:pt>
                <c:pt idx="35">
                  <c:v>1.5891181872852491</c:v>
                </c:pt>
                <c:pt idx="36">
                  <c:v>1.5891181872852491</c:v>
                </c:pt>
                <c:pt idx="37">
                  <c:v>1.5874879044565391</c:v>
                </c:pt>
                <c:pt idx="38">
                  <c:v>1.5874879044565391</c:v>
                </c:pt>
                <c:pt idx="39">
                  <c:v>1.5813743438488759</c:v>
                </c:pt>
                <c:pt idx="40">
                  <c:v>1.5805687553829648</c:v>
                </c:pt>
                <c:pt idx="41">
                  <c:v>1.5805687553829648</c:v>
                </c:pt>
                <c:pt idx="42">
                  <c:v>1.5805687553829648</c:v>
                </c:pt>
                <c:pt idx="43">
                  <c:v>1.5805687553829648</c:v>
                </c:pt>
                <c:pt idx="44">
                  <c:v>1.5805687553829648</c:v>
                </c:pt>
                <c:pt idx="45">
                  <c:v>1.5769005968480378</c:v>
                </c:pt>
                <c:pt idx="46">
                  <c:v>1.5683415602665416</c:v>
                </c:pt>
                <c:pt idx="47">
                  <c:v>1.5683415602665416</c:v>
                </c:pt>
                <c:pt idx="48">
                  <c:v>1.5683415602665416</c:v>
                </c:pt>
                <c:pt idx="49">
                  <c:v>1.5589673773439505</c:v>
                </c:pt>
                <c:pt idx="50">
                  <c:v>1.5487780480802646</c:v>
                </c:pt>
                <c:pt idx="51">
                  <c:v>1.5459250358864325</c:v>
                </c:pt>
                <c:pt idx="52">
                  <c:v>1.534105413940557</c:v>
                </c:pt>
                <c:pt idx="53">
                  <c:v>1.534105413940557</c:v>
                </c:pt>
                <c:pt idx="54">
                  <c:v>1.534105413940557</c:v>
                </c:pt>
                <c:pt idx="55">
                  <c:v>1.534105413940557</c:v>
                </c:pt>
                <c:pt idx="56">
                  <c:v>1.534105413940557</c:v>
                </c:pt>
                <c:pt idx="57">
                  <c:v>1.5308448285761773</c:v>
                </c:pt>
                <c:pt idx="58">
                  <c:v>1.5328826944289147</c:v>
                </c:pt>
                <c:pt idx="59">
                  <c:v>1.5267690968707031</c:v>
                </c:pt>
                <c:pt idx="60">
                  <c:v>1.5145419017542798</c:v>
                </c:pt>
                <c:pt idx="61">
                  <c:v>1.4888647920097913</c:v>
                </c:pt>
                <c:pt idx="62">
                  <c:v>1.4888647920097913</c:v>
                </c:pt>
                <c:pt idx="63">
                  <c:v>1.4680785603118718</c:v>
                </c:pt>
                <c:pt idx="64">
                  <c:v>1.4424014505673832</c:v>
                </c:pt>
                <c:pt idx="65">
                  <c:v>1.4424014505673832</c:v>
                </c:pt>
                <c:pt idx="66">
                  <c:v>1.4424014505673832</c:v>
                </c:pt>
                <c:pt idx="67">
                  <c:v>1.4424014505673832</c:v>
                </c:pt>
                <c:pt idx="68">
                  <c:v>1.4425297895166287</c:v>
                </c:pt>
                <c:pt idx="69">
                  <c:v>1.4425297895166287</c:v>
                </c:pt>
                <c:pt idx="70">
                  <c:v>1.4388613046040404</c:v>
                </c:pt>
                <c:pt idx="71">
                  <c:v>1.4388613046040404</c:v>
                </c:pt>
                <c:pt idx="72">
                  <c:v>1.4327471630830602</c:v>
                </c:pt>
                <c:pt idx="73">
                  <c:v>1.4327471630830602</c:v>
                </c:pt>
                <c:pt idx="74">
                  <c:v>1.4327471630830602</c:v>
                </c:pt>
                <c:pt idx="75">
                  <c:v>1.4327471630830602</c:v>
                </c:pt>
                <c:pt idx="76">
                  <c:v>1.4327471630830602</c:v>
                </c:pt>
                <c:pt idx="77">
                  <c:v>1.4294862876052039</c:v>
                </c:pt>
                <c:pt idx="78">
                  <c:v>1.4294862876052039</c:v>
                </c:pt>
                <c:pt idx="79">
                  <c:v>1.4294862876052039</c:v>
                </c:pt>
                <c:pt idx="80">
                  <c:v>1.4294862876052039</c:v>
                </c:pt>
                <c:pt idx="81">
                  <c:v>1.4294862876052039</c:v>
                </c:pt>
                <c:pt idx="82">
                  <c:v>1.4294862876052039</c:v>
                </c:pt>
                <c:pt idx="83">
                  <c:v>1.4294862876052039</c:v>
                </c:pt>
                <c:pt idx="84">
                  <c:v>1.4294862876052039</c:v>
                </c:pt>
              </c:numCache>
            </c:numRef>
          </c:val>
          <c:smooth val="0"/>
        </c:ser>
        <c:dLbls>
          <c:showLegendKey val="0"/>
          <c:showVal val="0"/>
          <c:showCatName val="0"/>
          <c:showSerName val="0"/>
          <c:showPercent val="0"/>
          <c:showBubbleSize val="0"/>
        </c:dLbls>
        <c:marker val="1"/>
        <c:smooth val="0"/>
        <c:axId val="272579200"/>
        <c:axId val="272585088"/>
      </c:lineChart>
      <c:dateAx>
        <c:axId val="2725792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585088"/>
        <c:crosses val="autoZero"/>
        <c:auto val="1"/>
        <c:lblOffset val="100"/>
        <c:baseTimeUnit val="days"/>
      </c:dateAx>
      <c:valAx>
        <c:axId val="27258508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5792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charts'!$H$2</c:f>
              <c:strCache>
                <c:ptCount val="1"/>
                <c:pt idx="0">
                  <c:v>RDC T3 V-MAX 2230</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charts'!$H$3:$H$87</c:f>
              <c:numCache>
                <c:formatCode>0.00%</c:formatCode>
                <c:ptCount val="85"/>
                <c:pt idx="0">
                  <c:v>1.3624000686144246</c:v>
                </c:pt>
                <c:pt idx="1">
                  <c:v>1.3624000686144246</c:v>
                </c:pt>
                <c:pt idx="2">
                  <c:v>1.3624000686144246</c:v>
                </c:pt>
                <c:pt idx="3">
                  <c:v>1.3624000686144246</c:v>
                </c:pt>
                <c:pt idx="4">
                  <c:v>1.3602434416530262</c:v>
                </c:pt>
                <c:pt idx="5">
                  <c:v>1.3761240583687793</c:v>
                </c:pt>
                <c:pt idx="6">
                  <c:v>1.3906322761090968</c:v>
                </c:pt>
                <c:pt idx="7">
                  <c:v>1.3906322761090968</c:v>
                </c:pt>
                <c:pt idx="8">
                  <c:v>1.3906000000000001</c:v>
                </c:pt>
                <c:pt idx="9">
                  <c:v>1.3969060999968019</c:v>
                </c:pt>
                <c:pt idx="10">
                  <c:v>1.396710043000311</c:v>
                </c:pt>
                <c:pt idx="11">
                  <c:v>1.3965139860038203</c:v>
                </c:pt>
                <c:pt idx="12">
                  <c:v>1.3941613020459309</c:v>
                </c:pt>
                <c:pt idx="13">
                  <c:v>1.3941613020459309</c:v>
                </c:pt>
                <c:pt idx="14">
                  <c:v>1.3914165040950601</c:v>
                </c:pt>
                <c:pt idx="15">
                  <c:v>1.3914165040950601</c:v>
                </c:pt>
                <c:pt idx="16">
                  <c:v>1.3884756491476984</c:v>
                </c:pt>
                <c:pt idx="17">
                  <c:v>1.3177682568612015</c:v>
                </c:pt>
                <c:pt idx="18">
                  <c:v>1.314612870433518</c:v>
                </c:pt>
                <c:pt idx="19">
                  <c:v>0.91447042907294085</c:v>
                </c:pt>
                <c:pt idx="20">
                  <c:v>0.91447042907294085</c:v>
                </c:pt>
                <c:pt idx="21">
                  <c:v>0.91269552420736899</c:v>
                </c:pt>
                <c:pt idx="22">
                  <c:v>0.96890084495047613</c:v>
                </c:pt>
                <c:pt idx="23">
                  <c:v>0.96890084495047613</c:v>
                </c:pt>
                <c:pt idx="24">
                  <c:v>0.96811199834355544</c:v>
                </c:pt>
                <c:pt idx="25">
                  <c:v>0.96811199834355544</c:v>
                </c:pt>
                <c:pt idx="26">
                  <c:v>0.96811199834355544</c:v>
                </c:pt>
                <c:pt idx="27">
                  <c:v>0.95332112446379036</c:v>
                </c:pt>
                <c:pt idx="28">
                  <c:v>0.93833303893229514</c:v>
                </c:pt>
                <c:pt idx="29">
                  <c:v>0.86970338413018533</c:v>
                </c:pt>
                <c:pt idx="30">
                  <c:v>0.86970338413018533</c:v>
                </c:pt>
                <c:pt idx="31">
                  <c:v>0.85057385391235585</c:v>
                </c:pt>
                <c:pt idx="32">
                  <c:v>0.85057385391235585</c:v>
                </c:pt>
                <c:pt idx="33">
                  <c:v>0.84465750436044973</c:v>
                </c:pt>
                <c:pt idx="34">
                  <c:v>0.84327702279833838</c:v>
                </c:pt>
                <c:pt idx="35">
                  <c:v>0.83736067324643226</c:v>
                </c:pt>
                <c:pt idx="36">
                  <c:v>0.82828893726684305</c:v>
                </c:pt>
                <c:pt idx="37">
                  <c:v>0.82828893726684305</c:v>
                </c:pt>
                <c:pt idx="38">
                  <c:v>0.82828893726684305</c:v>
                </c:pt>
                <c:pt idx="39">
                  <c:v>0.82828893726684305</c:v>
                </c:pt>
                <c:pt idx="40">
                  <c:v>0.8261196090978109</c:v>
                </c:pt>
                <c:pt idx="41">
                  <c:v>0.8261196090978109</c:v>
                </c:pt>
                <c:pt idx="42">
                  <c:v>0.8245419158839693</c:v>
                </c:pt>
                <c:pt idx="43">
                  <c:v>0.81921720128725395</c:v>
                </c:pt>
                <c:pt idx="44">
                  <c:v>0.81921720128725395</c:v>
                </c:pt>
                <c:pt idx="45">
                  <c:v>0.81921720128725395</c:v>
                </c:pt>
                <c:pt idx="46">
                  <c:v>0.81468133329745929</c:v>
                </c:pt>
                <c:pt idx="47">
                  <c:v>0.81468133329745929</c:v>
                </c:pt>
                <c:pt idx="48">
                  <c:v>0.81468133329745929</c:v>
                </c:pt>
                <c:pt idx="49">
                  <c:v>0.81468133329745929</c:v>
                </c:pt>
                <c:pt idx="50">
                  <c:v>0.81468133329745929</c:v>
                </c:pt>
                <c:pt idx="51">
                  <c:v>1.1774236350239591</c:v>
                </c:pt>
                <c:pt idx="52">
                  <c:v>1.1774236350239591</c:v>
                </c:pt>
                <c:pt idx="53">
                  <c:v>1.175200508028398</c:v>
                </c:pt>
                <c:pt idx="54">
                  <c:v>1.1718658175350565</c:v>
                </c:pt>
                <c:pt idx="55">
                  <c:v>1.1707542540372762</c:v>
                </c:pt>
                <c:pt idx="56">
                  <c:v>1.1615838551805875</c:v>
                </c:pt>
                <c:pt idx="57">
                  <c:v>1.1218454601349357</c:v>
                </c:pt>
                <c:pt idx="58">
                  <c:v>1.1021152080493324</c:v>
                </c:pt>
                <c:pt idx="59">
                  <c:v>1.0973910631837653</c:v>
                </c:pt>
                <c:pt idx="60">
                  <c:v>1.0582084498870039</c:v>
                </c:pt>
                <c:pt idx="61">
                  <c:v>1.0582084498870039</c:v>
                </c:pt>
                <c:pt idx="62">
                  <c:v>1.0582084498870039</c:v>
                </c:pt>
                <c:pt idx="63">
                  <c:v>0.98901362215016986</c:v>
                </c:pt>
                <c:pt idx="64">
                  <c:v>0.97345173318124334</c:v>
                </c:pt>
                <c:pt idx="65">
                  <c:v>0.97345173318124334</c:v>
                </c:pt>
                <c:pt idx="66">
                  <c:v>0.94288373699228056</c:v>
                </c:pt>
                <c:pt idx="67">
                  <c:v>0.94288373699228056</c:v>
                </c:pt>
                <c:pt idx="68">
                  <c:v>0.94296763090962132</c:v>
                </c:pt>
                <c:pt idx="69">
                  <c:v>0.9379651501090398</c:v>
                </c:pt>
                <c:pt idx="70">
                  <c:v>0.9379651501090398</c:v>
                </c:pt>
                <c:pt idx="71">
                  <c:v>0.93379641610855502</c:v>
                </c:pt>
                <c:pt idx="72">
                  <c:v>0.92212396090719817</c:v>
                </c:pt>
                <c:pt idx="73">
                  <c:v>0.92212396090719817</c:v>
                </c:pt>
                <c:pt idx="74">
                  <c:v>0.91489815530635821</c:v>
                </c:pt>
                <c:pt idx="75">
                  <c:v>0.91489815530635821</c:v>
                </c:pt>
                <c:pt idx="76">
                  <c:v>0.91267483050609965</c:v>
                </c:pt>
                <c:pt idx="77">
                  <c:v>0.89822321930441984</c:v>
                </c:pt>
                <c:pt idx="78">
                  <c:v>0.84486342409821646</c:v>
                </c:pt>
                <c:pt idx="79">
                  <c:v>0.84486342409821646</c:v>
                </c:pt>
                <c:pt idx="80">
                  <c:v>0.84486342409821646</c:v>
                </c:pt>
                <c:pt idx="81">
                  <c:v>0.84486342409821646</c:v>
                </c:pt>
                <c:pt idx="82">
                  <c:v>0.84486342409821646</c:v>
                </c:pt>
                <c:pt idx="83">
                  <c:v>0.84486342409821646</c:v>
                </c:pt>
                <c:pt idx="84">
                  <c:v>0.82763265689621357</c:v>
                </c:pt>
              </c:numCache>
            </c:numRef>
          </c:val>
          <c:smooth val="0"/>
        </c:ser>
        <c:dLbls>
          <c:showLegendKey val="0"/>
          <c:showVal val="0"/>
          <c:showCatName val="0"/>
          <c:showSerName val="0"/>
          <c:showPercent val="0"/>
          <c:showBubbleSize val="0"/>
        </c:dLbls>
        <c:marker val="1"/>
        <c:smooth val="0"/>
        <c:axId val="272618240"/>
        <c:axId val="272619776"/>
      </c:lineChart>
      <c:dateAx>
        <c:axId val="2726182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619776"/>
        <c:crosses val="autoZero"/>
        <c:auto val="1"/>
        <c:lblOffset val="100"/>
        <c:baseTimeUnit val="days"/>
      </c:dateAx>
      <c:valAx>
        <c:axId val="27261977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618240"/>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charts'!$N$2</c:f>
              <c:strCache>
                <c:ptCount val="1"/>
                <c:pt idx="0">
                  <c:v>FDC T3 V-MAX 2804</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charts'!$N$3:$N$87</c:f>
              <c:numCache>
                <c:formatCode>0.00%</c:formatCode>
                <c:ptCount val="85"/>
                <c:pt idx="0">
                  <c:v>1.3951503634445583</c:v>
                </c:pt>
                <c:pt idx="1">
                  <c:v>1.3951503634445583</c:v>
                </c:pt>
                <c:pt idx="2">
                  <c:v>1.3927141288168903</c:v>
                </c:pt>
                <c:pt idx="3">
                  <c:v>1.3927141288168903</c:v>
                </c:pt>
                <c:pt idx="4">
                  <c:v>1.3927141288168903</c:v>
                </c:pt>
                <c:pt idx="5">
                  <c:v>1.3927141288168903</c:v>
                </c:pt>
                <c:pt idx="6">
                  <c:v>1.3927141288168903</c:v>
                </c:pt>
                <c:pt idx="7">
                  <c:v>1.3927141288168903</c:v>
                </c:pt>
                <c:pt idx="8">
                  <c:v>1.3927</c:v>
                </c:pt>
                <c:pt idx="9">
                  <c:v>1.3927141288168903</c:v>
                </c:pt>
                <c:pt idx="10">
                  <c:v>1.4048953019552304</c:v>
                </c:pt>
                <c:pt idx="11">
                  <c:v>1.4792004580991054</c:v>
                </c:pt>
                <c:pt idx="12">
                  <c:v>1.4792004580991054</c:v>
                </c:pt>
                <c:pt idx="13">
                  <c:v>1.4792004580991054</c:v>
                </c:pt>
                <c:pt idx="14">
                  <c:v>1.4930057876558909</c:v>
                </c:pt>
                <c:pt idx="15">
                  <c:v>1.5084352736311217</c:v>
                </c:pt>
                <c:pt idx="16">
                  <c:v>1.5084352736311217</c:v>
                </c:pt>
                <c:pt idx="17">
                  <c:v>1.514127922578711</c:v>
                </c:pt>
                <c:pt idx="18">
                  <c:v>1.514127922578711</c:v>
                </c:pt>
                <c:pt idx="19">
                  <c:v>1.5169809227020086</c:v>
                </c:pt>
                <c:pt idx="20">
                  <c:v>1.5169809227020086</c:v>
                </c:pt>
                <c:pt idx="21">
                  <c:v>1.5169809227020086</c:v>
                </c:pt>
                <c:pt idx="22">
                  <c:v>1.5345064948879801</c:v>
                </c:pt>
                <c:pt idx="23">
                  <c:v>1.5345064948879801</c:v>
                </c:pt>
                <c:pt idx="24">
                  <c:v>1.6160207841250576</c:v>
                </c:pt>
                <c:pt idx="25">
                  <c:v>1.6160207841250576</c:v>
                </c:pt>
                <c:pt idx="26">
                  <c:v>1.6160207841250576</c:v>
                </c:pt>
                <c:pt idx="27">
                  <c:v>1.6160207841250576</c:v>
                </c:pt>
                <c:pt idx="28">
                  <c:v>1.6160207841250576</c:v>
                </c:pt>
                <c:pt idx="29">
                  <c:v>1.6531097857279278</c:v>
                </c:pt>
                <c:pt idx="30">
                  <c:v>1.6531097857279278</c:v>
                </c:pt>
                <c:pt idx="31">
                  <c:v>1.6531097857279278</c:v>
                </c:pt>
                <c:pt idx="32">
                  <c:v>1.6531097857279278</c:v>
                </c:pt>
                <c:pt idx="33">
                  <c:v>1.6531097857279278</c:v>
                </c:pt>
                <c:pt idx="34">
                  <c:v>1.6490340712660738</c:v>
                </c:pt>
                <c:pt idx="35">
                  <c:v>1.6490340712660738</c:v>
                </c:pt>
                <c:pt idx="36">
                  <c:v>1.6490340712660738</c:v>
                </c:pt>
                <c:pt idx="37">
                  <c:v>1.6474037854813324</c:v>
                </c:pt>
                <c:pt idx="38">
                  <c:v>1.6474037854813324</c:v>
                </c:pt>
                <c:pt idx="39">
                  <c:v>1.6412902137885514</c:v>
                </c:pt>
                <c:pt idx="40">
                  <c:v>1.6404750708961806</c:v>
                </c:pt>
                <c:pt idx="41">
                  <c:v>1.6404750708961806</c:v>
                </c:pt>
                <c:pt idx="42">
                  <c:v>1.6404750708961806</c:v>
                </c:pt>
                <c:pt idx="43">
                  <c:v>1.6404750708961806</c:v>
                </c:pt>
                <c:pt idx="44">
                  <c:v>1.6404750708961806</c:v>
                </c:pt>
                <c:pt idx="45">
                  <c:v>1.6368128636237811</c:v>
                </c:pt>
                <c:pt idx="46">
                  <c:v>1.6282538322153899</c:v>
                </c:pt>
                <c:pt idx="47">
                  <c:v>1.6282538322153899</c:v>
                </c:pt>
                <c:pt idx="48">
                  <c:v>1.6282538322153899</c:v>
                </c:pt>
                <c:pt idx="49">
                  <c:v>1.6188796549585802</c:v>
                </c:pt>
                <c:pt idx="50">
                  <c:v>1.6086903318533523</c:v>
                </c:pt>
                <c:pt idx="51">
                  <c:v>1.6037994567628431</c:v>
                </c:pt>
                <c:pt idx="52">
                  <c:v>1.5940177065818246</c:v>
                </c:pt>
                <c:pt idx="53">
                  <c:v>1.5940177065818246</c:v>
                </c:pt>
                <c:pt idx="54">
                  <c:v>1.5940177065818246</c:v>
                </c:pt>
                <c:pt idx="55">
                  <c:v>1.5940177065818246</c:v>
                </c:pt>
                <c:pt idx="56">
                  <c:v>1.5907571231881517</c:v>
                </c:pt>
                <c:pt idx="57">
                  <c:v>1.5907571231881517</c:v>
                </c:pt>
                <c:pt idx="58">
                  <c:v>1.5976858628997064</c:v>
                </c:pt>
                <c:pt idx="59">
                  <c:v>1.5972782899754971</c:v>
                </c:pt>
                <c:pt idx="60">
                  <c:v>1.5838283834765967</c:v>
                </c:pt>
                <c:pt idx="61">
                  <c:v>1.5536679870851229</c:v>
                </c:pt>
                <c:pt idx="62">
                  <c:v>1.5536679870851229</c:v>
                </c:pt>
                <c:pt idx="63">
                  <c:v>1.5438862369041042</c:v>
                </c:pt>
                <c:pt idx="64">
                  <c:v>1.5182091426789304</c:v>
                </c:pt>
                <c:pt idx="65">
                  <c:v>1.5182091426789304</c:v>
                </c:pt>
                <c:pt idx="66">
                  <c:v>1.5182091426789304</c:v>
                </c:pt>
                <c:pt idx="67">
                  <c:v>1.5182091426789304</c:v>
                </c:pt>
                <c:pt idx="68">
                  <c:v>0.90570761656208476</c:v>
                </c:pt>
                <c:pt idx="69">
                  <c:v>0.90570761656208476</c:v>
                </c:pt>
                <c:pt idx="70">
                  <c:v>0.89837065117139259</c:v>
                </c:pt>
                <c:pt idx="71">
                  <c:v>1.5146757439895171</c:v>
                </c:pt>
                <c:pt idx="72">
                  <c:v>1.502447468338364</c:v>
                </c:pt>
                <c:pt idx="73">
                  <c:v>1.502447468338364</c:v>
                </c:pt>
                <c:pt idx="74">
                  <c:v>1.502447468338364</c:v>
                </c:pt>
                <c:pt idx="75">
                  <c:v>1.502447468338364</c:v>
                </c:pt>
                <c:pt idx="76">
                  <c:v>1.502447468338364</c:v>
                </c:pt>
                <c:pt idx="77">
                  <c:v>1.502447468338364</c:v>
                </c:pt>
                <c:pt idx="78">
                  <c:v>1.502447468338364</c:v>
                </c:pt>
                <c:pt idx="79">
                  <c:v>1.502447468338364</c:v>
                </c:pt>
                <c:pt idx="80">
                  <c:v>1.502447468338364</c:v>
                </c:pt>
                <c:pt idx="81">
                  <c:v>1.502447468338364</c:v>
                </c:pt>
                <c:pt idx="82">
                  <c:v>1.502447468338364</c:v>
                </c:pt>
                <c:pt idx="83">
                  <c:v>1.502447468338364</c:v>
                </c:pt>
                <c:pt idx="84">
                  <c:v>1.502447468338364</c:v>
                </c:pt>
              </c:numCache>
            </c:numRef>
          </c:val>
          <c:smooth val="0"/>
        </c:ser>
        <c:dLbls>
          <c:showLegendKey val="0"/>
          <c:showVal val="0"/>
          <c:showCatName val="0"/>
          <c:showSerName val="0"/>
          <c:showPercent val="0"/>
          <c:showBubbleSize val="0"/>
        </c:dLbls>
        <c:marker val="1"/>
        <c:smooth val="0"/>
        <c:axId val="272710272"/>
        <c:axId val="272724352"/>
      </c:lineChart>
      <c:dateAx>
        <c:axId val="2727102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724352"/>
        <c:crosses val="autoZero"/>
        <c:auto val="1"/>
        <c:lblOffset val="100"/>
        <c:baseTimeUnit val="days"/>
      </c:dateAx>
      <c:valAx>
        <c:axId val="27272435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7102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charts'!$M$2</c:f>
              <c:strCache>
                <c:ptCount val="1"/>
                <c:pt idx="0">
                  <c:v>FDC T4 V-MAX 3004</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charts'!$M$3:$M$87</c:f>
              <c:numCache>
                <c:formatCode>0.00%</c:formatCode>
                <c:ptCount val="85"/>
                <c:pt idx="0">
                  <c:v>0.83650063358601467</c:v>
                </c:pt>
                <c:pt idx="1">
                  <c:v>0.83650063358601467</c:v>
                </c:pt>
                <c:pt idx="2">
                  <c:v>0.83650063358601467</c:v>
                </c:pt>
                <c:pt idx="3">
                  <c:v>0.83650063358601467</c:v>
                </c:pt>
                <c:pt idx="4">
                  <c:v>0.83650063358601467</c:v>
                </c:pt>
                <c:pt idx="5">
                  <c:v>0.83650063358601467</c:v>
                </c:pt>
                <c:pt idx="6">
                  <c:v>0.83650063358601467</c:v>
                </c:pt>
                <c:pt idx="7">
                  <c:v>0.83650063358601467</c:v>
                </c:pt>
                <c:pt idx="8">
                  <c:v>0.83650000000000002</c:v>
                </c:pt>
                <c:pt idx="9">
                  <c:v>0.83650063358601467</c:v>
                </c:pt>
                <c:pt idx="10">
                  <c:v>0.83696227852728733</c:v>
                </c:pt>
                <c:pt idx="11">
                  <c:v>0.83696227852728733</c:v>
                </c:pt>
                <c:pt idx="12">
                  <c:v>0.83696227852728733</c:v>
                </c:pt>
                <c:pt idx="13">
                  <c:v>0.83696227852728733</c:v>
                </c:pt>
                <c:pt idx="14">
                  <c:v>0.83650063358601467</c:v>
                </c:pt>
                <c:pt idx="15">
                  <c:v>0.83650063358601467</c:v>
                </c:pt>
                <c:pt idx="16">
                  <c:v>0.83650063358601467</c:v>
                </c:pt>
                <c:pt idx="17">
                  <c:v>0.83650063358601467</c:v>
                </c:pt>
                <c:pt idx="18">
                  <c:v>2.7742615503027634</c:v>
                </c:pt>
                <c:pt idx="19">
                  <c:v>2.7742615503027634</c:v>
                </c:pt>
                <c:pt idx="20">
                  <c:v>2.7742615503027634</c:v>
                </c:pt>
                <c:pt idx="21">
                  <c:v>2.7742615503027634</c:v>
                </c:pt>
                <c:pt idx="22">
                  <c:v>2.7911030939304289</c:v>
                </c:pt>
                <c:pt idx="23">
                  <c:v>2.7908479190269797</c:v>
                </c:pt>
                <c:pt idx="24">
                  <c:v>0.86883801229030222</c:v>
                </c:pt>
                <c:pt idx="25">
                  <c:v>0.86883801229030222</c:v>
                </c:pt>
                <c:pt idx="26">
                  <c:v>0.86883801229030222</c:v>
                </c:pt>
                <c:pt idx="27">
                  <c:v>0.86883801229030222</c:v>
                </c:pt>
                <c:pt idx="28">
                  <c:v>0.86883801229030222</c:v>
                </c:pt>
                <c:pt idx="29">
                  <c:v>0.85501540882147975</c:v>
                </c:pt>
                <c:pt idx="30">
                  <c:v>0.85501540882147975</c:v>
                </c:pt>
                <c:pt idx="31">
                  <c:v>2.7464474858267698</c:v>
                </c:pt>
                <c:pt idx="32">
                  <c:v>2.7464474858267698</c:v>
                </c:pt>
                <c:pt idx="33">
                  <c:v>2.7464474858267698</c:v>
                </c:pt>
                <c:pt idx="34">
                  <c:v>2.7464474858267698</c:v>
                </c:pt>
                <c:pt idx="35">
                  <c:v>2.7367508394956896</c:v>
                </c:pt>
                <c:pt idx="36">
                  <c:v>2.7160816723162813</c:v>
                </c:pt>
                <c:pt idx="37">
                  <c:v>2.8441794738479214</c:v>
                </c:pt>
                <c:pt idx="38">
                  <c:v>2.8441794738479214</c:v>
                </c:pt>
                <c:pt idx="39">
                  <c:v>2.8441794738479214</c:v>
                </c:pt>
                <c:pt idx="40">
                  <c:v>2.8403518502961789</c:v>
                </c:pt>
                <c:pt idx="41">
                  <c:v>2.8403518502961789</c:v>
                </c:pt>
                <c:pt idx="42">
                  <c:v>2.8403518502961789</c:v>
                </c:pt>
                <c:pt idx="43">
                  <c:v>2.8403518502961789</c:v>
                </c:pt>
                <c:pt idx="44">
                  <c:v>2.8403518502961789</c:v>
                </c:pt>
                <c:pt idx="45">
                  <c:v>2.8350081963366986</c:v>
                </c:pt>
                <c:pt idx="46">
                  <c:v>2.8350081963366986</c:v>
                </c:pt>
                <c:pt idx="47">
                  <c:v>2.8350081963366986</c:v>
                </c:pt>
                <c:pt idx="48">
                  <c:v>2.8350081963366986</c:v>
                </c:pt>
                <c:pt idx="49">
                  <c:v>2.8189320922530614</c:v>
                </c:pt>
                <c:pt idx="50">
                  <c:v>2.818166563487174</c:v>
                </c:pt>
                <c:pt idx="51">
                  <c:v>2.8207183260401321</c:v>
                </c:pt>
                <c:pt idx="52">
                  <c:v>2.8168906822106945</c:v>
                </c:pt>
                <c:pt idx="53">
                  <c:v>2.8145940959130322</c:v>
                </c:pt>
                <c:pt idx="54">
                  <c:v>2.8566981780368446</c:v>
                </c:pt>
                <c:pt idx="55">
                  <c:v>2.8566981780368446</c:v>
                </c:pt>
                <c:pt idx="56">
                  <c:v>2.8199527972742446</c:v>
                </c:pt>
                <c:pt idx="57">
                  <c:v>2.8199527972742446</c:v>
                </c:pt>
                <c:pt idx="58">
                  <c:v>2.8207183260401321</c:v>
                </c:pt>
                <c:pt idx="59">
                  <c:v>2.8125526858706653</c:v>
                </c:pt>
                <c:pt idx="60">
                  <c:v>2.8125526858706653</c:v>
                </c:pt>
                <c:pt idx="61">
                  <c:v>2.6900680833286659</c:v>
                </c:pt>
                <c:pt idx="62">
                  <c:v>2.6900680833286659</c:v>
                </c:pt>
                <c:pt idx="63">
                  <c:v>2.6900680833286659</c:v>
                </c:pt>
                <c:pt idx="64">
                  <c:v>2.6734816267344366</c:v>
                </c:pt>
                <c:pt idx="65">
                  <c:v>2.6734816267344366</c:v>
                </c:pt>
                <c:pt idx="66">
                  <c:v>2.6035633327833785</c:v>
                </c:pt>
                <c:pt idx="67">
                  <c:v>2.6030529802727869</c:v>
                </c:pt>
                <c:pt idx="68">
                  <c:v>2.6032845892220058</c:v>
                </c:pt>
                <c:pt idx="69">
                  <c:v>2.6032845892220058</c:v>
                </c:pt>
                <c:pt idx="70">
                  <c:v>2.5055433876072595</c:v>
                </c:pt>
                <c:pt idx="71">
                  <c:v>2.5055433876072595</c:v>
                </c:pt>
                <c:pt idx="72">
                  <c:v>2.5055433876072595</c:v>
                </c:pt>
                <c:pt idx="73">
                  <c:v>2.5055433876072595</c:v>
                </c:pt>
                <c:pt idx="74">
                  <c:v>2.5055433876072595</c:v>
                </c:pt>
                <c:pt idx="75">
                  <c:v>2.5055433876072595</c:v>
                </c:pt>
                <c:pt idx="76">
                  <c:v>2.4927834396157782</c:v>
                </c:pt>
                <c:pt idx="77">
                  <c:v>2.492273041696119</c:v>
                </c:pt>
                <c:pt idx="78">
                  <c:v>2.4792578947448085</c:v>
                </c:pt>
                <c:pt idx="79">
                  <c:v>2.4386812601318981</c:v>
                </c:pt>
                <c:pt idx="80">
                  <c:v>2.4386812601318981</c:v>
                </c:pt>
                <c:pt idx="81">
                  <c:v>2.4386812601318981</c:v>
                </c:pt>
                <c:pt idx="82">
                  <c:v>2.4389364590917273</c:v>
                </c:pt>
                <c:pt idx="83">
                  <c:v>2.4389364590917273</c:v>
                </c:pt>
                <c:pt idx="84">
                  <c:v>2.4389364590917273</c:v>
                </c:pt>
              </c:numCache>
            </c:numRef>
          </c:val>
          <c:smooth val="0"/>
        </c:ser>
        <c:dLbls>
          <c:showLegendKey val="0"/>
          <c:showVal val="0"/>
          <c:showCatName val="0"/>
          <c:showSerName val="0"/>
          <c:showPercent val="0"/>
          <c:showBubbleSize val="0"/>
        </c:dLbls>
        <c:marker val="1"/>
        <c:smooth val="0"/>
        <c:axId val="272753408"/>
        <c:axId val="272754944"/>
      </c:lineChart>
      <c:dateAx>
        <c:axId val="2727534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754944"/>
        <c:crosses val="autoZero"/>
        <c:auto val="1"/>
        <c:lblOffset val="100"/>
        <c:baseTimeUnit val="days"/>
      </c:dateAx>
      <c:valAx>
        <c:axId val="27275494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7534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charts'!$I$2</c:f>
              <c:strCache>
                <c:ptCount val="1"/>
                <c:pt idx="0">
                  <c:v>RDC T3 V-MAX 3696</c:v>
                </c:pt>
              </c:strCache>
            </c:strRef>
          </c:tx>
          <c:cat>
            <c:numRef>
              <c:f>'subscription charts'!$A$3:$A$74</c:f>
              <c:numCache>
                <c:formatCode>[$-409]d\-mmm\-yy;@</c:formatCode>
                <c:ptCount val="72"/>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numCache>
            </c:numRef>
          </c:cat>
          <c:val>
            <c:numRef>
              <c:f>'subscription charts'!$I$3:$I$73</c:f>
              <c:numCache>
                <c:formatCode>0.00%</c:formatCode>
                <c:ptCount val="71"/>
                <c:pt idx="0">
                  <c:v>0.27996328833439704</c:v>
                </c:pt>
                <c:pt idx="1">
                  <c:v>0.27996328833439704</c:v>
                </c:pt>
                <c:pt idx="2">
                  <c:v>0.27996328833439704</c:v>
                </c:pt>
                <c:pt idx="3">
                  <c:v>0.27996328833439704</c:v>
                </c:pt>
                <c:pt idx="4">
                  <c:v>0.27996328833439704</c:v>
                </c:pt>
                <c:pt idx="5">
                  <c:v>0.27996328833439704</c:v>
                </c:pt>
                <c:pt idx="6">
                  <c:v>0.27996328833439704</c:v>
                </c:pt>
                <c:pt idx="7">
                  <c:v>0.27996328833439704</c:v>
                </c:pt>
                <c:pt idx="8">
                  <c:v>0.27939999999999998</c:v>
                </c:pt>
                <c:pt idx="9">
                  <c:v>0.27935439935114786</c:v>
                </c:pt>
                <c:pt idx="10">
                  <c:v>0.27935439935114786</c:v>
                </c:pt>
                <c:pt idx="11">
                  <c:v>0.27935439935114786</c:v>
                </c:pt>
                <c:pt idx="12">
                  <c:v>0.27813628423769809</c:v>
                </c:pt>
                <c:pt idx="13">
                  <c:v>0.27813628423769809</c:v>
                </c:pt>
                <c:pt idx="14">
                  <c:v>0.26697022903107515</c:v>
                </c:pt>
                <c:pt idx="15">
                  <c:v>0.26169173020612613</c:v>
                </c:pt>
                <c:pt idx="16">
                  <c:v>0.26169173020612613</c:v>
                </c:pt>
                <c:pt idx="17">
                  <c:v>0.26267932077592798</c:v>
                </c:pt>
                <c:pt idx="18">
                  <c:v>0.26104903794721779</c:v>
                </c:pt>
                <c:pt idx="19">
                  <c:v>0.25310140915725565</c:v>
                </c:pt>
                <c:pt idx="20">
                  <c:v>0.25310140915725565</c:v>
                </c:pt>
                <c:pt idx="21">
                  <c:v>0.25310140915725565</c:v>
                </c:pt>
                <c:pt idx="22">
                  <c:v>0.16588127782126094</c:v>
                </c:pt>
                <c:pt idx="23">
                  <c:v>0.15834121973847637</c:v>
                </c:pt>
                <c:pt idx="24">
                  <c:v>0.13225669447911345</c:v>
                </c:pt>
                <c:pt idx="25">
                  <c:v>0.13225669447911345</c:v>
                </c:pt>
                <c:pt idx="26">
                  <c:v>0.12043714397096465</c:v>
                </c:pt>
                <c:pt idx="27">
                  <c:v>0.11962200255660957</c:v>
                </c:pt>
                <c:pt idx="28">
                  <c:v>0.11962200255660957</c:v>
                </c:pt>
                <c:pt idx="29">
                  <c:v>0.11819550508148816</c:v>
                </c:pt>
                <c:pt idx="30">
                  <c:v>0.11819550508148816</c:v>
                </c:pt>
                <c:pt idx="31">
                  <c:v>0.11819550508148816</c:v>
                </c:pt>
                <c:pt idx="32">
                  <c:v>0.11819550508148816</c:v>
                </c:pt>
                <c:pt idx="33">
                  <c:v>0.11819550508148816</c:v>
                </c:pt>
                <c:pt idx="34">
                  <c:v>0.11493493942406778</c:v>
                </c:pt>
                <c:pt idx="35">
                  <c:v>0.11167437376664743</c:v>
                </c:pt>
                <c:pt idx="36">
                  <c:v>0.11167437376664743</c:v>
                </c:pt>
                <c:pt idx="37">
                  <c:v>0.11167437376664743</c:v>
                </c:pt>
                <c:pt idx="38">
                  <c:v>0.11167437376664743</c:v>
                </c:pt>
                <c:pt idx="39">
                  <c:v>0.10556081315898425</c:v>
                </c:pt>
                <c:pt idx="40">
                  <c:v>0.10556081315898425</c:v>
                </c:pt>
                <c:pt idx="41">
                  <c:v>0.10556081315898425</c:v>
                </c:pt>
                <c:pt idx="42">
                  <c:v>0.10556081315898425</c:v>
                </c:pt>
                <c:pt idx="43">
                  <c:v>8.7016345982405929E-2</c:v>
                </c:pt>
                <c:pt idx="44">
                  <c:v>8.7016345982405929E-2</c:v>
                </c:pt>
                <c:pt idx="45">
                  <c:v>8.6689192240508819E-2</c:v>
                </c:pt>
                <c:pt idx="46">
                  <c:v>7.7147290518485595E-2</c:v>
                </c:pt>
                <c:pt idx="47">
                  <c:v>7.7147290518485595E-2</c:v>
                </c:pt>
                <c:pt idx="48">
                  <c:v>7.7147290518485595E-2</c:v>
                </c:pt>
                <c:pt idx="49">
                  <c:v>7.7147290518485595E-2</c:v>
                </c:pt>
                <c:pt idx="50">
                  <c:v>7.5117098662735984E-2</c:v>
                </c:pt>
                <c:pt idx="51">
                  <c:v>7.4914079477161027E-2</c:v>
                </c:pt>
                <c:pt idx="52">
                  <c:v>7.4914079477161027E-2</c:v>
                </c:pt>
                <c:pt idx="53">
                  <c:v>7.4914079477161027E-2</c:v>
                </c:pt>
                <c:pt idx="54">
                  <c:v>7.4914079477161027E-2</c:v>
                </c:pt>
                <c:pt idx="55">
                  <c:v>7.4914079477161027E-2</c:v>
                </c:pt>
                <c:pt idx="56">
                  <c:v>7.4914079477161027E-2</c:v>
                </c:pt>
                <c:pt idx="57">
                  <c:v>7.4914079477161027E-2</c:v>
                </c:pt>
                <c:pt idx="58">
                  <c:v>6.3138966713813208E-2</c:v>
                </c:pt>
                <c:pt idx="59">
                  <c:v>5.8063487074439167E-2</c:v>
                </c:pt>
                <c:pt idx="60">
                  <c:v>5.8063487074439167E-2</c:v>
                </c:pt>
                <c:pt idx="61">
                  <c:v>5.8063487074439167E-2</c:v>
                </c:pt>
                <c:pt idx="62">
                  <c:v>5.8063487074439167E-2</c:v>
                </c:pt>
                <c:pt idx="63">
                  <c:v>5.8063487074439167E-2</c:v>
                </c:pt>
                <c:pt idx="64">
                  <c:v>5.8063487074439167E-2</c:v>
                </c:pt>
                <c:pt idx="65">
                  <c:v>5.8063487074439167E-2</c:v>
                </c:pt>
                <c:pt idx="66">
                  <c:v>5.8063487074439167E-2</c:v>
                </c:pt>
                <c:pt idx="67">
                  <c:v>5.8063487074439167E-2</c:v>
                </c:pt>
                <c:pt idx="68">
                  <c:v>5.8068653324734959E-2</c:v>
                </c:pt>
                <c:pt idx="69">
                  <c:v>5.8068653324734959E-2</c:v>
                </c:pt>
                <c:pt idx="70">
                  <c:v>5.8068653324734959E-2</c:v>
                </c:pt>
              </c:numCache>
            </c:numRef>
          </c:val>
          <c:smooth val="0"/>
        </c:ser>
        <c:dLbls>
          <c:showLegendKey val="0"/>
          <c:showVal val="0"/>
          <c:showCatName val="0"/>
          <c:showSerName val="0"/>
          <c:showPercent val="0"/>
          <c:showBubbleSize val="0"/>
        </c:dLbls>
        <c:marker val="1"/>
        <c:smooth val="0"/>
        <c:axId val="272770944"/>
        <c:axId val="272772480"/>
      </c:lineChart>
      <c:dateAx>
        <c:axId val="2727709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772480"/>
        <c:crosses val="autoZero"/>
        <c:auto val="1"/>
        <c:lblOffset val="100"/>
        <c:baseTimeUnit val="days"/>
      </c:dateAx>
      <c:valAx>
        <c:axId val="27277248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7709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charts'!$P$2</c:f>
              <c:strCache>
                <c:ptCount val="1"/>
                <c:pt idx="0">
                  <c:v>FDC T3 V-MAX 3875</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charts'!$P$3:$P$73</c:f>
              <c:numCache>
                <c:formatCode>0.00%</c:formatCode>
                <c:ptCount val="71"/>
                <c:pt idx="0">
                  <c:v>0.74183344412491503</c:v>
                </c:pt>
                <c:pt idx="1">
                  <c:v>0.74183344412491503</c:v>
                </c:pt>
                <c:pt idx="2">
                  <c:v>0.74183344412491503</c:v>
                </c:pt>
                <c:pt idx="3">
                  <c:v>0.74183344412491503</c:v>
                </c:pt>
                <c:pt idx="4">
                  <c:v>0.74183344412491503</c:v>
                </c:pt>
                <c:pt idx="5">
                  <c:v>0.74183344412491503</c:v>
                </c:pt>
                <c:pt idx="6">
                  <c:v>0.74183344412491503</c:v>
                </c:pt>
                <c:pt idx="7">
                  <c:v>0.74183344412491503</c:v>
                </c:pt>
                <c:pt idx="8">
                  <c:v>0.74060000000000004</c:v>
                </c:pt>
                <c:pt idx="9">
                  <c:v>0.740615326811081</c:v>
                </c:pt>
                <c:pt idx="10">
                  <c:v>0.740615326811081</c:v>
                </c:pt>
                <c:pt idx="11">
                  <c:v>0.740615326811081</c:v>
                </c:pt>
                <c:pt idx="12">
                  <c:v>0.73817909218341304</c:v>
                </c:pt>
                <c:pt idx="13">
                  <c:v>0.73817909218341304</c:v>
                </c:pt>
                <c:pt idx="14">
                  <c:v>0.71584694142978933</c:v>
                </c:pt>
                <c:pt idx="15">
                  <c:v>0.7052899247098946</c:v>
                </c:pt>
                <c:pt idx="16">
                  <c:v>0.7052899247098946</c:v>
                </c:pt>
                <c:pt idx="17">
                  <c:v>0.70795160202401641</c:v>
                </c:pt>
                <c:pt idx="18">
                  <c:v>0.7046910304545333</c:v>
                </c:pt>
                <c:pt idx="19">
                  <c:v>0.6932790299613425</c:v>
                </c:pt>
                <c:pt idx="20">
                  <c:v>0.68879574405330324</c:v>
                </c:pt>
                <c:pt idx="21">
                  <c:v>0.68879574405330324</c:v>
                </c:pt>
                <c:pt idx="22">
                  <c:v>0.5143551650859578</c:v>
                </c:pt>
                <c:pt idx="23">
                  <c:v>0.49927502157709847</c:v>
                </c:pt>
                <c:pt idx="24">
                  <c:v>0.44710587646536903</c:v>
                </c:pt>
                <c:pt idx="25">
                  <c:v>0.44710587646536903</c:v>
                </c:pt>
                <c:pt idx="26">
                  <c:v>0.42346673258661655</c:v>
                </c:pt>
                <c:pt idx="27">
                  <c:v>0.4218364468018751</c:v>
                </c:pt>
                <c:pt idx="28">
                  <c:v>0.4218364468018751</c:v>
                </c:pt>
                <c:pt idx="29">
                  <c:v>0.41898344667857734</c:v>
                </c:pt>
                <c:pt idx="30">
                  <c:v>0.41898344667857734</c:v>
                </c:pt>
                <c:pt idx="31">
                  <c:v>0.41898344667857734</c:v>
                </c:pt>
                <c:pt idx="32">
                  <c:v>0.41898344667857734</c:v>
                </c:pt>
                <c:pt idx="33">
                  <c:v>0.41898344667857734</c:v>
                </c:pt>
                <c:pt idx="34">
                  <c:v>0.41246230353961116</c:v>
                </c:pt>
                <c:pt idx="35">
                  <c:v>0.40594116040064498</c:v>
                </c:pt>
                <c:pt idx="36">
                  <c:v>0.40594116040064498</c:v>
                </c:pt>
                <c:pt idx="37">
                  <c:v>0.40594116040064498</c:v>
                </c:pt>
                <c:pt idx="38">
                  <c:v>0.40594116040064498</c:v>
                </c:pt>
                <c:pt idx="39">
                  <c:v>0.39126858833797107</c:v>
                </c:pt>
                <c:pt idx="40">
                  <c:v>0.39126858833797107</c:v>
                </c:pt>
                <c:pt idx="41">
                  <c:v>0.39126858833797107</c:v>
                </c:pt>
                <c:pt idx="42">
                  <c:v>0.39126858833797107</c:v>
                </c:pt>
                <c:pt idx="43">
                  <c:v>0.35417958673510092</c:v>
                </c:pt>
                <c:pt idx="44">
                  <c:v>0.35417958673510092</c:v>
                </c:pt>
                <c:pt idx="45">
                  <c:v>0.35284713207047291</c:v>
                </c:pt>
                <c:pt idx="46">
                  <c:v>0.34756863642384905</c:v>
                </c:pt>
                <c:pt idx="47">
                  <c:v>0.34756863642384905</c:v>
                </c:pt>
                <c:pt idx="48">
                  <c:v>0.34756863642384905</c:v>
                </c:pt>
                <c:pt idx="49">
                  <c:v>0.34716259829718565</c:v>
                </c:pt>
                <c:pt idx="50">
                  <c:v>0.34066598827057165</c:v>
                </c:pt>
                <c:pt idx="51">
                  <c:v>0.34025995014390825</c:v>
                </c:pt>
                <c:pt idx="52">
                  <c:v>0.34025995014390825</c:v>
                </c:pt>
                <c:pt idx="53">
                  <c:v>0.32807880634400705</c:v>
                </c:pt>
                <c:pt idx="54">
                  <c:v>0.32807880634400705</c:v>
                </c:pt>
                <c:pt idx="55">
                  <c:v>0.32807880634400705</c:v>
                </c:pt>
                <c:pt idx="56">
                  <c:v>0.32807880634400705</c:v>
                </c:pt>
                <c:pt idx="57">
                  <c:v>0.32807880634400705</c:v>
                </c:pt>
                <c:pt idx="58">
                  <c:v>0.32807880634400705</c:v>
                </c:pt>
                <c:pt idx="59">
                  <c:v>0.32807880634400705</c:v>
                </c:pt>
                <c:pt idx="60">
                  <c:v>0.29437764183094689</c:v>
                </c:pt>
                <c:pt idx="61">
                  <c:v>0.29437764183094689</c:v>
                </c:pt>
                <c:pt idx="62">
                  <c:v>0.29437764183094689</c:v>
                </c:pt>
                <c:pt idx="63">
                  <c:v>0.29437764183094689</c:v>
                </c:pt>
                <c:pt idx="64">
                  <c:v>0.29437764183094689</c:v>
                </c:pt>
                <c:pt idx="65">
                  <c:v>0.29437764183094689</c:v>
                </c:pt>
                <c:pt idx="66">
                  <c:v>0.29437764183094689</c:v>
                </c:pt>
                <c:pt idx="67">
                  <c:v>0.29437764183094689</c:v>
                </c:pt>
                <c:pt idx="68">
                  <c:v>0.29440383434289913</c:v>
                </c:pt>
                <c:pt idx="69">
                  <c:v>0.29440383434289913</c:v>
                </c:pt>
                <c:pt idx="70">
                  <c:v>0.29440383434289913</c:v>
                </c:pt>
              </c:numCache>
            </c:numRef>
          </c:val>
          <c:smooth val="0"/>
        </c:ser>
        <c:dLbls>
          <c:showLegendKey val="0"/>
          <c:showVal val="0"/>
          <c:showCatName val="0"/>
          <c:showSerName val="0"/>
          <c:showPercent val="0"/>
          <c:showBubbleSize val="0"/>
        </c:dLbls>
        <c:marker val="1"/>
        <c:smooth val="0"/>
        <c:axId val="272801152"/>
        <c:axId val="272815232"/>
      </c:lineChart>
      <c:dateAx>
        <c:axId val="2728011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815232"/>
        <c:crosses val="autoZero"/>
        <c:auto val="1"/>
        <c:lblOffset val="100"/>
        <c:baseTimeUnit val="days"/>
      </c:dateAx>
      <c:valAx>
        <c:axId val="27281523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28011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charts'!$T$2</c:f>
              <c:strCache>
                <c:ptCount val="1"/>
                <c:pt idx="0">
                  <c:v>ZDC T4 VMAV 0377</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charts'!$T$3:$T$72</c:f>
              <c:numCache>
                <c:formatCode>0.00%</c:formatCode>
                <c:ptCount val="70"/>
                <c:pt idx="0">
                  <c:v>1.1238830177845605</c:v>
                </c:pt>
                <c:pt idx="1">
                  <c:v>1.1238830177845605</c:v>
                </c:pt>
                <c:pt idx="2">
                  <c:v>1.1238830177845605</c:v>
                </c:pt>
                <c:pt idx="3">
                  <c:v>1.1238830177845605</c:v>
                </c:pt>
                <c:pt idx="4">
                  <c:v>1.1238830177845605</c:v>
                </c:pt>
                <c:pt idx="5">
                  <c:v>1.1238830177845605</c:v>
                </c:pt>
                <c:pt idx="6">
                  <c:v>1.1238830177845605</c:v>
                </c:pt>
                <c:pt idx="7">
                  <c:v>1.1238830177845605</c:v>
                </c:pt>
                <c:pt idx="8">
                  <c:v>1.1238999999999999</c:v>
                </c:pt>
                <c:pt idx="9">
                  <c:v>1.1238830177845605</c:v>
                </c:pt>
                <c:pt idx="10">
                  <c:v>1.1238830177845605</c:v>
                </c:pt>
                <c:pt idx="11">
                  <c:v>1.107580090962663</c:v>
                </c:pt>
                <c:pt idx="12">
                  <c:v>1.107580090962663</c:v>
                </c:pt>
                <c:pt idx="13">
                  <c:v>1.107580090962663</c:v>
                </c:pt>
                <c:pt idx="14">
                  <c:v>1.107580090962663</c:v>
                </c:pt>
                <c:pt idx="15">
                  <c:v>1.107580090962663</c:v>
                </c:pt>
                <c:pt idx="16">
                  <c:v>1.107580090962663</c:v>
                </c:pt>
                <c:pt idx="17">
                  <c:v>1.107580090962663</c:v>
                </c:pt>
                <c:pt idx="18">
                  <c:v>1.107580090962663</c:v>
                </c:pt>
                <c:pt idx="19">
                  <c:v>1.107580090962663</c:v>
                </c:pt>
                <c:pt idx="20">
                  <c:v>1.107580090962663</c:v>
                </c:pt>
                <c:pt idx="21">
                  <c:v>1.107580090962663</c:v>
                </c:pt>
                <c:pt idx="22">
                  <c:v>1.034216920264124</c:v>
                </c:pt>
                <c:pt idx="23">
                  <c:v>1.034216920264124</c:v>
                </c:pt>
                <c:pt idx="24">
                  <c:v>1.034216920264124</c:v>
                </c:pt>
                <c:pt idx="25">
                  <c:v>0.99244067028301175</c:v>
                </c:pt>
                <c:pt idx="26">
                  <c:v>0.99244067028301175</c:v>
                </c:pt>
                <c:pt idx="27">
                  <c:v>0.99244067028301175</c:v>
                </c:pt>
                <c:pt idx="28">
                  <c:v>0.99244067028301175</c:v>
                </c:pt>
                <c:pt idx="29">
                  <c:v>0.95881588371284809</c:v>
                </c:pt>
                <c:pt idx="30">
                  <c:v>0.95881588371284809</c:v>
                </c:pt>
                <c:pt idx="31">
                  <c:v>0.95881588371284809</c:v>
                </c:pt>
                <c:pt idx="32">
                  <c:v>0.95881588371284809</c:v>
                </c:pt>
                <c:pt idx="33">
                  <c:v>0.92417216421631587</c:v>
                </c:pt>
                <c:pt idx="34">
                  <c:v>0.92417216421631587</c:v>
                </c:pt>
                <c:pt idx="35">
                  <c:v>0.53290192049077523</c:v>
                </c:pt>
                <c:pt idx="36">
                  <c:v>0.53290192049077523</c:v>
                </c:pt>
                <c:pt idx="37">
                  <c:v>0.53290192049077523</c:v>
                </c:pt>
                <c:pt idx="38">
                  <c:v>0.53290192049077523</c:v>
                </c:pt>
                <c:pt idx="39">
                  <c:v>0.50742859733156043</c:v>
                </c:pt>
                <c:pt idx="40">
                  <c:v>0.50742859733156043</c:v>
                </c:pt>
                <c:pt idx="41">
                  <c:v>0.50742859733156043</c:v>
                </c:pt>
                <c:pt idx="42">
                  <c:v>0.50742859733156043</c:v>
                </c:pt>
                <c:pt idx="43">
                  <c:v>0.50742859733156043</c:v>
                </c:pt>
                <c:pt idx="44">
                  <c:v>0.50742859733156043</c:v>
                </c:pt>
                <c:pt idx="45">
                  <c:v>0.50742859733156043</c:v>
                </c:pt>
                <c:pt idx="46">
                  <c:v>0.50742859733156043</c:v>
                </c:pt>
                <c:pt idx="47">
                  <c:v>0.50742859733156043</c:v>
                </c:pt>
                <c:pt idx="48">
                  <c:v>0.50742859733156043</c:v>
                </c:pt>
                <c:pt idx="49">
                  <c:v>0.50742859733156043</c:v>
                </c:pt>
                <c:pt idx="50">
                  <c:v>0.50742859733156043</c:v>
                </c:pt>
                <c:pt idx="51">
                  <c:v>0.4921446034360315</c:v>
                </c:pt>
                <c:pt idx="52">
                  <c:v>0.4921446034360315</c:v>
                </c:pt>
                <c:pt idx="53">
                  <c:v>0.4921446034360315</c:v>
                </c:pt>
                <c:pt idx="54">
                  <c:v>0.4921446034360315</c:v>
                </c:pt>
                <c:pt idx="55">
                  <c:v>0.38821344494643478</c:v>
                </c:pt>
                <c:pt idx="56">
                  <c:v>0.38821344494643478</c:v>
                </c:pt>
                <c:pt idx="57">
                  <c:v>0.38821344494643478</c:v>
                </c:pt>
                <c:pt idx="58">
                  <c:v>0.38821344494643478</c:v>
                </c:pt>
                <c:pt idx="59">
                  <c:v>0.38821344494643478</c:v>
                </c:pt>
                <c:pt idx="60">
                  <c:v>0.38821344494643478</c:v>
                </c:pt>
                <c:pt idx="61">
                  <c:v>0.38821344494643478</c:v>
                </c:pt>
                <c:pt idx="62">
                  <c:v>0.38821344494643478</c:v>
                </c:pt>
                <c:pt idx="63">
                  <c:v>0.35153185959716532</c:v>
                </c:pt>
                <c:pt idx="64">
                  <c:v>0.35153185959716532</c:v>
                </c:pt>
                <c:pt idx="65">
                  <c:v>0.35153185959716532</c:v>
                </c:pt>
                <c:pt idx="66">
                  <c:v>0.35153185959716532</c:v>
                </c:pt>
                <c:pt idx="67">
                  <c:v>0.35153185959716532</c:v>
                </c:pt>
                <c:pt idx="68">
                  <c:v>0.35156313745636963</c:v>
                </c:pt>
                <c:pt idx="69">
                  <c:v>0.32099242985146792</c:v>
                </c:pt>
              </c:numCache>
            </c:numRef>
          </c:val>
          <c:smooth val="0"/>
        </c:ser>
        <c:dLbls>
          <c:showLegendKey val="0"/>
          <c:showVal val="0"/>
          <c:showCatName val="0"/>
          <c:showSerName val="0"/>
          <c:showPercent val="0"/>
          <c:showBubbleSize val="0"/>
        </c:dLbls>
        <c:marker val="1"/>
        <c:smooth val="0"/>
        <c:axId val="273163392"/>
        <c:axId val="273164928"/>
      </c:lineChart>
      <c:dateAx>
        <c:axId val="2731633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3164928"/>
        <c:crosses val="autoZero"/>
        <c:auto val="1"/>
        <c:lblOffset val="100"/>
        <c:baseTimeUnit val="days"/>
      </c:dateAx>
      <c:valAx>
        <c:axId val="27316492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31633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charts'!$S$2</c:f>
              <c:strCache>
                <c:ptCount val="1"/>
                <c:pt idx="0">
                  <c:v>ZDC T4 VMAX 2262</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charts'!$S$3:$S$73</c:f>
              <c:numCache>
                <c:formatCode>0.00%</c:formatCode>
                <c:ptCount val="71"/>
                <c:pt idx="0">
                  <c:v>1.0490901706224727</c:v>
                </c:pt>
                <c:pt idx="1">
                  <c:v>1.0490901706224727</c:v>
                </c:pt>
                <c:pt idx="2">
                  <c:v>1.0490901706224727</c:v>
                </c:pt>
                <c:pt idx="3">
                  <c:v>1.0490901706224727</c:v>
                </c:pt>
                <c:pt idx="4">
                  <c:v>1.0490901706224727</c:v>
                </c:pt>
                <c:pt idx="5">
                  <c:v>1.0490901706224727</c:v>
                </c:pt>
                <c:pt idx="6">
                  <c:v>1.0490901706224727</c:v>
                </c:pt>
                <c:pt idx="7">
                  <c:v>1.0490901706224727</c:v>
                </c:pt>
                <c:pt idx="8">
                  <c:v>1.0490999999999999</c:v>
                </c:pt>
                <c:pt idx="9">
                  <c:v>1.0490901706224727</c:v>
                </c:pt>
                <c:pt idx="10">
                  <c:v>1.0490901706224727</c:v>
                </c:pt>
                <c:pt idx="11">
                  <c:v>1.0325835070986926</c:v>
                </c:pt>
                <c:pt idx="12">
                  <c:v>1.0325835070986926</c:v>
                </c:pt>
                <c:pt idx="13">
                  <c:v>1.0325835070986926</c:v>
                </c:pt>
                <c:pt idx="14">
                  <c:v>1.0325835070986926</c:v>
                </c:pt>
                <c:pt idx="15">
                  <c:v>1.0325835070986926</c:v>
                </c:pt>
                <c:pt idx="16">
                  <c:v>1.0325835070986926</c:v>
                </c:pt>
                <c:pt idx="17">
                  <c:v>1.0325835070986926</c:v>
                </c:pt>
                <c:pt idx="18">
                  <c:v>1.0325835070986926</c:v>
                </c:pt>
                <c:pt idx="19">
                  <c:v>1.0325835070986926</c:v>
                </c:pt>
                <c:pt idx="20">
                  <c:v>1.0325835070986926</c:v>
                </c:pt>
                <c:pt idx="21">
                  <c:v>1.0325835070986926</c:v>
                </c:pt>
                <c:pt idx="22">
                  <c:v>0.99101116933509814</c:v>
                </c:pt>
                <c:pt idx="23">
                  <c:v>0.99101116933509814</c:v>
                </c:pt>
                <c:pt idx="24">
                  <c:v>0.99101116933509814</c:v>
                </c:pt>
                <c:pt idx="25">
                  <c:v>0.93476624177258794</c:v>
                </c:pt>
                <c:pt idx="26">
                  <c:v>0.93476624177258794</c:v>
                </c:pt>
                <c:pt idx="27">
                  <c:v>0.93476624177258794</c:v>
                </c:pt>
                <c:pt idx="28">
                  <c:v>0.93476624177258794</c:v>
                </c:pt>
                <c:pt idx="29">
                  <c:v>0.89869612518358688</c:v>
                </c:pt>
                <c:pt idx="30">
                  <c:v>0.89869612518358688</c:v>
                </c:pt>
                <c:pt idx="31">
                  <c:v>0.89869612518358688</c:v>
                </c:pt>
                <c:pt idx="32">
                  <c:v>0.89869612518358688</c:v>
                </c:pt>
                <c:pt idx="33">
                  <c:v>0.85712378741999229</c:v>
                </c:pt>
                <c:pt idx="34">
                  <c:v>0.85712378741999229</c:v>
                </c:pt>
                <c:pt idx="35">
                  <c:v>0.68105270983300392</c:v>
                </c:pt>
                <c:pt idx="36">
                  <c:v>0.68105270983300392</c:v>
                </c:pt>
                <c:pt idx="37">
                  <c:v>0.68105270983300392</c:v>
                </c:pt>
                <c:pt idx="38">
                  <c:v>0.68044135192471578</c:v>
                </c:pt>
                <c:pt idx="39">
                  <c:v>0.68044135192471578</c:v>
                </c:pt>
                <c:pt idx="40">
                  <c:v>0.66576876212580016</c:v>
                </c:pt>
                <c:pt idx="41">
                  <c:v>0.66576876212580016</c:v>
                </c:pt>
                <c:pt idx="42">
                  <c:v>0.66576876212580016</c:v>
                </c:pt>
                <c:pt idx="43">
                  <c:v>0.66210061467607118</c:v>
                </c:pt>
                <c:pt idx="44">
                  <c:v>0.59668531848923867</c:v>
                </c:pt>
                <c:pt idx="45">
                  <c:v>0.59118309731464525</c:v>
                </c:pt>
                <c:pt idx="46">
                  <c:v>0.59118309731464525</c:v>
                </c:pt>
                <c:pt idx="47">
                  <c:v>0.59118309731464525</c:v>
                </c:pt>
                <c:pt idx="48">
                  <c:v>0.59118309731464525</c:v>
                </c:pt>
                <c:pt idx="49">
                  <c:v>0.59118309731464525</c:v>
                </c:pt>
                <c:pt idx="50">
                  <c:v>0.59118309731464525</c:v>
                </c:pt>
                <c:pt idx="51">
                  <c:v>0.57651050751572952</c:v>
                </c:pt>
                <c:pt idx="52">
                  <c:v>0.57651050751572952</c:v>
                </c:pt>
                <c:pt idx="53">
                  <c:v>0.57651050751572952</c:v>
                </c:pt>
                <c:pt idx="54">
                  <c:v>0.57651050751572952</c:v>
                </c:pt>
                <c:pt idx="55">
                  <c:v>0.45179349422494602</c:v>
                </c:pt>
                <c:pt idx="56">
                  <c:v>0.45179349422494602</c:v>
                </c:pt>
                <c:pt idx="57">
                  <c:v>0.45179349422494602</c:v>
                </c:pt>
                <c:pt idx="58">
                  <c:v>0.45179349422494602</c:v>
                </c:pt>
                <c:pt idx="59">
                  <c:v>0.45179349422494602</c:v>
                </c:pt>
                <c:pt idx="60">
                  <c:v>0.45179349422494602</c:v>
                </c:pt>
                <c:pt idx="61">
                  <c:v>0.45179349422494602</c:v>
                </c:pt>
                <c:pt idx="62">
                  <c:v>0.45179349422494602</c:v>
                </c:pt>
                <c:pt idx="63">
                  <c:v>0.3515307972656887</c:v>
                </c:pt>
                <c:pt idx="64">
                  <c:v>0.32952191256731517</c:v>
                </c:pt>
                <c:pt idx="65">
                  <c:v>0.32952191256731517</c:v>
                </c:pt>
                <c:pt idx="66">
                  <c:v>0.32952191256731517</c:v>
                </c:pt>
                <c:pt idx="67">
                  <c:v>0.32952191256731517</c:v>
                </c:pt>
                <c:pt idx="68">
                  <c:v>0.32955123207194786</c:v>
                </c:pt>
                <c:pt idx="69">
                  <c:v>0.32955123207194786</c:v>
                </c:pt>
                <c:pt idx="70">
                  <c:v>0</c:v>
                </c:pt>
              </c:numCache>
            </c:numRef>
          </c:val>
          <c:smooth val="0"/>
        </c:ser>
        <c:dLbls>
          <c:showLegendKey val="0"/>
          <c:showVal val="0"/>
          <c:showCatName val="0"/>
          <c:showSerName val="0"/>
          <c:showPercent val="0"/>
          <c:showBubbleSize val="0"/>
        </c:dLbls>
        <c:marker val="1"/>
        <c:smooth val="0"/>
        <c:axId val="273177600"/>
        <c:axId val="273203968"/>
      </c:lineChart>
      <c:dateAx>
        <c:axId val="2731776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3203968"/>
        <c:crosses val="autoZero"/>
        <c:auto val="1"/>
        <c:lblOffset val="100"/>
        <c:baseTimeUnit val="days"/>
      </c:dateAx>
      <c:valAx>
        <c:axId val="27320396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31776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charts'!$J$2</c:f>
              <c:strCache>
                <c:ptCount val="1"/>
                <c:pt idx="0">
                  <c:v>RDC T3 V-MAX 4330</c:v>
                </c:pt>
              </c:strCache>
            </c:strRef>
          </c:tx>
          <c:cat>
            <c:numRef>
              <c:f>'subscription charts'!$A$3:$A$51</c:f>
              <c:numCache>
                <c:formatCode>[$-409]d\-mmm\-yy;@</c:formatCode>
                <c:ptCount val="4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numCache>
            </c:numRef>
          </c:cat>
          <c:val>
            <c:numRef>
              <c:f>'subscription charts'!$J$3:$J$51</c:f>
              <c:numCache>
                <c:formatCode>0.00%</c:formatCode>
                <c:ptCount val="49"/>
                <c:pt idx="0">
                  <c:v>1.6255059136004748</c:v>
                </c:pt>
                <c:pt idx="1">
                  <c:v>1.6255059136004748</c:v>
                </c:pt>
                <c:pt idx="2">
                  <c:v>1.6255059136004748</c:v>
                </c:pt>
                <c:pt idx="3">
                  <c:v>1.6192529221281866</c:v>
                </c:pt>
                <c:pt idx="4">
                  <c:v>1.6192529221281866</c:v>
                </c:pt>
                <c:pt idx="5">
                  <c:v>1.6149030150170296</c:v>
                </c:pt>
                <c:pt idx="6">
                  <c:v>1.589891049127877</c:v>
                </c:pt>
                <c:pt idx="7">
                  <c:v>1.589891049127877</c:v>
                </c:pt>
                <c:pt idx="8">
                  <c:v>1.5899000000000001</c:v>
                </c:pt>
                <c:pt idx="9">
                  <c:v>1.1073232289838992</c:v>
                </c:pt>
                <c:pt idx="10">
                  <c:v>1.1043326678449787</c:v>
                </c:pt>
                <c:pt idx="11">
                  <c:v>1.0263062090386004</c:v>
                </c:pt>
                <c:pt idx="12">
                  <c:v>1.0233156478996801</c:v>
                </c:pt>
                <c:pt idx="13">
                  <c:v>1.0233156478996801</c:v>
                </c:pt>
                <c:pt idx="14">
                  <c:v>1.0159751796496026</c:v>
                </c:pt>
                <c:pt idx="15">
                  <c:v>1.011897141732893</c:v>
                </c:pt>
                <c:pt idx="16">
                  <c:v>1.0110815341495512</c:v>
                </c:pt>
                <c:pt idx="17">
                  <c:v>1.033043640521788</c:v>
                </c:pt>
                <c:pt idx="18">
                  <c:v>1.0149882932150076</c:v>
                </c:pt>
                <c:pt idx="19">
                  <c:v>1.0022106628132863</c:v>
                </c:pt>
                <c:pt idx="20">
                  <c:v>1.0022106628132863</c:v>
                </c:pt>
                <c:pt idx="21">
                  <c:v>0.9938774255947721</c:v>
                </c:pt>
                <c:pt idx="22">
                  <c:v>1.1007729440892702</c:v>
                </c:pt>
                <c:pt idx="23">
                  <c:v>1.1007729440892702</c:v>
                </c:pt>
                <c:pt idx="24">
                  <c:v>1.0953000921962177</c:v>
                </c:pt>
                <c:pt idx="25">
                  <c:v>1.0953000921962177</c:v>
                </c:pt>
                <c:pt idx="26">
                  <c:v>1.0923812378532562</c:v>
                </c:pt>
                <c:pt idx="27">
                  <c:v>1.0675709759380856</c:v>
                </c:pt>
                <c:pt idx="28">
                  <c:v>1.0617332672521631</c:v>
                </c:pt>
                <c:pt idx="29">
                  <c:v>1.0493281362945777</c:v>
                </c:pt>
                <c:pt idx="30">
                  <c:v>1.022693590415056</c:v>
                </c:pt>
                <c:pt idx="31">
                  <c:v>1.022693590415056</c:v>
                </c:pt>
                <c:pt idx="32">
                  <c:v>1.022693590415056</c:v>
                </c:pt>
                <c:pt idx="33">
                  <c:v>0.95774908128416769</c:v>
                </c:pt>
                <c:pt idx="34">
                  <c:v>0.95774908128416769</c:v>
                </c:pt>
                <c:pt idx="35">
                  <c:v>0.6592962247163775</c:v>
                </c:pt>
                <c:pt idx="36">
                  <c:v>0.56808202649883777</c:v>
                </c:pt>
                <c:pt idx="37">
                  <c:v>0.45169270957325702</c:v>
                </c:pt>
                <c:pt idx="38">
                  <c:v>0.35938394097710669</c:v>
                </c:pt>
                <c:pt idx="39">
                  <c:v>0.21818436213635517</c:v>
                </c:pt>
                <c:pt idx="40">
                  <c:v>0.18498239398517069</c:v>
                </c:pt>
                <c:pt idx="41">
                  <c:v>0.18498239398517069</c:v>
                </c:pt>
                <c:pt idx="42">
                  <c:v>0.13390244298334839</c:v>
                </c:pt>
                <c:pt idx="43">
                  <c:v>0.13390244298334839</c:v>
                </c:pt>
                <c:pt idx="44">
                  <c:v>3.2472254565444163E-2</c:v>
                </c:pt>
                <c:pt idx="45">
                  <c:v>3.1572815595270413E-2</c:v>
                </c:pt>
                <c:pt idx="46">
                  <c:v>0</c:v>
                </c:pt>
                <c:pt idx="47">
                  <c:v>0</c:v>
                </c:pt>
                <c:pt idx="48">
                  <c:v>0</c:v>
                </c:pt>
              </c:numCache>
            </c:numRef>
          </c:val>
          <c:smooth val="0"/>
        </c:ser>
        <c:dLbls>
          <c:showLegendKey val="0"/>
          <c:showVal val="0"/>
          <c:showCatName val="0"/>
          <c:showSerName val="0"/>
          <c:showPercent val="0"/>
          <c:showBubbleSize val="0"/>
        </c:dLbls>
        <c:marker val="1"/>
        <c:smooth val="0"/>
        <c:axId val="273224064"/>
        <c:axId val="273225600"/>
      </c:lineChart>
      <c:dateAx>
        <c:axId val="2732240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3225600"/>
        <c:crosses val="autoZero"/>
        <c:auto val="1"/>
        <c:lblOffset val="100"/>
        <c:baseTimeUnit val="days"/>
      </c:dateAx>
      <c:valAx>
        <c:axId val="27322560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3224064"/>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charts'!$Q$2</c:f>
              <c:strCache>
                <c:ptCount val="1"/>
                <c:pt idx="0">
                  <c:v>FDC T3 V-MAX 4652</c:v>
                </c:pt>
              </c:strCache>
            </c:strRef>
          </c:tx>
          <c:cat>
            <c:numRef>
              <c:f>'subscription charts'!$A$3:$A$51</c:f>
              <c:numCache>
                <c:formatCode>[$-409]d\-mmm\-yy;@</c:formatCode>
                <c:ptCount val="49"/>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numCache>
            </c:numRef>
          </c:cat>
          <c:val>
            <c:numRef>
              <c:f>'subscription charts'!$Q$3:$Q$51</c:f>
              <c:numCache>
                <c:formatCode>0.00%</c:formatCode>
                <c:ptCount val="49"/>
                <c:pt idx="0">
                  <c:v>0.80906075727670956</c:v>
                </c:pt>
                <c:pt idx="1">
                  <c:v>0.80906075727670956</c:v>
                </c:pt>
                <c:pt idx="2">
                  <c:v>0.80906075727670956</c:v>
                </c:pt>
                <c:pt idx="3">
                  <c:v>0.8050136938975524</c:v>
                </c:pt>
                <c:pt idx="4">
                  <c:v>0.8050136938975524</c:v>
                </c:pt>
                <c:pt idx="5">
                  <c:v>0.7993829970222035</c:v>
                </c:pt>
                <c:pt idx="6">
                  <c:v>0.78319474350557505</c:v>
                </c:pt>
                <c:pt idx="7">
                  <c:v>0.78319474350557505</c:v>
                </c:pt>
                <c:pt idx="8">
                  <c:v>0.78320000000000001</c:v>
                </c:pt>
                <c:pt idx="9">
                  <c:v>0.78055535434525525</c:v>
                </c:pt>
                <c:pt idx="10">
                  <c:v>0.77791596518493533</c:v>
                </c:pt>
                <c:pt idx="11">
                  <c:v>0.72741565258414909</c:v>
                </c:pt>
                <c:pt idx="12">
                  <c:v>0.7210811185993814</c:v>
                </c:pt>
                <c:pt idx="13">
                  <c:v>0.7210811185993814</c:v>
                </c:pt>
                <c:pt idx="14">
                  <c:v>0.72072920004467211</c:v>
                </c:pt>
                <c:pt idx="15">
                  <c:v>0.7180898108843522</c:v>
                </c:pt>
                <c:pt idx="16">
                  <c:v>0.71756193305228833</c:v>
                </c:pt>
                <c:pt idx="17">
                  <c:v>0.72757308648037688</c:v>
                </c:pt>
                <c:pt idx="18">
                  <c:v>0.71597616381700646</c:v>
                </c:pt>
                <c:pt idx="19">
                  <c:v>0.71597616381700646</c:v>
                </c:pt>
                <c:pt idx="20">
                  <c:v>0.70776911085523675</c:v>
                </c:pt>
                <c:pt idx="21">
                  <c:v>0.70241668501060417</c:v>
                </c:pt>
                <c:pt idx="22">
                  <c:v>0.55879325817963232</c:v>
                </c:pt>
                <c:pt idx="23">
                  <c:v>0.55879325817963232</c:v>
                </c:pt>
                <c:pt idx="24">
                  <c:v>0.55611704525731598</c:v>
                </c:pt>
                <c:pt idx="25">
                  <c:v>0.54059501030788182</c:v>
                </c:pt>
                <c:pt idx="26">
                  <c:v>0.53916769674931309</c:v>
                </c:pt>
                <c:pt idx="27">
                  <c:v>0.5198989637086362</c:v>
                </c:pt>
                <c:pt idx="28">
                  <c:v>0.51704433659149884</c:v>
                </c:pt>
                <c:pt idx="29">
                  <c:v>0.48385929635477737</c:v>
                </c:pt>
                <c:pt idx="30">
                  <c:v>0.45602668196268842</c:v>
                </c:pt>
                <c:pt idx="31">
                  <c:v>0.45602668196268842</c:v>
                </c:pt>
                <c:pt idx="32">
                  <c:v>0.45602668196268842</c:v>
                </c:pt>
                <c:pt idx="33">
                  <c:v>0.42212798494668258</c:v>
                </c:pt>
                <c:pt idx="34">
                  <c:v>0.42212798494668258</c:v>
                </c:pt>
                <c:pt idx="35">
                  <c:v>0.34291208244612176</c:v>
                </c:pt>
                <c:pt idx="36">
                  <c:v>0.29937901890977742</c:v>
                </c:pt>
                <c:pt idx="37">
                  <c:v>0.23390100941043995</c:v>
                </c:pt>
                <c:pt idx="38">
                  <c:v>0.1983965846410444</c:v>
                </c:pt>
                <c:pt idx="39">
                  <c:v>0.12257055184208408</c:v>
                </c:pt>
                <c:pt idx="40">
                  <c:v>0.1066916885030077</c:v>
                </c:pt>
                <c:pt idx="41">
                  <c:v>0.1066916885030077</c:v>
                </c:pt>
                <c:pt idx="42">
                  <c:v>6.7262151447548324E-2</c:v>
                </c:pt>
                <c:pt idx="43">
                  <c:v>6.7262151447548324E-2</c:v>
                </c:pt>
                <c:pt idx="44">
                  <c:v>2.8546271171373292E-2</c:v>
                </c:pt>
                <c:pt idx="45">
                  <c:v>2.8546271171373292E-2</c:v>
                </c:pt>
                <c:pt idx="46">
                  <c:v>0</c:v>
                </c:pt>
                <c:pt idx="47">
                  <c:v>0</c:v>
                </c:pt>
                <c:pt idx="48">
                  <c:v>0</c:v>
                </c:pt>
              </c:numCache>
            </c:numRef>
          </c:val>
          <c:smooth val="0"/>
        </c:ser>
        <c:dLbls>
          <c:showLegendKey val="0"/>
          <c:showVal val="0"/>
          <c:showCatName val="0"/>
          <c:showSerName val="0"/>
          <c:showPercent val="0"/>
          <c:showBubbleSize val="0"/>
        </c:dLbls>
        <c:marker val="1"/>
        <c:smooth val="0"/>
        <c:axId val="273249792"/>
        <c:axId val="273251328"/>
      </c:lineChart>
      <c:dateAx>
        <c:axId val="2732497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3251328"/>
        <c:crosses val="autoZero"/>
        <c:auto val="1"/>
        <c:lblOffset val="100"/>
        <c:baseTimeUnit val="days"/>
      </c:dateAx>
      <c:valAx>
        <c:axId val="27325132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32497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charts'!$K$2</c:f>
              <c:strCache>
                <c:ptCount val="1"/>
                <c:pt idx="0">
                  <c:v>RDC T4 V-MAX 0347</c:v>
                </c:pt>
              </c:strCache>
            </c:strRef>
          </c:tx>
          <c:cat>
            <c:numRef>
              <c:f>'subscription charts'!$A$3:$A$47</c:f>
              <c:numCache>
                <c:formatCode>[$-409]d\-mmm\-yy;@</c:formatCode>
                <c:ptCount val="4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numCache>
            </c:numRef>
          </c:cat>
          <c:val>
            <c:numRef>
              <c:f>'subscription charts'!$K$3:$K$47</c:f>
              <c:numCache>
                <c:formatCode>0.00%</c:formatCode>
                <c:ptCount val="45"/>
                <c:pt idx="0">
                  <c:v>1.0063734027398434</c:v>
                </c:pt>
                <c:pt idx="1">
                  <c:v>1.0063734027398434</c:v>
                </c:pt>
                <c:pt idx="2">
                  <c:v>0.99584018829729115</c:v>
                </c:pt>
                <c:pt idx="3">
                  <c:v>0.99132595353619735</c:v>
                </c:pt>
                <c:pt idx="4">
                  <c:v>0.98952025963175982</c:v>
                </c:pt>
                <c:pt idx="5">
                  <c:v>0.90164315628246727</c:v>
                </c:pt>
                <c:pt idx="6">
                  <c:v>0.85003040551396147</c:v>
                </c:pt>
                <c:pt idx="7">
                  <c:v>0.81782886421815915</c:v>
                </c:pt>
                <c:pt idx="8">
                  <c:v>0.79769999999999996</c:v>
                </c:pt>
                <c:pt idx="9">
                  <c:v>0.75011534280175229</c:v>
                </c:pt>
                <c:pt idx="10">
                  <c:v>0.74499921007251257</c:v>
                </c:pt>
                <c:pt idx="11">
                  <c:v>0.74319351616807516</c:v>
                </c:pt>
                <c:pt idx="12">
                  <c:v>0.73341267418570522</c:v>
                </c:pt>
                <c:pt idx="13">
                  <c:v>0.73341267418570522</c:v>
                </c:pt>
                <c:pt idx="14">
                  <c:v>0.72498610263166341</c:v>
                </c:pt>
                <c:pt idx="15">
                  <c:v>0.71174434733245506</c:v>
                </c:pt>
                <c:pt idx="16">
                  <c:v>0.612581657080428</c:v>
                </c:pt>
                <c:pt idx="17">
                  <c:v>0.62085775414243327</c:v>
                </c:pt>
                <c:pt idx="18">
                  <c:v>1.5590790794280018</c:v>
                </c:pt>
                <c:pt idx="19">
                  <c:v>1.2133825744235605</c:v>
                </c:pt>
                <c:pt idx="20">
                  <c:v>1.2133825744235605</c:v>
                </c:pt>
                <c:pt idx="21">
                  <c:v>1.1886610189660332</c:v>
                </c:pt>
                <c:pt idx="22">
                  <c:v>0.89281289627758975</c:v>
                </c:pt>
                <c:pt idx="23">
                  <c:v>0.89281289627758975</c:v>
                </c:pt>
                <c:pt idx="24">
                  <c:v>0.33174045195141838</c:v>
                </c:pt>
                <c:pt idx="25">
                  <c:v>0.32202944722007371</c:v>
                </c:pt>
                <c:pt idx="26">
                  <c:v>0.2747274564319111</c:v>
                </c:pt>
                <c:pt idx="27">
                  <c:v>0.24747399154071814</c:v>
                </c:pt>
                <c:pt idx="28">
                  <c:v>0.24183534363219542</c:v>
                </c:pt>
                <c:pt idx="29">
                  <c:v>0.16555696775856901</c:v>
                </c:pt>
                <c:pt idx="30">
                  <c:v>0.11872486429611667</c:v>
                </c:pt>
                <c:pt idx="31">
                  <c:v>0.30358984137505007</c:v>
                </c:pt>
                <c:pt idx="32">
                  <c:v>0.23087617165463886</c:v>
                </c:pt>
                <c:pt idx="33">
                  <c:v>7.0483098856533644E-2</c:v>
                </c:pt>
                <c:pt idx="34">
                  <c:v>7.0483098856533644E-2</c:v>
                </c:pt>
                <c:pt idx="35">
                  <c:v>5.388041334810572E-2</c:v>
                </c:pt>
                <c:pt idx="36">
                  <c:v>5.419367156524587E-2</c:v>
                </c:pt>
                <c:pt idx="37">
                  <c:v>4.6988732571022429E-2</c:v>
                </c:pt>
                <c:pt idx="38">
                  <c:v>4.6988732571022429E-2</c:v>
                </c:pt>
                <c:pt idx="39">
                  <c:v>3.273548369114563E-2</c:v>
                </c:pt>
                <c:pt idx="40">
                  <c:v>2.2210789732717496E-2</c:v>
                </c:pt>
                <c:pt idx="41">
                  <c:v>2.2210789732717496E-2</c:v>
                </c:pt>
                <c:pt idx="42">
                  <c:v>2.2210789732717496E-2</c:v>
                </c:pt>
                <c:pt idx="43">
                  <c:v>2.2210789732717496E-2</c:v>
                </c:pt>
                <c:pt idx="44">
                  <c:v>2.2210789732717496E-2</c:v>
                </c:pt>
              </c:numCache>
            </c:numRef>
          </c:val>
          <c:smooth val="0"/>
        </c:ser>
        <c:dLbls>
          <c:showLegendKey val="0"/>
          <c:showVal val="0"/>
          <c:showCatName val="0"/>
          <c:showSerName val="0"/>
          <c:showPercent val="0"/>
          <c:showBubbleSize val="0"/>
        </c:dLbls>
        <c:marker val="1"/>
        <c:smooth val="0"/>
        <c:axId val="273300864"/>
        <c:axId val="273310848"/>
      </c:lineChart>
      <c:dateAx>
        <c:axId val="2733008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3310848"/>
        <c:crosses val="autoZero"/>
        <c:auto val="1"/>
        <c:lblOffset val="100"/>
        <c:baseTimeUnit val="days"/>
      </c:dateAx>
      <c:valAx>
        <c:axId val="27331084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33008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922"/>
        </c:manualLayout>
      </c:layout>
      <c:lineChart>
        <c:grouping val="standard"/>
        <c:varyColors val="0"/>
        <c:ser>
          <c:idx val="0"/>
          <c:order val="0"/>
          <c:tx>
            <c:strRef>
              <c:f>'subscription charts'!$R$2</c:f>
              <c:strCache>
                <c:ptCount val="1"/>
                <c:pt idx="0">
                  <c:v>FDC T4 V-MAX 0349</c:v>
                </c:pt>
              </c:strCache>
            </c:strRef>
          </c:tx>
          <c:cat>
            <c:numRef>
              <c:f>'subscription charts'!$A$3:$A$47</c:f>
              <c:numCache>
                <c:formatCode>[$-409]d\-mmm\-yy;@</c:formatCode>
                <c:ptCount val="4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numCache>
            </c:numRef>
          </c:cat>
          <c:val>
            <c:numRef>
              <c:f>'subscription charts'!$R$3:$R$47</c:f>
              <c:numCache>
                <c:formatCode>0.00%</c:formatCode>
                <c:ptCount val="45"/>
                <c:pt idx="0">
                  <c:v>1.3198562739809956</c:v>
                </c:pt>
                <c:pt idx="1">
                  <c:v>1.3198562739809956</c:v>
                </c:pt>
                <c:pt idx="2">
                  <c:v>1.3099197631516188</c:v>
                </c:pt>
                <c:pt idx="3">
                  <c:v>1.3095275324609859</c:v>
                </c:pt>
                <c:pt idx="4">
                  <c:v>1.3040363027921198</c:v>
                </c:pt>
                <c:pt idx="5">
                  <c:v>1.2840325375698225</c:v>
                </c:pt>
                <c:pt idx="6">
                  <c:v>1.2624598495849919</c:v>
                </c:pt>
                <c:pt idx="7">
                  <c:v>1.4269496079817485</c:v>
                </c:pt>
                <c:pt idx="8">
                  <c:v>1.4160999999999999</c:v>
                </c:pt>
                <c:pt idx="9">
                  <c:v>1.3884281380204146</c:v>
                </c:pt>
                <c:pt idx="10">
                  <c:v>1.3837634287672846</c:v>
                </c:pt>
                <c:pt idx="11">
                  <c:v>1.3837634287672846</c:v>
                </c:pt>
                <c:pt idx="12">
                  <c:v>1.3052157439242524</c:v>
                </c:pt>
                <c:pt idx="13">
                  <c:v>1.3052157439242524</c:v>
                </c:pt>
                <c:pt idx="14">
                  <c:v>1.2916730396409712</c:v>
                </c:pt>
                <c:pt idx="15">
                  <c:v>1.1625659254736886</c:v>
                </c:pt>
                <c:pt idx="16">
                  <c:v>1.1618135530135063</c:v>
                </c:pt>
                <c:pt idx="17">
                  <c:v>1.1618135530135063</c:v>
                </c:pt>
                <c:pt idx="18">
                  <c:v>3.0683097765400058</c:v>
                </c:pt>
                <c:pt idx="19">
                  <c:v>2.7712458396487332</c:v>
                </c:pt>
                <c:pt idx="20">
                  <c:v>2.7141025721157597</c:v>
                </c:pt>
                <c:pt idx="21">
                  <c:v>2.671549075016737</c:v>
                </c:pt>
                <c:pt idx="22">
                  <c:v>2.2926203151349638</c:v>
                </c:pt>
                <c:pt idx="23">
                  <c:v>2.2926203151349638</c:v>
                </c:pt>
                <c:pt idx="24">
                  <c:v>0.34693347548271558</c:v>
                </c:pt>
                <c:pt idx="25">
                  <c:v>0.31075215140302831</c:v>
                </c:pt>
                <c:pt idx="26">
                  <c:v>9.7266676422016418E-2</c:v>
                </c:pt>
                <c:pt idx="27">
                  <c:v>0.56715400213224076</c:v>
                </c:pt>
                <c:pt idx="28">
                  <c:v>0.55979243402944723</c:v>
                </c:pt>
                <c:pt idx="29">
                  <c:v>0.46550171067026219</c:v>
                </c:pt>
                <c:pt idx="30">
                  <c:v>0.48836956052149311</c:v>
                </c:pt>
                <c:pt idx="31">
                  <c:v>1.2620151425367294</c:v>
                </c:pt>
                <c:pt idx="32">
                  <c:v>1.2445884722961771</c:v>
                </c:pt>
                <c:pt idx="33">
                  <c:v>0.46691137264739285</c:v>
                </c:pt>
                <c:pt idx="34">
                  <c:v>0.46691137264739285</c:v>
                </c:pt>
                <c:pt idx="35">
                  <c:v>0.44451341012187212</c:v>
                </c:pt>
                <c:pt idx="36">
                  <c:v>0.39313906251088765</c:v>
                </c:pt>
                <c:pt idx="37">
                  <c:v>0.37825929719673052</c:v>
                </c:pt>
                <c:pt idx="38">
                  <c:v>0.37825929719673052</c:v>
                </c:pt>
                <c:pt idx="39">
                  <c:v>0.22852186940373906</c:v>
                </c:pt>
                <c:pt idx="40">
                  <c:v>5.1059286741879303E-2</c:v>
                </c:pt>
                <c:pt idx="41">
                  <c:v>5.1059286741879303E-2</c:v>
                </c:pt>
                <c:pt idx="42">
                  <c:v>5.1059286741879303E-2</c:v>
                </c:pt>
                <c:pt idx="43">
                  <c:v>5.1059286741879303E-2</c:v>
                </c:pt>
                <c:pt idx="44">
                  <c:v>5.3612251078973272E-3</c:v>
                </c:pt>
              </c:numCache>
            </c:numRef>
          </c:val>
          <c:smooth val="0"/>
        </c:ser>
        <c:dLbls>
          <c:showLegendKey val="0"/>
          <c:showVal val="0"/>
          <c:showCatName val="0"/>
          <c:showSerName val="0"/>
          <c:showPercent val="0"/>
          <c:showBubbleSize val="0"/>
        </c:dLbls>
        <c:marker val="1"/>
        <c:smooth val="0"/>
        <c:axId val="273339904"/>
        <c:axId val="273341440"/>
      </c:lineChart>
      <c:dateAx>
        <c:axId val="27333990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3341440"/>
        <c:crosses val="autoZero"/>
        <c:auto val="1"/>
        <c:lblOffset val="100"/>
        <c:baseTimeUnit val="days"/>
      </c:dateAx>
      <c:valAx>
        <c:axId val="27334144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33399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charts'!$U$2</c:f>
              <c:strCache>
                <c:ptCount val="1"/>
                <c:pt idx="0">
                  <c:v>FDC T3 VMAX 667</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charts'!$U$3:$U$22</c:f>
              <c:numCache>
                <c:formatCode>0.00%</c:formatCode>
                <c:ptCount val="20"/>
                <c:pt idx="0">
                  <c:v>0.61299737270845867</c:v>
                </c:pt>
                <c:pt idx="1">
                  <c:v>0.61299737270845867</c:v>
                </c:pt>
                <c:pt idx="2">
                  <c:v>0.61299737270845867</c:v>
                </c:pt>
                <c:pt idx="3">
                  <c:v>0.6096981403472721</c:v>
                </c:pt>
                <c:pt idx="4">
                  <c:v>0.6096981403472721</c:v>
                </c:pt>
                <c:pt idx="5">
                  <c:v>0.6096981403472721</c:v>
                </c:pt>
                <c:pt idx="6">
                  <c:v>0.6096981403472721</c:v>
                </c:pt>
                <c:pt idx="7">
                  <c:v>0.6096981403472721</c:v>
                </c:pt>
                <c:pt idx="8">
                  <c:v>0.39389999999999997</c:v>
                </c:pt>
                <c:pt idx="9">
                  <c:v>0.38831964891165549</c:v>
                </c:pt>
                <c:pt idx="10">
                  <c:v>0.38831964891165549</c:v>
                </c:pt>
                <c:pt idx="11">
                  <c:v>0.38831964891165549</c:v>
                </c:pt>
                <c:pt idx="12">
                  <c:v>0.38337080036987564</c:v>
                </c:pt>
                <c:pt idx="13">
                  <c:v>0.38337080036987564</c:v>
                </c:pt>
                <c:pt idx="14">
                  <c:v>0.24843219679734627</c:v>
                </c:pt>
                <c:pt idx="15">
                  <c:v>0.21445010347712495</c:v>
                </c:pt>
                <c:pt idx="16">
                  <c:v>0.21115087111593839</c:v>
                </c:pt>
                <c:pt idx="17">
                  <c:v>0.21508975828557186</c:v>
                </c:pt>
                <c:pt idx="18">
                  <c:v>2.6886219785696483E-2</c:v>
                </c:pt>
                <c:pt idx="19">
                  <c:v>2.2181131323199602E-2</c:v>
                </c:pt>
              </c:numCache>
            </c:numRef>
          </c:val>
          <c:smooth val="0"/>
        </c:ser>
        <c:dLbls>
          <c:showLegendKey val="0"/>
          <c:showVal val="0"/>
          <c:showCatName val="0"/>
          <c:showSerName val="0"/>
          <c:showPercent val="0"/>
          <c:showBubbleSize val="0"/>
        </c:dLbls>
        <c:marker val="1"/>
        <c:smooth val="0"/>
        <c:axId val="273349632"/>
        <c:axId val="272962304"/>
      </c:lineChart>
      <c:dateAx>
        <c:axId val="2733496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2962304"/>
        <c:crosses val="autoZero"/>
        <c:auto val="1"/>
        <c:lblOffset val="100"/>
        <c:baseTimeUnit val="days"/>
      </c:dateAx>
      <c:valAx>
        <c:axId val="27296230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33496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857"/>
          <c:y val="3.7636257810872258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267"/>
        </c:manualLayout>
      </c:layout>
      <c:lineChart>
        <c:grouping val="standard"/>
        <c:varyColors val="0"/>
        <c:ser>
          <c:idx val="0"/>
          <c:order val="0"/>
          <c:tx>
            <c:strRef>
              <c:f>'subscription charts'!$V$2</c:f>
              <c:strCache>
                <c:ptCount val="1"/>
                <c:pt idx="0">
                  <c:v>RDC T3 VMAX 0671</c:v>
                </c:pt>
              </c:strCache>
            </c:strRef>
          </c:tx>
          <c:cat>
            <c:numRef>
              <c:f>'subscription charts'!$A$3:$A$87</c:f>
              <c:numCache>
                <c:formatCode>[$-409]d\-mmm\-yy;@</c:formatCode>
                <c:ptCount val="85"/>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pt idx="23">
                  <c:v>41626</c:v>
                </c:pt>
                <c:pt idx="24">
                  <c:v>41617</c:v>
                </c:pt>
                <c:pt idx="25">
                  <c:v>41610</c:v>
                </c:pt>
                <c:pt idx="26">
                  <c:v>41603</c:v>
                </c:pt>
                <c:pt idx="27">
                  <c:v>41596</c:v>
                </c:pt>
                <c:pt idx="28">
                  <c:v>41589</c:v>
                </c:pt>
                <c:pt idx="29">
                  <c:v>41561</c:v>
                </c:pt>
                <c:pt idx="30">
                  <c:v>41548</c:v>
                </c:pt>
                <c:pt idx="31">
                  <c:v>41541</c:v>
                </c:pt>
                <c:pt idx="32">
                  <c:v>41534</c:v>
                </c:pt>
                <c:pt idx="33">
                  <c:v>41519</c:v>
                </c:pt>
                <c:pt idx="34">
                  <c:v>41513</c:v>
                </c:pt>
                <c:pt idx="35">
                  <c:v>41498</c:v>
                </c:pt>
                <c:pt idx="36">
                  <c:v>41491</c:v>
                </c:pt>
                <c:pt idx="37">
                  <c:v>41485</c:v>
                </c:pt>
                <c:pt idx="38">
                  <c:v>41478</c:v>
                </c:pt>
                <c:pt idx="39">
                  <c:v>41470</c:v>
                </c:pt>
                <c:pt idx="40">
                  <c:v>41464</c:v>
                </c:pt>
                <c:pt idx="41">
                  <c:v>41449</c:v>
                </c:pt>
                <c:pt idx="42">
                  <c:v>41445</c:v>
                </c:pt>
                <c:pt idx="43">
                  <c:v>41443</c:v>
                </c:pt>
                <c:pt idx="44">
                  <c:v>41437</c:v>
                </c:pt>
                <c:pt idx="45">
                  <c:v>41430</c:v>
                </c:pt>
                <c:pt idx="46">
                  <c:v>41428</c:v>
                </c:pt>
                <c:pt idx="47">
                  <c:v>41423</c:v>
                </c:pt>
                <c:pt idx="48">
                  <c:v>41422</c:v>
                </c:pt>
                <c:pt idx="49">
                  <c:v>41414</c:v>
                </c:pt>
                <c:pt idx="50">
                  <c:v>41408</c:v>
                </c:pt>
                <c:pt idx="51">
                  <c:v>41401</c:v>
                </c:pt>
                <c:pt idx="52">
                  <c:v>41395</c:v>
                </c:pt>
                <c:pt idx="53">
                  <c:v>41393</c:v>
                </c:pt>
                <c:pt idx="54">
                  <c:v>41390</c:v>
                </c:pt>
                <c:pt idx="55">
                  <c:v>41387</c:v>
                </c:pt>
                <c:pt idx="56">
                  <c:v>41383</c:v>
                </c:pt>
                <c:pt idx="57">
                  <c:v>41379</c:v>
                </c:pt>
                <c:pt idx="58">
                  <c:v>41374</c:v>
                </c:pt>
                <c:pt idx="59">
                  <c:v>41373</c:v>
                </c:pt>
                <c:pt idx="60">
                  <c:v>41361</c:v>
                </c:pt>
                <c:pt idx="61">
                  <c:v>41359</c:v>
                </c:pt>
                <c:pt idx="62">
                  <c:v>41355</c:v>
                </c:pt>
                <c:pt idx="63">
                  <c:v>41353</c:v>
                </c:pt>
                <c:pt idx="64">
                  <c:v>41351</c:v>
                </c:pt>
                <c:pt idx="65">
                  <c:v>41347</c:v>
                </c:pt>
                <c:pt idx="66">
                  <c:v>41345</c:v>
                </c:pt>
                <c:pt idx="67">
                  <c:v>41344</c:v>
                </c:pt>
                <c:pt idx="68">
                  <c:v>41341</c:v>
                </c:pt>
                <c:pt idx="69">
                  <c:v>41340</c:v>
                </c:pt>
                <c:pt idx="70">
                  <c:v>41337</c:v>
                </c:pt>
                <c:pt idx="71">
                  <c:v>41334</c:v>
                </c:pt>
                <c:pt idx="72">
                  <c:v>41330</c:v>
                </c:pt>
                <c:pt idx="73">
                  <c:v>41327</c:v>
                </c:pt>
                <c:pt idx="74">
                  <c:v>41326</c:v>
                </c:pt>
                <c:pt idx="75">
                  <c:v>41323</c:v>
                </c:pt>
                <c:pt idx="76">
                  <c:v>41310</c:v>
                </c:pt>
                <c:pt idx="77">
                  <c:v>41304</c:v>
                </c:pt>
                <c:pt idx="78">
                  <c:v>41297</c:v>
                </c:pt>
                <c:pt idx="79">
                  <c:v>41296</c:v>
                </c:pt>
                <c:pt idx="80">
                  <c:v>41292</c:v>
                </c:pt>
                <c:pt idx="81">
                  <c:v>41289</c:v>
                </c:pt>
                <c:pt idx="82">
                  <c:v>41285</c:v>
                </c:pt>
                <c:pt idx="83">
                  <c:v>41283</c:v>
                </c:pt>
                <c:pt idx="84">
                  <c:v>41281</c:v>
                </c:pt>
              </c:numCache>
            </c:numRef>
          </c:cat>
          <c:val>
            <c:numRef>
              <c:f>'subscription charts'!$V$3:$V$22</c:f>
              <c:numCache>
                <c:formatCode>0.00%</c:formatCode>
                <c:ptCount val="20"/>
                <c:pt idx="0">
                  <c:v>0.40074812705701529</c:v>
                </c:pt>
                <c:pt idx="1">
                  <c:v>0.40074812705701529</c:v>
                </c:pt>
                <c:pt idx="2">
                  <c:v>0.40074812705701529</c:v>
                </c:pt>
                <c:pt idx="3">
                  <c:v>0.39913869682787068</c:v>
                </c:pt>
                <c:pt idx="4">
                  <c:v>0.39913869682787068</c:v>
                </c:pt>
                <c:pt idx="5">
                  <c:v>0.39913869682787068</c:v>
                </c:pt>
                <c:pt idx="6">
                  <c:v>0.39913869682787068</c:v>
                </c:pt>
                <c:pt idx="7">
                  <c:v>0.39913869682787068</c:v>
                </c:pt>
                <c:pt idx="8">
                  <c:v>0.19220000000000001</c:v>
                </c:pt>
                <c:pt idx="9">
                  <c:v>0.18942993797032409</c:v>
                </c:pt>
                <c:pt idx="10">
                  <c:v>0.18942993797032409</c:v>
                </c:pt>
                <c:pt idx="11">
                  <c:v>0.18942993797032409</c:v>
                </c:pt>
                <c:pt idx="12">
                  <c:v>0.18701579262660711</c:v>
                </c:pt>
                <c:pt idx="13">
                  <c:v>0.18701579262660711</c:v>
                </c:pt>
                <c:pt idx="14">
                  <c:v>0.12119009625459136</c:v>
                </c:pt>
                <c:pt idx="15">
                  <c:v>0.10461296489440157</c:v>
                </c:pt>
                <c:pt idx="16">
                  <c:v>0.10300353466525693</c:v>
                </c:pt>
                <c:pt idx="17">
                  <c:v>0.10393199277543647</c:v>
                </c:pt>
                <c:pt idx="18">
                  <c:v>0.10393199277543647</c:v>
                </c:pt>
                <c:pt idx="19">
                  <c:v>0</c:v>
                </c:pt>
              </c:numCache>
            </c:numRef>
          </c:val>
          <c:smooth val="0"/>
        </c:ser>
        <c:dLbls>
          <c:showLegendKey val="0"/>
          <c:showVal val="0"/>
          <c:showCatName val="0"/>
          <c:showSerName val="0"/>
          <c:showPercent val="0"/>
          <c:showBubbleSize val="0"/>
        </c:dLbls>
        <c:marker val="1"/>
        <c:smooth val="0"/>
        <c:axId val="273011840"/>
        <c:axId val="273013376"/>
      </c:lineChart>
      <c:dateAx>
        <c:axId val="2730118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3013376"/>
        <c:crosses val="autoZero"/>
        <c:auto val="1"/>
        <c:lblOffset val="100"/>
        <c:baseTimeUnit val="days"/>
      </c:dateAx>
      <c:valAx>
        <c:axId val="27301337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30118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5760320915278594"/>
          <c:y val="0.19166340015358338"/>
          <c:w val="0.78659097286547364"/>
          <c:h val="0.60212245410911502"/>
        </c:manualLayout>
      </c:layout>
      <c:lineChart>
        <c:grouping val="stacked"/>
        <c:varyColors val="0"/>
        <c:ser>
          <c:idx val="0"/>
          <c:order val="0"/>
          <c:tx>
            <c:strRef>
              <c:f>'Allocated charts'!$B$2</c:f>
              <c:strCache>
                <c:ptCount val="1"/>
                <c:pt idx="0">
                  <c:v>CGC T4 V-MAX 0623</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charts'!$B$19:$B$86</c:f>
              <c:numCache>
                <c:formatCode>0</c:formatCode>
                <c:ptCount val="68"/>
                <c:pt idx="0">
                  <c:v>184.88374511718749</c:v>
                </c:pt>
                <c:pt idx="1">
                  <c:v>184.88374511718749</c:v>
                </c:pt>
                <c:pt idx="2">
                  <c:v>184.88374511718749</c:v>
                </c:pt>
                <c:pt idx="3">
                  <c:v>183.5996015625</c:v>
                </c:pt>
                <c:pt idx="4">
                  <c:v>183.5996015625</c:v>
                </c:pt>
                <c:pt idx="5">
                  <c:v>183.5996015625</c:v>
                </c:pt>
                <c:pt idx="6">
                  <c:v>182.216677734375</c:v>
                </c:pt>
                <c:pt idx="7">
                  <c:v>182.216677734375</c:v>
                </c:pt>
                <c:pt idx="8">
                  <c:v>182.216677734375</c:v>
                </c:pt>
                <c:pt idx="9">
                  <c:v>184.65325781249999</c:v>
                </c:pt>
                <c:pt idx="10">
                  <c:v>184.35691699218751</c:v>
                </c:pt>
                <c:pt idx="11">
                  <c:v>184.35691699218751</c:v>
                </c:pt>
                <c:pt idx="12">
                  <c:v>184.35691699218751</c:v>
                </c:pt>
                <c:pt idx="13">
                  <c:v>183.56667480468749</c:v>
                </c:pt>
                <c:pt idx="14">
                  <c:v>183.56667480468749</c:v>
                </c:pt>
                <c:pt idx="15">
                  <c:v>183.56667480468749</c:v>
                </c:pt>
                <c:pt idx="16">
                  <c:v>183.33618749999999</c:v>
                </c:pt>
                <c:pt idx="17">
                  <c:v>181.36058203125</c:v>
                </c:pt>
                <c:pt idx="18">
                  <c:v>180.57033984374999</c:v>
                </c:pt>
                <c:pt idx="19">
                  <c:v>180.07643847656249</c:v>
                </c:pt>
                <c:pt idx="20">
                  <c:v>180.07643847656249</c:v>
                </c:pt>
                <c:pt idx="21">
                  <c:v>180.07643847656249</c:v>
                </c:pt>
                <c:pt idx="22">
                  <c:v>180.07643847656249</c:v>
                </c:pt>
                <c:pt idx="23">
                  <c:v>180.07643847656249</c:v>
                </c:pt>
                <c:pt idx="24">
                  <c:v>178.98985546874999</c:v>
                </c:pt>
                <c:pt idx="25">
                  <c:v>178.98985546874999</c:v>
                </c:pt>
                <c:pt idx="26">
                  <c:v>178.00205273437498</c:v>
                </c:pt>
                <c:pt idx="27">
                  <c:v>178.00205273437498</c:v>
                </c:pt>
                <c:pt idx="28">
                  <c:v>175.79595996093749</c:v>
                </c:pt>
                <c:pt idx="29">
                  <c:v>175.79595996093749</c:v>
                </c:pt>
                <c:pt idx="30">
                  <c:v>175.79595996093749</c:v>
                </c:pt>
                <c:pt idx="31">
                  <c:v>175.79595996093749</c:v>
                </c:pt>
                <c:pt idx="32">
                  <c:v>175.79595996093749</c:v>
                </c:pt>
                <c:pt idx="33">
                  <c:v>175.73010644531249</c:v>
                </c:pt>
                <c:pt idx="34">
                  <c:v>174.34718261718749</c:v>
                </c:pt>
                <c:pt idx="35">
                  <c:v>172.14108984375</c:v>
                </c:pt>
                <c:pt idx="36">
                  <c:v>188.04471386718748</c:v>
                </c:pt>
                <c:pt idx="37">
                  <c:v>188.04471386718748</c:v>
                </c:pt>
                <c:pt idx="38">
                  <c:v>188.04471386718748</c:v>
                </c:pt>
                <c:pt idx="39">
                  <c:v>187.748373046875</c:v>
                </c:pt>
                <c:pt idx="40">
                  <c:v>187.748373046875</c:v>
                </c:pt>
                <c:pt idx="41">
                  <c:v>187.748373046875</c:v>
                </c:pt>
                <c:pt idx="42">
                  <c:v>187.748373046875</c:v>
                </c:pt>
                <c:pt idx="43">
                  <c:v>187.748373046875</c:v>
                </c:pt>
                <c:pt idx="44">
                  <c:v>187.748373046875</c:v>
                </c:pt>
                <c:pt idx="45">
                  <c:v>187.748373046875</c:v>
                </c:pt>
                <c:pt idx="46">
                  <c:v>187.748373046875</c:v>
                </c:pt>
                <c:pt idx="47">
                  <c:v>187.748373046875</c:v>
                </c:pt>
                <c:pt idx="48">
                  <c:v>187.748373046875</c:v>
                </c:pt>
                <c:pt idx="49">
                  <c:v>187.748373046875</c:v>
                </c:pt>
                <c:pt idx="50">
                  <c:v>187.748373046875</c:v>
                </c:pt>
                <c:pt idx="51">
                  <c:v>187.748373046875</c:v>
                </c:pt>
                <c:pt idx="52">
                  <c:v>186.8759765625</c:v>
                </c:pt>
                <c:pt idx="53">
                  <c:v>185.65757812499999</c:v>
                </c:pt>
                <c:pt idx="54">
                  <c:v>185.65757812499999</c:v>
                </c:pt>
                <c:pt idx="55">
                  <c:v>185.65757812499999</c:v>
                </c:pt>
                <c:pt idx="56">
                  <c:v>185.65757812499999</c:v>
                </c:pt>
                <c:pt idx="57">
                  <c:v>185.65757812499999</c:v>
                </c:pt>
                <c:pt idx="58">
                  <c:v>185.65757812499999</c:v>
                </c:pt>
                <c:pt idx="59">
                  <c:v>185.65757812499999</c:v>
                </c:pt>
                <c:pt idx="60">
                  <c:v>185.03191406249999</c:v>
                </c:pt>
                <c:pt idx="61">
                  <c:v>185.03191406249999</c:v>
                </c:pt>
                <c:pt idx="62">
                  <c:v>184.90019531249999</c:v>
                </c:pt>
                <c:pt idx="63">
                  <c:v>184.90019531249999</c:v>
                </c:pt>
                <c:pt idx="64">
                  <c:v>185.06484374999999</c:v>
                </c:pt>
                <c:pt idx="65">
                  <c:v>185.06484374999999</c:v>
                </c:pt>
                <c:pt idx="66">
                  <c:v>181.179140625</c:v>
                </c:pt>
                <c:pt idx="67">
                  <c:v>181.179140625</c:v>
                </c:pt>
              </c:numCache>
            </c:numRef>
          </c:val>
          <c:smooth val="0"/>
        </c:ser>
        <c:dLbls>
          <c:showLegendKey val="0"/>
          <c:showVal val="0"/>
          <c:showCatName val="0"/>
          <c:showSerName val="0"/>
          <c:showPercent val="0"/>
          <c:showBubbleSize val="0"/>
        </c:dLbls>
        <c:marker val="1"/>
        <c:smooth val="0"/>
        <c:axId val="273038336"/>
        <c:axId val="180810496"/>
      </c:lineChart>
      <c:dateAx>
        <c:axId val="2730383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80810496"/>
        <c:crosses val="autoZero"/>
        <c:auto val="1"/>
        <c:lblOffset val="100"/>
        <c:baseTimeUnit val="days"/>
      </c:dateAx>
      <c:valAx>
        <c:axId val="18081049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3038336"/>
        <c:crosses val="autoZero"/>
        <c:crossBetween val="between"/>
      </c:valAx>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b="1" i="0" u="none" strike="noStrike" baseline="0">
                <a:solidFill>
                  <a:srgbClr val="000000"/>
                </a:solidFill>
                <a:latin typeface="Calibri"/>
                <a:ea typeface="Calibri"/>
                <a:cs typeface="Calibri"/>
              </a:defRPr>
            </a:pPr>
            <a:r>
              <a:rPr lang="en-GB" sz="1500"/>
              <a:t>CGC Tier 3 VMAX 745 (TB Allocated)</a:t>
            </a:r>
          </a:p>
        </c:rich>
      </c:tx>
      <c:layout>
        <c:manualLayout>
          <c:xMode val="edge"/>
          <c:yMode val="edge"/>
          <c:x val="0.13494546515020259"/>
          <c:y val="4.7197535090722414E-2"/>
        </c:manualLayout>
      </c:layout>
      <c:overlay val="0"/>
      <c:spPr>
        <a:noFill/>
        <a:ln w="25400">
          <a:noFill/>
        </a:ln>
      </c:spPr>
    </c:title>
    <c:autoTitleDeleted val="0"/>
    <c:plotArea>
      <c:layout/>
      <c:lineChart>
        <c:grouping val="standard"/>
        <c:varyColors val="0"/>
        <c:ser>
          <c:idx val="0"/>
          <c:order val="0"/>
          <c:tx>
            <c:strRef>
              <c:f>'Allocated charts'!$C$2</c:f>
              <c:strCache>
                <c:ptCount val="1"/>
                <c:pt idx="0">
                  <c:v>CGC T3 V-MAX 0745</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charts'!$C$19:$C$86</c:f>
              <c:numCache>
                <c:formatCode>0</c:formatCode>
                <c:ptCount val="68"/>
                <c:pt idx="0">
                  <c:v>96.771741210937492</c:v>
                </c:pt>
                <c:pt idx="1">
                  <c:v>86.235178710937504</c:v>
                </c:pt>
                <c:pt idx="2">
                  <c:v>86.235178710937504</c:v>
                </c:pt>
                <c:pt idx="3">
                  <c:v>83.963232421874991</c:v>
                </c:pt>
                <c:pt idx="4">
                  <c:v>83.963232421874991</c:v>
                </c:pt>
                <c:pt idx="5">
                  <c:v>94.499794921874994</c:v>
                </c:pt>
                <c:pt idx="6">
                  <c:v>94.335161132812502</c:v>
                </c:pt>
                <c:pt idx="7">
                  <c:v>94.335161132812502</c:v>
                </c:pt>
                <c:pt idx="8">
                  <c:v>94.335161132812502</c:v>
                </c:pt>
                <c:pt idx="9">
                  <c:v>94.335161132812502</c:v>
                </c:pt>
                <c:pt idx="10">
                  <c:v>94.335161132812502</c:v>
                </c:pt>
                <c:pt idx="11">
                  <c:v>94.335161132812502</c:v>
                </c:pt>
                <c:pt idx="12">
                  <c:v>94.335161132812502</c:v>
                </c:pt>
                <c:pt idx="13">
                  <c:v>94.335161132812502</c:v>
                </c:pt>
                <c:pt idx="14">
                  <c:v>94.335161132812502</c:v>
                </c:pt>
                <c:pt idx="15">
                  <c:v>94.335161132812502</c:v>
                </c:pt>
                <c:pt idx="16">
                  <c:v>94.335161132812502</c:v>
                </c:pt>
                <c:pt idx="17">
                  <c:v>92.227848632812496</c:v>
                </c:pt>
                <c:pt idx="18">
                  <c:v>91.832727539062503</c:v>
                </c:pt>
                <c:pt idx="19">
                  <c:v>91.240045898437501</c:v>
                </c:pt>
                <c:pt idx="20">
                  <c:v>92.030288085937499</c:v>
                </c:pt>
                <c:pt idx="21">
                  <c:v>91.832727539062503</c:v>
                </c:pt>
                <c:pt idx="22">
                  <c:v>91.602240234375003</c:v>
                </c:pt>
                <c:pt idx="23">
                  <c:v>91.602240234375003</c:v>
                </c:pt>
                <c:pt idx="24">
                  <c:v>90.680291015625002</c:v>
                </c:pt>
                <c:pt idx="25">
                  <c:v>90.680291015625002</c:v>
                </c:pt>
                <c:pt idx="26">
                  <c:v>88.935172851562498</c:v>
                </c:pt>
                <c:pt idx="27">
                  <c:v>88.935172851562498</c:v>
                </c:pt>
                <c:pt idx="28">
                  <c:v>88.474198242187498</c:v>
                </c:pt>
                <c:pt idx="29">
                  <c:v>88.342491210937496</c:v>
                </c:pt>
                <c:pt idx="30">
                  <c:v>88.342491210937496</c:v>
                </c:pt>
                <c:pt idx="31">
                  <c:v>88.342491210937496</c:v>
                </c:pt>
                <c:pt idx="32">
                  <c:v>88.342491210937496</c:v>
                </c:pt>
                <c:pt idx="33">
                  <c:v>87.354688476562501</c:v>
                </c:pt>
                <c:pt idx="34">
                  <c:v>87.354688476562501</c:v>
                </c:pt>
                <c:pt idx="35">
                  <c:v>87.157127929687491</c:v>
                </c:pt>
                <c:pt idx="36">
                  <c:v>87.157127929687491</c:v>
                </c:pt>
                <c:pt idx="37">
                  <c:v>87.157127929687491</c:v>
                </c:pt>
                <c:pt idx="38">
                  <c:v>87.157127929687491</c:v>
                </c:pt>
                <c:pt idx="39">
                  <c:v>87.157127929687491</c:v>
                </c:pt>
                <c:pt idx="40">
                  <c:v>87.157127929687491</c:v>
                </c:pt>
                <c:pt idx="41">
                  <c:v>87.157127929687491</c:v>
                </c:pt>
                <c:pt idx="42">
                  <c:v>87.157127929687491</c:v>
                </c:pt>
                <c:pt idx="43">
                  <c:v>87.157127929687491</c:v>
                </c:pt>
                <c:pt idx="44">
                  <c:v>87.157127929687491</c:v>
                </c:pt>
                <c:pt idx="45">
                  <c:v>87.157127929687491</c:v>
                </c:pt>
                <c:pt idx="46">
                  <c:v>87.157127929687491</c:v>
                </c:pt>
                <c:pt idx="47">
                  <c:v>87.157127929687491</c:v>
                </c:pt>
                <c:pt idx="48">
                  <c:v>87.157127929687491</c:v>
                </c:pt>
                <c:pt idx="49">
                  <c:v>87.157127929687491</c:v>
                </c:pt>
                <c:pt idx="50">
                  <c:v>87.157127929687491</c:v>
                </c:pt>
                <c:pt idx="51">
                  <c:v>87.157127929687491</c:v>
                </c:pt>
                <c:pt idx="52">
                  <c:v>87.066093749999993</c:v>
                </c:pt>
                <c:pt idx="53">
                  <c:v>86.967304687500004</c:v>
                </c:pt>
                <c:pt idx="54">
                  <c:v>86.967304687500004</c:v>
                </c:pt>
                <c:pt idx="55">
                  <c:v>87.494179687499994</c:v>
                </c:pt>
                <c:pt idx="56">
                  <c:v>87.494179687499994</c:v>
                </c:pt>
                <c:pt idx="57">
                  <c:v>87.494179687499994</c:v>
                </c:pt>
                <c:pt idx="58">
                  <c:v>87.494179687499994</c:v>
                </c:pt>
                <c:pt idx="59">
                  <c:v>87.494179687499994</c:v>
                </c:pt>
                <c:pt idx="60">
                  <c:v>88.021054687499998</c:v>
                </c:pt>
                <c:pt idx="61">
                  <c:v>87.922265624999994</c:v>
                </c:pt>
                <c:pt idx="62">
                  <c:v>87.527109374999995</c:v>
                </c:pt>
                <c:pt idx="63">
                  <c:v>87.527109374999995</c:v>
                </c:pt>
                <c:pt idx="64">
                  <c:v>88.284492187499993</c:v>
                </c:pt>
                <c:pt idx="65">
                  <c:v>88.284492187499993</c:v>
                </c:pt>
                <c:pt idx="66">
                  <c:v>88.976015625000002</c:v>
                </c:pt>
                <c:pt idx="67">
                  <c:v>88.976015625000002</c:v>
                </c:pt>
              </c:numCache>
            </c:numRef>
          </c:val>
          <c:smooth val="0"/>
        </c:ser>
        <c:dLbls>
          <c:showLegendKey val="0"/>
          <c:showVal val="0"/>
          <c:showCatName val="0"/>
          <c:showSerName val="0"/>
          <c:showPercent val="0"/>
          <c:showBubbleSize val="0"/>
        </c:dLbls>
        <c:marker val="1"/>
        <c:smooth val="0"/>
        <c:axId val="270700928"/>
        <c:axId val="270702464"/>
      </c:lineChart>
      <c:dateAx>
        <c:axId val="2707009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702464"/>
        <c:crosses val="autoZero"/>
        <c:auto val="1"/>
        <c:lblOffset val="100"/>
        <c:baseTimeUnit val="days"/>
      </c:dateAx>
      <c:valAx>
        <c:axId val="27070246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7009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4 VMAX 678 (TB Allocated)</a:t>
            </a:r>
          </a:p>
        </c:rich>
      </c:tx>
      <c:overlay val="0"/>
      <c:spPr>
        <a:noFill/>
        <a:ln w="25400">
          <a:noFill/>
        </a:ln>
      </c:spPr>
    </c:title>
    <c:autoTitleDeleted val="0"/>
    <c:plotArea>
      <c:layout>
        <c:manualLayout>
          <c:layoutTarget val="inner"/>
          <c:xMode val="edge"/>
          <c:yMode val="edge"/>
          <c:x val="0.21828971437625141"/>
          <c:y val="0.21261682242990654"/>
          <c:w val="0.73746525127111962"/>
          <c:h val="0.584112149532653"/>
        </c:manualLayout>
      </c:layout>
      <c:lineChart>
        <c:grouping val="standard"/>
        <c:varyColors val="0"/>
        <c:ser>
          <c:idx val="0"/>
          <c:order val="0"/>
          <c:tx>
            <c:strRef>
              <c:f>'Allocated charts'!$E$2</c:f>
              <c:strCache>
                <c:ptCount val="1"/>
                <c:pt idx="0">
                  <c:v>RDC T4 V-MAX 0678</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charts'!$E$19:$E$86</c:f>
              <c:numCache>
                <c:formatCode>0</c:formatCode>
                <c:ptCount val="68"/>
                <c:pt idx="0">
                  <c:v>266.57503124999999</c:v>
                </c:pt>
                <c:pt idx="1">
                  <c:v>266.57503124999999</c:v>
                </c:pt>
                <c:pt idx="2">
                  <c:v>266.57503124999999</c:v>
                </c:pt>
                <c:pt idx="3">
                  <c:v>273.06160253906251</c:v>
                </c:pt>
                <c:pt idx="4">
                  <c:v>273.06160253906251</c:v>
                </c:pt>
                <c:pt idx="5">
                  <c:v>273.06160253906251</c:v>
                </c:pt>
                <c:pt idx="6">
                  <c:v>274.18111230468747</c:v>
                </c:pt>
                <c:pt idx="7">
                  <c:v>274.18111230468747</c:v>
                </c:pt>
                <c:pt idx="8">
                  <c:v>274.18111230468747</c:v>
                </c:pt>
                <c:pt idx="9">
                  <c:v>274.18111230468747</c:v>
                </c:pt>
                <c:pt idx="10">
                  <c:v>274.18111230468747</c:v>
                </c:pt>
                <c:pt idx="11">
                  <c:v>274.18111230468747</c:v>
                </c:pt>
                <c:pt idx="12">
                  <c:v>274.18111230468747</c:v>
                </c:pt>
                <c:pt idx="13">
                  <c:v>274.18111230468747</c:v>
                </c:pt>
                <c:pt idx="14">
                  <c:v>274.18111230468747</c:v>
                </c:pt>
                <c:pt idx="15">
                  <c:v>274.18111230468747</c:v>
                </c:pt>
                <c:pt idx="16">
                  <c:v>274.18111230468747</c:v>
                </c:pt>
                <c:pt idx="17">
                  <c:v>274.18111230468747</c:v>
                </c:pt>
                <c:pt idx="18">
                  <c:v>274.18111230468747</c:v>
                </c:pt>
                <c:pt idx="19">
                  <c:v>272.30428710937497</c:v>
                </c:pt>
                <c:pt idx="20">
                  <c:v>271.81038574218746</c:v>
                </c:pt>
                <c:pt idx="21">
                  <c:v>271.81038574218746</c:v>
                </c:pt>
                <c:pt idx="22">
                  <c:v>271.81038574218746</c:v>
                </c:pt>
                <c:pt idx="23">
                  <c:v>272.04087304687499</c:v>
                </c:pt>
                <c:pt idx="24">
                  <c:v>270.46038867187497</c:v>
                </c:pt>
                <c:pt idx="25">
                  <c:v>270.46038867187497</c:v>
                </c:pt>
                <c:pt idx="26">
                  <c:v>270.46038867187497</c:v>
                </c:pt>
                <c:pt idx="27">
                  <c:v>270.46038867187497</c:v>
                </c:pt>
                <c:pt idx="28">
                  <c:v>271.51404492187498</c:v>
                </c:pt>
                <c:pt idx="29">
                  <c:v>271.51404492187498</c:v>
                </c:pt>
                <c:pt idx="30">
                  <c:v>271.51404492187498</c:v>
                </c:pt>
                <c:pt idx="31">
                  <c:v>271.51404492187498</c:v>
                </c:pt>
                <c:pt idx="32">
                  <c:v>271.51404492187498</c:v>
                </c:pt>
                <c:pt idx="33">
                  <c:v>271.51404492187498</c:v>
                </c:pt>
                <c:pt idx="34">
                  <c:v>271.51404492187498</c:v>
                </c:pt>
                <c:pt idx="35">
                  <c:v>271.51404492187498</c:v>
                </c:pt>
                <c:pt idx="36">
                  <c:v>271.51404492187498</c:v>
                </c:pt>
                <c:pt idx="37">
                  <c:v>271.51404492187498</c:v>
                </c:pt>
                <c:pt idx="38">
                  <c:v>271.51404492187498</c:v>
                </c:pt>
                <c:pt idx="39">
                  <c:v>271.51404492187498</c:v>
                </c:pt>
                <c:pt idx="40">
                  <c:v>271.51404492187498</c:v>
                </c:pt>
                <c:pt idx="41">
                  <c:v>270.32868164062501</c:v>
                </c:pt>
                <c:pt idx="42">
                  <c:v>271.51404492187498</c:v>
                </c:pt>
                <c:pt idx="43">
                  <c:v>271.51404492187498</c:v>
                </c:pt>
                <c:pt idx="44">
                  <c:v>271.51404492187498</c:v>
                </c:pt>
                <c:pt idx="45">
                  <c:v>271.51404492187498</c:v>
                </c:pt>
                <c:pt idx="46">
                  <c:v>271.51404492187498</c:v>
                </c:pt>
                <c:pt idx="47">
                  <c:v>271.51404492187498</c:v>
                </c:pt>
                <c:pt idx="48">
                  <c:v>271.51404492187498</c:v>
                </c:pt>
                <c:pt idx="49">
                  <c:v>271.51404492187498</c:v>
                </c:pt>
                <c:pt idx="50">
                  <c:v>271.51404492187498</c:v>
                </c:pt>
                <c:pt idx="51">
                  <c:v>271.51404492187498</c:v>
                </c:pt>
                <c:pt idx="52">
                  <c:v>271.538203125</c:v>
                </c:pt>
                <c:pt idx="53">
                  <c:v>271.538203125</c:v>
                </c:pt>
                <c:pt idx="54">
                  <c:v>271.538203125</c:v>
                </c:pt>
                <c:pt idx="55">
                  <c:v>271.538203125</c:v>
                </c:pt>
                <c:pt idx="56">
                  <c:v>271.538203125</c:v>
                </c:pt>
                <c:pt idx="57">
                  <c:v>271.538203125</c:v>
                </c:pt>
                <c:pt idx="58">
                  <c:v>270.12222656249997</c:v>
                </c:pt>
                <c:pt idx="59">
                  <c:v>270.12222656249997</c:v>
                </c:pt>
                <c:pt idx="60">
                  <c:v>269.99050781249997</c:v>
                </c:pt>
                <c:pt idx="61">
                  <c:v>269.99050781249997</c:v>
                </c:pt>
                <c:pt idx="62">
                  <c:v>269.99050781249997</c:v>
                </c:pt>
                <c:pt idx="63">
                  <c:v>269.99050781249997</c:v>
                </c:pt>
                <c:pt idx="64">
                  <c:v>269.99050781249997</c:v>
                </c:pt>
                <c:pt idx="65">
                  <c:v>269.99050781249997</c:v>
                </c:pt>
                <c:pt idx="66">
                  <c:v>270.38566406249998</c:v>
                </c:pt>
                <c:pt idx="67">
                  <c:v>270.38566406249998</c:v>
                </c:pt>
              </c:numCache>
            </c:numRef>
          </c:val>
          <c:smooth val="0"/>
        </c:ser>
        <c:dLbls>
          <c:showLegendKey val="0"/>
          <c:showVal val="0"/>
          <c:showCatName val="0"/>
          <c:showSerName val="0"/>
          <c:showPercent val="0"/>
          <c:showBubbleSize val="0"/>
        </c:dLbls>
        <c:marker val="1"/>
        <c:smooth val="0"/>
        <c:axId val="270714368"/>
        <c:axId val="270715904"/>
      </c:lineChart>
      <c:dateAx>
        <c:axId val="2707143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0715904"/>
        <c:crosses val="autoZero"/>
        <c:auto val="1"/>
        <c:lblOffset val="100"/>
        <c:baseTimeUnit val="days"/>
      </c:dateAx>
      <c:valAx>
        <c:axId val="27071590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07143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3 VMAX 552 (TB Allocated)</a:t>
            </a:r>
          </a:p>
        </c:rich>
      </c:tx>
      <c:overlay val="0"/>
      <c:spPr>
        <a:noFill/>
        <a:ln w="25400">
          <a:noFill/>
        </a:ln>
      </c:spPr>
    </c:title>
    <c:autoTitleDeleted val="0"/>
    <c:plotArea>
      <c:layout>
        <c:manualLayout>
          <c:layoutTarget val="inner"/>
          <c:xMode val="edge"/>
          <c:yMode val="edge"/>
          <c:x val="0.20409323654167602"/>
          <c:y val="0.23233367568184413"/>
          <c:w val="0.74358381879930169"/>
          <c:h val="0.55425416587119958"/>
        </c:manualLayout>
      </c:layout>
      <c:lineChart>
        <c:grouping val="standard"/>
        <c:varyColors val="0"/>
        <c:ser>
          <c:idx val="0"/>
          <c:order val="0"/>
          <c:tx>
            <c:strRef>
              <c:f>'Allocated charts'!$D$2</c:f>
              <c:strCache>
                <c:ptCount val="1"/>
                <c:pt idx="0">
                  <c:v>RDC T3 V-MAX 0552</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charts'!$D$19:$D$86</c:f>
              <c:numCache>
                <c:formatCode>0</c:formatCode>
                <c:ptCount val="68"/>
                <c:pt idx="0">
                  <c:v>97.627836914062499</c:v>
                </c:pt>
                <c:pt idx="1">
                  <c:v>87.091274414062497</c:v>
                </c:pt>
                <c:pt idx="2">
                  <c:v>87.091274414062497</c:v>
                </c:pt>
                <c:pt idx="3">
                  <c:v>84.951035156250001</c:v>
                </c:pt>
                <c:pt idx="4">
                  <c:v>84.951035156250001</c:v>
                </c:pt>
                <c:pt idx="5">
                  <c:v>95.487597656250003</c:v>
                </c:pt>
                <c:pt idx="6">
                  <c:v>95.322963867187497</c:v>
                </c:pt>
                <c:pt idx="7">
                  <c:v>95.322963867187497</c:v>
                </c:pt>
                <c:pt idx="8">
                  <c:v>95.322963867187497</c:v>
                </c:pt>
                <c:pt idx="9">
                  <c:v>95.322963867187497</c:v>
                </c:pt>
                <c:pt idx="10">
                  <c:v>95.322963867187497</c:v>
                </c:pt>
                <c:pt idx="11">
                  <c:v>95.322963867187497</c:v>
                </c:pt>
                <c:pt idx="12">
                  <c:v>95.322963867187497</c:v>
                </c:pt>
                <c:pt idx="13">
                  <c:v>95.322963867187497</c:v>
                </c:pt>
                <c:pt idx="14">
                  <c:v>95.322963867187497</c:v>
                </c:pt>
                <c:pt idx="15">
                  <c:v>95.322963867187497</c:v>
                </c:pt>
                <c:pt idx="16">
                  <c:v>95.322963867187497</c:v>
                </c:pt>
                <c:pt idx="17">
                  <c:v>93.21565136718749</c:v>
                </c:pt>
                <c:pt idx="18">
                  <c:v>92.260775390625</c:v>
                </c:pt>
                <c:pt idx="19">
                  <c:v>92.260775390625</c:v>
                </c:pt>
                <c:pt idx="20">
                  <c:v>93.051017578124998</c:v>
                </c:pt>
                <c:pt idx="21">
                  <c:v>92.853457031250002</c:v>
                </c:pt>
                <c:pt idx="22">
                  <c:v>92.622969726562502</c:v>
                </c:pt>
                <c:pt idx="23">
                  <c:v>92.622969726562502</c:v>
                </c:pt>
                <c:pt idx="24">
                  <c:v>91.701020507812501</c:v>
                </c:pt>
                <c:pt idx="25">
                  <c:v>91.701020507812501</c:v>
                </c:pt>
                <c:pt idx="26">
                  <c:v>89.955902343749997</c:v>
                </c:pt>
                <c:pt idx="27">
                  <c:v>89.955902343749997</c:v>
                </c:pt>
                <c:pt idx="28">
                  <c:v>89.494927734374997</c:v>
                </c:pt>
                <c:pt idx="29">
                  <c:v>89.363220703124995</c:v>
                </c:pt>
                <c:pt idx="30">
                  <c:v>89.363220703124995</c:v>
                </c:pt>
                <c:pt idx="31">
                  <c:v>89.363220703124995</c:v>
                </c:pt>
                <c:pt idx="32">
                  <c:v>89.363220703124995</c:v>
                </c:pt>
                <c:pt idx="33">
                  <c:v>88.37541796875</c:v>
                </c:pt>
                <c:pt idx="34">
                  <c:v>88.37541796875</c:v>
                </c:pt>
                <c:pt idx="35">
                  <c:v>88.177857421875004</c:v>
                </c:pt>
                <c:pt idx="36">
                  <c:v>88.177857421875004</c:v>
                </c:pt>
                <c:pt idx="37">
                  <c:v>88.177857421875004</c:v>
                </c:pt>
                <c:pt idx="38">
                  <c:v>88.177857421875004</c:v>
                </c:pt>
                <c:pt idx="39">
                  <c:v>88.177857421875004</c:v>
                </c:pt>
                <c:pt idx="40">
                  <c:v>88.177857421875004</c:v>
                </c:pt>
                <c:pt idx="41">
                  <c:v>88.177857421875004</c:v>
                </c:pt>
                <c:pt idx="42">
                  <c:v>88.177857421875004</c:v>
                </c:pt>
                <c:pt idx="43">
                  <c:v>88.177857421875004</c:v>
                </c:pt>
                <c:pt idx="44">
                  <c:v>88.177857421875004</c:v>
                </c:pt>
                <c:pt idx="45">
                  <c:v>88.177857421875004</c:v>
                </c:pt>
                <c:pt idx="46">
                  <c:v>88.177857421875004</c:v>
                </c:pt>
                <c:pt idx="47">
                  <c:v>88.177857421875004</c:v>
                </c:pt>
                <c:pt idx="48">
                  <c:v>88.177857421875004</c:v>
                </c:pt>
                <c:pt idx="49">
                  <c:v>88.177857421875004</c:v>
                </c:pt>
                <c:pt idx="50">
                  <c:v>88.177857421875004</c:v>
                </c:pt>
                <c:pt idx="51">
                  <c:v>88.177857421875004</c:v>
                </c:pt>
                <c:pt idx="52">
                  <c:v>88.0869140625</c:v>
                </c:pt>
                <c:pt idx="53">
                  <c:v>87.988124999999997</c:v>
                </c:pt>
                <c:pt idx="54">
                  <c:v>87.988124999999997</c:v>
                </c:pt>
                <c:pt idx="55">
                  <c:v>88.119843750000001</c:v>
                </c:pt>
                <c:pt idx="56">
                  <c:v>88.119843750000001</c:v>
                </c:pt>
                <c:pt idx="57">
                  <c:v>88.119843750000001</c:v>
                </c:pt>
                <c:pt idx="58">
                  <c:v>88.119843750000001</c:v>
                </c:pt>
                <c:pt idx="59">
                  <c:v>88.119843750000001</c:v>
                </c:pt>
                <c:pt idx="60">
                  <c:v>88.646718749999991</c:v>
                </c:pt>
                <c:pt idx="61">
                  <c:v>88.547929687500002</c:v>
                </c:pt>
                <c:pt idx="62">
                  <c:v>88.152773437500002</c:v>
                </c:pt>
                <c:pt idx="63">
                  <c:v>88.152773437500002</c:v>
                </c:pt>
                <c:pt idx="64">
                  <c:v>88.91015625</c:v>
                </c:pt>
                <c:pt idx="65">
                  <c:v>88.91015625</c:v>
                </c:pt>
                <c:pt idx="66">
                  <c:v>89.469960937499991</c:v>
                </c:pt>
                <c:pt idx="67">
                  <c:v>89.469960937499991</c:v>
                </c:pt>
              </c:numCache>
            </c:numRef>
          </c:val>
          <c:smooth val="0"/>
        </c:ser>
        <c:dLbls>
          <c:showLegendKey val="0"/>
          <c:showVal val="0"/>
          <c:showCatName val="0"/>
          <c:showSerName val="0"/>
          <c:showPercent val="0"/>
          <c:showBubbleSize val="0"/>
        </c:dLbls>
        <c:marker val="1"/>
        <c:smooth val="0"/>
        <c:axId val="273427072"/>
        <c:axId val="276971904"/>
      </c:lineChart>
      <c:dateAx>
        <c:axId val="2734270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6971904"/>
        <c:crosses val="autoZero"/>
        <c:auto val="1"/>
        <c:lblOffset val="100"/>
        <c:baseTimeUnit val="days"/>
      </c:dateAx>
      <c:valAx>
        <c:axId val="27697190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34270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FDC Tier 4 VMAX 879 (TB Allocated)</a:t>
            </a:r>
          </a:p>
        </c:rich>
      </c:tx>
      <c:layout>
        <c:manualLayout>
          <c:xMode val="edge"/>
          <c:yMode val="edge"/>
          <c:x val="0.1448657092570412"/>
          <c:y val="5.1063845468125146E-2"/>
        </c:manualLayout>
      </c:layout>
      <c:overlay val="0"/>
      <c:spPr>
        <a:noFill/>
        <a:ln w="25400">
          <a:noFill/>
        </a:ln>
      </c:spPr>
    </c:title>
    <c:autoTitleDeleted val="0"/>
    <c:plotArea>
      <c:layout/>
      <c:lineChart>
        <c:grouping val="standard"/>
        <c:varyColors val="0"/>
        <c:ser>
          <c:idx val="0"/>
          <c:order val="0"/>
          <c:tx>
            <c:strRef>
              <c:f>'Allocated charts'!$L$2</c:f>
              <c:strCache>
                <c:ptCount val="1"/>
                <c:pt idx="0">
                  <c:v>FDC T4 V-MAX 0879</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charts'!$L$19:$L$86</c:f>
              <c:numCache>
                <c:formatCode>0</c:formatCode>
                <c:ptCount val="68"/>
                <c:pt idx="0">
                  <c:v>265.98234960937498</c:v>
                </c:pt>
                <c:pt idx="1">
                  <c:v>272.27136035156246</c:v>
                </c:pt>
                <c:pt idx="2">
                  <c:v>266.21283691406251</c:v>
                </c:pt>
                <c:pt idx="3">
                  <c:v>272.5347744140625</c:v>
                </c:pt>
                <c:pt idx="4">
                  <c:v>272.96282226562499</c:v>
                </c:pt>
                <c:pt idx="5">
                  <c:v>272.96282226562499</c:v>
                </c:pt>
                <c:pt idx="6">
                  <c:v>274.87257421875</c:v>
                </c:pt>
                <c:pt idx="7">
                  <c:v>274.87257421875</c:v>
                </c:pt>
                <c:pt idx="8">
                  <c:v>274.54330664062496</c:v>
                </c:pt>
                <c:pt idx="9">
                  <c:v>274.87257421875</c:v>
                </c:pt>
                <c:pt idx="10">
                  <c:v>274.87257421875</c:v>
                </c:pt>
                <c:pt idx="11">
                  <c:v>274.54330664062496</c:v>
                </c:pt>
                <c:pt idx="12">
                  <c:v>274.54330664062496</c:v>
                </c:pt>
                <c:pt idx="13">
                  <c:v>274.54330664062496</c:v>
                </c:pt>
                <c:pt idx="14">
                  <c:v>274.54330664062496</c:v>
                </c:pt>
                <c:pt idx="15">
                  <c:v>274.54330664062496</c:v>
                </c:pt>
                <c:pt idx="16">
                  <c:v>267.957955078125</c:v>
                </c:pt>
                <c:pt idx="17">
                  <c:v>269.04453808593752</c:v>
                </c:pt>
                <c:pt idx="18">
                  <c:v>268.81405078124999</c:v>
                </c:pt>
                <c:pt idx="19">
                  <c:v>268.81405078124999</c:v>
                </c:pt>
                <c:pt idx="20">
                  <c:v>268.81405078124999</c:v>
                </c:pt>
                <c:pt idx="21">
                  <c:v>268.97868457031251</c:v>
                </c:pt>
                <c:pt idx="22">
                  <c:v>268.81405078124999</c:v>
                </c:pt>
                <c:pt idx="23">
                  <c:v>269.01161132812501</c:v>
                </c:pt>
                <c:pt idx="24">
                  <c:v>275.03720800781247</c:v>
                </c:pt>
                <c:pt idx="25">
                  <c:v>275.03720800781247</c:v>
                </c:pt>
                <c:pt idx="26">
                  <c:v>275.03720800781247</c:v>
                </c:pt>
                <c:pt idx="27">
                  <c:v>275.03720800781247</c:v>
                </c:pt>
                <c:pt idx="28">
                  <c:v>275.92623046874996</c:v>
                </c:pt>
                <c:pt idx="29">
                  <c:v>275.92623046874996</c:v>
                </c:pt>
                <c:pt idx="30">
                  <c:v>275.92623046874996</c:v>
                </c:pt>
                <c:pt idx="31">
                  <c:v>275.92623046874996</c:v>
                </c:pt>
                <c:pt idx="32">
                  <c:v>275.92623046874996</c:v>
                </c:pt>
                <c:pt idx="33">
                  <c:v>275.92623046874996</c:v>
                </c:pt>
                <c:pt idx="34">
                  <c:v>275.92623046874996</c:v>
                </c:pt>
                <c:pt idx="35">
                  <c:v>275.92623046874996</c:v>
                </c:pt>
                <c:pt idx="36">
                  <c:v>275.92623046874996</c:v>
                </c:pt>
                <c:pt idx="37">
                  <c:v>275.92623046874996</c:v>
                </c:pt>
                <c:pt idx="38">
                  <c:v>275.92623046874996</c:v>
                </c:pt>
                <c:pt idx="39">
                  <c:v>275.92623046874996</c:v>
                </c:pt>
                <c:pt idx="40">
                  <c:v>275.92623046874996</c:v>
                </c:pt>
                <c:pt idx="41">
                  <c:v>275.92623046874996</c:v>
                </c:pt>
                <c:pt idx="42">
                  <c:v>276.650619140625</c:v>
                </c:pt>
                <c:pt idx="43">
                  <c:v>276.650619140625</c:v>
                </c:pt>
                <c:pt idx="44">
                  <c:v>276.650619140625</c:v>
                </c:pt>
                <c:pt idx="45">
                  <c:v>276.650619140625</c:v>
                </c:pt>
                <c:pt idx="46">
                  <c:v>276.650619140625</c:v>
                </c:pt>
                <c:pt idx="47">
                  <c:v>274.18111230468747</c:v>
                </c:pt>
                <c:pt idx="48">
                  <c:v>274.18111230468747</c:v>
                </c:pt>
                <c:pt idx="49">
                  <c:v>274.18111230468747</c:v>
                </c:pt>
                <c:pt idx="50">
                  <c:v>274.18111230468747</c:v>
                </c:pt>
                <c:pt idx="51">
                  <c:v>274.18111230468747</c:v>
                </c:pt>
                <c:pt idx="52">
                  <c:v>274.2055078125</c:v>
                </c:pt>
                <c:pt idx="53">
                  <c:v>274.2055078125</c:v>
                </c:pt>
                <c:pt idx="54">
                  <c:v>274.60066406250002</c:v>
                </c:pt>
                <c:pt idx="55">
                  <c:v>274.60066406250002</c:v>
                </c:pt>
                <c:pt idx="56">
                  <c:v>264.49124999999998</c:v>
                </c:pt>
                <c:pt idx="57">
                  <c:v>264.49124999999998</c:v>
                </c:pt>
                <c:pt idx="58">
                  <c:v>264.49124999999998</c:v>
                </c:pt>
                <c:pt idx="59">
                  <c:v>264.49124999999998</c:v>
                </c:pt>
                <c:pt idx="60">
                  <c:v>264.49124999999998</c:v>
                </c:pt>
                <c:pt idx="61">
                  <c:v>264.49124999999998</c:v>
                </c:pt>
                <c:pt idx="62">
                  <c:v>261.33</c:v>
                </c:pt>
                <c:pt idx="63">
                  <c:v>261.33</c:v>
                </c:pt>
                <c:pt idx="64">
                  <c:v>261.33</c:v>
                </c:pt>
                <c:pt idx="65">
                  <c:v>261.33</c:v>
                </c:pt>
                <c:pt idx="66">
                  <c:v>261.52757812499999</c:v>
                </c:pt>
                <c:pt idx="67">
                  <c:v>261.52757812499999</c:v>
                </c:pt>
              </c:numCache>
            </c:numRef>
          </c:val>
          <c:smooth val="0"/>
        </c:ser>
        <c:dLbls>
          <c:showLegendKey val="0"/>
          <c:showVal val="0"/>
          <c:showCatName val="0"/>
          <c:showSerName val="0"/>
          <c:showPercent val="0"/>
          <c:showBubbleSize val="0"/>
        </c:dLbls>
        <c:marker val="1"/>
        <c:smooth val="0"/>
        <c:axId val="276996096"/>
        <c:axId val="276997632"/>
      </c:lineChart>
      <c:dateAx>
        <c:axId val="2769960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6997632"/>
        <c:crosses val="autoZero"/>
        <c:auto val="1"/>
        <c:lblOffset val="100"/>
        <c:baseTimeUnit val="days"/>
      </c:dateAx>
      <c:valAx>
        <c:axId val="27699763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69960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3099899232015191"/>
          <c:y val="0.14218065230273069"/>
          <c:w val="0.81319518969812365"/>
          <c:h val="0.64123990235887229"/>
        </c:manualLayout>
      </c:layout>
      <c:lineChart>
        <c:grouping val="standard"/>
        <c:varyColors val="0"/>
        <c:ser>
          <c:idx val="0"/>
          <c:order val="0"/>
          <c:tx>
            <c:strRef>
              <c:f>'Allocated charts'!$O$2</c:f>
              <c:strCache>
                <c:ptCount val="1"/>
                <c:pt idx="0">
                  <c:v>FDC T3 V-MAX 2231</c:v>
                </c:pt>
              </c:strCache>
            </c:strRef>
          </c:tx>
          <c:cat>
            <c:numRef>
              <c:f>'Allocated charts'!$A$19:$A$87</c:f>
              <c:numCache>
                <c:formatCode>[$-409]d\-mmm\-yy;@</c:formatCode>
                <c:ptCount val="6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charts'!$O$19:$O$86</c:f>
              <c:numCache>
                <c:formatCode>0</c:formatCode>
                <c:ptCount val="68"/>
                <c:pt idx="0">
                  <c:v>195.32152734375001</c:v>
                </c:pt>
                <c:pt idx="1">
                  <c:v>182.15082421874996</c:v>
                </c:pt>
                <c:pt idx="2">
                  <c:v>181.68984960937496</c:v>
                </c:pt>
                <c:pt idx="3">
                  <c:v>181.68984960937496</c:v>
                </c:pt>
                <c:pt idx="4">
                  <c:v>180.6691201171875</c:v>
                </c:pt>
                <c:pt idx="5">
                  <c:v>180.37277929687497</c:v>
                </c:pt>
                <c:pt idx="6">
                  <c:v>189.7569052734375</c:v>
                </c:pt>
                <c:pt idx="7">
                  <c:v>189.7569052734375</c:v>
                </c:pt>
                <c:pt idx="8">
                  <c:v>275.69574316406249</c:v>
                </c:pt>
                <c:pt idx="9">
                  <c:v>275.69574316406249</c:v>
                </c:pt>
                <c:pt idx="10">
                  <c:v>275.69574316406249</c:v>
                </c:pt>
                <c:pt idx="11">
                  <c:v>273.22623632812497</c:v>
                </c:pt>
                <c:pt idx="12">
                  <c:v>270.723802734375</c:v>
                </c:pt>
                <c:pt idx="13">
                  <c:v>256.26895605468746</c:v>
                </c:pt>
                <c:pt idx="14">
                  <c:v>254.16164355468749</c:v>
                </c:pt>
                <c:pt idx="15">
                  <c:v>250.96774804687499</c:v>
                </c:pt>
                <c:pt idx="16">
                  <c:v>250.96774804687499</c:v>
                </c:pt>
                <c:pt idx="17">
                  <c:v>249.97994531249998</c:v>
                </c:pt>
                <c:pt idx="18">
                  <c:v>249.74945800781248</c:v>
                </c:pt>
                <c:pt idx="19">
                  <c:v>248.7616552734375</c:v>
                </c:pt>
                <c:pt idx="20">
                  <c:v>247.24702441406248</c:v>
                </c:pt>
                <c:pt idx="21">
                  <c:v>247.24702441406248</c:v>
                </c:pt>
                <c:pt idx="22">
                  <c:v>247.24702441406248</c:v>
                </c:pt>
                <c:pt idx="23">
                  <c:v>247.24702441406248</c:v>
                </c:pt>
                <c:pt idx="24">
                  <c:v>246.65434277343749</c:v>
                </c:pt>
                <c:pt idx="25">
                  <c:v>246.65434277343749</c:v>
                </c:pt>
                <c:pt idx="26">
                  <c:v>246.62141601562499</c:v>
                </c:pt>
                <c:pt idx="27">
                  <c:v>244.97507812499998</c:v>
                </c:pt>
                <c:pt idx="28">
                  <c:v>244.97507812499998</c:v>
                </c:pt>
                <c:pt idx="29">
                  <c:v>244.97507812499998</c:v>
                </c:pt>
                <c:pt idx="30">
                  <c:v>244.2177626953125</c:v>
                </c:pt>
                <c:pt idx="31">
                  <c:v>244.2177626953125</c:v>
                </c:pt>
                <c:pt idx="32">
                  <c:v>244.2177626953125</c:v>
                </c:pt>
                <c:pt idx="33">
                  <c:v>244.2177626953125</c:v>
                </c:pt>
                <c:pt idx="34">
                  <c:v>244.2177626953125</c:v>
                </c:pt>
                <c:pt idx="35">
                  <c:v>249.84823828124999</c:v>
                </c:pt>
                <c:pt idx="36">
                  <c:v>249.84823828124999</c:v>
                </c:pt>
                <c:pt idx="37">
                  <c:v>249.58482421874999</c:v>
                </c:pt>
                <c:pt idx="38">
                  <c:v>249.18970312499999</c:v>
                </c:pt>
                <c:pt idx="39">
                  <c:v>249.05799609374998</c:v>
                </c:pt>
                <c:pt idx="40">
                  <c:v>243.26288671875</c:v>
                </c:pt>
                <c:pt idx="41">
                  <c:v>243.26288671875</c:v>
                </c:pt>
                <c:pt idx="42">
                  <c:v>239.83850390625</c:v>
                </c:pt>
                <c:pt idx="43">
                  <c:v>235.65680566406249</c:v>
                </c:pt>
                <c:pt idx="44">
                  <c:v>233.97754101562498</c:v>
                </c:pt>
                <c:pt idx="45">
                  <c:v>233.97754101562498</c:v>
                </c:pt>
                <c:pt idx="46">
                  <c:v>233.97754101562498</c:v>
                </c:pt>
                <c:pt idx="47">
                  <c:v>232.46291015624999</c:v>
                </c:pt>
                <c:pt idx="48">
                  <c:v>217.71172265625</c:v>
                </c:pt>
                <c:pt idx="49">
                  <c:v>217.250748046875</c:v>
                </c:pt>
                <c:pt idx="50">
                  <c:v>213.1349033203125</c:v>
                </c:pt>
                <c:pt idx="51">
                  <c:v>213.1349033203125</c:v>
                </c:pt>
                <c:pt idx="52">
                  <c:v>213.1538671875</c:v>
                </c:pt>
                <c:pt idx="53">
                  <c:v>212.56113281250001</c:v>
                </c:pt>
                <c:pt idx="54">
                  <c:v>212.56113281250001</c:v>
                </c:pt>
                <c:pt idx="55">
                  <c:v>252.96585937500001</c:v>
                </c:pt>
                <c:pt idx="56">
                  <c:v>252.96585937500001</c:v>
                </c:pt>
                <c:pt idx="57">
                  <c:v>252.96585937500001</c:v>
                </c:pt>
                <c:pt idx="58">
                  <c:v>252.96585937500001</c:v>
                </c:pt>
                <c:pt idx="59">
                  <c:v>252.96585937500001</c:v>
                </c:pt>
                <c:pt idx="60">
                  <c:v>251.91210937499997</c:v>
                </c:pt>
                <c:pt idx="61">
                  <c:v>246.44578125000001</c:v>
                </c:pt>
                <c:pt idx="62">
                  <c:v>221.22164062499999</c:v>
                </c:pt>
                <c:pt idx="63">
                  <c:v>221.22164062499999</c:v>
                </c:pt>
                <c:pt idx="64">
                  <c:v>221.22164062499999</c:v>
                </c:pt>
                <c:pt idx="65">
                  <c:v>221.22164062499999</c:v>
                </c:pt>
                <c:pt idx="66">
                  <c:v>221.22164062499999</c:v>
                </c:pt>
                <c:pt idx="67">
                  <c:v>221.22164062499999</c:v>
                </c:pt>
              </c:numCache>
            </c:numRef>
          </c:val>
          <c:smooth val="0"/>
        </c:ser>
        <c:dLbls>
          <c:showLegendKey val="0"/>
          <c:showVal val="0"/>
          <c:showCatName val="0"/>
          <c:showSerName val="0"/>
          <c:showPercent val="0"/>
          <c:showBubbleSize val="0"/>
        </c:dLbls>
        <c:marker val="1"/>
        <c:smooth val="0"/>
        <c:axId val="276694144"/>
        <c:axId val="276695680"/>
      </c:lineChart>
      <c:dateAx>
        <c:axId val="2766941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6695680"/>
        <c:crosses val="autoZero"/>
        <c:auto val="1"/>
        <c:lblOffset val="100"/>
        <c:baseTimeUnit val="days"/>
      </c:dateAx>
      <c:valAx>
        <c:axId val="27669568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66941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charts'!$G$2</c:f>
              <c:strCache>
                <c:ptCount val="1"/>
                <c:pt idx="0">
                  <c:v>RDC T4 V-MAX 3073</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charts'!$G$19:$G$86</c:f>
              <c:numCache>
                <c:formatCode>0</c:formatCode>
                <c:ptCount val="68"/>
                <c:pt idx="0">
                  <c:v>448.39658789062497</c:v>
                </c:pt>
                <c:pt idx="1">
                  <c:v>448.39658789062497</c:v>
                </c:pt>
                <c:pt idx="2">
                  <c:v>448.39658789062497</c:v>
                </c:pt>
                <c:pt idx="3">
                  <c:v>449.84536523437498</c:v>
                </c:pt>
                <c:pt idx="4">
                  <c:v>449.84536523437498</c:v>
                </c:pt>
                <c:pt idx="5">
                  <c:v>449.84536523437498</c:v>
                </c:pt>
                <c:pt idx="6">
                  <c:v>449.84536523437498</c:v>
                </c:pt>
                <c:pt idx="7">
                  <c:v>449.84536523437498</c:v>
                </c:pt>
                <c:pt idx="8">
                  <c:v>449.84536523437498</c:v>
                </c:pt>
                <c:pt idx="9">
                  <c:v>449.84536523437498</c:v>
                </c:pt>
                <c:pt idx="10">
                  <c:v>449.84536523437498</c:v>
                </c:pt>
                <c:pt idx="11">
                  <c:v>449.84536523437498</c:v>
                </c:pt>
                <c:pt idx="12">
                  <c:v>449.84536523437498</c:v>
                </c:pt>
                <c:pt idx="13">
                  <c:v>449.84536523437498</c:v>
                </c:pt>
                <c:pt idx="14">
                  <c:v>450.4709736328125</c:v>
                </c:pt>
                <c:pt idx="15">
                  <c:v>450.4709736328125</c:v>
                </c:pt>
                <c:pt idx="16">
                  <c:v>450.4709736328125</c:v>
                </c:pt>
                <c:pt idx="17">
                  <c:v>450.40512011718749</c:v>
                </c:pt>
                <c:pt idx="18">
                  <c:v>450.17463281249996</c:v>
                </c:pt>
                <c:pt idx="19">
                  <c:v>447.44171191406247</c:v>
                </c:pt>
                <c:pt idx="20">
                  <c:v>447.44171191406247</c:v>
                </c:pt>
                <c:pt idx="21">
                  <c:v>447.80390625000001</c:v>
                </c:pt>
                <c:pt idx="22">
                  <c:v>447.80390625000001</c:v>
                </c:pt>
                <c:pt idx="23">
                  <c:v>447.80390625000001</c:v>
                </c:pt>
                <c:pt idx="24">
                  <c:v>451.91975097656251</c:v>
                </c:pt>
                <c:pt idx="25">
                  <c:v>451.91975097656251</c:v>
                </c:pt>
                <c:pt idx="26">
                  <c:v>449.68073144531246</c:v>
                </c:pt>
                <c:pt idx="27">
                  <c:v>449.68073144531246</c:v>
                </c:pt>
                <c:pt idx="28">
                  <c:v>448.69292871093751</c:v>
                </c:pt>
                <c:pt idx="29">
                  <c:v>448.5941484375</c:v>
                </c:pt>
                <c:pt idx="30">
                  <c:v>448.52829492187499</c:v>
                </c:pt>
                <c:pt idx="31">
                  <c:v>448.52829492187499</c:v>
                </c:pt>
                <c:pt idx="32">
                  <c:v>448.52829492187499</c:v>
                </c:pt>
                <c:pt idx="33">
                  <c:v>448.52829492187499</c:v>
                </c:pt>
                <c:pt idx="34">
                  <c:v>448.33073437499996</c:v>
                </c:pt>
                <c:pt idx="35">
                  <c:v>446.94781054687496</c:v>
                </c:pt>
                <c:pt idx="36">
                  <c:v>442.99659960937498</c:v>
                </c:pt>
                <c:pt idx="37">
                  <c:v>442.99659960937498</c:v>
                </c:pt>
                <c:pt idx="38">
                  <c:v>442.99659960937498</c:v>
                </c:pt>
                <c:pt idx="39">
                  <c:v>442.99659960937498</c:v>
                </c:pt>
                <c:pt idx="40">
                  <c:v>442.99659960937498</c:v>
                </c:pt>
                <c:pt idx="41">
                  <c:v>442.7002587890625</c:v>
                </c:pt>
                <c:pt idx="42">
                  <c:v>441.67952929687499</c:v>
                </c:pt>
                <c:pt idx="43">
                  <c:v>441.67952929687499</c:v>
                </c:pt>
                <c:pt idx="44">
                  <c:v>441.67952929687499</c:v>
                </c:pt>
                <c:pt idx="45">
                  <c:v>441.67952929687499</c:v>
                </c:pt>
                <c:pt idx="46">
                  <c:v>441.67952929687499</c:v>
                </c:pt>
                <c:pt idx="47">
                  <c:v>441.67952929687499</c:v>
                </c:pt>
                <c:pt idx="48">
                  <c:v>441.67952929687499</c:v>
                </c:pt>
                <c:pt idx="49">
                  <c:v>441.67952929687499</c:v>
                </c:pt>
                <c:pt idx="50">
                  <c:v>440.92221386718751</c:v>
                </c:pt>
                <c:pt idx="51">
                  <c:v>440.92221386718751</c:v>
                </c:pt>
                <c:pt idx="52">
                  <c:v>440.96144531249996</c:v>
                </c:pt>
                <c:pt idx="53">
                  <c:v>440.96144531249996</c:v>
                </c:pt>
                <c:pt idx="54">
                  <c:v>440.96144531249996</c:v>
                </c:pt>
                <c:pt idx="55">
                  <c:v>440.96144531249996</c:v>
                </c:pt>
                <c:pt idx="56">
                  <c:v>440.3687109375</c:v>
                </c:pt>
                <c:pt idx="57">
                  <c:v>440.3687109375</c:v>
                </c:pt>
                <c:pt idx="58">
                  <c:v>438.95273437499998</c:v>
                </c:pt>
                <c:pt idx="59">
                  <c:v>438.95273437499998</c:v>
                </c:pt>
                <c:pt idx="60">
                  <c:v>437.63554687499999</c:v>
                </c:pt>
                <c:pt idx="61">
                  <c:v>437.43796874999998</c:v>
                </c:pt>
                <c:pt idx="62">
                  <c:v>436.77937499999996</c:v>
                </c:pt>
                <c:pt idx="63">
                  <c:v>436.77937499999996</c:v>
                </c:pt>
                <c:pt idx="64">
                  <c:v>436.77937499999996</c:v>
                </c:pt>
                <c:pt idx="65">
                  <c:v>436.77937499999996</c:v>
                </c:pt>
                <c:pt idx="66">
                  <c:v>436.81230468749999</c:v>
                </c:pt>
                <c:pt idx="67">
                  <c:v>425.05640625000001</c:v>
                </c:pt>
              </c:numCache>
            </c:numRef>
          </c:val>
          <c:smooth val="0"/>
        </c:ser>
        <c:dLbls>
          <c:showLegendKey val="0"/>
          <c:showVal val="0"/>
          <c:showCatName val="0"/>
          <c:showSerName val="0"/>
          <c:showPercent val="0"/>
          <c:showBubbleSize val="0"/>
        </c:dLbls>
        <c:marker val="1"/>
        <c:smooth val="0"/>
        <c:axId val="276732160"/>
        <c:axId val="276742144"/>
      </c:lineChart>
      <c:dateAx>
        <c:axId val="27673216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6742144"/>
        <c:crosses val="autoZero"/>
        <c:auto val="1"/>
        <c:lblOffset val="100"/>
        <c:baseTimeUnit val="days"/>
      </c:dateAx>
      <c:valAx>
        <c:axId val="27674214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67321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58828289894840857"/>
        </c:manualLayout>
      </c:layout>
      <c:lineChart>
        <c:grouping val="standard"/>
        <c:varyColors val="0"/>
        <c:ser>
          <c:idx val="0"/>
          <c:order val="0"/>
          <c:tx>
            <c:strRef>
              <c:f>'Allocated charts'!$H$2</c:f>
              <c:strCache>
                <c:ptCount val="1"/>
                <c:pt idx="0">
                  <c:v>RDC T3 V-MAX 2230</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charts'!$H$19:$H$86</c:f>
              <c:numCache>
                <c:formatCode>0</c:formatCode>
                <c:ptCount val="68"/>
                <c:pt idx="0">
                  <c:v>233.18729882812499</c:v>
                </c:pt>
                <c:pt idx="1">
                  <c:v>220.01659570312501</c:v>
                </c:pt>
                <c:pt idx="2">
                  <c:v>219.489767578125</c:v>
                </c:pt>
                <c:pt idx="3">
                  <c:v>218.53489160156249</c:v>
                </c:pt>
                <c:pt idx="4">
                  <c:v>152.68137597656249</c:v>
                </c:pt>
                <c:pt idx="5">
                  <c:v>152.38503515624998</c:v>
                </c:pt>
                <c:pt idx="6">
                  <c:v>161.76916113281248</c:v>
                </c:pt>
                <c:pt idx="7">
                  <c:v>161.76916113281248</c:v>
                </c:pt>
                <c:pt idx="8">
                  <c:v>161.6374541015625</c:v>
                </c:pt>
                <c:pt idx="9">
                  <c:v>161.6374541015625</c:v>
                </c:pt>
                <c:pt idx="10">
                  <c:v>161.6374541015625</c:v>
                </c:pt>
                <c:pt idx="11">
                  <c:v>159.167947265625</c:v>
                </c:pt>
                <c:pt idx="12">
                  <c:v>156.665513671875</c:v>
                </c:pt>
                <c:pt idx="13">
                  <c:v>145.207001953125</c:v>
                </c:pt>
                <c:pt idx="14">
                  <c:v>145.207001953125</c:v>
                </c:pt>
                <c:pt idx="15">
                  <c:v>142.0131064453125</c:v>
                </c:pt>
                <c:pt idx="16">
                  <c:v>142.0131064453125</c:v>
                </c:pt>
                <c:pt idx="17">
                  <c:v>141.02530371093749</c:v>
                </c:pt>
                <c:pt idx="18">
                  <c:v>140.79481640624999</c:v>
                </c:pt>
                <c:pt idx="19">
                  <c:v>139.80701367187498</c:v>
                </c:pt>
                <c:pt idx="20">
                  <c:v>138.29238281249999</c:v>
                </c:pt>
                <c:pt idx="21">
                  <c:v>138.29238281249999</c:v>
                </c:pt>
                <c:pt idx="22">
                  <c:v>138.29238281249999</c:v>
                </c:pt>
                <c:pt idx="23">
                  <c:v>138.29238281249999</c:v>
                </c:pt>
                <c:pt idx="24">
                  <c:v>137.93018847656251</c:v>
                </c:pt>
                <c:pt idx="25">
                  <c:v>137.93018847656251</c:v>
                </c:pt>
                <c:pt idx="26">
                  <c:v>137.6667744140625</c:v>
                </c:pt>
                <c:pt idx="27">
                  <c:v>136.77775195312501</c:v>
                </c:pt>
                <c:pt idx="28">
                  <c:v>136.77775195312501</c:v>
                </c:pt>
                <c:pt idx="29">
                  <c:v>136.77775195312501</c:v>
                </c:pt>
                <c:pt idx="30">
                  <c:v>136.0204365234375</c:v>
                </c:pt>
                <c:pt idx="31">
                  <c:v>136.0204365234375</c:v>
                </c:pt>
                <c:pt idx="32">
                  <c:v>136.0204365234375</c:v>
                </c:pt>
                <c:pt idx="33">
                  <c:v>136.0204365234375</c:v>
                </c:pt>
                <c:pt idx="34">
                  <c:v>136.0204365234375</c:v>
                </c:pt>
                <c:pt idx="35">
                  <c:v>139.5106728515625</c:v>
                </c:pt>
                <c:pt idx="36">
                  <c:v>139.5106728515625</c:v>
                </c:pt>
                <c:pt idx="37">
                  <c:v>139.2472587890625</c:v>
                </c:pt>
                <c:pt idx="38">
                  <c:v>138.85213769531248</c:v>
                </c:pt>
                <c:pt idx="39">
                  <c:v>138.72043066406249</c:v>
                </c:pt>
                <c:pt idx="40">
                  <c:v>137.63384765625</c:v>
                </c:pt>
                <c:pt idx="41">
                  <c:v>132.92532128906248</c:v>
                </c:pt>
                <c:pt idx="42">
                  <c:v>130.587521484375</c:v>
                </c:pt>
                <c:pt idx="43">
                  <c:v>130.02776660156249</c:v>
                </c:pt>
                <c:pt idx="44">
                  <c:v>125.38509374999998</c:v>
                </c:pt>
                <c:pt idx="45">
                  <c:v>125.38509374999998</c:v>
                </c:pt>
                <c:pt idx="46">
                  <c:v>125.38509374999998</c:v>
                </c:pt>
                <c:pt idx="47">
                  <c:v>117.18633105468749</c:v>
                </c:pt>
                <c:pt idx="48">
                  <c:v>115.34243261718748</c:v>
                </c:pt>
                <c:pt idx="49">
                  <c:v>115.34243261718748</c:v>
                </c:pt>
                <c:pt idx="50">
                  <c:v>111.72048925781249</c:v>
                </c:pt>
                <c:pt idx="51">
                  <c:v>111.72048925781249</c:v>
                </c:pt>
                <c:pt idx="52">
                  <c:v>111.73042968749999</c:v>
                </c:pt>
                <c:pt idx="53">
                  <c:v>111.1376953125</c:v>
                </c:pt>
                <c:pt idx="54">
                  <c:v>111.1376953125</c:v>
                </c:pt>
                <c:pt idx="55">
                  <c:v>110.64374999999998</c:v>
                </c:pt>
                <c:pt idx="56">
                  <c:v>109.26070312499999</c:v>
                </c:pt>
                <c:pt idx="57">
                  <c:v>109.26070312499999</c:v>
                </c:pt>
                <c:pt idx="58">
                  <c:v>108.40453124999999</c:v>
                </c:pt>
                <c:pt idx="59">
                  <c:v>108.40453124999999</c:v>
                </c:pt>
                <c:pt idx="60">
                  <c:v>108.14109374999998</c:v>
                </c:pt>
                <c:pt idx="61">
                  <c:v>106.42875000000001</c:v>
                </c:pt>
                <c:pt idx="62">
                  <c:v>100.10624999999999</c:v>
                </c:pt>
                <c:pt idx="63">
                  <c:v>100.10624999999999</c:v>
                </c:pt>
                <c:pt idx="64">
                  <c:v>100.10624999999999</c:v>
                </c:pt>
                <c:pt idx="65">
                  <c:v>100.10624999999999</c:v>
                </c:pt>
                <c:pt idx="66">
                  <c:v>100.10624999999999</c:v>
                </c:pt>
                <c:pt idx="67">
                  <c:v>100.10624999999999</c:v>
                </c:pt>
              </c:numCache>
            </c:numRef>
          </c:val>
          <c:smooth val="0"/>
        </c:ser>
        <c:dLbls>
          <c:showLegendKey val="0"/>
          <c:showVal val="0"/>
          <c:showCatName val="0"/>
          <c:showSerName val="0"/>
          <c:showPercent val="0"/>
          <c:showBubbleSize val="0"/>
        </c:dLbls>
        <c:marker val="1"/>
        <c:smooth val="0"/>
        <c:axId val="276749696"/>
        <c:axId val="276771968"/>
      </c:lineChart>
      <c:dateAx>
        <c:axId val="2767496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6771968"/>
        <c:crosses val="autoZero"/>
        <c:auto val="1"/>
        <c:lblOffset val="100"/>
        <c:baseTimeUnit val="days"/>
      </c:dateAx>
      <c:valAx>
        <c:axId val="27677196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67496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008773460594501"/>
        </c:manualLayout>
      </c:layout>
      <c:lineChart>
        <c:grouping val="standard"/>
        <c:varyColors val="0"/>
        <c:ser>
          <c:idx val="0"/>
          <c:order val="0"/>
          <c:tx>
            <c:strRef>
              <c:f>'Allocated charts'!$M$2</c:f>
              <c:strCache>
                <c:ptCount val="1"/>
                <c:pt idx="0">
                  <c:v>FDC T4 V-MAX 3004</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charts'!$M$19:$M$86</c:f>
              <c:numCache>
                <c:formatCode>0</c:formatCode>
                <c:ptCount val="68"/>
                <c:pt idx="0">
                  <c:v>357.97971093749999</c:v>
                </c:pt>
                <c:pt idx="1">
                  <c:v>357.97971093749999</c:v>
                </c:pt>
                <c:pt idx="2">
                  <c:v>357.97971093749999</c:v>
                </c:pt>
                <c:pt idx="3">
                  <c:v>357.97971093749999</c:v>
                </c:pt>
                <c:pt idx="4">
                  <c:v>357.97971093749999</c:v>
                </c:pt>
                <c:pt idx="5">
                  <c:v>357.97971093749999</c:v>
                </c:pt>
                <c:pt idx="6">
                  <c:v>360.15287695312497</c:v>
                </c:pt>
                <c:pt idx="7">
                  <c:v>360.11995019531247</c:v>
                </c:pt>
                <c:pt idx="8">
                  <c:v>360.11995019531247</c:v>
                </c:pt>
                <c:pt idx="9">
                  <c:v>360.11995019531247</c:v>
                </c:pt>
                <c:pt idx="10">
                  <c:v>360.11995019531247</c:v>
                </c:pt>
                <c:pt idx="11">
                  <c:v>360.11995019531247</c:v>
                </c:pt>
                <c:pt idx="12">
                  <c:v>360.11995019531247</c:v>
                </c:pt>
                <c:pt idx="13">
                  <c:v>354.3906943359375</c:v>
                </c:pt>
                <c:pt idx="14">
                  <c:v>354.3906943359375</c:v>
                </c:pt>
                <c:pt idx="15">
                  <c:v>354.3906943359375</c:v>
                </c:pt>
                <c:pt idx="16">
                  <c:v>354.3906943359375</c:v>
                </c:pt>
                <c:pt idx="17">
                  <c:v>354.3906943359375</c:v>
                </c:pt>
                <c:pt idx="18">
                  <c:v>354.3906943359375</c:v>
                </c:pt>
                <c:pt idx="19">
                  <c:v>353.13947753906251</c:v>
                </c:pt>
                <c:pt idx="20">
                  <c:v>350.47241015624996</c:v>
                </c:pt>
                <c:pt idx="21">
                  <c:v>367.00164257812497</c:v>
                </c:pt>
                <c:pt idx="22">
                  <c:v>367.00164257812497</c:v>
                </c:pt>
                <c:pt idx="23">
                  <c:v>367.00164257812497</c:v>
                </c:pt>
                <c:pt idx="24">
                  <c:v>366.50774121093747</c:v>
                </c:pt>
                <c:pt idx="25">
                  <c:v>366.50774121093747</c:v>
                </c:pt>
                <c:pt idx="26">
                  <c:v>366.50774121093747</c:v>
                </c:pt>
                <c:pt idx="27">
                  <c:v>366.50774121093747</c:v>
                </c:pt>
                <c:pt idx="28">
                  <c:v>366.50774121093747</c:v>
                </c:pt>
                <c:pt idx="29">
                  <c:v>365.816279296875</c:v>
                </c:pt>
                <c:pt idx="30">
                  <c:v>365.816279296875</c:v>
                </c:pt>
                <c:pt idx="31">
                  <c:v>365.816279296875</c:v>
                </c:pt>
                <c:pt idx="32">
                  <c:v>365.816279296875</c:v>
                </c:pt>
                <c:pt idx="33">
                  <c:v>363.74189355468746</c:v>
                </c:pt>
                <c:pt idx="34">
                  <c:v>363.64311328125001</c:v>
                </c:pt>
                <c:pt idx="35">
                  <c:v>363.97238085937499</c:v>
                </c:pt>
                <c:pt idx="36">
                  <c:v>363.47847949218749</c:v>
                </c:pt>
                <c:pt idx="37">
                  <c:v>363.18213867187501</c:v>
                </c:pt>
                <c:pt idx="38">
                  <c:v>368.6150537109375</c:v>
                </c:pt>
                <c:pt idx="39">
                  <c:v>368.6150537109375</c:v>
                </c:pt>
                <c:pt idx="40">
                  <c:v>363.87360058593748</c:v>
                </c:pt>
                <c:pt idx="41">
                  <c:v>363.87360058593748</c:v>
                </c:pt>
                <c:pt idx="42">
                  <c:v>363.97238085937499</c:v>
                </c:pt>
                <c:pt idx="43">
                  <c:v>362.91872460937498</c:v>
                </c:pt>
                <c:pt idx="44">
                  <c:v>362.91872460937498</c:v>
                </c:pt>
                <c:pt idx="45">
                  <c:v>347.113880859375</c:v>
                </c:pt>
                <c:pt idx="46">
                  <c:v>347.113880859375</c:v>
                </c:pt>
                <c:pt idx="47">
                  <c:v>347.113880859375</c:v>
                </c:pt>
                <c:pt idx="48">
                  <c:v>344.97364160156246</c:v>
                </c:pt>
                <c:pt idx="49">
                  <c:v>344.97364160156246</c:v>
                </c:pt>
                <c:pt idx="50">
                  <c:v>335.95170996093748</c:v>
                </c:pt>
                <c:pt idx="51">
                  <c:v>335.88585644531247</c:v>
                </c:pt>
                <c:pt idx="52">
                  <c:v>335.91574218749997</c:v>
                </c:pt>
                <c:pt idx="53">
                  <c:v>335.91574218749997</c:v>
                </c:pt>
                <c:pt idx="54">
                  <c:v>323.30367187499996</c:v>
                </c:pt>
                <c:pt idx="55">
                  <c:v>323.30367187499996</c:v>
                </c:pt>
                <c:pt idx="56">
                  <c:v>323.30367187499996</c:v>
                </c:pt>
                <c:pt idx="57">
                  <c:v>323.30367187499996</c:v>
                </c:pt>
                <c:pt idx="58">
                  <c:v>323.30367187499996</c:v>
                </c:pt>
                <c:pt idx="59">
                  <c:v>323.30367187499996</c:v>
                </c:pt>
                <c:pt idx="60">
                  <c:v>321.65718749999996</c:v>
                </c:pt>
                <c:pt idx="61">
                  <c:v>321.59132812499996</c:v>
                </c:pt>
                <c:pt idx="62">
                  <c:v>319.91191406249999</c:v>
                </c:pt>
                <c:pt idx="63">
                  <c:v>314.67609375000001</c:v>
                </c:pt>
                <c:pt idx="64">
                  <c:v>314.67609375000001</c:v>
                </c:pt>
                <c:pt idx="65">
                  <c:v>314.67609375000001</c:v>
                </c:pt>
                <c:pt idx="66">
                  <c:v>314.70902343749998</c:v>
                </c:pt>
                <c:pt idx="67">
                  <c:v>314.70902343749998</c:v>
                </c:pt>
              </c:numCache>
            </c:numRef>
          </c:val>
          <c:smooth val="0"/>
        </c:ser>
        <c:dLbls>
          <c:showLegendKey val="0"/>
          <c:showVal val="0"/>
          <c:showCatName val="0"/>
          <c:showSerName val="0"/>
          <c:showPercent val="0"/>
          <c:showBubbleSize val="0"/>
        </c:dLbls>
        <c:marker val="1"/>
        <c:smooth val="0"/>
        <c:axId val="276800256"/>
        <c:axId val="276801792"/>
      </c:lineChart>
      <c:dateAx>
        <c:axId val="27680025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6801792"/>
        <c:crosses val="autoZero"/>
        <c:auto val="1"/>
        <c:lblOffset val="100"/>
        <c:baseTimeUnit val="days"/>
      </c:dateAx>
      <c:valAx>
        <c:axId val="27680179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68002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charts'!$N$2</c:f>
              <c:strCache>
                <c:ptCount val="1"/>
                <c:pt idx="0">
                  <c:v>FDC T3 V-MAX 2804</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charts'!$N$19:$N$86</c:f>
              <c:numCache>
                <c:formatCode>0</c:formatCode>
                <c:ptCount val="68"/>
                <c:pt idx="0">
                  <c:v>122.3229052734375</c:v>
                </c:pt>
                <c:pt idx="1">
                  <c:v>122.3229052734375</c:v>
                </c:pt>
                <c:pt idx="2">
                  <c:v>122.3229052734375</c:v>
                </c:pt>
                <c:pt idx="3">
                  <c:v>122.553392578125</c:v>
                </c:pt>
                <c:pt idx="4">
                  <c:v>122.553392578125</c:v>
                </c:pt>
                <c:pt idx="5">
                  <c:v>122.553392578125</c:v>
                </c:pt>
                <c:pt idx="6">
                  <c:v>123.96924316406249</c:v>
                </c:pt>
                <c:pt idx="7">
                  <c:v>123.96924316406249</c:v>
                </c:pt>
                <c:pt idx="8">
                  <c:v>130.5545947265625</c:v>
                </c:pt>
                <c:pt idx="9">
                  <c:v>130.5545947265625</c:v>
                </c:pt>
                <c:pt idx="10">
                  <c:v>130.5545947265625</c:v>
                </c:pt>
                <c:pt idx="11">
                  <c:v>130.5545947265625</c:v>
                </c:pt>
                <c:pt idx="12">
                  <c:v>130.5545947265625</c:v>
                </c:pt>
                <c:pt idx="13">
                  <c:v>133.5509296875</c:v>
                </c:pt>
                <c:pt idx="14">
                  <c:v>133.5509296875</c:v>
                </c:pt>
                <c:pt idx="15">
                  <c:v>133.5509296875</c:v>
                </c:pt>
                <c:pt idx="16">
                  <c:v>133.5509296875</c:v>
                </c:pt>
                <c:pt idx="17">
                  <c:v>133.5509296875</c:v>
                </c:pt>
                <c:pt idx="18">
                  <c:v>133.22166210937499</c:v>
                </c:pt>
                <c:pt idx="19">
                  <c:v>133.22166210937499</c:v>
                </c:pt>
                <c:pt idx="20">
                  <c:v>133.22166210937499</c:v>
                </c:pt>
                <c:pt idx="21">
                  <c:v>133.089955078125</c:v>
                </c:pt>
                <c:pt idx="22">
                  <c:v>133.089955078125</c:v>
                </c:pt>
                <c:pt idx="23">
                  <c:v>132.5960537109375</c:v>
                </c:pt>
                <c:pt idx="24">
                  <c:v>132.53020019531249</c:v>
                </c:pt>
                <c:pt idx="25">
                  <c:v>132.53020019531249</c:v>
                </c:pt>
                <c:pt idx="26">
                  <c:v>132.53020019531249</c:v>
                </c:pt>
                <c:pt idx="27">
                  <c:v>132.53020019531249</c:v>
                </c:pt>
                <c:pt idx="28">
                  <c:v>132.53020019531249</c:v>
                </c:pt>
                <c:pt idx="29">
                  <c:v>132.23385937500001</c:v>
                </c:pt>
                <c:pt idx="30">
                  <c:v>131.54239746093751</c:v>
                </c:pt>
                <c:pt idx="31">
                  <c:v>131.54239746093751</c:v>
                </c:pt>
                <c:pt idx="32">
                  <c:v>131.54239746093751</c:v>
                </c:pt>
                <c:pt idx="33">
                  <c:v>130.78508203125</c:v>
                </c:pt>
                <c:pt idx="34">
                  <c:v>129.96191308593748</c:v>
                </c:pt>
                <c:pt idx="35">
                  <c:v>129.56679199218749</c:v>
                </c:pt>
                <c:pt idx="36">
                  <c:v>128.77654980468751</c:v>
                </c:pt>
                <c:pt idx="37">
                  <c:v>128.77654980468751</c:v>
                </c:pt>
                <c:pt idx="38">
                  <c:v>128.77654980468751</c:v>
                </c:pt>
                <c:pt idx="39">
                  <c:v>128.77654980468751</c:v>
                </c:pt>
                <c:pt idx="40">
                  <c:v>128.5131357421875</c:v>
                </c:pt>
                <c:pt idx="41">
                  <c:v>128.5131357421875</c:v>
                </c:pt>
                <c:pt idx="42">
                  <c:v>129.07289062499999</c:v>
                </c:pt>
                <c:pt idx="43">
                  <c:v>129.03996386718748</c:v>
                </c:pt>
                <c:pt idx="44">
                  <c:v>127.95338085937499</c:v>
                </c:pt>
                <c:pt idx="45">
                  <c:v>125.51680078125</c:v>
                </c:pt>
                <c:pt idx="46">
                  <c:v>125.51680078125</c:v>
                </c:pt>
                <c:pt idx="47">
                  <c:v>124.72655859375</c:v>
                </c:pt>
                <c:pt idx="48">
                  <c:v>122.6521728515625</c:v>
                </c:pt>
                <c:pt idx="49">
                  <c:v>122.6521728515625</c:v>
                </c:pt>
                <c:pt idx="50">
                  <c:v>122.6521728515625</c:v>
                </c:pt>
                <c:pt idx="51">
                  <c:v>122.6521728515625</c:v>
                </c:pt>
                <c:pt idx="52">
                  <c:v>73.169765624999997</c:v>
                </c:pt>
                <c:pt idx="53">
                  <c:v>73.169765624999997</c:v>
                </c:pt>
                <c:pt idx="54">
                  <c:v>72.577031249999976</c:v>
                </c:pt>
                <c:pt idx="55">
                  <c:v>122.36671874999999</c:v>
                </c:pt>
                <c:pt idx="56">
                  <c:v>121.378828125</c:v>
                </c:pt>
                <c:pt idx="57">
                  <c:v>121.378828125</c:v>
                </c:pt>
                <c:pt idx="58">
                  <c:v>121.378828125</c:v>
                </c:pt>
                <c:pt idx="59">
                  <c:v>121.378828125</c:v>
                </c:pt>
                <c:pt idx="60">
                  <c:v>121.378828125</c:v>
                </c:pt>
                <c:pt idx="61">
                  <c:v>121.378828125</c:v>
                </c:pt>
                <c:pt idx="62">
                  <c:v>121.378828125</c:v>
                </c:pt>
                <c:pt idx="63">
                  <c:v>121.378828125</c:v>
                </c:pt>
                <c:pt idx="64">
                  <c:v>121.378828125</c:v>
                </c:pt>
                <c:pt idx="65">
                  <c:v>121.378828125</c:v>
                </c:pt>
                <c:pt idx="66">
                  <c:v>121.378828125</c:v>
                </c:pt>
                <c:pt idx="67">
                  <c:v>121.378828125</c:v>
                </c:pt>
              </c:numCache>
            </c:numRef>
          </c:val>
          <c:smooth val="0"/>
        </c:ser>
        <c:dLbls>
          <c:showLegendKey val="0"/>
          <c:showVal val="0"/>
          <c:showCatName val="0"/>
          <c:showSerName val="0"/>
          <c:showPercent val="0"/>
          <c:showBubbleSize val="0"/>
        </c:dLbls>
        <c:marker val="1"/>
        <c:smooth val="0"/>
        <c:axId val="276891520"/>
        <c:axId val="276893056"/>
      </c:lineChart>
      <c:dateAx>
        <c:axId val="2768915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6893056"/>
        <c:crosses val="autoZero"/>
        <c:auto val="1"/>
        <c:lblOffset val="100"/>
        <c:baseTimeUnit val="days"/>
      </c:dateAx>
      <c:valAx>
        <c:axId val="27689305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68915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0925288148977474"/>
        </c:manualLayout>
      </c:layout>
      <c:lineChart>
        <c:grouping val="standard"/>
        <c:varyColors val="0"/>
        <c:ser>
          <c:idx val="0"/>
          <c:order val="0"/>
          <c:tx>
            <c:strRef>
              <c:f>'Allocated charts'!$F$2</c:f>
              <c:strCache>
                <c:ptCount val="1"/>
                <c:pt idx="0">
                  <c:v>RDC T3 V-MAX 3286</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charts'!$F$19:$F$86</c:f>
              <c:numCache>
                <c:formatCode>0</c:formatCode>
                <c:ptCount val="68"/>
                <c:pt idx="0">
                  <c:v>118.14120703124999</c:v>
                </c:pt>
                <c:pt idx="1">
                  <c:v>118.14120703124999</c:v>
                </c:pt>
                <c:pt idx="2">
                  <c:v>118.60218164062499</c:v>
                </c:pt>
                <c:pt idx="3">
                  <c:v>119.129009765625</c:v>
                </c:pt>
                <c:pt idx="4">
                  <c:v>119.129009765625</c:v>
                </c:pt>
                <c:pt idx="5">
                  <c:v>119.129009765625</c:v>
                </c:pt>
                <c:pt idx="6">
                  <c:v>119.129009765625</c:v>
                </c:pt>
                <c:pt idx="7">
                  <c:v>119.129009765625</c:v>
                </c:pt>
                <c:pt idx="8">
                  <c:v>251.42872265624999</c:v>
                </c:pt>
                <c:pt idx="9">
                  <c:v>251.42872265624999</c:v>
                </c:pt>
                <c:pt idx="10">
                  <c:v>251.42872265624999</c:v>
                </c:pt>
                <c:pt idx="11">
                  <c:v>251.42872265624999</c:v>
                </c:pt>
                <c:pt idx="12">
                  <c:v>251.42872265624999</c:v>
                </c:pt>
                <c:pt idx="13">
                  <c:v>251.42872265624999</c:v>
                </c:pt>
                <c:pt idx="14">
                  <c:v>257.42139257812499</c:v>
                </c:pt>
                <c:pt idx="15">
                  <c:v>257.42139257812499</c:v>
                </c:pt>
                <c:pt idx="16">
                  <c:v>257.42139257812499</c:v>
                </c:pt>
                <c:pt idx="17">
                  <c:v>257.42139257812499</c:v>
                </c:pt>
                <c:pt idx="18">
                  <c:v>256.76285742187497</c:v>
                </c:pt>
                <c:pt idx="19">
                  <c:v>256.76285742187497</c:v>
                </c:pt>
                <c:pt idx="20">
                  <c:v>256.76285742187497</c:v>
                </c:pt>
                <c:pt idx="21">
                  <c:v>256.49944335937499</c:v>
                </c:pt>
                <c:pt idx="22">
                  <c:v>256.49944335937499</c:v>
                </c:pt>
                <c:pt idx="23">
                  <c:v>255.51164062499998</c:v>
                </c:pt>
                <c:pt idx="24">
                  <c:v>255.37993359375</c:v>
                </c:pt>
                <c:pt idx="25">
                  <c:v>255.37993359375</c:v>
                </c:pt>
                <c:pt idx="26">
                  <c:v>255.37993359375</c:v>
                </c:pt>
                <c:pt idx="27">
                  <c:v>255.37993359375</c:v>
                </c:pt>
                <c:pt idx="28">
                  <c:v>255.37993359375</c:v>
                </c:pt>
                <c:pt idx="29">
                  <c:v>254.78725195312498</c:v>
                </c:pt>
                <c:pt idx="30">
                  <c:v>253.40432812499998</c:v>
                </c:pt>
                <c:pt idx="31">
                  <c:v>253.40432812499998</c:v>
                </c:pt>
                <c:pt idx="32">
                  <c:v>253.40432812499998</c:v>
                </c:pt>
                <c:pt idx="33">
                  <c:v>251.88969726562499</c:v>
                </c:pt>
                <c:pt idx="34">
                  <c:v>250.24335937499998</c:v>
                </c:pt>
                <c:pt idx="35">
                  <c:v>249.78238476562498</c:v>
                </c:pt>
                <c:pt idx="36">
                  <c:v>247.8726328125</c:v>
                </c:pt>
                <c:pt idx="37">
                  <c:v>247.8726328125</c:v>
                </c:pt>
                <c:pt idx="38">
                  <c:v>247.8726328125</c:v>
                </c:pt>
                <c:pt idx="39">
                  <c:v>247.8726328125</c:v>
                </c:pt>
                <c:pt idx="40">
                  <c:v>247.8726328125</c:v>
                </c:pt>
                <c:pt idx="41">
                  <c:v>247.34580468749999</c:v>
                </c:pt>
                <c:pt idx="42">
                  <c:v>247.675072265625</c:v>
                </c:pt>
                <c:pt idx="43">
                  <c:v>246.68726953125</c:v>
                </c:pt>
                <c:pt idx="44">
                  <c:v>244.71166406249998</c:v>
                </c:pt>
                <c:pt idx="45">
                  <c:v>240.562892578125</c:v>
                </c:pt>
                <c:pt idx="46">
                  <c:v>240.562892578125</c:v>
                </c:pt>
                <c:pt idx="47">
                  <c:v>237.20436328124998</c:v>
                </c:pt>
                <c:pt idx="48">
                  <c:v>233.05559179687498</c:v>
                </c:pt>
                <c:pt idx="49">
                  <c:v>233.05559179687498</c:v>
                </c:pt>
                <c:pt idx="50">
                  <c:v>233.05559179687498</c:v>
                </c:pt>
                <c:pt idx="51">
                  <c:v>233.05559179687498</c:v>
                </c:pt>
                <c:pt idx="52">
                  <c:v>233.076328125</c:v>
                </c:pt>
                <c:pt idx="53">
                  <c:v>233.076328125</c:v>
                </c:pt>
                <c:pt idx="54">
                  <c:v>232.48359374999998</c:v>
                </c:pt>
                <c:pt idx="55">
                  <c:v>232.48359374999998</c:v>
                </c:pt>
                <c:pt idx="56">
                  <c:v>231.49570312500001</c:v>
                </c:pt>
                <c:pt idx="57">
                  <c:v>231.49570312500001</c:v>
                </c:pt>
                <c:pt idx="58">
                  <c:v>231.49570312500001</c:v>
                </c:pt>
                <c:pt idx="59">
                  <c:v>231.49570312500001</c:v>
                </c:pt>
                <c:pt idx="60">
                  <c:v>231.49570312500001</c:v>
                </c:pt>
                <c:pt idx="61">
                  <c:v>230.96882812499999</c:v>
                </c:pt>
                <c:pt idx="62">
                  <c:v>230.96882812499999</c:v>
                </c:pt>
                <c:pt idx="63">
                  <c:v>230.96882812499999</c:v>
                </c:pt>
                <c:pt idx="64">
                  <c:v>230.96882812499999</c:v>
                </c:pt>
                <c:pt idx="65">
                  <c:v>230.96882812499999</c:v>
                </c:pt>
                <c:pt idx="66">
                  <c:v>230.96882812499999</c:v>
                </c:pt>
                <c:pt idx="67">
                  <c:v>230.96882812499999</c:v>
                </c:pt>
              </c:numCache>
            </c:numRef>
          </c:val>
          <c:smooth val="0"/>
        </c:ser>
        <c:dLbls>
          <c:showLegendKey val="0"/>
          <c:showVal val="0"/>
          <c:showCatName val="0"/>
          <c:showSerName val="0"/>
          <c:showPercent val="0"/>
          <c:showBubbleSize val="0"/>
        </c:dLbls>
        <c:marker val="1"/>
        <c:smooth val="0"/>
        <c:axId val="276913152"/>
        <c:axId val="276919040"/>
      </c:lineChart>
      <c:dateAx>
        <c:axId val="2769131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6919040"/>
        <c:crosses val="autoZero"/>
        <c:auto val="1"/>
        <c:lblOffset val="100"/>
        <c:baseTimeUnit val="days"/>
      </c:dateAx>
      <c:valAx>
        <c:axId val="27691904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69131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charts'!$I$2</c:f>
              <c:strCache>
                <c:ptCount val="1"/>
                <c:pt idx="0">
                  <c:v>RDC T3 V-MAX 3696</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charts'!$I$19:$I$73</c:f>
              <c:numCache>
                <c:formatCode>0</c:formatCode>
                <c:ptCount val="55"/>
                <c:pt idx="0">
                  <c:v>42.442590820312496</c:v>
                </c:pt>
                <c:pt idx="1">
                  <c:v>42.442590820312496</c:v>
                </c:pt>
                <c:pt idx="2">
                  <c:v>42.179176757812499</c:v>
                </c:pt>
                <c:pt idx="3">
                  <c:v>40.895033203124996</c:v>
                </c:pt>
                <c:pt idx="4">
                  <c:v>40.895033203124996</c:v>
                </c:pt>
                <c:pt idx="5">
                  <c:v>40.895033203124996</c:v>
                </c:pt>
                <c:pt idx="6">
                  <c:v>26.802380859374999</c:v>
                </c:pt>
                <c:pt idx="7">
                  <c:v>25.5840908203125</c:v>
                </c:pt>
                <c:pt idx="8">
                  <c:v>21.369465820312499</c:v>
                </c:pt>
                <c:pt idx="9">
                  <c:v>21.369465820312499</c:v>
                </c:pt>
                <c:pt idx="10">
                  <c:v>19.459713867187499</c:v>
                </c:pt>
                <c:pt idx="11">
                  <c:v>19.328006835937501</c:v>
                </c:pt>
                <c:pt idx="12">
                  <c:v>19.328006835937501</c:v>
                </c:pt>
                <c:pt idx="13">
                  <c:v>19.097519531250001</c:v>
                </c:pt>
                <c:pt idx="14">
                  <c:v>19.097519531250001</c:v>
                </c:pt>
                <c:pt idx="15">
                  <c:v>19.097519531250001</c:v>
                </c:pt>
                <c:pt idx="16">
                  <c:v>19.097519531250001</c:v>
                </c:pt>
                <c:pt idx="17">
                  <c:v>19.097519531250001</c:v>
                </c:pt>
                <c:pt idx="18">
                  <c:v>18.570691406249999</c:v>
                </c:pt>
                <c:pt idx="19">
                  <c:v>18.043863281250001</c:v>
                </c:pt>
                <c:pt idx="20">
                  <c:v>18.043863281250001</c:v>
                </c:pt>
                <c:pt idx="21">
                  <c:v>18.043863281250001</c:v>
                </c:pt>
                <c:pt idx="22">
                  <c:v>18.043863281250001</c:v>
                </c:pt>
                <c:pt idx="23">
                  <c:v>17.056060546874999</c:v>
                </c:pt>
                <c:pt idx="24">
                  <c:v>17.056060546874999</c:v>
                </c:pt>
                <c:pt idx="25">
                  <c:v>17.056060546874999</c:v>
                </c:pt>
                <c:pt idx="26">
                  <c:v>17.056060546874999</c:v>
                </c:pt>
                <c:pt idx="27">
                  <c:v>14.0597255859375</c:v>
                </c:pt>
                <c:pt idx="28">
                  <c:v>14.0597255859375</c:v>
                </c:pt>
                <c:pt idx="29">
                  <c:v>14.0597255859375</c:v>
                </c:pt>
                <c:pt idx="30">
                  <c:v>12.512167968749999</c:v>
                </c:pt>
                <c:pt idx="31">
                  <c:v>12.512167968749999</c:v>
                </c:pt>
                <c:pt idx="32">
                  <c:v>12.512167968749999</c:v>
                </c:pt>
                <c:pt idx="33">
                  <c:v>12.512167968749999</c:v>
                </c:pt>
                <c:pt idx="34">
                  <c:v>12.182900390624999</c:v>
                </c:pt>
                <c:pt idx="35">
                  <c:v>12.1499736328125</c:v>
                </c:pt>
                <c:pt idx="36">
                  <c:v>12.1499736328125</c:v>
                </c:pt>
                <c:pt idx="37">
                  <c:v>12.1499736328125</c:v>
                </c:pt>
                <c:pt idx="38">
                  <c:v>12.1499736328125</c:v>
                </c:pt>
                <c:pt idx="39">
                  <c:v>12.1499736328125</c:v>
                </c:pt>
                <c:pt idx="40">
                  <c:v>12.1499736328125</c:v>
                </c:pt>
                <c:pt idx="41">
                  <c:v>12.1499736328125</c:v>
                </c:pt>
                <c:pt idx="42">
                  <c:v>10.240221679687499</c:v>
                </c:pt>
                <c:pt idx="43">
                  <c:v>9.4170527343749999</c:v>
                </c:pt>
                <c:pt idx="44">
                  <c:v>9.4170527343749999</c:v>
                </c:pt>
                <c:pt idx="45">
                  <c:v>9.4170527343749999</c:v>
                </c:pt>
                <c:pt idx="46">
                  <c:v>9.4170527343749999</c:v>
                </c:pt>
                <c:pt idx="47">
                  <c:v>9.4170527343749999</c:v>
                </c:pt>
                <c:pt idx="48">
                  <c:v>9.4170527343749999</c:v>
                </c:pt>
                <c:pt idx="49">
                  <c:v>9.4170527343749999</c:v>
                </c:pt>
                <c:pt idx="50">
                  <c:v>9.4170527343749999</c:v>
                </c:pt>
                <c:pt idx="51">
                  <c:v>9.4170527343749999</c:v>
                </c:pt>
                <c:pt idx="52">
                  <c:v>9.4178906250000001</c:v>
                </c:pt>
                <c:pt idx="53">
                  <c:v>9.4178906250000001</c:v>
                </c:pt>
                <c:pt idx="54">
                  <c:v>9.4178906250000001</c:v>
                </c:pt>
              </c:numCache>
            </c:numRef>
          </c:val>
          <c:smooth val="0"/>
        </c:ser>
        <c:dLbls>
          <c:showLegendKey val="0"/>
          <c:showVal val="0"/>
          <c:showCatName val="0"/>
          <c:showSerName val="0"/>
          <c:showPercent val="0"/>
          <c:showBubbleSize val="0"/>
        </c:dLbls>
        <c:marker val="1"/>
        <c:smooth val="0"/>
        <c:axId val="277025152"/>
        <c:axId val="277026688"/>
      </c:lineChart>
      <c:dateAx>
        <c:axId val="2770251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7026688"/>
        <c:crosses val="autoZero"/>
        <c:auto val="1"/>
        <c:lblOffset val="100"/>
        <c:baseTimeUnit val="days"/>
      </c:dateAx>
      <c:valAx>
        <c:axId val="27702668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70251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658"/>
          <c:y val="0.18584090027572253"/>
          <c:w val="0.75908709652645479"/>
          <c:h val="0.61008773460594501"/>
        </c:manualLayout>
      </c:layout>
      <c:lineChart>
        <c:grouping val="standard"/>
        <c:varyColors val="0"/>
        <c:ser>
          <c:idx val="0"/>
          <c:order val="0"/>
          <c:tx>
            <c:strRef>
              <c:f>'Allocated charts'!$P$2</c:f>
              <c:strCache>
                <c:ptCount val="1"/>
                <c:pt idx="0">
                  <c:v>FDC T3 V-MAX 3875</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charts'!$P$19:$P$73</c:f>
              <c:numCache>
                <c:formatCode>0</c:formatCode>
                <c:ptCount val="55"/>
                <c:pt idx="0">
                  <c:v>57.193778320312497</c:v>
                </c:pt>
                <c:pt idx="1">
                  <c:v>57.193778320312497</c:v>
                </c:pt>
                <c:pt idx="2">
                  <c:v>56.930364257812499</c:v>
                </c:pt>
                <c:pt idx="3">
                  <c:v>56.008415039062498</c:v>
                </c:pt>
                <c:pt idx="4">
                  <c:v>55.646220703124996</c:v>
                </c:pt>
                <c:pt idx="5">
                  <c:v>55.646220703124996</c:v>
                </c:pt>
                <c:pt idx="6">
                  <c:v>41.553568359374999</c:v>
                </c:pt>
                <c:pt idx="7">
                  <c:v>40.335278320312497</c:v>
                </c:pt>
                <c:pt idx="8">
                  <c:v>36.120653320312499</c:v>
                </c:pt>
                <c:pt idx="9">
                  <c:v>36.120653320312499</c:v>
                </c:pt>
                <c:pt idx="10">
                  <c:v>34.210901367187496</c:v>
                </c:pt>
                <c:pt idx="11">
                  <c:v>34.079194335937501</c:v>
                </c:pt>
                <c:pt idx="12">
                  <c:v>34.079194335937501</c:v>
                </c:pt>
                <c:pt idx="13">
                  <c:v>33.848707031250001</c:v>
                </c:pt>
                <c:pt idx="14">
                  <c:v>33.848707031250001</c:v>
                </c:pt>
                <c:pt idx="15">
                  <c:v>33.848707031250001</c:v>
                </c:pt>
                <c:pt idx="16">
                  <c:v>33.848707031250001</c:v>
                </c:pt>
                <c:pt idx="17">
                  <c:v>33.848707031250001</c:v>
                </c:pt>
                <c:pt idx="18">
                  <c:v>33.321878906249999</c:v>
                </c:pt>
                <c:pt idx="19">
                  <c:v>32.795050781249998</c:v>
                </c:pt>
                <c:pt idx="20">
                  <c:v>32.795050781249998</c:v>
                </c:pt>
                <c:pt idx="21">
                  <c:v>32.795050781249998</c:v>
                </c:pt>
                <c:pt idx="22">
                  <c:v>32.795050781249998</c:v>
                </c:pt>
                <c:pt idx="23">
                  <c:v>31.6096875</c:v>
                </c:pt>
                <c:pt idx="24">
                  <c:v>31.6096875</c:v>
                </c:pt>
                <c:pt idx="25">
                  <c:v>31.6096875</c:v>
                </c:pt>
                <c:pt idx="26">
                  <c:v>31.6096875</c:v>
                </c:pt>
                <c:pt idx="27">
                  <c:v>28.6133525390625</c:v>
                </c:pt>
                <c:pt idx="28">
                  <c:v>28.6133525390625</c:v>
                </c:pt>
                <c:pt idx="29">
                  <c:v>28.6133525390625</c:v>
                </c:pt>
                <c:pt idx="30">
                  <c:v>28.1853046875</c:v>
                </c:pt>
                <c:pt idx="31">
                  <c:v>28.1853046875</c:v>
                </c:pt>
                <c:pt idx="32">
                  <c:v>28.1853046875</c:v>
                </c:pt>
                <c:pt idx="33">
                  <c:v>28.1523779296875</c:v>
                </c:pt>
                <c:pt idx="34">
                  <c:v>27.625549804687498</c:v>
                </c:pt>
                <c:pt idx="35">
                  <c:v>27.592623046874998</c:v>
                </c:pt>
                <c:pt idx="36">
                  <c:v>27.592623046874998</c:v>
                </c:pt>
                <c:pt idx="37">
                  <c:v>26.604820312499999</c:v>
                </c:pt>
                <c:pt idx="38">
                  <c:v>26.604820312499999</c:v>
                </c:pt>
                <c:pt idx="39">
                  <c:v>26.604820312499999</c:v>
                </c:pt>
                <c:pt idx="40">
                  <c:v>26.604820312499999</c:v>
                </c:pt>
                <c:pt idx="41">
                  <c:v>26.604820312499999</c:v>
                </c:pt>
                <c:pt idx="42">
                  <c:v>26.604820312499999</c:v>
                </c:pt>
                <c:pt idx="43">
                  <c:v>26.604820312499999</c:v>
                </c:pt>
                <c:pt idx="44">
                  <c:v>23.871899414062501</c:v>
                </c:pt>
                <c:pt idx="45">
                  <c:v>23.871899414062501</c:v>
                </c:pt>
                <c:pt idx="46">
                  <c:v>23.871899414062501</c:v>
                </c:pt>
                <c:pt idx="47">
                  <c:v>23.871899414062501</c:v>
                </c:pt>
                <c:pt idx="48">
                  <c:v>23.871899414062501</c:v>
                </c:pt>
                <c:pt idx="49">
                  <c:v>23.871899414062501</c:v>
                </c:pt>
                <c:pt idx="50">
                  <c:v>23.871899414062501</c:v>
                </c:pt>
                <c:pt idx="51">
                  <c:v>23.871899414062501</c:v>
                </c:pt>
                <c:pt idx="52">
                  <c:v>23.8740234375</c:v>
                </c:pt>
                <c:pt idx="53">
                  <c:v>23.8740234375</c:v>
                </c:pt>
                <c:pt idx="54">
                  <c:v>23.8740234375</c:v>
                </c:pt>
              </c:numCache>
            </c:numRef>
          </c:val>
          <c:smooth val="0"/>
        </c:ser>
        <c:dLbls>
          <c:showLegendKey val="0"/>
          <c:showVal val="0"/>
          <c:showCatName val="0"/>
          <c:showSerName val="0"/>
          <c:showPercent val="0"/>
          <c:showBubbleSize val="0"/>
        </c:dLbls>
        <c:marker val="1"/>
        <c:smooth val="0"/>
        <c:axId val="277038592"/>
        <c:axId val="277040128"/>
      </c:lineChart>
      <c:dateAx>
        <c:axId val="2770385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7040128"/>
        <c:crosses val="autoZero"/>
        <c:auto val="1"/>
        <c:lblOffset val="100"/>
        <c:baseTimeUnit val="days"/>
      </c:dateAx>
      <c:valAx>
        <c:axId val="27704012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70385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008773460594501"/>
        </c:manualLayout>
      </c:layout>
      <c:lineChart>
        <c:grouping val="standard"/>
        <c:varyColors val="0"/>
        <c:ser>
          <c:idx val="0"/>
          <c:order val="0"/>
          <c:tx>
            <c:strRef>
              <c:f>'Allocated charts'!$V$2</c:f>
              <c:strCache>
                <c:ptCount val="1"/>
                <c:pt idx="0">
                  <c:v>RDC T3 VMAX 0671</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277084800"/>
        <c:axId val="277094784"/>
      </c:lineChart>
      <c:dateAx>
        <c:axId val="2770848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7094784"/>
        <c:crosses val="autoZero"/>
        <c:auto val="1"/>
        <c:lblOffset val="100"/>
        <c:baseTimeUnit val="days"/>
      </c:dateAx>
      <c:valAx>
        <c:axId val="277094784"/>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70848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charts'!$U$2</c:f>
              <c:strCache>
                <c:ptCount val="1"/>
                <c:pt idx="0">
                  <c:v>FDC T3 VMAX 667</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277119360"/>
        <c:axId val="277120896"/>
      </c:lineChart>
      <c:dateAx>
        <c:axId val="27711936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7120896"/>
        <c:crosses val="autoZero"/>
        <c:auto val="1"/>
        <c:lblOffset val="100"/>
        <c:baseTimeUnit val="days"/>
      </c:dateAx>
      <c:valAx>
        <c:axId val="277120896"/>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71193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58828289894840857"/>
        </c:manualLayout>
      </c:layout>
      <c:lineChart>
        <c:grouping val="standard"/>
        <c:varyColors val="0"/>
        <c:ser>
          <c:idx val="0"/>
          <c:order val="0"/>
          <c:tx>
            <c:strRef>
              <c:f>'Allocated charts'!$J$2</c:f>
              <c:strCache>
                <c:ptCount val="1"/>
                <c:pt idx="0">
                  <c:v>RDC T3 V-MAX 4330</c:v>
                </c:pt>
              </c:strCache>
            </c:strRef>
          </c:tx>
          <c:cat>
            <c:numRef>
              <c:f>'Allocated charts'!$A$19:$A$51</c:f>
              <c:numCache>
                <c:formatCode>[$-409]d\-mmm\-yy;@</c:formatCode>
                <c:ptCount val="33"/>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numCache>
            </c:numRef>
          </c:cat>
          <c:val>
            <c:numRef>
              <c:f>'Allocated charts'!$J$19:$J$51</c:f>
              <c:numCache>
                <c:formatCode>0</c:formatCode>
                <c:ptCount val="33"/>
                <c:pt idx="0">
                  <c:v>122.4546123046875</c:v>
                </c:pt>
                <c:pt idx="1">
                  <c:v>122.4546123046875</c:v>
                </c:pt>
                <c:pt idx="2">
                  <c:v>120.31437304687499</c:v>
                </c:pt>
                <c:pt idx="3">
                  <c:v>118.7997421875</c:v>
                </c:pt>
                <c:pt idx="4">
                  <c:v>118.7997421875</c:v>
                </c:pt>
                <c:pt idx="5">
                  <c:v>117.81193945312499</c:v>
                </c:pt>
                <c:pt idx="6">
                  <c:v>99.340028320312499</c:v>
                </c:pt>
                <c:pt idx="7">
                  <c:v>99.340028320312499</c:v>
                </c:pt>
                <c:pt idx="8">
                  <c:v>98.846126953124994</c:v>
                </c:pt>
                <c:pt idx="9">
                  <c:v>98.846126953124994</c:v>
                </c:pt>
                <c:pt idx="10">
                  <c:v>98.58271289062499</c:v>
                </c:pt>
                <c:pt idx="11">
                  <c:v>96.343693359374996</c:v>
                </c:pt>
                <c:pt idx="12">
                  <c:v>95.816865234375001</c:v>
                </c:pt>
                <c:pt idx="13">
                  <c:v>94.69735546874999</c:v>
                </c:pt>
                <c:pt idx="14">
                  <c:v>92.29370214843749</c:v>
                </c:pt>
                <c:pt idx="15">
                  <c:v>92.29370214843749</c:v>
                </c:pt>
                <c:pt idx="16">
                  <c:v>92.29370214843749</c:v>
                </c:pt>
                <c:pt idx="17">
                  <c:v>86.4327392578125</c:v>
                </c:pt>
                <c:pt idx="18">
                  <c:v>86.4327392578125</c:v>
                </c:pt>
                <c:pt idx="19">
                  <c:v>59.498651367187499</c:v>
                </c:pt>
                <c:pt idx="20">
                  <c:v>51.266961914062499</c:v>
                </c:pt>
                <c:pt idx="21">
                  <c:v>40.763326171875001</c:v>
                </c:pt>
                <c:pt idx="22">
                  <c:v>32.432856445312495</c:v>
                </c:pt>
                <c:pt idx="23">
                  <c:v>19.690201171875</c:v>
                </c:pt>
                <c:pt idx="24">
                  <c:v>16.6938662109375</c:v>
                </c:pt>
                <c:pt idx="25">
                  <c:v>16.6938662109375</c:v>
                </c:pt>
                <c:pt idx="26">
                  <c:v>12.084120117187499</c:v>
                </c:pt>
                <c:pt idx="27">
                  <c:v>12.084120117187499</c:v>
                </c:pt>
                <c:pt idx="28">
                  <c:v>2.9304814453125001</c:v>
                </c:pt>
                <c:pt idx="29">
                  <c:v>2.9304814453125001</c:v>
                </c:pt>
                <c:pt idx="30">
                  <c:v>0</c:v>
                </c:pt>
                <c:pt idx="31">
                  <c:v>0</c:v>
                </c:pt>
                <c:pt idx="32">
                  <c:v>0</c:v>
                </c:pt>
              </c:numCache>
            </c:numRef>
          </c:val>
          <c:smooth val="0"/>
        </c:ser>
        <c:dLbls>
          <c:showLegendKey val="0"/>
          <c:showVal val="0"/>
          <c:showCatName val="0"/>
          <c:showSerName val="0"/>
          <c:showPercent val="0"/>
          <c:showBubbleSize val="0"/>
        </c:dLbls>
        <c:marker val="1"/>
        <c:smooth val="0"/>
        <c:axId val="277145088"/>
        <c:axId val="277146624"/>
      </c:lineChart>
      <c:dateAx>
        <c:axId val="2771450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7146624"/>
        <c:crosses val="autoZero"/>
        <c:auto val="1"/>
        <c:lblOffset val="100"/>
        <c:baseTimeUnit val="days"/>
      </c:dateAx>
      <c:valAx>
        <c:axId val="27714662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71450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149672353331264"/>
        </c:manualLayout>
      </c:layout>
      <c:lineChart>
        <c:grouping val="standard"/>
        <c:varyColors val="0"/>
        <c:ser>
          <c:idx val="0"/>
          <c:order val="0"/>
          <c:tx>
            <c:strRef>
              <c:f>'Allocated charts'!$Q$2</c:f>
              <c:strCache>
                <c:ptCount val="1"/>
                <c:pt idx="0">
                  <c:v>FDC T3 V-MAX 4652</c:v>
                </c:pt>
              </c:strCache>
            </c:strRef>
          </c:tx>
          <c:cat>
            <c:numRef>
              <c:f>'Allocated charts'!$A$19:$A$86</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charts'!$Q$19:$Q$51</c:f>
              <c:numCache>
                <c:formatCode>0</c:formatCode>
                <c:ptCount val="33"/>
                <c:pt idx="0">
                  <c:v>134.27531835937501</c:v>
                </c:pt>
                <c:pt idx="1">
                  <c:v>134.27531835937501</c:v>
                </c:pt>
                <c:pt idx="2">
                  <c:v>132.1350791015625</c:v>
                </c:pt>
                <c:pt idx="3">
                  <c:v>132.1350791015625</c:v>
                </c:pt>
                <c:pt idx="4">
                  <c:v>130.62044824218751</c:v>
                </c:pt>
                <c:pt idx="5">
                  <c:v>129.6326455078125</c:v>
                </c:pt>
                <c:pt idx="6">
                  <c:v>103.12660546875</c:v>
                </c:pt>
                <c:pt idx="7">
                  <c:v>103.12660546875</c:v>
                </c:pt>
                <c:pt idx="8">
                  <c:v>102.6327041015625</c:v>
                </c:pt>
                <c:pt idx="9">
                  <c:v>99.768076171874995</c:v>
                </c:pt>
                <c:pt idx="10">
                  <c:v>99.504662109374991</c:v>
                </c:pt>
                <c:pt idx="11">
                  <c:v>95.948572265625003</c:v>
                </c:pt>
                <c:pt idx="12">
                  <c:v>95.421744140624995</c:v>
                </c:pt>
                <c:pt idx="13">
                  <c:v>89.297367187500001</c:v>
                </c:pt>
                <c:pt idx="14">
                  <c:v>84.160792968750002</c:v>
                </c:pt>
                <c:pt idx="15">
                  <c:v>84.160792968750002</c:v>
                </c:pt>
                <c:pt idx="16">
                  <c:v>84.160792968750002</c:v>
                </c:pt>
                <c:pt idx="17">
                  <c:v>77.904708984374992</c:v>
                </c:pt>
                <c:pt idx="18">
                  <c:v>77.904708984374992</c:v>
                </c:pt>
                <c:pt idx="19">
                  <c:v>63.285228515625001</c:v>
                </c:pt>
                <c:pt idx="20">
                  <c:v>55.251099609374997</c:v>
                </c:pt>
                <c:pt idx="21">
                  <c:v>43.166979492187501</c:v>
                </c:pt>
                <c:pt idx="22">
                  <c:v>36.614554687499997</c:v>
                </c:pt>
                <c:pt idx="23">
                  <c:v>22.620682617187498</c:v>
                </c:pt>
                <c:pt idx="24">
                  <c:v>19.690201171875</c:v>
                </c:pt>
                <c:pt idx="25">
                  <c:v>19.690201171875</c:v>
                </c:pt>
                <c:pt idx="26">
                  <c:v>12.413387695312499</c:v>
                </c:pt>
                <c:pt idx="27">
                  <c:v>12.413387695312499</c:v>
                </c:pt>
                <c:pt idx="28">
                  <c:v>5.2682812499999994</c:v>
                </c:pt>
                <c:pt idx="29">
                  <c:v>5.2682812499999994</c:v>
                </c:pt>
                <c:pt idx="30">
                  <c:v>0</c:v>
                </c:pt>
                <c:pt idx="31">
                  <c:v>0</c:v>
                </c:pt>
                <c:pt idx="32">
                  <c:v>0</c:v>
                </c:pt>
              </c:numCache>
            </c:numRef>
          </c:val>
          <c:smooth val="0"/>
        </c:ser>
        <c:dLbls>
          <c:showLegendKey val="0"/>
          <c:showVal val="0"/>
          <c:showCatName val="0"/>
          <c:showSerName val="0"/>
          <c:showPercent val="0"/>
          <c:showBubbleSize val="0"/>
        </c:dLbls>
        <c:marker val="1"/>
        <c:smooth val="0"/>
        <c:axId val="277179008"/>
        <c:axId val="277180800"/>
      </c:lineChart>
      <c:dateAx>
        <c:axId val="2771790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7180800"/>
        <c:crosses val="autoZero"/>
        <c:auto val="1"/>
        <c:lblOffset val="100"/>
        <c:baseTimeUnit val="days"/>
      </c:dateAx>
      <c:valAx>
        <c:axId val="27718080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71790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827"/>
          <c:y val="0.1858409838508297"/>
          <c:w val="0.75908709652645479"/>
          <c:h val="0.61782913522709448"/>
        </c:manualLayout>
      </c:layout>
      <c:lineChart>
        <c:grouping val="standard"/>
        <c:varyColors val="0"/>
        <c:ser>
          <c:idx val="0"/>
          <c:order val="0"/>
          <c:tx>
            <c:strRef>
              <c:f>'Allocated charts'!$K$2</c:f>
              <c:strCache>
                <c:ptCount val="1"/>
                <c:pt idx="0">
                  <c:v>RDC T4 V-MAX 0347</c:v>
                </c:pt>
              </c:strCache>
            </c:strRef>
          </c:tx>
          <c:cat>
            <c:numRef>
              <c:f>'Allocated charts'!$A$19:$A$47</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charts'!$K$19:$K$47</c:f>
              <c:numCache>
                <c:formatCode>0</c:formatCode>
                <c:ptCount val="29"/>
                <c:pt idx="0">
                  <c:v>134.04483105468751</c:v>
                </c:pt>
                <c:pt idx="1">
                  <c:v>135.855802734375</c:v>
                </c:pt>
                <c:pt idx="2">
                  <c:v>126.6692373046875</c:v>
                </c:pt>
                <c:pt idx="3">
                  <c:v>98.58271289062499</c:v>
                </c:pt>
                <c:pt idx="4">
                  <c:v>98.58271289062499</c:v>
                </c:pt>
                <c:pt idx="5">
                  <c:v>96.574180664062496</c:v>
                </c:pt>
                <c:pt idx="6">
                  <c:v>72.537647460937492</c:v>
                </c:pt>
                <c:pt idx="7">
                  <c:v>72.537647460937492</c:v>
                </c:pt>
                <c:pt idx="8">
                  <c:v>69.738873046875</c:v>
                </c:pt>
                <c:pt idx="9">
                  <c:v>67.697414062500002</c:v>
                </c:pt>
                <c:pt idx="10">
                  <c:v>57.753533203124995</c:v>
                </c:pt>
                <c:pt idx="11">
                  <c:v>52.024277343750001</c:v>
                </c:pt>
                <c:pt idx="12">
                  <c:v>50.838914062499995</c:v>
                </c:pt>
                <c:pt idx="13">
                  <c:v>34.803583007812499</c:v>
                </c:pt>
                <c:pt idx="14">
                  <c:v>24.958482421875001</c:v>
                </c:pt>
                <c:pt idx="15">
                  <c:v>24.332874023437498</c:v>
                </c:pt>
                <c:pt idx="16">
                  <c:v>18.504837890624998</c:v>
                </c:pt>
                <c:pt idx="17">
                  <c:v>14.817041015625</c:v>
                </c:pt>
                <c:pt idx="18">
                  <c:v>14.817041015625</c:v>
                </c:pt>
                <c:pt idx="19">
                  <c:v>11.326804687499999</c:v>
                </c:pt>
                <c:pt idx="20">
                  <c:v>11.392658203125</c:v>
                </c:pt>
                <c:pt idx="21">
                  <c:v>9.8780273437500004</c:v>
                </c:pt>
                <c:pt idx="22">
                  <c:v>9.8780273437500004</c:v>
                </c:pt>
                <c:pt idx="23">
                  <c:v>6.8816923828125001</c:v>
                </c:pt>
                <c:pt idx="24">
                  <c:v>2.8646279296874999</c:v>
                </c:pt>
                <c:pt idx="25">
                  <c:v>2.8646279296874999</c:v>
                </c:pt>
                <c:pt idx="26">
                  <c:v>2.8646279296874999</c:v>
                </c:pt>
                <c:pt idx="27">
                  <c:v>2.8646279296874999</c:v>
                </c:pt>
                <c:pt idx="28">
                  <c:v>2.8646279296874999</c:v>
                </c:pt>
              </c:numCache>
            </c:numRef>
          </c:val>
          <c:smooth val="0"/>
        </c:ser>
        <c:dLbls>
          <c:showLegendKey val="0"/>
          <c:showVal val="0"/>
          <c:showCatName val="0"/>
          <c:showSerName val="0"/>
          <c:showPercent val="0"/>
          <c:showBubbleSize val="0"/>
        </c:dLbls>
        <c:marker val="1"/>
        <c:smooth val="0"/>
        <c:axId val="277209088"/>
        <c:axId val="277210624"/>
      </c:lineChart>
      <c:dateAx>
        <c:axId val="2772090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7210624"/>
        <c:crosses val="autoZero"/>
        <c:auto val="1"/>
        <c:lblOffset val="100"/>
        <c:baseTimeUnit val="days"/>
      </c:dateAx>
      <c:valAx>
        <c:axId val="27721062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72090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658"/>
          <c:y val="0.18584090027572253"/>
          <c:w val="0.75908709652645479"/>
          <c:h val="0.61008773460594501"/>
        </c:manualLayout>
      </c:layout>
      <c:lineChart>
        <c:grouping val="standard"/>
        <c:varyColors val="0"/>
        <c:ser>
          <c:idx val="0"/>
          <c:order val="0"/>
          <c:tx>
            <c:strRef>
              <c:f>'Allocated charts'!$R$2</c:f>
              <c:strCache>
                <c:ptCount val="1"/>
                <c:pt idx="0">
                  <c:v>FDC T4 V-MAX 0349</c:v>
                </c:pt>
              </c:strCache>
            </c:strRef>
          </c:tx>
          <c:cat>
            <c:numRef>
              <c:f>'Allocated charts'!$A$19:$A$47</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charts'!$R$19:$R$47</c:f>
              <c:numCache>
                <c:formatCode>0</c:formatCode>
                <c:ptCount val="29"/>
                <c:pt idx="0">
                  <c:v>254.22749707031249</c:v>
                </c:pt>
                <c:pt idx="1">
                  <c:v>254.22749707031249</c:v>
                </c:pt>
                <c:pt idx="2">
                  <c:v>249.28848339843748</c:v>
                </c:pt>
                <c:pt idx="3">
                  <c:v>225.15316992187499</c:v>
                </c:pt>
                <c:pt idx="4">
                  <c:v>220.51049707031248</c:v>
                </c:pt>
                <c:pt idx="5">
                  <c:v>217.05318749999998</c:v>
                </c:pt>
                <c:pt idx="6">
                  <c:v>186.26666894531249</c:v>
                </c:pt>
                <c:pt idx="7">
                  <c:v>186.26666894531249</c:v>
                </c:pt>
                <c:pt idx="8">
                  <c:v>72.932768554687499</c:v>
                </c:pt>
                <c:pt idx="9">
                  <c:v>65.326687499999991</c:v>
                </c:pt>
                <c:pt idx="10">
                  <c:v>20.447516601562498</c:v>
                </c:pt>
                <c:pt idx="11">
                  <c:v>119.2277900390625</c:v>
                </c:pt>
                <c:pt idx="12">
                  <c:v>117.68023242187499</c:v>
                </c:pt>
                <c:pt idx="13">
                  <c:v>97.858324218749999</c:v>
                </c:pt>
                <c:pt idx="14">
                  <c:v>102.665630859375</c:v>
                </c:pt>
                <c:pt idx="15">
                  <c:v>102.533923828125</c:v>
                </c:pt>
                <c:pt idx="16">
                  <c:v>101.11807324218749</c:v>
                </c:pt>
                <c:pt idx="17">
                  <c:v>98.154665039062493</c:v>
                </c:pt>
                <c:pt idx="18">
                  <c:v>98.154665039062493</c:v>
                </c:pt>
                <c:pt idx="19">
                  <c:v>93.446138671874991</c:v>
                </c:pt>
                <c:pt idx="20">
                  <c:v>82.646162109374998</c:v>
                </c:pt>
                <c:pt idx="21">
                  <c:v>79.518120117187493</c:v>
                </c:pt>
                <c:pt idx="22">
                  <c:v>79.518120117187493</c:v>
                </c:pt>
                <c:pt idx="23">
                  <c:v>48.040139648437496</c:v>
                </c:pt>
                <c:pt idx="24">
                  <c:v>6.5853515624999996</c:v>
                </c:pt>
                <c:pt idx="25">
                  <c:v>6.5853515624999996</c:v>
                </c:pt>
                <c:pt idx="26">
                  <c:v>6.5853515624999996</c:v>
                </c:pt>
                <c:pt idx="27">
                  <c:v>6.5853515624999996</c:v>
                </c:pt>
                <c:pt idx="28">
                  <c:v>0.69146191406250002</c:v>
                </c:pt>
              </c:numCache>
            </c:numRef>
          </c:val>
          <c:smooth val="0"/>
        </c:ser>
        <c:dLbls>
          <c:showLegendKey val="0"/>
          <c:showVal val="0"/>
          <c:showCatName val="0"/>
          <c:showSerName val="0"/>
          <c:showPercent val="0"/>
          <c:showBubbleSize val="0"/>
        </c:dLbls>
        <c:marker val="1"/>
        <c:smooth val="0"/>
        <c:axId val="277251200"/>
        <c:axId val="277252736"/>
      </c:lineChart>
      <c:dateAx>
        <c:axId val="27725120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7252736"/>
        <c:crosses val="autoZero"/>
        <c:auto val="1"/>
        <c:lblOffset val="100"/>
        <c:baseTimeUnit val="days"/>
      </c:dateAx>
      <c:valAx>
        <c:axId val="27725273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72512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'Usable  Feed'!$B$1</c:f>
              <c:strCache>
                <c:ptCount val="1"/>
                <c:pt idx="0">
                  <c:v>CGC Tier 4  (TB Pool Size)</c:v>
                </c:pt>
              </c:strCache>
            </c:strRef>
          </c:tx>
          <c:cat>
            <c:numRef>
              <c:f>'Usable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'Usable  Feed'!$B$2:$B$24</c:f>
              <c:numCache>
                <c:formatCode>0</c:formatCode>
                <c:ptCount val="23"/>
                <c:pt idx="0">
                  <c:v>244.15859374999999</c:v>
                </c:pt>
                <c:pt idx="1">
                  <c:v>244.15859374999999</c:v>
                </c:pt>
                <c:pt idx="2">
                  <c:v>244.15859374999999</c:v>
                </c:pt>
                <c:pt idx="3">
                  <c:v>244.15859374999999</c:v>
                </c:pt>
                <c:pt idx="4">
                  <c:v>244.15859374999999</c:v>
                </c:pt>
                <c:pt idx="5">
                  <c:v>244.15859374999999</c:v>
                </c:pt>
                <c:pt idx="6">
                  <c:v>244.15859374999999</c:v>
                </c:pt>
                <c:pt idx="7">
                  <c:v>244.15859374999999</c:v>
                </c:pt>
                <c:pt idx="8">
                  <c:v>244.158203125</c:v>
                </c:pt>
                <c:pt idx="9">
                  <c:v>244.15859374999999</c:v>
                </c:pt>
                <c:pt idx="10">
                  <c:v>244.15859374999999</c:v>
                </c:pt>
                <c:pt idx="11">
                  <c:v>244.15859374999999</c:v>
                </c:pt>
                <c:pt idx="12">
                  <c:v>244.15859374999999</c:v>
                </c:pt>
                <c:pt idx="13">
                  <c:v>244.15859374999999</c:v>
                </c:pt>
                <c:pt idx="14">
                  <c:v>244.15859374999999</c:v>
                </c:pt>
                <c:pt idx="15">
                  <c:v>244.15859374999999</c:v>
                </c:pt>
                <c:pt idx="16">
                  <c:v>244.15859374999999</c:v>
                </c:pt>
                <c:pt idx="17">
                  <c:v>244.15859374999999</c:v>
                </c:pt>
                <c:pt idx="18">
                  <c:v>140.0322265625</c:v>
                </c:pt>
                <c:pt idx="19">
                  <c:v>140.0322265625</c:v>
                </c:pt>
                <c:pt idx="20">
                  <c:v>140.0322265625</c:v>
                </c:pt>
                <c:pt idx="21">
                  <c:v>140.0322265625</c:v>
                </c:pt>
                <c:pt idx="22">
                  <c:v>140.0322265625</c:v>
                </c:pt>
              </c:numCache>
            </c:numRef>
          </c:val>
          <c:smooth val="0"/>
        </c:ser>
        <c:ser>
          <c:idx val="1"/>
          <c:order val="1"/>
          <c:tx>
            <c:strRef>
              <c:f>'Usable  Feed'!$C$1</c:f>
              <c:strCache>
                <c:ptCount val="1"/>
                <c:pt idx="0">
                  <c:v>CGC Tier 3  (TB Pool Size)</c:v>
                </c:pt>
              </c:strCache>
            </c:strRef>
          </c:tx>
          <c:cat>
            <c:numRef>
              <c:f>'Usable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'Usable  Feed'!$C$2:$C$24</c:f>
              <c:numCache>
                <c:formatCode>0</c:formatCode>
                <c:ptCount val="23"/>
                <c:pt idx="0">
                  <c:v>146.98896484375001</c:v>
                </c:pt>
                <c:pt idx="1">
                  <c:v>146.98896484375001</c:v>
                </c:pt>
                <c:pt idx="2">
                  <c:v>146.98896484375001</c:v>
                </c:pt>
                <c:pt idx="3">
                  <c:v>146.98896484375001</c:v>
                </c:pt>
                <c:pt idx="4">
                  <c:v>146.98896484375001</c:v>
                </c:pt>
                <c:pt idx="5">
                  <c:v>146.98896484375001</c:v>
                </c:pt>
                <c:pt idx="6">
                  <c:v>146.98896484375001</c:v>
                </c:pt>
                <c:pt idx="7">
                  <c:v>146.98896484375001</c:v>
                </c:pt>
                <c:pt idx="8">
                  <c:v>146.9892578125</c:v>
                </c:pt>
                <c:pt idx="9">
                  <c:v>146.98896484375001</c:v>
                </c:pt>
                <c:pt idx="10">
                  <c:v>146.98896484375001</c:v>
                </c:pt>
                <c:pt idx="11">
                  <c:v>146.98896484375001</c:v>
                </c:pt>
                <c:pt idx="12">
                  <c:v>146.98896484375001</c:v>
                </c:pt>
                <c:pt idx="13">
                  <c:v>146.98896484375001</c:v>
                </c:pt>
                <c:pt idx="14">
                  <c:v>146.98896484375001</c:v>
                </c:pt>
                <c:pt idx="15">
                  <c:v>146.98896484375001</c:v>
                </c:pt>
                <c:pt idx="16">
                  <c:v>146.98896484375001</c:v>
                </c:pt>
                <c:pt idx="17">
                  <c:v>146.98896484375001</c:v>
                </c:pt>
                <c:pt idx="18">
                  <c:v>146.98896484375001</c:v>
                </c:pt>
                <c:pt idx="19">
                  <c:v>146.98896484375001</c:v>
                </c:pt>
                <c:pt idx="20">
                  <c:v>146.98896484375001</c:v>
                </c:pt>
                <c:pt idx="21">
                  <c:v>146.98896484375001</c:v>
                </c:pt>
                <c:pt idx="22">
                  <c:v>146.98896484375001</c:v>
                </c:pt>
              </c:numCache>
            </c:numRef>
          </c:val>
          <c:smooth val="0"/>
        </c:ser>
        <c:ser>
          <c:idx val="2"/>
          <c:order val="2"/>
          <c:tx>
            <c:strRef>
              <c:f>'Usable  Feed'!$D$1</c:f>
              <c:strCache>
                <c:ptCount val="1"/>
                <c:pt idx="0">
                  <c:v>RDC Tier 3 (TB Pool Size)</c:v>
                </c:pt>
              </c:strCache>
            </c:strRef>
          </c:tx>
          <c:cat>
            <c:numRef>
              <c:f>'Usable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'Usable  Feed'!$D$2:$D$24</c:f>
              <c:numCache>
                <c:formatCode>0</c:formatCode>
                <c:ptCount val="23"/>
                <c:pt idx="0">
                  <c:v>1164.3013671875001</c:v>
                </c:pt>
                <c:pt idx="1">
                  <c:v>1164.3013671875001</c:v>
                </c:pt>
                <c:pt idx="2">
                  <c:v>1164.3013671875001</c:v>
                </c:pt>
                <c:pt idx="3">
                  <c:v>1164.3013671875001</c:v>
                </c:pt>
                <c:pt idx="4">
                  <c:v>1164.3013671875001</c:v>
                </c:pt>
                <c:pt idx="5">
                  <c:v>1164.3013671875001</c:v>
                </c:pt>
                <c:pt idx="6">
                  <c:v>1164.3013671875001</c:v>
                </c:pt>
                <c:pt idx="7">
                  <c:v>1164.3013671875001</c:v>
                </c:pt>
                <c:pt idx="8">
                  <c:v>1164.3037109375</c:v>
                </c:pt>
                <c:pt idx="9">
                  <c:v>1064.5</c:v>
                </c:pt>
                <c:pt idx="10">
                  <c:v>1064.5</c:v>
                </c:pt>
                <c:pt idx="11">
                  <c:v>964.69873046875</c:v>
                </c:pt>
                <c:pt idx="12">
                  <c:v>964.69873046875</c:v>
                </c:pt>
                <c:pt idx="13">
                  <c:v>964.69873046875</c:v>
                </c:pt>
                <c:pt idx="14">
                  <c:v>964.69873046875</c:v>
                </c:pt>
                <c:pt idx="15">
                  <c:v>964.69873046875</c:v>
                </c:pt>
                <c:pt idx="16">
                  <c:v>964.69873046875</c:v>
                </c:pt>
                <c:pt idx="17">
                  <c:v>958.39833984375002</c:v>
                </c:pt>
                <c:pt idx="18">
                  <c:v>958.39833984375002</c:v>
                </c:pt>
                <c:pt idx="19">
                  <c:v>755.63955078125002</c:v>
                </c:pt>
                <c:pt idx="20">
                  <c:v>755.63955078125002</c:v>
                </c:pt>
                <c:pt idx="21">
                  <c:v>755.63955078125002</c:v>
                </c:pt>
                <c:pt idx="22">
                  <c:v>727.34755859375002</c:v>
                </c:pt>
              </c:numCache>
            </c:numRef>
          </c:val>
          <c:smooth val="0"/>
        </c:ser>
        <c:ser>
          <c:idx val="3"/>
          <c:order val="3"/>
          <c:tx>
            <c:strRef>
              <c:f>'Usable  Feed'!$E$1</c:f>
              <c:strCache>
                <c:ptCount val="1"/>
                <c:pt idx="0">
                  <c:v>RDC Tier 4 (TB Pool Size)</c:v>
                </c:pt>
              </c:strCache>
            </c:strRef>
          </c:tx>
          <c:cat>
            <c:numRef>
              <c:f>'Usable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'Usable  Feed'!$E$2:$E$24</c:f>
              <c:numCache>
                <c:formatCode>0</c:formatCode>
                <c:ptCount val="23"/>
                <c:pt idx="0">
                  <c:v>776.9287109375</c:v>
                </c:pt>
                <c:pt idx="1">
                  <c:v>776.9287109375</c:v>
                </c:pt>
                <c:pt idx="2">
                  <c:v>776.9287109375</c:v>
                </c:pt>
                <c:pt idx="3">
                  <c:v>776.9287109375</c:v>
                </c:pt>
                <c:pt idx="4">
                  <c:v>776.9287109375</c:v>
                </c:pt>
                <c:pt idx="5">
                  <c:v>776.9287109375</c:v>
                </c:pt>
                <c:pt idx="6">
                  <c:v>776.9287109375</c:v>
                </c:pt>
                <c:pt idx="7">
                  <c:v>776.9287109375</c:v>
                </c:pt>
                <c:pt idx="8">
                  <c:v>776.9287109375</c:v>
                </c:pt>
                <c:pt idx="9">
                  <c:v>776.9287109375</c:v>
                </c:pt>
                <c:pt idx="10">
                  <c:v>776.9287109375</c:v>
                </c:pt>
                <c:pt idx="11">
                  <c:v>776.9287109375</c:v>
                </c:pt>
                <c:pt idx="12">
                  <c:v>776.9287109375</c:v>
                </c:pt>
                <c:pt idx="13">
                  <c:v>776.9287109375</c:v>
                </c:pt>
                <c:pt idx="14">
                  <c:v>776.9287109375</c:v>
                </c:pt>
                <c:pt idx="15">
                  <c:v>776.9287109375</c:v>
                </c:pt>
                <c:pt idx="16">
                  <c:v>776.9287109375</c:v>
                </c:pt>
                <c:pt idx="17">
                  <c:v>776.9287109375</c:v>
                </c:pt>
                <c:pt idx="18">
                  <c:v>388.01542968749993</c:v>
                </c:pt>
                <c:pt idx="19">
                  <c:v>388.01542968749993</c:v>
                </c:pt>
                <c:pt idx="20">
                  <c:v>388.01542968749993</c:v>
                </c:pt>
                <c:pt idx="21">
                  <c:v>388.01542968749993</c:v>
                </c:pt>
                <c:pt idx="22">
                  <c:v>388.01542968749993</c:v>
                </c:pt>
              </c:numCache>
            </c:numRef>
          </c:val>
          <c:smooth val="0"/>
        </c:ser>
        <c:ser>
          <c:idx val="4"/>
          <c:order val="4"/>
          <c:tx>
            <c:strRef>
              <c:f>'Usable  Feed'!$F$1</c:f>
              <c:strCache>
                <c:ptCount val="1"/>
                <c:pt idx="0">
                  <c:v>FDC Tier 4  (TB Pool Size)</c:v>
                </c:pt>
              </c:strCache>
            </c:strRef>
          </c:tx>
          <c:cat>
            <c:numRef>
              <c:f>'Usable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'Usable  Feed'!$F$2:$F$24</c:f>
              <c:numCache>
                <c:formatCode>0</c:formatCode>
                <c:ptCount val="23"/>
                <c:pt idx="0">
                  <c:v>1375.6854492187499</c:v>
                </c:pt>
                <c:pt idx="1">
                  <c:v>1375.6854492187499</c:v>
                </c:pt>
                <c:pt idx="2">
                  <c:v>1311.1958984374999</c:v>
                </c:pt>
                <c:pt idx="3">
                  <c:v>1091.4151367187501</c:v>
                </c:pt>
                <c:pt idx="4">
                  <c:v>1091.4151367187501</c:v>
                </c:pt>
                <c:pt idx="5">
                  <c:v>1091.4151367187501</c:v>
                </c:pt>
                <c:pt idx="6">
                  <c:v>1091.4151367187501</c:v>
                </c:pt>
                <c:pt idx="7">
                  <c:v>835.27363281249995</c:v>
                </c:pt>
                <c:pt idx="8">
                  <c:v>835.2734375</c:v>
                </c:pt>
                <c:pt idx="9">
                  <c:v>835.27363281249995</c:v>
                </c:pt>
                <c:pt idx="10">
                  <c:v>835.27363281249995</c:v>
                </c:pt>
                <c:pt idx="11">
                  <c:v>835.27363281249995</c:v>
                </c:pt>
                <c:pt idx="12">
                  <c:v>835.27363281249995</c:v>
                </c:pt>
                <c:pt idx="13">
                  <c:v>835.27363281249995</c:v>
                </c:pt>
                <c:pt idx="14">
                  <c:v>835.27363281249995</c:v>
                </c:pt>
                <c:pt idx="15">
                  <c:v>835.27363281249995</c:v>
                </c:pt>
                <c:pt idx="16">
                  <c:v>835.27363281249995</c:v>
                </c:pt>
                <c:pt idx="17">
                  <c:v>835.27363281249995</c:v>
                </c:pt>
                <c:pt idx="18">
                  <c:v>398.78720703124998</c:v>
                </c:pt>
                <c:pt idx="19">
                  <c:v>398.78720703124998</c:v>
                </c:pt>
                <c:pt idx="20">
                  <c:v>398.78720703124998</c:v>
                </c:pt>
                <c:pt idx="21">
                  <c:v>398.78720703124998</c:v>
                </c:pt>
                <c:pt idx="22">
                  <c:v>398.78720703124998</c:v>
                </c:pt>
              </c:numCache>
            </c:numRef>
          </c:val>
          <c:smooth val="0"/>
        </c:ser>
        <c:ser>
          <c:idx val="5"/>
          <c:order val="5"/>
          <c:tx>
            <c:strRef>
              <c:f>'Usable  Feed'!$G$1</c:f>
              <c:strCache>
                <c:ptCount val="1"/>
                <c:pt idx="0">
                  <c:v>FDC tier 3  (TB Pool Size)</c:v>
                </c:pt>
              </c:strCache>
            </c:strRef>
          </c:tx>
          <c:cat>
            <c:numRef>
              <c:f>'Usable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'Usable  Feed'!$G$2:$G$24</c:f>
              <c:numCache>
                <c:formatCode>0</c:formatCode>
                <c:ptCount val="23"/>
                <c:pt idx="0">
                  <c:v>1127.94501953125</c:v>
                </c:pt>
                <c:pt idx="1">
                  <c:v>1127.94501953125</c:v>
                </c:pt>
                <c:pt idx="2">
                  <c:v>1127.94501953125</c:v>
                </c:pt>
                <c:pt idx="3">
                  <c:v>1127.94501953125</c:v>
                </c:pt>
                <c:pt idx="4">
                  <c:v>1127.94501953125</c:v>
                </c:pt>
                <c:pt idx="5">
                  <c:v>1127.94501953125</c:v>
                </c:pt>
                <c:pt idx="6">
                  <c:v>1127.94501953125</c:v>
                </c:pt>
                <c:pt idx="7">
                  <c:v>1127.94501953125</c:v>
                </c:pt>
                <c:pt idx="8">
                  <c:v>1127.9462890625</c:v>
                </c:pt>
                <c:pt idx="9">
                  <c:v>923.35859374999995</c:v>
                </c:pt>
                <c:pt idx="10">
                  <c:v>923.35859374999995</c:v>
                </c:pt>
                <c:pt idx="11">
                  <c:v>718.77216796874995</c:v>
                </c:pt>
                <c:pt idx="12">
                  <c:v>718.77216796874995</c:v>
                </c:pt>
                <c:pt idx="13">
                  <c:v>718.77216796874995</c:v>
                </c:pt>
                <c:pt idx="14">
                  <c:v>718.77216796874995</c:v>
                </c:pt>
                <c:pt idx="15">
                  <c:v>718.77216796874995</c:v>
                </c:pt>
                <c:pt idx="16">
                  <c:v>718.77216796874995</c:v>
                </c:pt>
                <c:pt idx="17">
                  <c:v>713.39335937499993</c:v>
                </c:pt>
                <c:pt idx="18">
                  <c:v>713.39335937499993</c:v>
                </c:pt>
                <c:pt idx="19">
                  <c:v>713.39335937499993</c:v>
                </c:pt>
                <c:pt idx="20">
                  <c:v>615.41972656249993</c:v>
                </c:pt>
                <c:pt idx="21">
                  <c:v>615.41972656249993</c:v>
                </c:pt>
                <c:pt idx="22">
                  <c:v>615.41972656249993</c:v>
                </c:pt>
              </c:numCache>
            </c:numRef>
          </c:val>
          <c:smooth val="0"/>
        </c:ser>
        <c:ser>
          <c:idx val="6"/>
          <c:order val="6"/>
          <c:tx>
            <c:strRef>
              <c:f>'Usable  Feed'!$H$1</c:f>
              <c:strCache>
                <c:ptCount val="1"/>
                <c:pt idx="0">
                  <c:v>ZDC Tier 4  (TB Pool Size)</c:v>
                </c:pt>
              </c:strCache>
            </c:strRef>
          </c:tx>
          <c:cat>
            <c:numRef>
              <c:f>'Usable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'Usable  Feed'!$H$2:$H$24</c:f>
              <c:numCache>
                <c:formatCode>0</c:formatCode>
                <c:ptCount val="23"/>
                <c:pt idx="0">
                  <c:v>86.17333984375</c:v>
                </c:pt>
                <c:pt idx="1">
                  <c:v>86.17333984375</c:v>
                </c:pt>
                <c:pt idx="2">
                  <c:v>86.17333984375</c:v>
                </c:pt>
                <c:pt idx="3">
                  <c:v>86.17333984375</c:v>
                </c:pt>
                <c:pt idx="4">
                  <c:v>86.17333984375</c:v>
                </c:pt>
                <c:pt idx="5">
                  <c:v>86.17333984375</c:v>
                </c:pt>
                <c:pt idx="6">
                  <c:v>86.17333984375</c:v>
                </c:pt>
                <c:pt idx="7">
                  <c:v>86.17333984375</c:v>
                </c:pt>
                <c:pt idx="8">
                  <c:v>86.173828125</c:v>
                </c:pt>
                <c:pt idx="9">
                  <c:v>86.17333984375</c:v>
                </c:pt>
                <c:pt idx="10">
                  <c:v>86.17333984375</c:v>
                </c:pt>
                <c:pt idx="11">
                  <c:v>86.17333984375</c:v>
                </c:pt>
                <c:pt idx="12">
                  <c:v>86.17333984375</c:v>
                </c:pt>
                <c:pt idx="13">
                  <c:v>86.17333984375</c:v>
                </c:pt>
                <c:pt idx="14">
                  <c:v>86.17333984375</c:v>
                </c:pt>
                <c:pt idx="15">
                  <c:v>86.17333984375</c:v>
                </c:pt>
                <c:pt idx="16">
                  <c:v>86.17333984375</c:v>
                </c:pt>
                <c:pt idx="17">
                  <c:v>86.17333984375</c:v>
                </c:pt>
                <c:pt idx="18">
                  <c:v>86.17333984375</c:v>
                </c:pt>
                <c:pt idx="19">
                  <c:v>86.17333984375</c:v>
                </c:pt>
                <c:pt idx="20">
                  <c:v>86.17333984375</c:v>
                </c:pt>
                <c:pt idx="21">
                  <c:v>86.17333984375</c:v>
                </c:pt>
                <c:pt idx="22">
                  <c:v>86.17333984375</c:v>
                </c:pt>
              </c:numCache>
            </c:numRef>
          </c:val>
          <c:smooth val="0"/>
        </c:ser>
        <c:dLbls>
          <c:showLegendKey val="0"/>
          <c:showVal val="0"/>
          <c:showCatName val="0"/>
          <c:showSerName val="0"/>
          <c:showPercent val="0"/>
          <c:showBubbleSize val="0"/>
        </c:dLbls>
        <c:marker val="1"/>
        <c:smooth val="0"/>
        <c:axId val="275178624"/>
        <c:axId val="275180160"/>
      </c:lineChart>
      <c:dateAx>
        <c:axId val="275178624"/>
        <c:scaling>
          <c:orientation val="minMax"/>
        </c:scaling>
        <c:delete val="0"/>
        <c:axPos val="b"/>
        <c:numFmt formatCode="[$-409]d\-mmm\-yy;@" sourceLinked="1"/>
        <c:majorTickMark val="out"/>
        <c:minorTickMark val="none"/>
        <c:tickLblPos val="nextTo"/>
        <c:crossAx val="275180160"/>
        <c:crosses val="autoZero"/>
        <c:auto val="1"/>
        <c:lblOffset val="100"/>
        <c:baseTimeUnit val="days"/>
      </c:dateAx>
      <c:valAx>
        <c:axId val="275180160"/>
        <c:scaling>
          <c:orientation val="minMax"/>
        </c:scaling>
        <c:delete val="0"/>
        <c:axPos val="l"/>
        <c:majorGridlines/>
        <c:numFmt formatCode="0" sourceLinked="1"/>
        <c:majorTickMark val="out"/>
        <c:minorTickMark val="none"/>
        <c:tickLblPos val="nextTo"/>
        <c:crossAx val="275178624"/>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'Used Feed'!$B$1</c:f>
              <c:strCache>
                <c:ptCount val="1"/>
                <c:pt idx="0">
                  <c:v>CGC Tier 4  (TB Used)</c:v>
                </c:pt>
              </c:strCache>
            </c:strRef>
          </c:tx>
          <c:cat>
            <c:numRef>
              <c:f>'Used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'Used Feed'!$B$2:$B$24</c:f>
              <c:numCache>
                <c:formatCode>0</c:formatCode>
                <c:ptCount val="23"/>
                <c:pt idx="0">
                  <c:v>100.90361328125</c:v>
                </c:pt>
                <c:pt idx="1">
                  <c:v>100.64873046875</c:v>
                </c:pt>
                <c:pt idx="2">
                  <c:v>100.29677734374999</c:v>
                </c:pt>
                <c:pt idx="3">
                  <c:v>100.29677734374999</c:v>
                </c:pt>
                <c:pt idx="4">
                  <c:v>99.743945312500003</c:v>
                </c:pt>
                <c:pt idx="5">
                  <c:v>101.85146484374999</c:v>
                </c:pt>
                <c:pt idx="6">
                  <c:v>101.87138671875</c:v>
                </c:pt>
                <c:pt idx="7">
                  <c:v>101.54648437500001</c:v>
                </c:pt>
                <c:pt idx="8">
                  <c:v>101.45986328124999</c:v>
                </c:pt>
                <c:pt idx="9">
                  <c:v>102.39833984374999</c:v>
                </c:pt>
                <c:pt idx="10">
                  <c:v>103.059765625</c:v>
                </c:pt>
                <c:pt idx="11">
                  <c:v>102.97402343749999</c:v>
                </c:pt>
                <c:pt idx="12">
                  <c:v>102.10400390625</c:v>
                </c:pt>
                <c:pt idx="13">
                  <c:v>101.59218749999999</c:v>
                </c:pt>
                <c:pt idx="14">
                  <c:v>98.920605468749997</c:v>
                </c:pt>
                <c:pt idx="15">
                  <c:v>98.359667968750003</c:v>
                </c:pt>
                <c:pt idx="16">
                  <c:v>98.325976562500003</c:v>
                </c:pt>
                <c:pt idx="17">
                  <c:v>98.328808593749997</c:v>
                </c:pt>
                <c:pt idx="18">
                  <c:v>51.736035156249997</c:v>
                </c:pt>
                <c:pt idx="19">
                  <c:v>51.684863281250003</c:v>
                </c:pt>
                <c:pt idx="20">
                  <c:v>51.684863281250003</c:v>
                </c:pt>
                <c:pt idx="21">
                  <c:v>51.081152343749999</c:v>
                </c:pt>
                <c:pt idx="22">
                  <c:v>50.74609375</c:v>
                </c:pt>
              </c:numCache>
            </c:numRef>
          </c:val>
          <c:smooth val="0"/>
        </c:ser>
        <c:ser>
          <c:idx val="1"/>
          <c:order val="1"/>
          <c:tx>
            <c:strRef>
              <c:f>'Used Feed'!$C$1</c:f>
              <c:strCache>
                <c:ptCount val="1"/>
                <c:pt idx="0">
                  <c:v>CGC Tier 3  (TB Used)</c:v>
                </c:pt>
              </c:strCache>
            </c:strRef>
          </c:tx>
          <c:cat>
            <c:numRef>
              <c:f>'Used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'Used Feed'!$C$2:$C$24</c:f>
              <c:numCache>
                <c:formatCode>0</c:formatCode>
                <c:ptCount val="23"/>
                <c:pt idx="0">
                  <c:v>81.887597656249994</c:v>
                </c:pt>
                <c:pt idx="1">
                  <c:v>81.83056640625</c:v>
                </c:pt>
                <c:pt idx="2">
                  <c:v>81.599414062500003</c:v>
                </c:pt>
                <c:pt idx="3">
                  <c:v>81.599414062500003</c:v>
                </c:pt>
                <c:pt idx="4">
                  <c:v>81.565624999999997</c:v>
                </c:pt>
                <c:pt idx="5">
                  <c:v>81.4814453125</c:v>
                </c:pt>
                <c:pt idx="6">
                  <c:v>82.491601562499994</c:v>
                </c:pt>
                <c:pt idx="7">
                  <c:v>82.464648437500003</c:v>
                </c:pt>
                <c:pt idx="8">
                  <c:v>82.121972656249994</c:v>
                </c:pt>
                <c:pt idx="9">
                  <c:v>81.948046875000003</c:v>
                </c:pt>
                <c:pt idx="10">
                  <c:v>81.91845703125</c:v>
                </c:pt>
                <c:pt idx="11">
                  <c:v>81.835742187500003</c:v>
                </c:pt>
                <c:pt idx="12">
                  <c:v>81.38916015625</c:v>
                </c:pt>
                <c:pt idx="13">
                  <c:v>81.294042968750006</c:v>
                </c:pt>
                <c:pt idx="14">
                  <c:v>81.162011718749994</c:v>
                </c:pt>
                <c:pt idx="15">
                  <c:v>80.8115234375</c:v>
                </c:pt>
                <c:pt idx="16">
                  <c:v>80.810351562500003</c:v>
                </c:pt>
                <c:pt idx="17">
                  <c:v>80.810351562500003</c:v>
                </c:pt>
                <c:pt idx="18">
                  <c:v>80.800585937500003</c:v>
                </c:pt>
                <c:pt idx="19">
                  <c:v>80.777929687500006</c:v>
                </c:pt>
                <c:pt idx="20">
                  <c:v>80.777929687500006</c:v>
                </c:pt>
                <c:pt idx="21">
                  <c:v>80.741503906250003</c:v>
                </c:pt>
                <c:pt idx="22">
                  <c:v>80.017773437499997</c:v>
                </c:pt>
              </c:numCache>
            </c:numRef>
          </c:val>
          <c:smooth val="0"/>
        </c:ser>
        <c:ser>
          <c:idx val="2"/>
          <c:order val="2"/>
          <c:tx>
            <c:strRef>
              <c:f>'Used Feed'!$D$1</c:f>
              <c:strCache>
                <c:ptCount val="1"/>
                <c:pt idx="0">
                  <c:v>RDC Tier 3 (TB Used)</c:v>
                </c:pt>
              </c:strCache>
            </c:strRef>
          </c:tx>
          <c:cat>
            <c:numRef>
              <c:f>'Used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'Used Feed'!$D$2:$D$24</c:f>
              <c:numCache>
                <c:formatCode>0</c:formatCode>
                <c:ptCount val="23"/>
                <c:pt idx="0">
                  <c:v>467.24326171874998</c:v>
                </c:pt>
                <c:pt idx="1">
                  <c:v>465.91787109374991</c:v>
                </c:pt>
                <c:pt idx="2">
                  <c:v>464.51123046875</c:v>
                </c:pt>
                <c:pt idx="3">
                  <c:v>455.29482421874997</c:v>
                </c:pt>
                <c:pt idx="4">
                  <c:v>448.68671874999995</c:v>
                </c:pt>
                <c:pt idx="5">
                  <c:v>450.64277343749995</c:v>
                </c:pt>
                <c:pt idx="6">
                  <c:v>450.22167968749989</c:v>
                </c:pt>
                <c:pt idx="7">
                  <c:v>444.19218749999999</c:v>
                </c:pt>
                <c:pt idx="8">
                  <c:v>437.73916015624991</c:v>
                </c:pt>
                <c:pt idx="9">
                  <c:v>429.41650390625</c:v>
                </c:pt>
                <c:pt idx="10">
                  <c:v>424.75917968749997</c:v>
                </c:pt>
                <c:pt idx="11">
                  <c:v>425.74492187500005</c:v>
                </c:pt>
                <c:pt idx="12">
                  <c:v>423.23554687500001</c:v>
                </c:pt>
                <c:pt idx="13">
                  <c:v>419.50839843749998</c:v>
                </c:pt>
                <c:pt idx="14">
                  <c:v>400.84814453125</c:v>
                </c:pt>
                <c:pt idx="15">
                  <c:v>398.84550781249999</c:v>
                </c:pt>
                <c:pt idx="16">
                  <c:v>398.41142578124999</c:v>
                </c:pt>
                <c:pt idx="17">
                  <c:v>398.41142578124999</c:v>
                </c:pt>
                <c:pt idx="18">
                  <c:v>389.43662109375003</c:v>
                </c:pt>
                <c:pt idx="19">
                  <c:v>384.24238281250001</c:v>
                </c:pt>
                <c:pt idx="20">
                  <c:v>383.96708984374999</c:v>
                </c:pt>
                <c:pt idx="21">
                  <c:v>380.10488281250002</c:v>
                </c:pt>
                <c:pt idx="22">
                  <c:v>367.84423828125</c:v>
                </c:pt>
              </c:numCache>
            </c:numRef>
          </c:val>
          <c:smooth val="0"/>
        </c:ser>
        <c:ser>
          <c:idx val="3"/>
          <c:order val="3"/>
          <c:tx>
            <c:strRef>
              <c:f>'Used Feed'!$E$1</c:f>
              <c:strCache>
                <c:ptCount val="1"/>
                <c:pt idx="0">
                  <c:v>RDC Tier 4 (TB Used)</c:v>
                </c:pt>
              </c:strCache>
            </c:strRef>
          </c:tx>
          <c:cat>
            <c:numRef>
              <c:f>'Used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'Used Feed'!$E$2:$E$24</c:f>
              <c:numCache>
                <c:formatCode>0</c:formatCode>
                <c:ptCount val="23"/>
                <c:pt idx="0">
                  <c:v>421.64257812500006</c:v>
                </c:pt>
                <c:pt idx="1">
                  <c:v>419.59550781250005</c:v>
                </c:pt>
                <c:pt idx="2">
                  <c:v>415.46318359374999</c:v>
                </c:pt>
                <c:pt idx="3">
                  <c:v>423.41054687499997</c:v>
                </c:pt>
                <c:pt idx="4">
                  <c:v>418.314453125</c:v>
                </c:pt>
                <c:pt idx="5">
                  <c:v>409.56826171875002</c:v>
                </c:pt>
                <c:pt idx="6">
                  <c:v>411.93994140625</c:v>
                </c:pt>
                <c:pt idx="7">
                  <c:v>407.21796875000001</c:v>
                </c:pt>
                <c:pt idx="8">
                  <c:v>404.03437499999995</c:v>
                </c:pt>
                <c:pt idx="9">
                  <c:v>395.46259765625001</c:v>
                </c:pt>
                <c:pt idx="10">
                  <c:v>391.58564453125001</c:v>
                </c:pt>
                <c:pt idx="11">
                  <c:v>383.015625</c:v>
                </c:pt>
                <c:pt idx="12">
                  <c:v>379.21249999999998</c:v>
                </c:pt>
                <c:pt idx="13">
                  <c:v>378.03154296875005</c:v>
                </c:pt>
                <c:pt idx="14">
                  <c:v>367.13984374999995</c:v>
                </c:pt>
                <c:pt idx="15">
                  <c:v>374.67109375000001</c:v>
                </c:pt>
                <c:pt idx="16">
                  <c:v>373.67910156249997</c:v>
                </c:pt>
                <c:pt idx="17">
                  <c:v>373.70175781249998</c:v>
                </c:pt>
                <c:pt idx="18">
                  <c:v>226.26035156249998</c:v>
                </c:pt>
                <c:pt idx="19">
                  <c:v>222.46953125000002</c:v>
                </c:pt>
                <c:pt idx="20">
                  <c:v>222.46953125000002</c:v>
                </c:pt>
                <c:pt idx="21">
                  <c:v>222.25400390624998</c:v>
                </c:pt>
                <c:pt idx="22">
                  <c:v>211.60683593749999</c:v>
                </c:pt>
              </c:numCache>
            </c:numRef>
          </c:val>
          <c:smooth val="0"/>
        </c:ser>
        <c:ser>
          <c:idx val="4"/>
          <c:order val="4"/>
          <c:tx>
            <c:strRef>
              <c:f>'Used Feed'!$F$1</c:f>
              <c:strCache>
                <c:ptCount val="1"/>
                <c:pt idx="0">
                  <c:v>FDC Tier 4  (TB Used)</c:v>
                </c:pt>
              </c:strCache>
            </c:strRef>
          </c:tx>
          <c:trendline>
            <c:trendlineType val="power"/>
            <c:dispRSqr val="0"/>
            <c:dispEq val="0"/>
          </c:trendline>
          <c:cat>
            <c:numRef>
              <c:f>'Used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'Used Feed'!$F$2:$F$24</c:f>
              <c:numCache>
                <c:formatCode>0</c:formatCode>
                <c:ptCount val="23"/>
                <c:pt idx="0">
                  <c:v>531.9091796875</c:v>
                </c:pt>
                <c:pt idx="1">
                  <c:v>530.09628906249998</c:v>
                </c:pt>
                <c:pt idx="2">
                  <c:v>523.94248046874998</c:v>
                </c:pt>
                <c:pt idx="3">
                  <c:v>531.34111328124993</c:v>
                </c:pt>
                <c:pt idx="4">
                  <c:v>525.97314453124989</c:v>
                </c:pt>
                <c:pt idx="5">
                  <c:v>520.97617187500009</c:v>
                </c:pt>
                <c:pt idx="6">
                  <c:v>515.77509765624995</c:v>
                </c:pt>
                <c:pt idx="7">
                  <c:v>508.98154296874998</c:v>
                </c:pt>
                <c:pt idx="8">
                  <c:v>505.79521484375005</c:v>
                </c:pt>
                <c:pt idx="9">
                  <c:v>498.95576171875001</c:v>
                </c:pt>
                <c:pt idx="10">
                  <c:v>496.0087890625</c:v>
                </c:pt>
                <c:pt idx="11">
                  <c:v>491.60625000000005</c:v>
                </c:pt>
                <c:pt idx="12">
                  <c:v>475.96191406250006</c:v>
                </c:pt>
                <c:pt idx="13">
                  <c:v>470.43417968750003</c:v>
                </c:pt>
                <c:pt idx="14">
                  <c:v>462.91904296874998</c:v>
                </c:pt>
                <c:pt idx="15">
                  <c:v>469.97685546874999</c:v>
                </c:pt>
                <c:pt idx="16">
                  <c:v>466.25361328125001</c:v>
                </c:pt>
                <c:pt idx="17">
                  <c:v>466.28886718750005</c:v>
                </c:pt>
                <c:pt idx="18">
                  <c:v>290.70957031249998</c:v>
                </c:pt>
                <c:pt idx="19">
                  <c:v>282.88818359375</c:v>
                </c:pt>
                <c:pt idx="20">
                  <c:v>278.70839843750002</c:v>
                </c:pt>
                <c:pt idx="21">
                  <c:v>273.82675781249998</c:v>
                </c:pt>
                <c:pt idx="22">
                  <c:v>264.89248046875002</c:v>
                </c:pt>
              </c:numCache>
            </c:numRef>
          </c:val>
          <c:smooth val="0"/>
        </c:ser>
        <c:ser>
          <c:idx val="5"/>
          <c:order val="5"/>
          <c:tx>
            <c:strRef>
              <c:f>'Used Feed'!$G$1</c:f>
              <c:strCache>
                <c:ptCount val="1"/>
                <c:pt idx="0">
                  <c:v>FDC tier 3  (TB Used)</c:v>
                </c:pt>
              </c:strCache>
            </c:strRef>
          </c:tx>
          <c:cat>
            <c:numRef>
              <c:f>'Used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'Used Feed'!$G$2:$G$24</c:f>
              <c:numCache>
                <c:formatCode>0</c:formatCode>
                <c:ptCount val="23"/>
                <c:pt idx="0">
                  <c:v>502.36806640625008</c:v>
                </c:pt>
                <c:pt idx="1">
                  <c:v>500.90175781250002</c:v>
                </c:pt>
                <c:pt idx="2">
                  <c:v>498.73261718750001</c:v>
                </c:pt>
                <c:pt idx="3">
                  <c:v>478.10781250000002</c:v>
                </c:pt>
                <c:pt idx="4">
                  <c:v>471.20830078125005</c:v>
                </c:pt>
                <c:pt idx="5">
                  <c:v>478.82041015624998</c:v>
                </c:pt>
                <c:pt idx="6">
                  <c:v>476.97158203125008</c:v>
                </c:pt>
                <c:pt idx="7">
                  <c:v>466.51679687499995</c:v>
                </c:pt>
                <c:pt idx="8">
                  <c:v>462.35693359375011</c:v>
                </c:pt>
                <c:pt idx="9">
                  <c:v>450.71279296874997</c:v>
                </c:pt>
                <c:pt idx="10">
                  <c:v>443.00976562500006</c:v>
                </c:pt>
                <c:pt idx="11">
                  <c:v>441.92871093750006</c:v>
                </c:pt>
                <c:pt idx="12">
                  <c:v>438.1728515625</c:v>
                </c:pt>
                <c:pt idx="13">
                  <c:v>434.94257812500001</c:v>
                </c:pt>
                <c:pt idx="14">
                  <c:v>418.97500000000002</c:v>
                </c:pt>
                <c:pt idx="15">
                  <c:v>416.13837890625001</c:v>
                </c:pt>
                <c:pt idx="16">
                  <c:v>415.63749999999999</c:v>
                </c:pt>
                <c:pt idx="17">
                  <c:v>415.63749999999999</c:v>
                </c:pt>
                <c:pt idx="18">
                  <c:v>405.88417968750002</c:v>
                </c:pt>
                <c:pt idx="19">
                  <c:v>400.53476562499998</c:v>
                </c:pt>
                <c:pt idx="20">
                  <c:v>398.71738281249998</c:v>
                </c:pt>
                <c:pt idx="21">
                  <c:v>388.92753906249999</c:v>
                </c:pt>
                <c:pt idx="22">
                  <c:v>374.46357421875001</c:v>
                </c:pt>
              </c:numCache>
            </c:numRef>
          </c:val>
          <c:smooth val="0"/>
        </c:ser>
        <c:ser>
          <c:idx val="6"/>
          <c:order val="6"/>
          <c:tx>
            <c:strRef>
              <c:f>'Used Feed'!$H$1</c:f>
              <c:strCache>
                <c:ptCount val="1"/>
                <c:pt idx="0">
                  <c:v>ZDC Tier 4  (TB Used)</c:v>
                </c:pt>
              </c:strCache>
            </c:strRef>
          </c:tx>
          <c:cat>
            <c:numRef>
              <c:f>'Used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'Used Feed'!$H$2:$H$24</c:f>
              <c:numCache>
                <c:formatCode>0</c:formatCode>
                <c:ptCount val="23"/>
                <c:pt idx="0">
                  <c:v>26.191699218750003</c:v>
                </c:pt>
                <c:pt idx="1">
                  <c:v>26.191699218750003</c:v>
                </c:pt>
                <c:pt idx="2">
                  <c:v>26.191699218750003</c:v>
                </c:pt>
                <c:pt idx="3">
                  <c:v>26.191699218750003</c:v>
                </c:pt>
                <c:pt idx="4">
                  <c:v>26.191699218750003</c:v>
                </c:pt>
                <c:pt idx="5">
                  <c:v>26.191699218750003</c:v>
                </c:pt>
                <c:pt idx="6">
                  <c:v>26.191699218750003</c:v>
                </c:pt>
                <c:pt idx="7">
                  <c:v>24.850390624999999</c:v>
                </c:pt>
                <c:pt idx="8">
                  <c:v>24.850390624999999</c:v>
                </c:pt>
                <c:pt idx="9">
                  <c:v>24.850390624999999</c:v>
                </c:pt>
                <c:pt idx="10">
                  <c:v>24.850390624999999</c:v>
                </c:pt>
                <c:pt idx="11">
                  <c:v>20.913671874999999</c:v>
                </c:pt>
                <c:pt idx="12">
                  <c:v>20.913671874999999</c:v>
                </c:pt>
                <c:pt idx="13">
                  <c:v>20.913671874999999</c:v>
                </c:pt>
                <c:pt idx="14">
                  <c:v>20.913671874999999</c:v>
                </c:pt>
                <c:pt idx="15">
                  <c:v>20.913671874999999</c:v>
                </c:pt>
                <c:pt idx="16">
                  <c:v>20.913671874999999</c:v>
                </c:pt>
                <c:pt idx="17">
                  <c:v>20.913671874999999</c:v>
                </c:pt>
                <c:pt idx="18">
                  <c:v>20.913671874999999</c:v>
                </c:pt>
                <c:pt idx="19">
                  <c:v>20.913671874999999</c:v>
                </c:pt>
                <c:pt idx="20">
                  <c:v>20.913671874999999</c:v>
                </c:pt>
                <c:pt idx="21">
                  <c:v>20.913671874999999</c:v>
                </c:pt>
                <c:pt idx="22">
                  <c:v>20.28125</c:v>
                </c:pt>
              </c:numCache>
            </c:numRef>
          </c:val>
          <c:smooth val="0"/>
        </c:ser>
        <c:dLbls>
          <c:showLegendKey val="0"/>
          <c:showVal val="0"/>
          <c:showCatName val="0"/>
          <c:showSerName val="0"/>
          <c:showPercent val="0"/>
          <c:showBubbleSize val="0"/>
        </c:dLbls>
        <c:marker val="1"/>
        <c:smooth val="0"/>
        <c:axId val="277356928"/>
        <c:axId val="277358464"/>
      </c:lineChart>
      <c:dateAx>
        <c:axId val="277356928"/>
        <c:scaling>
          <c:orientation val="minMax"/>
        </c:scaling>
        <c:delete val="0"/>
        <c:axPos val="b"/>
        <c:numFmt formatCode="[$-409]d\-mmm\-yy;@" sourceLinked="1"/>
        <c:majorTickMark val="out"/>
        <c:minorTickMark val="none"/>
        <c:tickLblPos val="nextTo"/>
        <c:crossAx val="277358464"/>
        <c:crosses val="autoZero"/>
        <c:auto val="1"/>
        <c:lblOffset val="100"/>
        <c:baseTimeUnit val="days"/>
      </c:dateAx>
      <c:valAx>
        <c:axId val="277358464"/>
        <c:scaling>
          <c:orientation val="minMax"/>
        </c:scaling>
        <c:delete val="0"/>
        <c:axPos val="l"/>
        <c:majorGridlines/>
        <c:numFmt formatCode="0" sourceLinked="1"/>
        <c:majorTickMark val="out"/>
        <c:minorTickMark val="none"/>
        <c:tickLblPos val="nextTo"/>
        <c:crossAx val="277356928"/>
        <c:crosses val="autoZero"/>
        <c:crossBetween val="between"/>
      </c:valAx>
      <c:spPr>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c:spPr>
    </c:plotArea>
    <c:legend>
      <c:legendPos val="r"/>
      <c:layout/>
      <c:overlay val="0"/>
    </c:legend>
    <c:plotVisOnly val="1"/>
    <c:dispBlanksAs val="gap"/>
    <c:showDLblsOverMax val="0"/>
  </c:chart>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75448256894995E-2"/>
          <c:y val="2.2127058800110174E-2"/>
          <c:w val="0.74342271566851414"/>
          <c:h val="0.91211383830261594"/>
        </c:manualLayout>
      </c:layout>
      <c:lineChart>
        <c:grouping val="standard"/>
        <c:varyColors val="0"/>
        <c:ser>
          <c:idx val="0"/>
          <c:order val="0"/>
          <c:tx>
            <c:strRef>
              <c:f>'Alloc Feed'!$B$1</c:f>
              <c:strCache>
                <c:ptCount val="1"/>
                <c:pt idx="0">
                  <c:v>CGC Tier 4  (TB Alloc)</c:v>
                </c:pt>
              </c:strCache>
            </c:strRef>
          </c:tx>
          <c:cat>
            <c:numRef>
              <c:f>'Alloc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'Alloc Feed'!$B$2:$B$24</c:f>
              <c:numCache>
                <c:formatCode>0</c:formatCode>
                <c:ptCount val="23"/>
                <c:pt idx="0">
                  <c:v>174.34718261718749</c:v>
                </c:pt>
                <c:pt idx="1">
                  <c:v>174.34718261718749</c:v>
                </c:pt>
                <c:pt idx="2">
                  <c:v>175.20327832031251</c:v>
                </c:pt>
                <c:pt idx="3">
                  <c:v>175.20327832031251</c:v>
                </c:pt>
                <c:pt idx="4">
                  <c:v>175.20327832031251</c:v>
                </c:pt>
                <c:pt idx="5">
                  <c:v>176.65205566406249</c:v>
                </c:pt>
                <c:pt idx="6">
                  <c:v>177.7057119140625</c:v>
                </c:pt>
                <c:pt idx="7">
                  <c:v>177.7057119140625</c:v>
                </c:pt>
                <c:pt idx="8">
                  <c:v>177.7060546875</c:v>
                </c:pt>
                <c:pt idx="9">
                  <c:v>181.7886298828125</c:v>
                </c:pt>
                <c:pt idx="10">
                  <c:v>181.755703125</c:v>
                </c:pt>
                <c:pt idx="11">
                  <c:v>181.72277636718749</c:v>
                </c:pt>
                <c:pt idx="12">
                  <c:v>181.45936230468749</c:v>
                </c:pt>
                <c:pt idx="13">
                  <c:v>181.45936230468749</c:v>
                </c:pt>
                <c:pt idx="14">
                  <c:v>182.4471650390625</c:v>
                </c:pt>
                <c:pt idx="15">
                  <c:v>184.88374511718749</c:v>
                </c:pt>
                <c:pt idx="16">
                  <c:v>184.88374511718749</c:v>
                </c:pt>
                <c:pt idx="17">
                  <c:v>184.88374511718749</c:v>
                </c:pt>
                <c:pt idx="18">
                  <c:v>184.88374511718749</c:v>
                </c:pt>
                <c:pt idx="19">
                  <c:v>183.5996015625</c:v>
                </c:pt>
                <c:pt idx="20">
                  <c:v>183.5996015625</c:v>
                </c:pt>
                <c:pt idx="21">
                  <c:v>183.5996015625</c:v>
                </c:pt>
                <c:pt idx="22">
                  <c:v>182.216677734375</c:v>
                </c:pt>
              </c:numCache>
            </c:numRef>
          </c:val>
          <c:smooth val="0"/>
        </c:ser>
        <c:ser>
          <c:idx val="1"/>
          <c:order val="1"/>
          <c:tx>
            <c:strRef>
              <c:f>'Alloc Feed'!$C$1</c:f>
              <c:strCache>
                <c:ptCount val="1"/>
                <c:pt idx="0">
                  <c:v>CGC Tier 3  (TB Alloc)</c:v>
                </c:pt>
              </c:strCache>
            </c:strRef>
          </c:tx>
          <c:cat>
            <c:numRef>
              <c:f>'Alloc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'Alloc Feed'!$C$2:$C$24</c:f>
              <c:numCache>
                <c:formatCode>0</c:formatCode>
                <c:ptCount val="23"/>
                <c:pt idx="0">
                  <c:v>99.076614257812494</c:v>
                </c:pt>
                <c:pt idx="1">
                  <c:v>99.076614257812494</c:v>
                </c:pt>
                <c:pt idx="2">
                  <c:v>97.06808203125</c:v>
                </c:pt>
                <c:pt idx="3">
                  <c:v>97.06808203125</c:v>
                </c:pt>
                <c:pt idx="4">
                  <c:v>97.06808203125</c:v>
                </c:pt>
                <c:pt idx="5">
                  <c:v>97.06808203125</c:v>
                </c:pt>
                <c:pt idx="6">
                  <c:v>98.154665039062493</c:v>
                </c:pt>
                <c:pt idx="7">
                  <c:v>97.858324218749999</c:v>
                </c:pt>
                <c:pt idx="8">
                  <c:v>97.529296875</c:v>
                </c:pt>
                <c:pt idx="9">
                  <c:v>97.430276367187503</c:v>
                </c:pt>
                <c:pt idx="10">
                  <c:v>96.771741210937492</c:v>
                </c:pt>
                <c:pt idx="11">
                  <c:v>96.771741210937492</c:v>
                </c:pt>
                <c:pt idx="12">
                  <c:v>96.771741210937492</c:v>
                </c:pt>
                <c:pt idx="13">
                  <c:v>96.771741210937492</c:v>
                </c:pt>
                <c:pt idx="14">
                  <c:v>96.771741210937492</c:v>
                </c:pt>
                <c:pt idx="15">
                  <c:v>96.771741210937492</c:v>
                </c:pt>
                <c:pt idx="16">
                  <c:v>96.771741210937492</c:v>
                </c:pt>
                <c:pt idx="17">
                  <c:v>86.235178710937504</c:v>
                </c:pt>
                <c:pt idx="18">
                  <c:v>86.235178710937504</c:v>
                </c:pt>
                <c:pt idx="19">
                  <c:v>83.963232421874991</c:v>
                </c:pt>
                <c:pt idx="20">
                  <c:v>83.963232421874991</c:v>
                </c:pt>
                <c:pt idx="21">
                  <c:v>94.499794921874994</c:v>
                </c:pt>
                <c:pt idx="22">
                  <c:v>94.335161132812502</c:v>
                </c:pt>
              </c:numCache>
            </c:numRef>
          </c:val>
          <c:smooth val="0"/>
        </c:ser>
        <c:ser>
          <c:idx val="2"/>
          <c:order val="2"/>
          <c:tx>
            <c:strRef>
              <c:f>'Alloc Feed'!$D$1</c:f>
              <c:strCache>
                <c:ptCount val="1"/>
                <c:pt idx="0">
                  <c:v>RDC Tier 3 (TB Alloc)</c:v>
                </c:pt>
              </c:strCache>
            </c:strRef>
          </c:tx>
          <c:cat>
            <c:numRef>
              <c:f>'Alloc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'Alloc Feed'!$D$2:$D$24</c:f>
              <c:numCache>
                <c:formatCode>0</c:formatCode>
                <c:ptCount val="23"/>
                <c:pt idx="0">
                  <c:v>818.16407812499983</c:v>
                </c:pt>
                <c:pt idx="1">
                  <c:v>818.16407812499983</c:v>
                </c:pt>
                <c:pt idx="2">
                  <c:v>810.39336328124989</c:v>
                </c:pt>
                <c:pt idx="3">
                  <c:v>759.29103515625002</c:v>
                </c:pt>
                <c:pt idx="4">
                  <c:v>758.92884082031253</c:v>
                </c:pt>
                <c:pt idx="5">
                  <c:v>761.06908007812501</c:v>
                </c:pt>
                <c:pt idx="6">
                  <c:v>762.68249121093754</c:v>
                </c:pt>
                <c:pt idx="7">
                  <c:v>762.38615039062495</c:v>
                </c:pt>
                <c:pt idx="8">
                  <c:v>719.6142578125</c:v>
                </c:pt>
                <c:pt idx="9">
                  <c:v>661.56441796874992</c:v>
                </c:pt>
                <c:pt idx="10">
                  <c:v>663.01319531249999</c:v>
                </c:pt>
                <c:pt idx="11">
                  <c:v>655.83516210937501</c:v>
                </c:pt>
                <c:pt idx="12">
                  <c:v>654.38638476562494</c:v>
                </c:pt>
                <c:pt idx="13">
                  <c:v>654.38638476562494</c:v>
                </c:pt>
                <c:pt idx="14">
                  <c:v>638.68032128906236</c:v>
                </c:pt>
                <c:pt idx="15">
                  <c:v>635.84862011718747</c:v>
                </c:pt>
                <c:pt idx="16">
                  <c:v>634.92667089843746</c:v>
                </c:pt>
                <c:pt idx="17">
                  <c:v>611.21940527343747</c:v>
                </c:pt>
                <c:pt idx="18">
                  <c:v>608.74989843749995</c:v>
                </c:pt>
                <c:pt idx="19">
                  <c:v>582.30971191406252</c:v>
                </c:pt>
                <c:pt idx="20">
                  <c:v>516.45619628906252</c:v>
                </c:pt>
                <c:pt idx="21">
                  <c:v>525.70861523437497</c:v>
                </c:pt>
                <c:pt idx="22">
                  <c:v>502.36354394531247</c:v>
                </c:pt>
              </c:numCache>
            </c:numRef>
          </c:val>
          <c:smooth val="0"/>
        </c:ser>
        <c:ser>
          <c:idx val="3"/>
          <c:order val="3"/>
          <c:tx>
            <c:strRef>
              <c:f>'Alloc Feed'!$E$1</c:f>
              <c:strCache>
                <c:ptCount val="1"/>
                <c:pt idx="0">
                  <c:v>RDC Tier 4 (TB Alloc)</c:v>
                </c:pt>
              </c:strCache>
            </c:strRef>
          </c:tx>
          <c:cat>
            <c:numRef>
              <c:f>'Alloc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'Alloc Feed'!$E$2:$E$24</c:f>
              <c:numCache>
                <c:formatCode>0</c:formatCode>
                <c:ptCount val="23"/>
                <c:pt idx="0">
                  <c:v>893.23708593749996</c:v>
                </c:pt>
                <c:pt idx="1">
                  <c:v>893.23708593749996</c:v>
                </c:pt>
                <c:pt idx="2">
                  <c:v>901.43584863281251</c:v>
                </c:pt>
                <c:pt idx="3">
                  <c:v>912.99314062499991</c:v>
                </c:pt>
                <c:pt idx="4">
                  <c:v>912.59801953124986</c:v>
                </c:pt>
                <c:pt idx="5">
                  <c:v>893.36879296874986</c:v>
                </c:pt>
                <c:pt idx="6">
                  <c:v>887.87002441406241</c:v>
                </c:pt>
                <c:pt idx="7">
                  <c:v>880.790771484375</c:v>
                </c:pt>
                <c:pt idx="8">
                  <c:v>876.279296875</c:v>
                </c:pt>
                <c:pt idx="9">
                  <c:v>865.87495019531241</c:v>
                </c:pt>
                <c:pt idx="10">
                  <c:v>864.8871474609374</c:v>
                </c:pt>
                <c:pt idx="11">
                  <c:v>864.55787988281247</c:v>
                </c:pt>
                <c:pt idx="12">
                  <c:v>862.41764062499988</c:v>
                </c:pt>
                <c:pt idx="13">
                  <c:v>862.41764062499988</c:v>
                </c:pt>
                <c:pt idx="14">
                  <c:v>862.15422656250007</c:v>
                </c:pt>
                <c:pt idx="15">
                  <c:v>870.71518359375</c:v>
                </c:pt>
                <c:pt idx="16">
                  <c:v>849.01645019531247</c:v>
                </c:pt>
                <c:pt idx="17">
                  <c:v>850.82742187500003</c:v>
                </c:pt>
                <c:pt idx="18">
                  <c:v>841.64085644531247</c:v>
                </c:pt>
                <c:pt idx="19">
                  <c:v>821.48968066406246</c:v>
                </c:pt>
                <c:pt idx="20">
                  <c:v>821.48968066406246</c:v>
                </c:pt>
                <c:pt idx="21">
                  <c:v>819.4811484375</c:v>
                </c:pt>
                <c:pt idx="22">
                  <c:v>796.56412499999988</c:v>
                </c:pt>
              </c:numCache>
            </c:numRef>
          </c:val>
          <c:smooth val="0"/>
        </c:ser>
        <c:ser>
          <c:idx val="4"/>
          <c:order val="4"/>
          <c:tx>
            <c:strRef>
              <c:f>'Alloc Feed'!$F$1</c:f>
              <c:strCache>
                <c:ptCount val="1"/>
                <c:pt idx="0">
                  <c:v>FDC Tier 4  (TB Alloc)</c:v>
                </c:pt>
              </c:strCache>
            </c:strRef>
          </c:tx>
          <c:cat>
            <c:numRef>
              <c:f>'Alloc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'Alloc Feed'!$F$2:$F$24</c:f>
              <c:numCache>
                <c:formatCode>0</c:formatCode>
                <c:ptCount val="23"/>
                <c:pt idx="0">
                  <c:v>966.69668261718743</c:v>
                </c:pt>
                <c:pt idx="1">
                  <c:v>966.69668261718743</c:v>
                </c:pt>
                <c:pt idx="2">
                  <c:v>933.63821777343753</c:v>
                </c:pt>
                <c:pt idx="3">
                  <c:v>919.57849218749993</c:v>
                </c:pt>
                <c:pt idx="4">
                  <c:v>918.19556835937499</c:v>
                </c:pt>
                <c:pt idx="5">
                  <c:v>917.405326171875</c:v>
                </c:pt>
                <c:pt idx="6">
                  <c:v>926.42725781249987</c:v>
                </c:pt>
                <c:pt idx="7">
                  <c:v>921.22483007812502</c:v>
                </c:pt>
                <c:pt idx="8">
                  <c:v>918.6240234375</c:v>
                </c:pt>
                <c:pt idx="9">
                  <c:v>912.56509277343741</c:v>
                </c:pt>
                <c:pt idx="10">
                  <c:v>911.74192382812498</c:v>
                </c:pt>
                <c:pt idx="11">
                  <c:v>911.74192382812498</c:v>
                </c:pt>
                <c:pt idx="12">
                  <c:v>894.55415625000001</c:v>
                </c:pt>
                <c:pt idx="13">
                  <c:v>894.55415625000001</c:v>
                </c:pt>
                <c:pt idx="14">
                  <c:v>891.39318749999995</c:v>
                </c:pt>
                <c:pt idx="15">
                  <c:v>878.35419140624992</c:v>
                </c:pt>
                <c:pt idx="16">
                  <c:v>878.18955761718735</c:v>
                </c:pt>
                <c:pt idx="17">
                  <c:v>884.478568359375</c:v>
                </c:pt>
                <c:pt idx="18">
                  <c:v>873.48103125</c:v>
                </c:pt>
                <c:pt idx="19">
                  <c:v>855.6676552734375</c:v>
                </c:pt>
                <c:pt idx="20">
                  <c:v>851.45303027343743</c:v>
                </c:pt>
                <c:pt idx="21">
                  <c:v>847.99572070312502</c:v>
                </c:pt>
                <c:pt idx="22">
                  <c:v>821.29212011718744</c:v>
                </c:pt>
              </c:numCache>
            </c:numRef>
          </c:val>
          <c:smooth val="0"/>
        </c:ser>
        <c:ser>
          <c:idx val="5"/>
          <c:order val="5"/>
          <c:tx>
            <c:strRef>
              <c:f>'Alloc Feed'!$G$1</c:f>
              <c:strCache>
                <c:ptCount val="1"/>
                <c:pt idx="0">
                  <c:v>FDC tier 3  (TB Alloc)</c:v>
                </c:pt>
              </c:strCache>
            </c:strRef>
          </c:tx>
          <c:cat>
            <c:numRef>
              <c:f>'Alloc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'Alloc Feed'!$G$2:$G$24</c:f>
              <c:numCache>
                <c:formatCode>0</c:formatCode>
                <c:ptCount val="23"/>
                <c:pt idx="0">
                  <c:v>638.21934667968731</c:v>
                </c:pt>
                <c:pt idx="1">
                  <c:v>638.21934667968731</c:v>
                </c:pt>
                <c:pt idx="2">
                  <c:v>633.60960058593741</c:v>
                </c:pt>
                <c:pt idx="3">
                  <c:v>564.26584863281244</c:v>
                </c:pt>
                <c:pt idx="4">
                  <c:v>563.90365429687495</c:v>
                </c:pt>
                <c:pt idx="5">
                  <c:v>567.52559765624994</c:v>
                </c:pt>
                <c:pt idx="6">
                  <c:v>564.49633593749991</c:v>
                </c:pt>
                <c:pt idx="7">
                  <c:v>566.93291601562487</c:v>
                </c:pt>
                <c:pt idx="8">
                  <c:v>545.2998046875</c:v>
                </c:pt>
                <c:pt idx="9">
                  <c:v>548.98783300781247</c:v>
                </c:pt>
                <c:pt idx="10">
                  <c:v>555.01342968749998</c:v>
                </c:pt>
                <c:pt idx="11">
                  <c:v>551.55612011718756</c:v>
                </c:pt>
                <c:pt idx="12">
                  <c:v>549.28417382812495</c:v>
                </c:pt>
                <c:pt idx="13">
                  <c:v>549.28417382812495</c:v>
                </c:pt>
                <c:pt idx="14">
                  <c:v>534.59883984374994</c:v>
                </c:pt>
                <c:pt idx="15">
                  <c:v>531.10860351562496</c:v>
                </c:pt>
                <c:pt idx="16">
                  <c:v>530.18665429687496</c:v>
                </c:pt>
                <c:pt idx="17">
                  <c:v>517.01595117187492</c:v>
                </c:pt>
                <c:pt idx="18">
                  <c:v>495.71233886718744</c:v>
                </c:pt>
                <c:pt idx="19">
                  <c:v>494.55990234374991</c:v>
                </c:pt>
                <c:pt idx="20">
                  <c:v>489.48918164062502</c:v>
                </c:pt>
                <c:pt idx="21">
                  <c:v>488.20503808593742</c:v>
                </c:pt>
                <c:pt idx="22">
                  <c:v>458.40632226562502</c:v>
                </c:pt>
              </c:numCache>
            </c:numRef>
          </c:val>
          <c:smooth val="0"/>
        </c:ser>
        <c:ser>
          <c:idx val="6"/>
          <c:order val="6"/>
          <c:tx>
            <c:strRef>
              <c:f>'Alloc Feed'!$H$1</c:f>
              <c:strCache>
                <c:ptCount val="1"/>
                <c:pt idx="0">
                  <c:v>ZDC Tier 4  (TB Alloc)</c:v>
                </c:pt>
              </c:strCache>
            </c:strRef>
          </c:tx>
          <c:cat>
            <c:numRef>
              <c:f>'Alloc Feed'!$A$2:$A$24</c:f>
              <c:numCache>
                <c:formatCode>[$-409]d\-mmm\-yy;@</c:formatCode>
                <c:ptCount val="23"/>
                <c:pt idx="0">
                  <c:v>41822</c:v>
                </c:pt>
                <c:pt idx="1">
                  <c:v>41815</c:v>
                </c:pt>
                <c:pt idx="2">
                  <c:v>41808</c:v>
                </c:pt>
                <c:pt idx="3">
                  <c:v>41801</c:v>
                </c:pt>
                <c:pt idx="4">
                  <c:v>41794</c:v>
                </c:pt>
                <c:pt idx="5">
                  <c:v>41787</c:v>
                </c:pt>
                <c:pt idx="6">
                  <c:v>41780</c:v>
                </c:pt>
                <c:pt idx="7">
                  <c:v>41773</c:v>
                </c:pt>
                <c:pt idx="8">
                  <c:v>41766</c:v>
                </c:pt>
                <c:pt idx="9">
                  <c:v>41752</c:v>
                </c:pt>
                <c:pt idx="10">
                  <c:v>41745</c:v>
                </c:pt>
                <c:pt idx="11">
                  <c:v>41739</c:v>
                </c:pt>
                <c:pt idx="12">
                  <c:v>41732</c:v>
                </c:pt>
                <c:pt idx="13">
                  <c:v>41725</c:v>
                </c:pt>
                <c:pt idx="14">
                  <c:v>41709</c:v>
                </c:pt>
                <c:pt idx="15">
                  <c:v>41704</c:v>
                </c:pt>
                <c:pt idx="16">
                  <c:v>41703</c:v>
                </c:pt>
                <c:pt idx="17">
                  <c:v>41702</c:v>
                </c:pt>
                <c:pt idx="18">
                  <c:v>41695</c:v>
                </c:pt>
                <c:pt idx="19">
                  <c:v>41690</c:v>
                </c:pt>
                <c:pt idx="20">
                  <c:v>41684</c:v>
                </c:pt>
                <c:pt idx="21">
                  <c:v>41676</c:v>
                </c:pt>
                <c:pt idx="22">
                  <c:v>41642</c:v>
                </c:pt>
              </c:numCache>
            </c:numRef>
          </c:cat>
          <c:val>
            <c:numRef>
              <c:f>'Alloc Feed'!$H$2:$H$24</c:f>
              <c:numCache>
                <c:formatCode>0</c:formatCode>
                <c:ptCount val="23"/>
                <c:pt idx="0">
                  <c:v>92.820530273437498</c:v>
                </c:pt>
                <c:pt idx="1">
                  <c:v>92.820530273437498</c:v>
                </c:pt>
                <c:pt idx="2">
                  <c:v>92.820530273437498</c:v>
                </c:pt>
                <c:pt idx="3">
                  <c:v>92.820530273437498</c:v>
                </c:pt>
                <c:pt idx="4">
                  <c:v>92.820530273437498</c:v>
                </c:pt>
                <c:pt idx="5">
                  <c:v>92.820530273437498</c:v>
                </c:pt>
                <c:pt idx="6">
                  <c:v>92.820530273437498</c:v>
                </c:pt>
                <c:pt idx="7">
                  <c:v>92.820530273437498</c:v>
                </c:pt>
                <c:pt idx="8">
                  <c:v>92.8203125</c:v>
                </c:pt>
                <c:pt idx="9">
                  <c:v>92.820530273437498</c:v>
                </c:pt>
                <c:pt idx="10">
                  <c:v>92.820530273437498</c:v>
                </c:pt>
                <c:pt idx="11">
                  <c:v>91.404679687499993</c:v>
                </c:pt>
                <c:pt idx="12">
                  <c:v>91.404679687499993</c:v>
                </c:pt>
                <c:pt idx="13">
                  <c:v>91.404679687499993</c:v>
                </c:pt>
                <c:pt idx="14">
                  <c:v>91.404679687499993</c:v>
                </c:pt>
                <c:pt idx="15">
                  <c:v>91.404679687499993</c:v>
                </c:pt>
                <c:pt idx="16">
                  <c:v>91.404679687499993</c:v>
                </c:pt>
                <c:pt idx="17">
                  <c:v>91.404679687499993</c:v>
                </c:pt>
                <c:pt idx="18">
                  <c:v>91.404679687499993</c:v>
                </c:pt>
                <c:pt idx="19">
                  <c:v>91.404679687499993</c:v>
                </c:pt>
                <c:pt idx="20">
                  <c:v>91.404679687499993</c:v>
                </c:pt>
                <c:pt idx="21">
                  <c:v>91.404679687499993</c:v>
                </c:pt>
                <c:pt idx="22">
                  <c:v>86.794933593749988</c:v>
                </c:pt>
              </c:numCache>
            </c:numRef>
          </c:val>
          <c:smooth val="0"/>
        </c:ser>
        <c:dLbls>
          <c:showLegendKey val="0"/>
          <c:showVal val="0"/>
          <c:showCatName val="0"/>
          <c:showSerName val="0"/>
          <c:showPercent val="0"/>
          <c:showBubbleSize val="0"/>
        </c:dLbls>
        <c:marker val="1"/>
        <c:smooth val="0"/>
        <c:axId val="277847040"/>
        <c:axId val="277869312"/>
      </c:lineChart>
      <c:dateAx>
        <c:axId val="277847040"/>
        <c:scaling>
          <c:orientation val="minMax"/>
        </c:scaling>
        <c:delete val="0"/>
        <c:axPos val="b"/>
        <c:numFmt formatCode="[$-409]d\-mmm\-yy;@" sourceLinked="1"/>
        <c:majorTickMark val="out"/>
        <c:minorTickMark val="none"/>
        <c:tickLblPos val="nextTo"/>
        <c:crossAx val="277869312"/>
        <c:crosses val="autoZero"/>
        <c:auto val="1"/>
        <c:lblOffset val="100"/>
        <c:baseTimeUnit val="days"/>
      </c:dateAx>
      <c:valAx>
        <c:axId val="277869312"/>
        <c:scaling>
          <c:orientation val="minMax"/>
        </c:scaling>
        <c:delete val="0"/>
        <c:axPos val="l"/>
        <c:majorGridlines/>
        <c:numFmt formatCode="0" sourceLinked="1"/>
        <c:majorTickMark val="out"/>
        <c:minorTickMark val="none"/>
        <c:tickLblPos val="nextTo"/>
        <c:crossAx val="277847040"/>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7.xml"/><Relationship Id="rId13" Type="http://schemas.openxmlformats.org/officeDocument/2006/relationships/chart" Target="../charts/chart32.xml"/><Relationship Id="rId18" Type="http://schemas.openxmlformats.org/officeDocument/2006/relationships/chart" Target="../charts/chart37.xml"/><Relationship Id="rId3" Type="http://schemas.openxmlformats.org/officeDocument/2006/relationships/chart" Target="../charts/chart22.xml"/><Relationship Id="rId21" Type="http://schemas.openxmlformats.org/officeDocument/2006/relationships/chart" Target="../charts/chart40.xml"/><Relationship Id="rId7" Type="http://schemas.openxmlformats.org/officeDocument/2006/relationships/chart" Target="../charts/chart26.xml"/><Relationship Id="rId12" Type="http://schemas.openxmlformats.org/officeDocument/2006/relationships/chart" Target="../charts/chart31.xml"/><Relationship Id="rId17" Type="http://schemas.openxmlformats.org/officeDocument/2006/relationships/chart" Target="../charts/chart36.xml"/><Relationship Id="rId2" Type="http://schemas.openxmlformats.org/officeDocument/2006/relationships/chart" Target="../charts/chart21.xml"/><Relationship Id="rId16" Type="http://schemas.openxmlformats.org/officeDocument/2006/relationships/chart" Target="../charts/chart35.xml"/><Relationship Id="rId20" Type="http://schemas.openxmlformats.org/officeDocument/2006/relationships/chart" Target="../charts/chart39.xml"/><Relationship Id="rId1" Type="http://schemas.openxmlformats.org/officeDocument/2006/relationships/chart" Target="../charts/chart20.xml"/><Relationship Id="rId6" Type="http://schemas.openxmlformats.org/officeDocument/2006/relationships/chart" Target="../charts/chart25.xml"/><Relationship Id="rId11" Type="http://schemas.openxmlformats.org/officeDocument/2006/relationships/chart" Target="../charts/chart30.xml"/><Relationship Id="rId5" Type="http://schemas.openxmlformats.org/officeDocument/2006/relationships/chart" Target="../charts/chart24.xml"/><Relationship Id="rId15" Type="http://schemas.openxmlformats.org/officeDocument/2006/relationships/chart" Target="../charts/chart34.xml"/><Relationship Id="rId10" Type="http://schemas.openxmlformats.org/officeDocument/2006/relationships/chart" Target="../charts/chart29.xml"/><Relationship Id="rId19" Type="http://schemas.openxmlformats.org/officeDocument/2006/relationships/chart" Target="../charts/chart38.xml"/><Relationship Id="rId4" Type="http://schemas.openxmlformats.org/officeDocument/2006/relationships/chart" Target="../charts/chart23.xml"/><Relationship Id="rId9" Type="http://schemas.openxmlformats.org/officeDocument/2006/relationships/chart" Target="../charts/chart28.xml"/><Relationship Id="rId14" Type="http://schemas.openxmlformats.org/officeDocument/2006/relationships/chart" Target="../charts/chart33.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8.xml"/><Relationship Id="rId13" Type="http://schemas.openxmlformats.org/officeDocument/2006/relationships/chart" Target="../charts/chart53.xml"/><Relationship Id="rId18" Type="http://schemas.openxmlformats.org/officeDocument/2006/relationships/chart" Target="../charts/chart58.xml"/><Relationship Id="rId3" Type="http://schemas.openxmlformats.org/officeDocument/2006/relationships/chart" Target="../charts/chart43.xml"/><Relationship Id="rId7" Type="http://schemas.openxmlformats.org/officeDocument/2006/relationships/chart" Target="../charts/chart47.xml"/><Relationship Id="rId12" Type="http://schemas.openxmlformats.org/officeDocument/2006/relationships/chart" Target="../charts/chart52.xml"/><Relationship Id="rId17" Type="http://schemas.openxmlformats.org/officeDocument/2006/relationships/chart" Target="../charts/chart57.xml"/><Relationship Id="rId2" Type="http://schemas.openxmlformats.org/officeDocument/2006/relationships/chart" Target="../charts/chart42.xml"/><Relationship Id="rId16" Type="http://schemas.openxmlformats.org/officeDocument/2006/relationships/chart" Target="../charts/chart56.xml"/><Relationship Id="rId1" Type="http://schemas.openxmlformats.org/officeDocument/2006/relationships/chart" Target="../charts/chart41.xml"/><Relationship Id="rId6" Type="http://schemas.openxmlformats.org/officeDocument/2006/relationships/chart" Target="../charts/chart46.xml"/><Relationship Id="rId11" Type="http://schemas.openxmlformats.org/officeDocument/2006/relationships/chart" Target="../charts/chart51.xml"/><Relationship Id="rId5" Type="http://schemas.openxmlformats.org/officeDocument/2006/relationships/chart" Target="../charts/chart45.xml"/><Relationship Id="rId15" Type="http://schemas.openxmlformats.org/officeDocument/2006/relationships/chart" Target="../charts/chart55.xml"/><Relationship Id="rId10" Type="http://schemas.openxmlformats.org/officeDocument/2006/relationships/chart" Target="../charts/chart50.xml"/><Relationship Id="rId19" Type="http://schemas.openxmlformats.org/officeDocument/2006/relationships/chart" Target="../charts/chart59.xml"/><Relationship Id="rId4" Type="http://schemas.openxmlformats.org/officeDocument/2006/relationships/chart" Target="../charts/chart44.xml"/><Relationship Id="rId9" Type="http://schemas.openxmlformats.org/officeDocument/2006/relationships/chart" Target="../charts/chart49.xml"/><Relationship Id="rId14" Type="http://schemas.openxmlformats.org/officeDocument/2006/relationships/chart" Target="../charts/chart5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2.xml"/></Relationships>
</file>

<file path=xl/drawings/drawing1.xml><?xml version="1.0" encoding="utf-8"?>
<xdr:wsDr xmlns:xdr="http://schemas.openxmlformats.org/drawingml/2006/spreadsheetDrawing" xmlns:a="http://schemas.openxmlformats.org/drawingml/2006/main">
  <xdr:twoCellAnchor>
    <xdr:from>
      <xdr:col>35</xdr:col>
      <xdr:colOff>493695</xdr:colOff>
      <xdr:row>109</xdr:row>
      <xdr:rowOff>156249</xdr:rowOff>
    </xdr:from>
    <xdr:to>
      <xdr:col>41</xdr:col>
      <xdr:colOff>450272</xdr:colOff>
      <xdr:row>125</xdr:row>
      <xdr:rowOff>51954</xdr:rowOff>
    </xdr:to>
    <xdr:graphicFrame macro="">
      <xdr:nvGraphicFramePr>
        <xdr:cNvPr id="3174748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104138</xdr:colOff>
      <xdr:row>109</xdr:row>
      <xdr:rowOff>121227</xdr:rowOff>
    </xdr:from>
    <xdr:to>
      <xdr:col>66</xdr:col>
      <xdr:colOff>525818</xdr:colOff>
      <xdr:row>172</xdr:row>
      <xdr:rowOff>162047</xdr:rowOff>
    </xdr:to>
    <xdr:grpSp>
      <xdr:nvGrpSpPr>
        <xdr:cNvPr id="2" name="Group 1"/>
        <xdr:cNvGrpSpPr/>
      </xdr:nvGrpSpPr>
      <xdr:grpSpPr>
        <a:xfrm>
          <a:off x="24202388" y="22943127"/>
          <a:ext cx="30977880" cy="13242470"/>
          <a:chOff x="24202388" y="17913927"/>
          <a:chExt cx="26710680" cy="13242470"/>
        </a:xfrm>
      </xdr:grpSpPr>
      <xdr:graphicFrame macro="">
        <xdr:nvGraphicFramePr>
          <xdr:cNvPr id="14" name="Chart 4"/>
          <xdr:cNvGraphicFramePr>
            <a:graphicFrameLocks/>
          </xdr:cNvGraphicFramePr>
        </xdr:nvGraphicFramePr>
        <xdr:xfrm>
          <a:off x="39896883" y="17928772"/>
          <a:ext cx="3549981" cy="324023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47489" name="Chart 8"/>
          <xdr:cNvGraphicFramePr>
            <a:graphicFrameLocks/>
          </xdr:cNvGraphicFramePr>
        </xdr:nvGraphicFramePr>
        <xdr:xfrm>
          <a:off x="35619451" y="17947929"/>
          <a:ext cx="3572370" cy="326266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47491" name="Chart 9"/>
          <xdr:cNvGraphicFramePr>
            <a:graphicFrameLocks/>
          </xdr:cNvGraphicFramePr>
        </xdr:nvGraphicFramePr>
        <xdr:xfrm>
          <a:off x="35616022" y="21233518"/>
          <a:ext cx="3586548" cy="3232595"/>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9" name="Chart 4"/>
          <xdr:cNvGraphicFramePr>
            <a:graphicFrameLocks/>
          </xdr:cNvGraphicFramePr>
        </xdr:nvGraphicFramePr>
        <xdr:xfrm>
          <a:off x="31988891" y="24479891"/>
          <a:ext cx="3614818" cy="3307029"/>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10" name="Chart 4"/>
          <xdr:cNvGraphicFramePr>
            <a:graphicFrameLocks/>
          </xdr:cNvGraphicFramePr>
        </xdr:nvGraphicFramePr>
        <xdr:xfrm>
          <a:off x="43463117" y="17939050"/>
          <a:ext cx="3509159" cy="3230337"/>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12" name="Chart 4"/>
          <xdr:cNvGraphicFramePr>
            <a:graphicFrameLocks/>
          </xdr:cNvGraphicFramePr>
        </xdr:nvGraphicFramePr>
        <xdr:xfrm>
          <a:off x="39894199" y="21193669"/>
          <a:ext cx="3552282" cy="3267878"/>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13" name="Chart 4"/>
          <xdr:cNvGraphicFramePr>
            <a:graphicFrameLocks/>
          </xdr:cNvGraphicFramePr>
        </xdr:nvGraphicFramePr>
        <xdr:xfrm>
          <a:off x="43474696" y="21200163"/>
          <a:ext cx="3521467" cy="325148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16" name="Chart 4"/>
          <xdr:cNvGraphicFramePr>
            <a:graphicFrameLocks/>
          </xdr:cNvGraphicFramePr>
        </xdr:nvGraphicFramePr>
        <xdr:xfrm>
          <a:off x="31986545" y="21221200"/>
          <a:ext cx="3606883" cy="3239195"/>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15" name="Chart 9"/>
          <xdr:cNvGraphicFramePr>
            <a:graphicFrameLocks/>
          </xdr:cNvGraphicFramePr>
        </xdr:nvGraphicFramePr>
        <xdr:xfrm>
          <a:off x="32032486" y="27816522"/>
          <a:ext cx="3599537" cy="3294278"/>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17" name="Chart 4"/>
          <xdr:cNvGraphicFramePr>
            <a:graphicFrameLocks/>
          </xdr:cNvGraphicFramePr>
        </xdr:nvGraphicFramePr>
        <xdr:xfrm>
          <a:off x="39875174" y="27785032"/>
          <a:ext cx="3515344" cy="3289884"/>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8" name="Chart 4"/>
          <xdr:cNvGraphicFramePr>
            <a:graphicFrameLocks/>
          </xdr:cNvGraphicFramePr>
        </xdr:nvGraphicFramePr>
        <xdr:xfrm>
          <a:off x="47450049" y="21189426"/>
          <a:ext cx="3463019" cy="3267879"/>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9" name="Chart 4"/>
          <xdr:cNvGraphicFramePr>
            <a:graphicFrameLocks/>
          </xdr:cNvGraphicFramePr>
        </xdr:nvGraphicFramePr>
        <xdr:xfrm>
          <a:off x="47441921" y="17913927"/>
          <a:ext cx="3467904" cy="3253221"/>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31747486" name="Chart 4"/>
          <xdr:cNvGraphicFramePr>
            <a:graphicFrameLocks/>
          </xdr:cNvGraphicFramePr>
        </xdr:nvGraphicFramePr>
        <xdr:xfrm>
          <a:off x="27867037" y="17927117"/>
          <a:ext cx="3576325" cy="3189181"/>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31747487" name="Chart 6"/>
          <xdr:cNvGraphicFramePr>
            <a:graphicFrameLocks/>
          </xdr:cNvGraphicFramePr>
        </xdr:nvGraphicFramePr>
        <xdr:xfrm>
          <a:off x="24202388" y="17927063"/>
          <a:ext cx="3621868" cy="3182067"/>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20" name="Chart 4"/>
          <xdr:cNvGraphicFramePr>
            <a:graphicFrameLocks/>
          </xdr:cNvGraphicFramePr>
        </xdr:nvGraphicFramePr>
        <xdr:xfrm>
          <a:off x="35666796" y="27839842"/>
          <a:ext cx="3614817" cy="3316555"/>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21" name="Chart 4"/>
          <xdr:cNvGraphicFramePr>
            <a:graphicFrameLocks/>
          </xdr:cNvGraphicFramePr>
        </xdr:nvGraphicFramePr>
        <xdr:xfrm>
          <a:off x="39882041" y="24498300"/>
          <a:ext cx="3552282" cy="3267878"/>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22" name="Chart 9"/>
          <xdr:cNvGraphicFramePr>
            <a:graphicFrameLocks/>
          </xdr:cNvGraphicFramePr>
        </xdr:nvGraphicFramePr>
        <xdr:xfrm>
          <a:off x="35614842" y="24515619"/>
          <a:ext cx="3599536" cy="3292546"/>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3" name="Chart 4"/>
          <xdr:cNvGraphicFramePr>
            <a:graphicFrameLocks/>
          </xdr:cNvGraphicFramePr>
        </xdr:nvGraphicFramePr>
        <xdr:xfrm>
          <a:off x="43462947" y="24486673"/>
          <a:ext cx="3522147" cy="326675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744683</xdr:colOff>
      <xdr:row>95</xdr:row>
      <xdr:rowOff>196996</xdr:rowOff>
    </xdr:from>
    <xdr:to>
      <xdr:col>73</xdr:col>
      <xdr:colOff>495148</xdr:colOff>
      <xdr:row>149</xdr:row>
      <xdr:rowOff>86592</xdr:rowOff>
    </xdr:to>
    <xdr:grpSp>
      <xdr:nvGrpSpPr>
        <xdr:cNvPr id="3" name="Group 2"/>
        <xdr:cNvGrpSpPr/>
      </xdr:nvGrpSpPr>
      <xdr:grpSpPr>
        <a:xfrm>
          <a:off x="25471583" y="23647546"/>
          <a:ext cx="35050115" cy="13262696"/>
          <a:chOff x="25471583" y="19437496"/>
          <a:chExt cx="32287865" cy="13262696"/>
        </a:xfrm>
      </xdr:grpSpPr>
      <xdr:graphicFrame macro="">
        <xdr:nvGraphicFramePr>
          <xdr:cNvPr id="31755678" name="Chart 4"/>
          <xdr:cNvGraphicFramePr>
            <a:graphicFrameLocks/>
          </xdr:cNvGraphicFramePr>
        </xdr:nvGraphicFramePr>
        <xdr:xfrm>
          <a:off x="30295067" y="19545325"/>
          <a:ext cx="3580024" cy="324886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1755679" name="Chart 6"/>
          <xdr:cNvGraphicFramePr>
            <a:graphicFrameLocks/>
          </xdr:cNvGraphicFramePr>
        </xdr:nvGraphicFramePr>
        <xdr:xfrm>
          <a:off x="25471583" y="19540453"/>
          <a:ext cx="4756297" cy="323642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55680" name="Chart 7"/>
          <xdr:cNvGraphicFramePr>
            <a:graphicFrameLocks/>
          </xdr:cNvGraphicFramePr>
        </xdr:nvGraphicFramePr>
        <xdr:xfrm>
          <a:off x="38311282" y="19508468"/>
          <a:ext cx="3603062" cy="323376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55681" name="Chart 8"/>
          <xdr:cNvGraphicFramePr>
            <a:graphicFrameLocks/>
          </xdr:cNvGraphicFramePr>
        </xdr:nvGraphicFramePr>
        <xdr:xfrm>
          <a:off x="34795692" y="19510145"/>
          <a:ext cx="3443732" cy="324941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31755682" name="Chart 9"/>
          <xdr:cNvGraphicFramePr>
            <a:graphicFrameLocks/>
          </xdr:cNvGraphicFramePr>
        </xdr:nvGraphicFramePr>
        <xdr:xfrm>
          <a:off x="46015931" y="19454964"/>
          <a:ext cx="3560268" cy="3252636"/>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31755683" name="Chart 9"/>
          <xdr:cNvGraphicFramePr>
            <a:graphicFrameLocks/>
          </xdr:cNvGraphicFramePr>
        </xdr:nvGraphicFramePr>
        <xdr:xfrm>
          <a:off x="42439810" y="19448470"/>
          <a:ext cx="3512266" cy="325913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1" name="Chart 9"/>
          <xdr:cNvGraphicFramePr>
            <a:graphicFrameLocks/>
          </xdr:cNvGraphicFramePr>
        </xdr:nvGraphicFramePr>
        <xdr:xfrm>
          <a:off x="38337257" y="22800684"/>
          <a:ext cx="3568563" cy="3299547"/>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22" name="Chart 9"/>
          <xdr:cNvGraphicFramePr>
            <a:graphicFrameLocks/>
          </xdr:cNvGraphicFramePr>
        </xdr:nvGraphicFramePr>
        <xdr:xfrm>
          <a:off x="34795691" y="22826663"/>
          <a:ext cx="3468246" cy="327356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23" name="Chart 9"/>
          <xdr:cNvGraphicFramePr>
            <a:graphicFrameLocks/>
          </xdr:cNvGraphicFramePr>
        </xdr:nvGraphicFramePr>
        <xdr:xfrm>
          <a:off x="34795692" y="26176863"/>
          <a:ext cx="3480672" cy="3234604"/>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24" name="Chart 9"/>
          <xdr:cNvGraphicFramePr>
            <a:graphicFrameLocks/>
          </xdr:cNvGraphicFramePr>
        </xdr:nvGraphicFramePr>
        <xdr:xfrm>
          <a:off x="42420453" y="22759554"/>
          <a:ext cx="3556136" cy="3357996"/>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25" name="Chart 9"/>
          <xdr:cNvGraphicFramePr>
            <a:graphicFrameLocks/>
          </xdr:cNvGraphicFramePr>
        </xdr:nvGraphicFramePr>
        <xdr:xfrm>
          <a:off x="46019605" y="22759556"/>
          <a:ext cx="3556137" cy="3375313"/>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3" name="Chart 9"/>
          <xdr:cNvGraphicFramePr>
            <a:graphicFrameLocks/>
          </xdr:cNvGraphicFramePr>
        </xdr:nvGraphicFramePr>
        <xdr:xfrm>
          <a:off x="34778372" y="29459093"/>
          <a:ext cx="3568563" cy="3225943"/>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4" name="Chart 9"/>
          <xdr:cNvGraphicFramePr>
            <a:graphicFrameLocks/>
          </xdr:cNvGraphicFramePr>
        </xdr:nvGraphicFramePr>
        <xdr:xfrm>
          <a:off x="42439936" y="26198511"/>
          <a:ext cx="3546612" cy="3357996"/>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15" name="Chart 9"/>
          <xdr:cNvGraphicFramePr>
            <a:graphicFrameLocks/>
          </xdr:cNvGraphicFramePr>
        </xdr:nvGraphicFramePr>
        <xdr:xfrm>
          <a:off x="50046514" y="22698507"/>
          <a:ext cx="3543148" cy="3338946"/>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16" name="Chart 9"/>
          <xdr:cNvGraphicFramePr>
            <a:graphicFrameLocks/>
          </xdr:cNvGraphicFramePr>
        </xdr:nvGraphicFramePr>
        <xdr:xfrm>
          <a:off x="50040021" y="19437496"/>
          <a:ext cx="3543148" cy="3219449"/>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17" name="Chart 9"/>
          <xdr:cNvGraphicFramePr>
            <a:graphicFrameLocks/>
          </xdr:cNvGraphicFramePr>
        </xdr:nvGraphicFramePr>
        <xdr:xfrm>
          <a:off x="38401336" y="29482905"/>
          <a:ext cx="3515592" cy="3199967"/>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18" name="Chart 9"/>
          <xdr:cNvGraphicFramePr>
            <a:graphicFrameLocks/>
          </xdr:cNvGraphicFramePr>
        </xdr:nvGraphicFramePr>
        <xdr:xfrm>
          <a:off x="42470243" y="29641800"/>
          <a:ext cx="3556136" cy="3058392"/>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19" name="Chart 9"/>
          <xdr:cNvGraphicFramePr>
            <a:graphicFrameLocks/>
          </xdr:cNvGraphicFramePr>
        </xdr:nvGraphicFramePr>
        <xdr:xfrm>
          <a:off x="38328600" y="26181503"/>
          <a:ext cx="3552234" cy="3232747"/>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0" name="Chart 9"/>
          <xdr:cNvGraphicFramePr>
            <a:graphicFrameLocks/>
          </xdr:cNvGraphicFramePr>
        </xdr:nvGraphicFramePr>
        <xdr:xfrm>
          <a:off x="46015275" y="26201914"/>
          <a:ext cx="3540426" cy="3351192"/>
        </xdr:xfrm>
        <a:graphic>
          <a:graphicData uri="http://schemas.openxmlformats.org/drawingml/2006/chart">
            <c:chart xmlns:c="http://schemas.openxmlformats.org/drawingml/2006/chart" xmlns:r="http://schemas.openxmlformats.org/officeDocument/2006/relationships" r:id="rId19"/>
          </a:graphicData>
        </a:graphic>
      </xdr:graphicFrame>
      <xdr:graphicFrame macro="">
        <xdr:nvGraphicFramePr>
          <xdr:cNvPr id="26" name="Chart 9"/>
          <xdr:cNvGraphicFramePr>
            <a:graphicFrameLocks/>
          </xdr:cNvGraphicFramePr>
        </xdr:nvGraphicFramePr>
        <xdr:xfrm>
          <a:off x="54216300" y="19488150"/>
          <a:ext cx="3543148" cy="3219449"/>
        </xdr:xfrm>
        <a:graphic>
          <a:graphicData uri="http://schemas.openxmlformats.org/drawingml/2006/chart">
            <c:chart xmlns:c="http://schemas.openxmlformats.org/drawingml/2006/chart" xmlns:r="http://schemas.openxmlformats.org/officeDocument/2006/relationships" r:id="rId20"/>
          </a:graphicData>
        </a:graphic>
      </xdr:graphicFrame>
      <xdr:graphicFrame macro="">
        <xdr:nvGraphicFramePr>
          <xdr:cNvPr id="27" name="Chart 9"/>
          <xdr:cNvGraphicFramePr>
            <a:graphicFrameLocks/>
          </xdr:cNvGraphicFramePr>
        </xdr:nvGraphicFramePr>
        <xdr:xfrm>
          <a:off x="54216300" y="23450550"/>
          <a:ext cx="3543148" cy="3219449"/>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0</xdr:colOff>
      <xdr:row>95</xdr:row>
      <xdr:rowOff>155972</xdr:rowOff>
    </xdr:from>
    <xdr:to>
      <xdr:col>32</xdr:col>
      <xdr:colOff>504741</xdr:colOff>
      <xdr:row>111</xdr:row>
      <xdr:rowOff>68036</xdr:rowOff>
    </xdr:to>
    <xdr:graphicFrame macro="">
      <xdr:nvGraphicFramePr>
        <xdr:cNvPr id="3177923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95250</xdr:colOff>
      <xdr:row>95</xdr:row>
      <xdr:rowOff>151038</xdr:rowOff>
    </xdr:from>
    <xdr:to>
      <xdr:col>28</xdr:col>
      <xdr:colOff>0</xdr:colOff>
      <xdr:row>111</xdr:row>
      <xdr:rowOff>72118</xdr:rowOff>
    </xdr:to>
    <xdr:graphicFrame macro="">
      <xdr:nvGraphicFramePr>
        <xdr:cNvPr id="31779231"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40</xdr:col>
      <xdr:colOff>149848</xdr:colOff>
      <xdr:row>96</xdr:row>
      <xdr:rowOff>10037</xdr:rowOff>
    </xdr:from>
    <xdr:to>
      <xdr:col>46</xdr:col>
      <xdr:colOff>224263</xdr:colOff>
      <xdr:row>111</xdr:row>
      <xdr:rowOff>117703</xdr:rowOff>
    </xdr:to>
    <xdr:graphicFrame macro="">
      <xdr:nvGraphicFramePr>
        <xdr:cNvPr id="3177923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34</xdr:col>
      <xdr:colOff>78550</xdr:colOff>
      <xdr:row>95</xdr:row>
      <xdr:rowOff>179294</xdr:rowOff>
    </xdr:from>
    <xdr:to>
      <xdr:col>40</xdr:col>
      <xdr:colOff>127024</xdr:colOff>
      <xdr:row>111</xdr:row>
      <xdr:rowOff>100853</xdr:rowOff>
    </xdr:to>
    <xdr:graphicFrame macro="">
      <xdr:nvGraphicFramePr>
        <xdr:cNvPr id="31779233"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52</xdr:col>
      <xdr:colOff>382106</xdr:colOff>
      <xdr:row>96</xdr:row>
      <xdr:rowOff>22113</xdr:rowOff>
    </xdr:from>
    <xdr:to>
      <xdr:col>58</xdr:col>
      <xdr:colOff>317047</xdr:colOff>
      <xdr:row>111</xdr:row>
      <xdr:rowOff>133351</xdr:rowOff>
    </xdr:to>
    <xdr:graphicFrame macro="">
      <xdr:nvGraphicFramePr>
        <xdr:cNvPr id="3177923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46</xdr:col>
      <xdr:colOff>457033</xdr:colOff>
      <xdr:row>96</xdr:row>
      <xdr:rowOff>21348</xdr:rowOff>
    </xdr:from>
    <xdr:to>
      <xdr:col>52</xdr:col>
      <xdr:colOff>331420</xdr:colOff>
      <xdr:row>111</xdr:row>
      <xdr:rowOff>130630</xdr:rowOff>
    </xdr:to>
    <xdr:graphicFrame macro="">
      <xdr:nvGraphicFramePr>
        <xdr:cNvPr id="3177923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40</xdr:col>
      <xdr:colOff>161247</xdr:colOff>
      <xdr:row>111</xdr:row>
      <xdr:rowOff>153760</xdr:rowOff>
    </xdr:from>
    <xdr:to>
      <xdr:col>46</xdr:col>
      <xdr:colOff>228601</xdr:colOff>
      <xdr:row>127</xdr:row>
      <xdr:rowOff>47625</xdr:rowOff>
    </xdr:to>
    <xdr:graphicFrame macro="">
      <xdr:nvGraphicFramePr>
        <xdr:cNvPr id="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34</xdr:col>
      <xdr:colOff>61293</xdr:colOff>
      <xdr:row>127</xdr:row>
      <xdr:rowOff>92592</xdr:rowOff>
    </xdr:from>
    <xdr:to>
      <xdr:col>40</xdr:col>
      <xdr:colOff>114300</xdr:colOff>
      <xdr:row>142</xdr:row>
      <xdr:rowOff>179677</xdr:rowOff>
    </xdr:to>
    <xdr:graphicFrame macro="">
      <xdr:nvGraphicFramePr>
        <xdr:cNvPr id="1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52</xdr:col>
      <xdr:colOff>385516</xdr:colOff>
      <xdr:row>111</xdr:row>
      <xdr:rowOff>181346</xdr:rowOff>
    </xdr:from>
    <xdr:to>
      <xdr:col>58</xdr:col>
      <xdr:colOff>328180</xdr:colOff>
      <xdr:row>127</xdr:row>
      <xdr:rowOff>133350</xdr:rowOff>
    </xdr:to>
    <xdr:graphicFrame macro="">
      <xdr:nvGraphicFramePr>
        <xdr:cNvPr id="1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46</xdr:col>
      <xdr:colOff>457202</xdr:colOff>
      <xdr:row>111</xdr:row>
      <xdr:rowOff>172812</xdr:rowOff>
    </xdr:from>
    <xdr:to>
      <xdr:col>52</xdr:col>
      <xdr:colOff>329911</xdr:colOff>
      <xdr:row>127</xdr:row>
      <xdr:rowOff>129268</xdr:rowOff>
    </xdr:to>
    <xdr:graphicFrame macro="">
      <xdr:nvGraphicFramePr>
        <xdr:cNvPr id="1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34</xdr:col>
      <xdr:colOff>78441</xdr:colOff>
      <xdr:row>111</xdr:row>
      <xdr:rowOff>140834</xdr:rowOff>
    </xdr:from>
    <xdr:to>
      <xdr:col>40</xdr:col>
      <xdr:colOff>123264</xdr:colOff>
      <xdr:row>127</xdr:row>
      <xdr:rowOff>51026</xdr:rowOff>
    </xdr:to>
    <xdr:graphicFrame macro="">
      <xdr:nvGraphicFramePr>
        <xdr:cNvPr id="1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34</xdr:col>
      <xdr:colOff>39460</xdr:colOff>
      <xdr:row>143</xdr:row>
      <xdr:rowOff>23132</xdr:rowOff>
    </xdr:from>
    <xdr:to>
      <xdr:col>40</xdr:col>
      <xdr:colOff>106136</xdr:colOff>
      <xdr:row>158</xdr:row>
      <xdr:rowOff>99332</xdr:rowOff>
    </xdr:to>
    <xdr:graphicFrame macro="">
      <xdr:nvGraphicFramePr>
        <xdr:cNvPr id="1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46</xdr:col>
      <xdr:colOff>449655</xdr:colOff>
      <xdr:row>127</xdr:row>
      <xdr:rowOff>159141</xdr:rowOff>
    </xdr:from>
    <xdr:to>
      <xdr:col>52</xdr:col>
      <xdr:colOff>340178</xdr:colOff>
      <xdr:row>143</xdr:row>
      <xdr:rowOff>148255</xdr:rowOff>
    </xdr:to>
    <xdr:graphicFrame macro="">
      <xdr:nvGraphicFramePr>
        <xdr:cNvPr id="1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59</xdr:col>
      <xdr:colOff>212148</xdr:colOff>
      <xdr:row>112</xdr:row>
      <xdr:rowOff>61354</xdr:rowOff>
    </xdr:from>
    <xdr:to>
      <xdr:col>65</xdr:col>
      <xdr:colOff>216971</xdr:colOff>
      <xdr:row>128</xdr:row>
      <xdr:rowOff>50468</xdr:rowOff>
    </xdr:to>
    <xdr:graphicFrame macro="">
      <xdr:nvGraphicFramePr>
        <xdr:cNvPr id="1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59</xdr:col>
      <xdr:colOff>260454</xdr:colOff>
      <xdr:row>95</xdr:row>
      <xdr:rowOff>162358</xdr:rowOff>
    </xdr:from>
    <xdr:to>
      <xdr:col>65</xdr:col>
      <xdr:colOff>213569</xdr:colOff>
      <xdr:row>111</xdr:row>
      <xdr:rowOff>118814</xdr:rowOff>
    </xdr:to>
    <xdr:graphicFrame macro="">
      <xdr:nvGraphicFramePr>
        <xdr:cNvPr id="17"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40</xdr:col>
      <xdr:colOff>170708</xdr:colOff>
      <xdr:row>143</xdr:row>
      <xdr:rowOff>8658</xdr:rowOff>
    </xdr:from>
    <xdr:to>
      <xdr:col>46</xdr:col>
      <xdr:colOff>223715</xdr:colOff>
      <xdr:row>158</xdr:row>
      <xdr:rowOff>95743</xdr:rowOff>
    </xdr:to>
    <xdr:graphicFrame macro="">
      <xdr:nvGraphicFramePr>
        <xdr:cNvPr id="1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46</xdr:col>
      <xdr:colOff>450271</xdr:colOff>
      <xdr:row>144</xdr:row>
      <xdr:rowOff>1</xdr:rowOff>
    </xdr:from>
    <xdr:to>
      <xdr:col>52</xdr:col>
      <xdr:colOff>322980</xdr:colOff>
      <xdr:row>159</xdr:row>
      <xdr:rowOff>146957</xdr:rowOff>
    </xdr:to>
    <xdr:graphicFrame macro="">
      <xdr:nvGraphicFramePr>
        <xdr:cNvPr id="1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40</xdr:col>
      <xdr:colOff>156883</xdr:colOff>
      <xdr:row>127</xdr:row>
      <xdr:rowOff>99252</xdr:rowOff>
    </xdr:from>
    <xdr:to>
      <xdr:col>46</xdr:col>
      <xdr:colOff>223558</xdr:colOff>
      <xdr:row>142</xdr:row>
      <xdr:rowOff>175452</xdr:rowOff>
    </xdr:to>
    <xdr:graphicFrame macro="">
      <xdr:nvGraphicFramePr>
        <xdr:cNvPr id="2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52</xdr:col>
      <xdr:colOff>367393</xdr:colOff>
      <xdr:row>127</xdr:row>
      <xdr:rowOff>176892</xdr:rowOff>
    </xdr:from>
    <xdr:to>
      <xdr:col>58</xdr:col>
      <xdr:colOff>343889</xdr:colOff>
      <xdr:row>143</xdr:row>
      <xdr:rowOff>166006</xdr:rowOff>
    </xdr:to>
    <xdr:graphicFrame macro="">
      <xdr:nvGraphicFramePr>
        <xdr:cNvPr id="2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333375</xdr:colOff>
      <xdr:row>0</xdr:row>
      <xdr:rowOff>309561</xdr:rowOff>
    </xdr:from>
    <xdr:to>
      <xdr:col>23</xdr:col>
      <xdr:colOff>219075</xdr:colOff>
      <xdr:row>28</xdr:row>
      <xdr:rowOff>171449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10</xdr:col>
      <xdr:colOff>571499</xdr:colOff>
      <xdr:row>1</xdr:row>
      <xdr:rowOff>85725</xdr:rowOff>
    </xdr:from>
    <xdr:to>
      <xdr:col>23</xdr:col>
      <xdr:colOff>276225</xdr:colOff>
      <xdr:row>32</xdr:row>
      <xdr:rowOff>76200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11</xdr:col>
      <xdr:colOff>66675</xdr:colOff>
      <xdr:row>0</xdr:row>
      <xdr:rowOff>328611</xdr:rowOff>
    </xdr:from>
    <xdr:to>
      <xdr:col>18</xdr:col>
      <xdr:colOff>1076325</xdr:colOff>
      <xdr:row>30</xdr:row>
      <xdr:rowOff>38099</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L15" sqref="L15"/>
    </sheetView>
  </sheetViews>
  <sheetFormatPr defaultRowHeight="15" x14ac:dyDescent="0.25"/>
  <cols>
    <col min="1" max="1" width="12" bestFit="1" customWidth="1"/>
    <col min="2" max="2" width="10.7109375" bestFit="1" customWidth="1"/>
    <col min="3" max="3" width="8.7109375" bestFit="1" customWidth="1"/>
    <col min="5" max="5" width="18.42578125" bestFit="1" customWidth="1"/>
    <col min="6" max="6" width="16.7109375" bestFit="1" customWidth="1"/>
    <col min="7" max="7" width="20.5703125" bestFit="1" customWidth="1"/>
  </cols>
  <sheetData>
    <row r="1" spans="1:8" x14ac:dyDescent="0.25">
      <c r="A1" s="5" t="s">
        <v>255</v>
      </c>
      <c r="B1" s="743" t="s">
        <v>249</v>
      </c>
      <c r="C1" s="743" t="s">
        <v>250</v>
      </c>
      <c r="D1" s="35" t="s">
        <v>251</v>
      </c>
      <c r="E1" s="743" t="s">
        <v>252</v>
      </c>
      <c r="F1" s="35" t="s">
        <v>253</v>
      </c>
      <c r="G1" s="35" t="s">
        <v>254</v>
      </c>
      <c r="H1" s="35" t="s">
        <v>12</v>
      </c>
    </row>
    <row r="2" spans="1:8" x14ac:dyDescent="0.25">
      <c r="A2" s="5">
        <v>292600623</v>
      </c>
      <c r="B2" s="744">
        <v>250018.4</v>
      </c>
      <c r="C2" s="744">
        <v>146691.5</v>
      </c>
      <c r="D2" s="744">
        <v>103325.3</v>
      </c>
      <c r="E2" s="744">
        <v>5644</v>
      </c>
      <c r="F2" s="744">
        <v>349</v>
      </c>
      <c r="G2" s="744">
        <v>168060</v>
      </c>
    </row>
    <row r="3" spans="1:8" x14ac:dyDescent="0.25">
      <c r="A3" s="5">
        <v>292600745</v>
      </c>
      <c r="B3" s="744">
        <v>150516.70000000001</v>
      </c>
      <c r="C3" s="744">
        <v>66663</v>
      </c>
      <c r="D3" s="744">
        <v>83852.899999999994</v>
      </c>
      <c r="E3" s="744">
        <v>3620</v>
      </c>
      <c r="F3" s="744">
        <v>611</v>
      </c>
      <c r="G3" s="744">
        <v>101049</v>
      </c>
    </row>
    <row r="4" spans="1:8" x14ac:dyDescent="0.25">
      <c r="A4" s="743"/>
      <c r="B4" s="743"/>
      <c r="C4" s="743"/>
      <c r="D4" s="743"/>
      <c r="E4" s="743"/>
      <c r="F4" s="743"/>
      <c r="G4" s="743"/>
    </row>
    <row r="5" spans="1:8" x14ac:dyDescent="0.25">
      <c r="A5" s="5" t="s">
        <v>255</v>
      </c>
      <c r="B5" s="743" t="s">
        <v>249</v>
      </c>
      <c r="C5" s="743" t="s">
        <v>250</v>
      </c>
      <c r="D5" s="35" t="s">
        <v>251</v>
      </c>
      <c r="E5" s="743" t="s">
        <v>252</v>
      </c>
      <c r="F5" s="35" t="s">
        <v>253</v>
      </c>
      <c r="G5" s="35" t="s">
        <v>254</v>
      </c>
      <c r="H5" s="35" t="s">
        <v>13</v>
      </c>
    </row>
    <row r="6" spans="1:8" x14ac:dyDescent="0.25">
      <c r="A6" s="5">
        <v>292600552</v>
      </c>
      <c r="B6" s="830">
        <v>150516.70000000001</v>
      </c>
      <c r="C6" s="830">
        <v>65953.8</v>
      </c>
      <c r="D6" s="830">
        <v>84562</v>
      </c>
      <c r="E6" s="830">
        <v>3591</v>
      </c>
      <c r="F6" s="830">
        <v>582</v>
      </c>
      <c r="G6" s="830">
        <v>101049</v>
      </c>
    </row>
    <row r="7" spans="1:8" x14ac:dyDescent="0.25">
      <c r="A7" s="5">
        <v>292600678</v>
      </c>
      <c r="B7" s="830">
        <v>181998.8</v>
      </c>
      <c r="C7" s="830">
        <v>43719.199999999997</v>
      </c>
      <c r="D7" s="830">
        <v>138278.6</v>
      </c>
      <c r="E7" s="830">
        <v>8910</v>
      </c>
      <c r="F7" s="830">
        <v>2091</v>
      </c>
      <c r="G7" s="830">
        <v>211912</v>
      </c>
    </row>
    <row r="8" spans="1:8" x14ac:dyDescent="0.25">
      <c r="A8" s="5">
        <v>292602230</v>
      </c>
      <c r="B8" s="830">
        <v>171975.5</v>
      </c>
      <c r="C8" s="830">
        <v>49570</v>
      </c>
      <c r="D8" s="830">
        <v>122404.6</v>
      </c>
      <c r="E8" s="830">
        <v>8298</v>
      </c>
      <c r="F8" s="830">
        <v>3565</v>
      </c>
      <c r="G8" s="830">
        <v>159522</v>
      </c>
    </row>
    <row r="9" spans="1:8" x14ac:dyDescent="0.25">
      <c r="A9" s="5">
        <v>292603073</v>
      </c>
      <c r="B9" s="830">
        <v>389505</v>
      </c>
      <c r="C9" s="830">
        <v>173141.5</v>
      </c>
      <c r="D9" s="830">
        <v>216361.2</v>
      </c>
      <c r="E9" s="830">
        <v>15703</v>
      </c>
      <c r="F9" s="830">
        <v>2082</v>
      </c>
      <c r="G9" s="830">
        <v>444187</v>
      </c>
    </row>
    <row r="10" spans="1:8" x14ac:dyDescent="0.25">
      <c r="A10" s="5">
        <v>292603286</v>
      </c>
      <c r="B10" s="830">
        <v>165765.70000000001</v>
      </c>
      <c r="C10" s="830">
        <v>49766.2</v>
      </c>
      <c r="D10" s="830">
        <v>115998.6</v>
      </c>
      <c r="E10" s="830">
        <v>8432</v>
      </c>
      <c r="F10" s="830">
        <v>5066</v>
      </c>
      <c r="G10" s="830">
        <v>111205</v>
      </c>
    </row>
    <row r="11" spans="1:8" x14ac:dyDescent="0.25">
      <c r="A11" s="5">
        <v>292603696</v>
      </c>
      <c r="B11" s="830">
        <v>166078</v>
      </c>
      <c r="C11" s="830">
        <v>115705.5</v>
      </c>
      <c r="D11" s="830">
        <v>50371.5</v>
      </c>
      <c r="E11" s="830">
        <v>9599</v>
      </c>
      <c r="F11" s="830">
        <v>8220</v>
      </c>
      <c r="G11" s="830">
        <v>46536.5</v>
      </c>
    </row>
    <row r="12" spans="1:8" x14ac:dyDescent="0.25">
      <c r="A12" s="5">
        <v>292604330</v>
      </c>
      <c r="B12" s="830">
        <v>124019.2</v>
      </c>
      <c r="C12" s="830">
        <v>39756.5</v>
      </c>
      <c r="D12" s="830">
        <v>84259.7</v>
      </c>
      <c r="E12" s="830">
        <v>7072</v>
      </c>
      <c r="F12" s="830">
        <v>2853</v>
      </c>
      <c r="G12" s="830">
        <v>143176</v>
      </c>
    </row>
    <row r="13" spans="1:8" x14ac:dyDescent="0.25">
      <c r="A13" s="5">
        <v>295700347</v>
      </c>
      <c r="B13" s="830">
        <v>224071.2</v>
      </c>
      <c r="C13" s="830">
        <v>146948.1</v>
      </c>
      <c r="D13" s="830">
        <v>77122.2</v>
      </c>
      <c r="E13" s="830">
        <v>9334</v>
      </c>
      <c r="F13" s="830">
        <v>2646</v>
      </c>
      <c r="G13" s="830">
        <v>225887</v>
      </c>
    </row>
    <row r="14" spans="1:8" x14ac:dyDescent="0.25">
      <c r="A14" s="5">
        <v>295700671</v>
      </c>
      <c r="B14" s="830">
        <v>209496.5</v>
      </c>
      <c r="C14" s="830">
        <v>179768.4</v>
      </c>
      <c r="D14" s="830">
        <v>29722.3</v>
      </c>
      <c r="E14" s="830">
        <v>7999</v>
      </c>
      <c r="F14" s="830">
        <v>5509</v>
      </c>
      <c r="G14" s="830">
        <v>62679.7</v>
      </c>
    </row>
    <row r="15" spans="1:8" s="743" customFormat="1" x14ac:dyDescent="0.25">
      <c r="A15" s="5">
        <v>295700689</v>
      </c>
      <c r="B15" s="830">
        <v>102196.5</v>
      </c>
      <c r="C15" s="830">
        <v>86731.1</v>
      </c>
      <c r="D15" s="830">
        <v>15463.1</v>
      </c>
      <c r="E15" s="830">
        <v>3999</v>
      </c>
      <c r="F15" s="830">
        <v>2884</v>
      </c>
      <c r="G15" s="830">
        <v>37642.800000000003</v>
      </c>
    </row>
    <row r="16" spans="1:8" x14ac:dyDescent="0.25">
      <c r="A16" s="5">
        <v>295700704</v>
      </c>
      <c r="B16" s="830">
        <v>224071.2</v>
      </c>
      <c r="C16" s="830">
        <v>224066.1</v>
      </c>
      <c r="D16" s="830">
        <v>4.9000000000000004</v>
      </c>
      <c r="E16" s="830">
        <v>6399</v>
      </c>
      <c r="F16" s="830">
        <v>6400</v>
      </c>
      <c r="G16" s="830">
        <v>0</v>
      </c>
    </row>
    <row r="17" spans="1:8" s="743" customFormat="1" x14ac:dyDescent="0.25">
      <c r="A17" s="743">
        <v>295700706</v>
      </c>
      <c r="B17" s="743">
        <v>102196.5</v>
      </c>
      <c r="C17" s="743">
        <v>102193.1</v>
      </c>
      <c r="D17" s="743">
        <v>3.1</v>
      </c>
      <c r="E17" s="743">
        <v>3999</v>
      </c>
      <c r="F17" s="743">
        <v>3438</v>
      </c>
      <c r="G17" s="743">
        <v>18949</v>
      </c>
    </row>
    <row r="18" spans="1:8" x14ac:dyDescent="0.25">
      <c r="A18" s="5"/>
      <c r="B18" s="743"/>
      <c r="C18" s="743"/>
      <c r="D18" s="35"/>
      <c r="E18" s="743"/>
      <c r="F18" s="35"/>
      <c r="G18" s="35"/>
      <c r="H18" s="35" t="s">
        <v>2</v>
      </c>
    </row>
    <row r="19" spans="1:8" x14ac:dyDescent="0.25">
      <c r="A19" s="5" t="s">
        <v>255</v>
      </c>
      <c r="B19" s="891" t="s">
        <v>249</v>
      </c>
      <c r="C19" s="891" t="s">
        <v>250</v>
      </c>
      <c r="D19" s="891" t="s">
        <v>251</v>
      </c>
      <c r="E19" s="891" t="s">
        <v>252</v>
      </c>
      <c r="F19" s="891" t="s">
        <v>253</v>
      </c>
      <c r="G19" s="891" t="s">
        <v>254</v>
      </c>
    </row>
    <row r="20" spans="1:8" x14ac:dyDescent="0.25">
      <c r="A20" s="5">
        <v>292600879</v>
      </c>
      <c r="B20" s="891">
        <v>193029.1</v>
      </c>
      <c r="C20" s="891">
        <v>57284.9</v>
      </c>
      <c r="D20" s="891">
        <v>135743</v>
      </c>
      <c r="E20" s="891">
        <v>8061</v>
      </c>
      <c r="F20" s="891">
        <v>1647</v>
      </c>
      <c r="G20" s="891">
        <v>212280</v>
      </c>
    </row>
    <row r="21" spans="1:8" x14ac:dyDescent="0.25">
      <c r="A21" s="5">
        <v>292602231</v>
      </c>
      <c r="B21" s="891">
        <v>276130.40000000002</v>
      </c>
      <c r="C21" s="891">
        <v>49650.3</v>
      </c>
      <c r="D21" s="891">
        <v>226479.2</v>
      </c>
      <c r="E21" s="891">
        <v>10643</v>
      </c>
      <c r="F21" s="891">
        <v>5485</v>
      </c>
      <c r="G21" s="891">
        <v>145657</v>
      </c>
    </row>
    <row r="22" spans="1:8" x14ac:dyDescent="0.25">
      <c r="A22" s="5">
        <v>292602804</v>
      </c>
      <c r="B22" s="891">
        <v>83038.8</v>
      </c>
      <c r="C22" s="891">
        <v>24499.599999999999</v>
      </c>
      <c r="D22" s="891">
        <v>58538.9</v>
      </c>
      <c r="E22" s="891">
        <v>4357</v>
      </c>
      <c r="F22" s="891">
        <v>921</v>
      </c>
      <c r="G22" s="891">
        <v>115895</v>
      </c>
    </row>
    <row r="23" spans="1:8" x14ac:dyDescent="0.25">
      <c r="A23" s="5">
        <v>292603004</v>
      </c>
      <c r="B23" s="891">
        <v>438219.9</v>
      </c>
      <c r="C23" s="891">
        <v>225999</v>
      </c>
      <c r="D23" s="891">
        <v>212220.5</v>
      </c>
      <c r="E23" s="891">
        <v>11924</v>
      </c>
      <c r="F23" s="891">
        <v>1052</v>
      </c>
      <c r="G23" s="891">
        <v>366652</v>
      </c>
    </row>
    <row r="24" spans="1:8" x14ac:dyDescent="0.25">
      <c r="A24" s="5">
        <v>292603875</v>
      </c>
      <c r="B24" s="891">
        <v>83038.8</v>
      </c>
      <c r="C24" s="891">
        <v>56994.8</v>
      </c>
      <c r="D24" s="891">
        <v>26043.7</v>
      </c>
      <c r="E24" s="891">
        <v>4799</v>
      </c>
      <c r="F24" s="891">
        <v>2972</v>
      </c>
      <c r="G24" s="891">
        <v>61652.2</v>
      </c>
    </row>
    <row r="25" spans="1:8" x14ac:dyDescent="0.25">
      <c r="A25" s="5">
        <v>292604652</v>
      </c>
      <c r="B25" s="891">
        <v>191618.2</v>
      </c>
      <c r="C25" s="891">
        <v>58363.5</v>
      </c>
      <c r="D25" s="891">
        <v>133249.60000000001</v>
      </c>
      <c r="E25" s="891">
        <v>9711</v>
      </c>
      <c r="F25" s="891">
        <v>5113</v>
      </c>
      <c r="G25" s="891">
        <v>141268</v>
      </c>
    </row>
    <row r="26" spans="1:8" x14ac:dyDescent="0.25">
      <c r="A26" s="5">
        <v>295700349</v>
      </c>
      <c r="B26" s="891">
        <v>257886.5</v>
      </c>
      <c r="C26" s="891">
        <v>84576.8</v>
      </c>
      <c r="D26" s="891">
        <v>173308.3</v>
      </c>
      <c r="E26" s="891">
        <v>11664</v>
      </c>
      <c r="F26" s="891">
        <v>1569</v>
      </c>
      <c r="G26" s="891">
        <v>340559</v>
      </c>
    </row>
    <row r="27" spans="1:8" x14ac:dyDescent="0.25">
      <c r="A27" s="5">
        <v>295700667</v>
      </c>
      <c r="B27" s="891">
        <v>102196.5</v>
      </c>
      <c r="C27" s="891">
        <v>87332.9</v>
      </c>
      <c r="D27" s="891">
        <v>14861.3</v>
      </c>
      <c r="E27" s="891">
        <v>3999</v>
      </c>
      <c r="F27" s="891">
        <v>2141</v>
      </c>
      <c r="G27" s="891">
        <v>62679.7</v>
      </c>
    </row>
    <row r="28" spans="1:8" s="743" customFormat="1" x14ac:dyDescent="0.25">
      <c r="A28" s="5">
        <v>295700709</v>
      </c>
      <c r="B28" s="891">
        <v>328695.2</v>
      </c>
      <c r="C28" s="891">
        <v>305293.5</v>
      </c>
      <c r="D28" s="891">
        <v>23398.3</v>
      </c>
      <c r="E28" s="891">
        <v>11999</v>
      </c>
      <c r="F28" s="891">
        <v>10021</v>
      </c>
      <c r="G28" s="891">
        <v>66757.2</v>
      </c>
    </row>
    <row r="29" spans="1:8" x14ac:dyDescent="0.25">
      <c r="A29" s="5">
        <v>295700710</v>
      </c>
      <c r="B29" s="891">
        <v>209496.5</v>
      </c>
      <c r="C29" s="891">
        <v>178572.4</v>
      </c>
      <c r="D29" s="891">
        <v>30918.400000000001</v>
      </c>
      <c r="E29" s="891">
        <v>7999</v>
      </c>
      <c r="F29" s="891">
        <v>6606</v>
      </c>
      <c r="G29" s="891">
        <v>37609</v>
      </c>
    </row>
    <row r="30" spans="1:8" s="743" customFormat="1" x14ac:dyDescent="0.25">
      <c r="A30" s="5">
        <v>295700712</v>
      </c>
      <c r="B30" s="891">
        <v>209496.5</v>
      </c>
      <c r="C30" s="891">
        <v>209493.6</v>
      </c>
      <c r="D30" s="891">
        <v>6</v>
      </c>
      <c r="E30" s="891">
        <v>7999</v>
      </c>
      <c r="F30" s="891">
        <v>6886</v>
      </c>
      <c r="G30" s="891">
        <v>18949</v>
      </c>
    </row>
    <row r="31" spans="1:8" s="743" customFormat="1" x14ac:dyDescent="0.25">
      <c r="A31" s="743">
        <v>295700713</v>
      </c>
      <c r="B31" s="891">
        <v>190871.2</v>
      </c>
      <c r="C31" s="891">
        <v>190870</v>
      </c>
      <c r="D31" s="891">
        <v>4.9000000000000004</v>
      </c>
      <c r="E31" s="891">
        <v>6400</v>
      </c>
      <c r="F31" s="891">
        <v>6400</v>
      </c>
      <c r="G31" s="891">
        <v>0</v>
      </c>
    </row>
    <row r="32" spans="1:8" x14ac:dyDescent="0.25">
      <c r="A32" s="5"/>
      <c r="B32" s="743"/>
      <c r="C32" s="743"/>
      <c r="D32" s="35"/>
      <c r="E32" s="743"/>
      <c r="F32" s="35"/>
      <c r="G32" s="35"/>
      <c r="H32" s="35" t="s">
        <v>183</v>
      </c>
    </row>
    <row r="33" spans="1:7" x14ac:dyDescent="0.25">
      <c r="A33" s="770" t="s">
        <v>255</v>
      </c>
      <c r="B33" s="771" t="s">
        <v>249</v>
      </c>
      <c r="C33" s="771" t="s">
        <v>250</v>
      </c>
      <c r="D33" s="744" t="s">
        <v>251</v>
      </c>
      <c r="E33" s="771" t="s">
        <v>252</v>
      </c>
      <c r="F33" s="771" t="s">
        <v>253</v>
      </c>
      <c r="G33" s="771" t="s">
        <v>254</v>
      </c>
    </row>
    <row r="34" spans="1:7" x14ac:dyDescent="0.25">
      <c r="A34" s="770">
        <v>292602262</v>
      </c>
      <c r="B34" s="771">
        <v>55151</v>
      </c>
      <c r="C34" s="771">
        <v>38557.199999999997</v>
      </c>
      <c r="D34" s="744">
        <v>16593.7</v>
      </c>
      <c r="E34" s="771">
        <v>2480</v>
      </c>
      <c r="F34" s="771">
        <v>764</v>
      </c>
      <c r="G34" s="771">
        <v>57858.1</v>
      </c>
    </row>
    <row r="35" spans="1:7" x14ac:dyDescent="0.25">
      <c r="A35" s="743">
        <v>492600377</v>
      </c>
      <c r="B35" s="743">
        <v>33090.5</v>
      </c>
      <c r="C35" s="743">
        <v>22863.9</v>
      </c>
      <c r="D35" s="743">
        <v>10226.6</v>
      </c>
      <c r="E35" s="743">
        <v>1570</v>
      </c>
      <c r="F35" s="743">
        <v>467</v>
      </c>
      <c r="G35" s="743">
        <v>37189.699999999997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6" sqref="D1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U1094"/>
  <sheetViews>
    <sheetView tabSelected="1" zoomScaleNormal="100" workbookViewId="0">
      <selection activeCell="G10" sqref="G10"/>
    </sheetView>
  </sheetViews>
  <sheetFormatPr defaultRowHeight="15" x14ac:dyDescent="0.25"/>
  <cols>
    <col min="2" max="2" width="23.140625" bestFit="1" customWidth="1"/>
    <col min="3" max="3" width="8.5703125" style="55" customWidth="1"/>
    <col min="4" max="4" width="9.140625" style="55" customWidth="1"/>
    <col min="5" max="5" width="12.140625" style="55" customWidth="1"/>
    <col min="6" max="8" width="9.140625" style="55" customWidth="1"/>
    <col min="9" max="9" width="10" style="11" customWidth="1"/>
    <col min="10" max="10" width="9" style="61" customWidth="1"/>
    <col min="11" max="11" width="9.42578125" style="61" customWidth="1"/>
    <col min="12" max="12" width="8.5703125" style="55" customWidth="1"/>
    <col min="13" max="13" width="9.140625" style="55" customWidth="1"/>
    <col min="14" max="14" width="9.140625" customWidth="1"/>
    <col min="15" max="15" width="8.5703125" customWidth="1"/>
    <col min="16" max="16" width="8.5703125" style="267" customWidth="1"/>
    <col min="17" max="17" width="7.85546875" style="267" customWidth="1"/>
    <col min="18" max="18" width="9" style="12" customWidth="1"/>
    <col min="19" max="19" width="8.5703125" style="70" bestFit="1" customWidth="1"/>
    <col min="20" max="20" width="8.42578125" style="70" customWidth="1"/>
    <col min="21" max="21" width="8.140625" style="70" bestFit="1" customWidth="1"/>
    <col min="22" max="22" width="8.42578125" style="70" customWidth="1"/>
    <col min="23" max="23" width="9.5703125" style="70" customWidth="1"/>
    <col min="24" max="24" width="13.140625" style="70" customWidth="1"/>
    <col min="25" max="25" width="12.5703125" style="70" customWidth="1"/>
    <col min="26" max="26" width="11.7109375" style="70" customWidth="1"/>
    <col min="27" max="27" width="17.5703125" style="55" bestFit="1" customWidth="1"/>
    <col min="28" max="28" width="12" style="55" customWidth="1"/>
    <col min="29" max="29" width="13.42578125" customWidth="1"/>
    <col min="30" max="30" width="12.85546875" bestFit="1" customWidth="1"/>
    <col min="31" max="31" width="23.140625" bestFit="1" customWidth="1"/>
    <col min="32" max="32" width="12.85546875" bestFit="1" customWidth="1"/>
    <col min="33" max="33" width="12.7109375" bestFit="1" customWidth="1"/>
    <col min="34" max="34" width="12.7109375" style="743" customWidth="1"/>
    <col min="35" max="35" width="13.85546875" style="743" bestFit="1" customWidth="1"/>
    <col min="36" max="36" width="13.85546875" bestFit="1" customWidth="1"/>
    <col min="37" max="37" width="12.7109375" bestFit="1" customWidth="1"/>
    <col min="38" max="39" width="13.85546875" bestFit="1" customWidth="1"/>
    <col min="40" max="40" width="14.140625" customWidth="1"/>
  </cols>
  <sheetData>
    <row r="1" spans="1:47" s="591" customFormat="1" x14ac:dyDescent="0.25">
      <c r="A1" s="917">
        <v>41822</v>
      </c>
      <c r="B1" s="917"/>
      <c r="C1" s="917"/>
      <c r="D1" s="529"/>
      <c r="E1" s="529"/>
      <c r="F1" s="529"/>
      <c r="G1" s="529"/>
      <c r="H1" s="529"/>
      <c r="I1" s="525"/>
      <c r="J1" s="531"/>
      <c r="K1" s="531"/>
      <c r="L1" s="529"/>
      <c r="M1" s="529"/>
      <c r="N1" s="527"/>
      <c r="R1" s="526"/>
      <c r="S1" s="534"/>
      <c r="T1" s="534"/>
      <c r="U1" s="534"/>
      <c r="V1" s="534"/>
      <c r="W1" s="534"/>
      <c r="X1" s="534"/>
      <c r="Y1" s="534"/>
      <c r="Z1" s="534"/>
      <c r="AA1" s="534"/>
      <c r="AB1" s="534"/>
      <c r="AC1" s="534"/>
      <c r="AD1" s="534"/>
      <c r="AE1" s="534"/>
      <c r="AF1" s="534"/>
      <c r="AG1" s="534"/>
      <c r="AH1" s="534"/>
      <c r="AI1" s="534"/>
    </row>
    <row r="2" spans="1:47" s="591" customFormat="1" x14ac:dyDescent="0.25">
      <c r="A2" s="918" t="s">
        <v>1</v>
      </c>
      <c r="B2" s="918"/>
      <c r="C2" s="831" t="s">
        <v>12</v>
      </c>
      <c r="D2" s="831" t="s">
        <v>12</v>
      </c>
      <c r="E2" s="831" t="s">
        <v>13</v>
      </c>
      <c r="F2" s="831" t="s">
        <v>13</v>
      </c>
      <c r="G2" s="831" t="s">
        <v>13</v>
      </c>
      <c r="H2" s="831" t="s">
        <v>13</v>
      </c>
      <c r="I2" s="831" t="s">
        <v>13</v>
      </c>
      <c r="J2" s="831" t="s">
        <v>13</v>
      </c>
      <c r="K2" s="831" t="s">
        <v>13</v>
      </c>
      <c r="L2" s="831" t="s">
        <v>13</v>
      </c>
      <c r="M2" s="832" t="s">
        <v>2</v>
      </c>
      <c r="N2" s="831" t="s">
        <v>2</v>
      </c>
      <c r="O2" s="831" t="s">
        <v>2</v>
      </c>
      <c r="P2" s="831" t="s">
        <v>2</v>
      </c>
      <c r="Q2" s="831" t="s">
        <v>2</v>
      </c>
      <c r="R2" s="831" t="s">
        <v>2</v>
      </c>
      <c r="S2" s="831" t="s">
        <v>2</v>
      </c>
      <c r="T2" s="833" t="s">
        <v>183</v>
      </c>
      <c r="U2" s="833" t="s">
        <v>183</v>
      </c>
      <c r="V2" s="833" t="s">
        <v>2</v>
      </c>
      <c r="W2" s="833" t="s">
        <v>13</v>
      </c>
      <c r="X2" s="833" t="s">
        <v>13</v>
      </c>
      <c r="Y2" s="833" t="s">
        <v>2</v>
      </c>
      <c r="Z2" s="833" t="s">
        <v>13</v>
      </c>
      <c r="AA2" s="833" t="s">
        <v>2</v>
      </c>
      <c r="AB2" s="892" t="s">
        <v>2</v>
      </c>
      <c r="AC2" s="892" t="s">
        <v>2</v>
      </c>
      <c r="AD2" s="834" t="s">
        <v>220</v>
      </c>
      <c r="AE2" s="918" t="s">
        <v>0</v>
      </c>
      <c r="AF2" s="918"/>
      <c r="AG2" s="836"/>
      <c r="AH2" s="836"/>
      <c r="AI2" s="836"/>
      <c r="AJ2" s="836"/>
      <c r="AK2" s="836"/>
      <c r="AL2" s="836"/>
      <c r="AM2" s="836"/>
      <c r="AN2" s="836"/>
      <c r="AO2" s="918" t="s">
        <v>1</v>
      </c>
      <c r="AP2" s="919"/>
      <c r="AQ2" s="831" t="s">
        <v>12</v>
      </c>
      <c r="AR2" s="920" t="s">
        <v>13</v>
      </c>
      <c r="AS2" s="921"/>
      <c r="AT2" s="920" t="s">
        <v>2</v>
      </c>
      <c r="AU2" s="921"/>
    </row>
    <row r="3" spans="1:47" s="591" customFormat="1" x14ac:dyDescent="0.25">
      <c r="A3" s="918" t="s">
        <v>0</v>
      </c>
      <c r="B3" s="918"/>
      <c r="C3" s="837" t="s">
        <v>99</v>
      </c>
      <c r="D3" s="838" t="s">
        <v>100</v>
      </c>
      <c r="E3" s="838" t="s">
        <v>101</v>
      </c>
      <c r="F3" s="837" t="s">
        <v>102</v>
      </c>
      <c r="G3" s="838" t="s">
        <v>97</v>
      </c>
      <c r="H3" s="837" t="s">
        <v>104</v>
      </c>
      <c r="I3" s="838" t="s">
        <v>103</v>
      </c>
      <c r="J3" s="838" t="s">
        <v>178</v>
      </c>
      <c r="K3" s="838" t="s">
        <v>200</v>
      </c>
      <c r="L3" s="837" t="s">
        <v>207</v>
      </c>
      <c r="M3" s="837" t="s">
        <v>105</v>
      </c>
      <c r="N3" s="837" t="s">
        <v>107</v>
      </c>
      <c r="O3" s="838" t="s">
        <v>98</v>
      </c>
      <c r="P3" s="838" t="s">
        <v>106</v>
      </c>
      <c r="Q3" s="838" t="s">
        <v>179</v>
      </c>
      <c r="R3" s="838" t="s">
        <v>199</v>
      </c>
      <c r="S3" s="837" t="s">
        <v>208</v>
      </c>
      <c r="T3" s="837" t="s">
        <v>182</v>
      </c>
      <c r="U3" s="837" t="s">
        <v>184</v>
      </c>
      <c r="V3" s="838" t="s">
        <v>222</v>
      </c>
      <c r="W3" s="838" t="s">
        <v>223</v>
      </c>
      <c r="X3" s="838" t="s">
        <v>256</v>
      </c>
      <c r="Y3" s="838" t="s">
        <v>257</v>
      </c>
      <c r="Z3" s="838" t="s">
        <v>267</v>
      </c>
      <c r="AA3" s="838" t="s">
        <v>268</v>
      </c>
      <c r="AB3" s="893" t="s">
        <v>269</v>
      </c>
      <c r="AC3" s="893" t="s">
        <v>270</v>
      </c>
      <c r="AD3" s="839"/>
      <c r="AE3" s="907" t="s">
        <v>1</v>
      </c>
      <c r="AF3" s="841" t="s">
        <v>258</v>
      </c>
      <c r="AG3" s="841" t="s">
        <v>259</v>
      </c>
      <c r="AH3" s="841" t="s">
        <v>260</v>
      </c>
      <c r="AI3" s="841" t="s">
        <v>261</v>
      </c>
      <c r="AJ3" s="841" t="s">
        <v>262</v>
      </c>
      <c r="AK3" s="841" t="s">
        <v>263</v>
      </c>
      <c r="AL3" s="841" t="s">
        <v>264</v>
      </c>
      <c r="AM3" s="908" t="s">
        <v>265</v>
      </c>
      <c r="AN3" s="908" t="s">
        <v>266</v>
      </c>
      <c r="AO3" s="922" t="s">
        <v>0</v>
      </c>
      <c r="AP3" s="919"/>
      <c r="AQ3" s="837" t="s">
        <v>99</v>
      </c>
      <c r="AR3" s="837" t="s">
        <v>104</v>
      </c>
      <c r="AS3" s="837" t="s">
        <v>207</v>
      </c>
      <c r="AT3" s="837" t="s">
        <v>107</v>
      </c>
      <c r="AU3" s="837" t="s">
        <v>208</v>
      </c>
    </row>
    <row r="4" spans="1:47" s="591" customFormat="1" ht="30" x14ac:dyDescent="0.25">
      <c r="A4" s="923" t="s">
        <v>9</v>
      </c>
      <c r="B4" s="842" t="s">
        <v>4</v>
      </c>
      <c r="C4" s="843">
        <f>Source!B2</f>
        <v>250018.4</v>
      </c>
      <c r="D4" s="843">
        <f>Source!B3</f>
        <v>150516.70000000001</v>
      </c>
      <c r="E4" s="843">
        <f>Source!B6</f>
        <v>150516.70000000001</v>
      </c>
      <c r="F4" s="843">
        <f>Source!B7</f>
        <v>181998.8</v>
      </c>
      <c r="G4" s="843">
        <f>Source!B10</f>
        <v>165765.70000000001</v>
      </c>
      <c r="H4" s="843">
        <f>Source!B9</f>
        <v>389505</v>
      </c>
      <c r="I4" s="843">
        <f>Source!B8</f>
        <v>171975.5</v>
      </c>
      <c r="J4" s="843">
        <f>Source!B11</f>
        <v>166078</v>
      </c>
      <c r="K4" s="843">
        <f>Source!B12</f>
        <v>124019.2</v>
      </c>
      <c r="L4" s="843">
        <f>Source!B13</f>
        <v>224071.2</v>
      </c>
      <c r="M4" s="843">
        <f>Source!B20</f>
        <v>193029.1</v>
      </c>
      <c r="N4" s="843">
        <f>Source!B23</f>
        <v>438219.9</v>
      </c>
      <c r="O4" s="843">
        <f>Source!B22</f>
        <v>83038.8</v>
      </c>
      <c r="P4" s="843">
        <f>Source!B21</f>
        <v>276130.40000000002</v>
      </c>
      <c r="Q4" s="843">
        <f>Source!B24</f>
        <v>83038.8</v>
      </c>
      <c r="R4" s="843">
        <f>Source!B25</f>
        <v>191618.2</v>
      </c>
      <c r="S4" s="843">
        <f>Source!B26</f>
        <v>257886.5</v>
      </c>
      <c r="T4" s="843">
        <f>Source!B34</f>
        <v>55151</v>
      </c>
      <c r="U4" s="843">
        <f>Source!B35</f>
        <v>33090.5</v>
      </c>
      <c r="V4" s="843">
        <f>Source!B27</f>
        <v>102196.5</v>
      </c>
      <c r="W4" s="843">
        <f>Source!B14</f>
        <v>209496.5</v>
      </c>
      <c r="X4" s="843">
        <f>Source!B15</f>
        <v>102196.5</v>
      </c>
      <c r="Y4" s="843">
        <f>Source!B29</f>
        <v>209496.5</v>
      </c>
      <c r="Z4" s="843">
        <f>Source!B17</f>
        <v>102196.5</v>
      </c>
      <c r="AA4" s="843">
        <f>Source!B30</f>
        <v>209496.5</v>
      </c>
      <c r="AB4" s="843">
        <f>Source!B28</f>
        <v>328695.2</v>
      </c>
      <c r="AC4" s="905">
        <f>Source!B31</f>
        <v>190871.2</v>
      </c>
      <c r="AD4" s="843">
        <f>SUM(C4:AC4)</f>
        <v>5040313.8</v>
      </c>
      <c r="AE4" s="844" t="s">
        <v>4</v>
      </c>
      <c r="AF4" s="866">
        <f>C4</f>
        <v>250018.4</v>
      </c>
      <c r="AG4" s="866">
        <f>D4</f>
        <v>150516.70000000001</v>
      </c>
      <c r="AH4" s="866">
        <f>F4+H4+L4</f>
        <v>795575</v>
      </c>
      <c r="AI4" s="866">
        <f>E4+G4+I4+J4+K4+W4+X4+Z4</f>
        <v>1192244.6000000001</v>
      </c>
      <c r="AJ4" s="866">
        <f>M4+N4+S4+AB4+AC4</f>
        <v>1408701.9</v>
      </c>
      <c r="AK4" s="866">
        <f>O4+P4+Q4+R4+V4+Y4+AA4</f>
        <v>1155015.7</v>
      </c>
      <c r="AL4" s="866">
        <f>T4+U4</f>
        <v>88241.5</v>
      </c>
      <c r="AM4" s="866">
        <f>AG4+AI4+AK4</f>
        <v>2497777</v>
      </c>
      <c r="AN4" s="866">
        <f>AF4+AH4+AJ4+AL4</f>
        <v>2542536.7999999998</v>
      </c>
      <c r="AO4" s="878" t="s">
        <v>195</v>
      </c>
      <c r="AP4" s="875" t="s">
        <v>4</v>
      </c>
      <c r="AQ4" s="843">
        <v>143393</v>
      </c>
      <c r="AR4" s="843">
        <v>132132</v>
      </c>
      <c r="AS4" s="843">
        <v>83196.100000000006</v>
      </c>
      <c r="AT4" s="843">
        <v>132132.20000000001</v>
      </c>
      <c r="AU4" s="843">
        <v>83196.100000000006</v>
      </c>
    </row>
    <row r="5" spans="1:47" s="591" customFormat="1" x14ac:dyDescent="0.25">
      <c r="A5" s="923"/>
      <c r="B5" s="847" t="s">
        <v>5</v>
      </c>
      <c r="C5" s="583">
        <f>Source!D2</f>
        <v>103325.3</v>
      </c>
      <c r="D5" s="583">
        <f>Source!D3</f>
        <v>83852.899999999994</v>
      </c>
      <c r="E5" s="583">
        <f>Source!D6</f>
        <v>84562</v>
      </c>
      <c r="F5" s="583">
        <f>Source!D7</f>
        <v>138278.6</v>
      </c>
      <c r="G5" s="583">
        <f>Source!D10</f>
        <v>115998.6</v>
      </c>
      <c r="H5" s="583">
        <f>Source!D9</f>
        <v>216361.2</v>
      </c>
      <c r="I5" s="583">
        <f>Source!D8</f>
        <v>122404.6</v>
      </c>
      <c r="J5" s="583">
        <f>Source!D11</f>
        <v>50371.5</v>
      </c>
      <c r="K5" s="583">
        <f>Source!D12</f>
        <v>84259.7</v>
      </c>
      <c r="L5" s="583">
        <f>Source!D13</f>
        <v>77122.2</v>
      </c>
      <c r="M5" s="583">
        <f>Source!D20</f>
        <v>135743</v>
      </c>
      <c r="N5" s="583">
        <f>Source!D23</f>
        <v>212220.5</v>
      </c>
      <c r="O5" s="583">
        <f>Source!D22</f>
        <v>58538.9</v>
      </c>
      <c r="P5" s="583">
        <f>Source!D21</f>
        <v>226479.2</v>
      </c>
      <c r="Q5" s="583">
        <f>Source!D24</f>
        <v>26043.7</v>
      </c>
      <c r="R5" s="583">
        <f>Source!D25</f>
        <v>133249.60000000001</v>
      </c>
      <c r="S5" s="583">
        <f>Source!D26</f>
        <v>173308.3</v>
      </c>
      <c r="T5" s="583">
        <f>Source!D34</f>
        <v>16593.7</v>
      </c>
      <c r="U5" s="583">
        <f>Source!D35</f>
        <v>10226.6</v>
      </c>
      <c r="V5" s="583">
        <f>Source!D27</f>
        <v>14861.3</v>
      </c>
      <c r="W5" s="583">
        <f>Source!D14</f>
        <v>29722.3</v>
      </c>
      <c r="X5" s="583">
        <f>Source!D15</f>
        <v>15463.1</v>
      </c>
      <c r="Y5" s="583">
        <f>Source!D29</f>
        <v>30918.400000000001</v>
      </c>
      <c r="Z5" s="583">
        <f>Source!D17</f>
        <v>3.1</v>
      </c>
      <c r="AA5" s="583">
        <f>Source!D30</f>
        <v>6</v>
      </c>
      <c r="AB5" s="583">
        <f>Source!D28</f>
        <v>23398.3</v>
      </c>
      <c r="AC5" s="583">
        <f>Source!D31</f>
        <v>4.9000000000000004</v>
      </c>
      <c r="AD5" s="848">
        <f>SUM(C5:AC5)</f>
        <v>2183317.5</v>
      </c>
      <c r="AE5" s="849" t="s">
        <v>5</v>
      </c>
      <c r="AF5" s="866">
        <f>C5</f>
        <v>103325.3</v>
      </c>
      <c r="AG5" s="866">
        <f>D5</f>
        <v>83852.899999999994</v>
      </c>
      <c r="AH5" s="866">
        <f>H5+F5+L5</f>
        <v>431762.00000000006</v>
      </c>
      <c r="AI5" s="866">
        <f>E5+G5+I5+J5+K5+W5+X5+Z5</f>
        <v>502784.89999999997</v>
      </c>
      <c r="AJ5" s="866">
        <f>M5+N5+S5+AB5+AC5</f>
        <v>544675</v>
      </c>
      <c r="AK5" s="866">
        <f>O5+P5+Q5+R5+V5+Y5+AA5</f>
        <v>490097.10000000003</v>
      </c>
      <c r="AL5" s="866">
        <f>T5+U5</f>
        <v>26820.300000000003</v>
      </c>
      <c r="AM5" s="866">
        <f>AG5+AI5+AK5</f>
        <v>1076734.8999999999</v>
      </c>
      <c r="AN5" s="866">
        <f>AF5+AH5+AJ5+AL5</f>
        <v>1106582.6000000001</v>
      </c>
      <c r="AO5" s="879"/>
      <c r="AP5" s="876" t="s">
        <v>5</v>
      </c>
      <c r="AQ5" s="583">
        <v>51964.9</v>
      </c>
      <c r="AR5" s="583">
        <v>58542</v>
      </c>
      <c r="AS5" s="583">
        <v>2519</v>
      </c>
      <c r="AT5" s="583">
        <v>70731</v>
      </c>
      <c r="AU5" s="583">
        <v>31444.9</v>
      </c>
    </row>
    <row r="6" spans="1:47" s="591" customFormat="1" x14ac:dyDescent="0.25">
      <c r="A6" s="923"/>
      <c r="B6" s="851" t="s">
        <v>3</v>
      </c>
      <c r="C6" s="852">
        <f t="shared" ref="C6:L6" si="0">C5/C4</f>
        <v>0.41327078327035133</v>
      </c>
      <c r="D6" s="852">
        <f t="shared" si="0"/>
        <v>0.55710030847075431</v>
      </c>
      <c r="E6" s="852">
        <f t="shared" si="0"/>
        <v>0.56181141361722653</v>
      </c>
      <c r="F6" s="853">
        <f t="shared" si="0"/>
        <v>0.75977753699474948</v>
      </c>
      <c r="G6" s="852">
        <f t="shared" si="0"/>
        <v>0.69977444067138139</v>
      </c>
      <c r="H6" s="852">
        <f t="shared" si="0"/>
        <v>0.55547733661955567</v>
      </c>
      <c r="I6" s="852">
        <f t="shared" si="0"/>
        <v>0.71175603501661577</v>
      </c>
      <c r="J6" s="852">
        <f t="shared" si="0"/>
        <v>0.30330025650597914</v>
      </c>
      <c r="K6" s="852">
        <f t="shared" si="0"/>
        <v>0.67940851094024146</v>
      </c>
      <c r="L6" s="852">
        <f t="shared" si="0"/>
        <v>0.34418613369321893</v>
      </c>
      <c r="M6" s="853">
        <f>M5/M4</f>
        <v>0.7032255758328666</v>
      </c>
      <c r="N6" s="852">
        <f>N5/N4</f>
        <v>0.48427855512723178</v>
      </c>
      <c r="O6" s="852">
        <f>O5/O4</f>
        <v>0.70495840498658457</v>
      </c>
      <c r="P6" s="852">
        <f>P5/P4</f>
        <v>0.82018930186607486</v>
      </c>
      <c r="Q6" s="852">
        <f>Q5/Q4</f>
        <v>0.31363290413637962</v>
      </c>
      <c r="R6" s="852">
        <f t="shared" ref="R6:S6" si="1">R5/R4</f>
        <v>0.695391147604977</v>
      </c>
      <c r="S6" s="852">
        <f t="shared" si="1"/>
        <v>0.67203323942897353</v>
      </c>
      <c r="T6" s="852">
        <f t="shared" ref="T6:AD6" si="2">T5/T4</f>
        <v>0.30087759061485742</v>
      </c>
      <c r="U6" s="852">
        <f t="shared" si="2"/>
        <v>0.30904942506157357</v>
      </c>
      <c r="V6" s="852">
        <f t="shared" si="2"/>
        <v>0.14541887442329238</v>
      </c>
      <c r="W6" s="852">
        <f t="shared" si="2"/>
        <v>0.14187492392474338</v>
      </c>
      <c r="X6" s="852">
        <f t="shared" si="2"/>
        <v>0.15130753010132442</v>
      </c>
      <c r="Y6" s="852">
        <f t="shared" si="2"/>
        <v>0.14758432718446371</v>
      </c>
      <c r="Z6" s="852">
        <f t="shared" ref="Z6:AA6" si="3">Z5/Z4</f>
        <v>3.0333719843634569E-5</v>
      </c>
      <c r="AA6" s="852">
        <f t="shared" si="3"/>
        <v>2.8640096612592574E-5</v>
      </c>
      <c r="AB6" s="852">
        <f t="shared" ref="AB6:AC6" si="4">AB5/AB4</f>
        <v>7.1185402159812491E-2</v>
      </c>
      <c r="AC6" s="852">
        <f t="shared" si="4"/>
        <v>2.5671761900171424E-5</v>
      </c>
      <c r="AD6" s="854">
        <f t="shared" si="2"/>
        <v>0.43317094661844269</v>
      </c>
      <c r="AE6" s="855" t="s">
        <v>3</v>
      </c>
      <c r="AF6" s="852">
        <f t="shared" ref="AF6:AG6" si="5">AF5/AF4</f>
        <v>0.41327078327035133</v>
      </c>
      <c r="AG6" s="852">
        <f t="shared" si="5"/>
        <v>0.55710030847075431</v>
      </c>
      <c r="AH6" s="852">
        <f t="shared" ref="AH6:AI6" si="6">AH5/AH4</f>
        <v>0.54270433334380797</v>
      </c>
      <c r="AI6" s="852">
        <f t="shared" si="6"/>
        <v>0.42171287670332069</v>
      </c>
      <c r="AJ6" s="852">
        <f t="shared" ref="AJ6:AM6" si="7">AJ5/AJ4</f>
        <v>0.38665029130719569</v>
      </c>
      <c r="AK6" s="852">
        <f t="shared" si="7"/>
        <v>0.42432072568364226</v>
      </c>
      <c r="AL6" s="852">
        <f t="shared" si="7"/>
        <v>0.30394202274440035</v>
      </c>
      <c r="AM6" s="852">
        <f t="shared" si="7"/>
        <v>0.43107727391196249</v>
      </c>
      <c r="AN6" s="852">
        <f t="shared" ref="AN6" si="8">AN5/AN4</f>
        <v>0.4352277615018198</v>
      </c>
      <c r="AO6" s="879"/>
      <c r="AP6" s="877" t="s">
        <v>3</v>
      </c>
      <c r="AQ6" s="852">
        <f>AQ5/AQ4</f>
        <v>0.36239495651810061</v>
      </c>
      <c r="AR6" s="852">
        <f>AR5/AR4</f>
        <v>0.44305694305694304</v>
      </c>
      <c r="AS6" s="852">
        <f>AS5/AS4</f>
        <v>3.0277861582453984E-2</v>
      </c>
      <c r="AT6" s="852">
        <f>AT5/AT4</f>
        <v>0.53530479322981073</v>
      </c>
      <c r="AU6" s="852">
        <f>AU5/AU4</f>
        <v>0.37796122654787906</v>
      </c>
    </row>
    <row r="7" spans="1:47" s="591" customFormat="1" ht="30" x14ac:dyDescent="0.25">
      <c r="A7" s="916" t="s">
        <v>6</v>
      </c>
      <c r="B7" s="857" t="s">
        <v>7</v>
      </c>
      <c r="C7" s="843">
        <f>Source!E2</f>
        <v>5644</v>
      </c>
      <c r="D7" s="843">
        <f>Source!E3</f>
        <v>3620</v>
      </c>
      <c r="E7" s="843">
        <f>Source!E6</f>
        <v>3591</v>
      </c>
      <c r="F7" s="843">
        <f>Source!E7</f>
        <v>8910</v>
      </c>
      <c r="G7" s="843">
        <f>Source!E10</f>
        <v>8432</v>
      </c>
      <c r="H7" s="843">
        <f>Source!E9</f>
        <v>15703</v>
      </c>
      <c r="I7" s="843">
        <f>Source!E8</f>
        <v>8298</v>
      </c>
      <c r="J7" s="843">
        <f>Source!E11</f>
        <v>9599</v>
      </c>
      <c r="K7" s="843">
        <f>Source!E12</f>
        <v>7072</v>
      </c>
      <c r="L7" s="843">
        <f>Source!E13</f>
        <v>9334</v>
      </c>
      <c r="M7" s="843">
        <f>Source!E20</f>
        <v>8061</v>
      </c>
      <c r="N7" s="843">
        <f>Source!E23</f>
        <v>11924</v>
      </c>
      <c r="O7" s="843">
        <f>Source!E22</f>
        <v>4357</v>
      </c>
      <c r="P7" s="843">
        <f>Source!E21</f>
        <v>10643</v>
      </c>
      <c r="Q7" s="843">
        <f>Source!E24</f>
        <v>4799</v>
      </c>
      <c r="R7" s="843">
        <f>Source!E25</f>
        <v>9711</v>
      </c>
      <c r="S7" s="843">
        <f>Source!E26</f>
        <v>11664</v>
      </c>
      <c r="T7" s="858">
        <f>Source!E34</f>
        <v>2480</v>
      </c>
      <c r="U7" s="858">
        <f>Source!E35</f>
        <v>1570</v>
      </c>
      <c r="V7" s="843">
        <f>Source!E27</f>
        <v>3999</v>
      </c>
      <c r="W7" s="843">
        <f>Source!E14</f>
        <v>7999</v>
      </c>
      <c r="X7" s="843">
        <f>Source!E15</f>
        <v>3999</v>
      </c>
      <c r="Y7" s="843">
        <f>Source!E29</f>
        <v>7999</v>
      </c>
      <c r="Z7" s="843">
        <f>Source!E17</f>
        <v>3999</v>
      </c>
      <c r="AA7" s="843">
        <f>Source!E30</f>
        <v>7999</v>
      </c>
      <c r="AB7" s="843">
        <f>Source!E28</f>
        <v>11999</v>
      </c>
      <c r="AC7" s="843">
        <f>Source!E31</f>
        <v>6400</v>
      </c>
      <c r="AD7" s="843">
        <f>SUM(C7:AC7)</f>
        <v>199805</v>
      </c>
      <c r="AE7" s="859" t="s">
        <v>7</v>
      </c>
      <c r="AF7" s="861">
        <f>C7</f>
        <v>5644</v>
      </c>
      <c r="AG7" s="861">
        <f>D7</f>
        <v>3620</v>
      </c>
      <c r="AH7" s="861">
        <f>F7+H7+L7</f>
        <v>33947</v>
      </c>
      <c r="AI7" s="861">
        <f>E7+G7+I7+J7+K7+W7+X7+Z7</f>
        <v>52989</v>
      </c>
      <c r="AJ7" s="861">
        <f>M7+N7+S7+AB7+AC7</f>
        <v>50048</v>
      </c>
      <c r="AK7" s="861">
        <f>O7+P7+Q7+R7+V7+Y7+AA7</f>
        <v>49507</v>
      </c>
      <c r="AL7" s="861">
        <f>T7+U7</f>
        <v>4050</v>
      </c>
      <c r="AM7" s="861">
        <f>AG7+AI7+AK7</f>
        <v>106116</v>
      </c>
      <c r="AN7" s="861">
        <f>AF7+AH7+AJ7+AL7</f>
        <v>93689</v>
      </c>
      <c r="AO7" s="883" t="s">
        <v>191</v>
      </c>
      <c r="AP7" s="882" t="s">
        <v>4</v>
      </c>
      <c r="AQ7" s="860">
        <v>9191.7999999999993</v>
      </c>
      <c r="AR7" s="860">
        <v>13787.7</v>
      </c>
      <c r="AS7" s="860">
        <v>8804.7999999999993</v>
      </c>
      <c r="AT7" s="860">
        <v>13787.7</v>
      </c>
      <c r="AU7" s="860">
        <v>8804.7999999999993</v>
      </c>
    </row>
    <row r="8" spans="1:47" s="591" customFormat="1" x14ac:dyDescent="0.25">
      <c r="A8" s="916"/>
      <c r="B8" s="842" t="s">
        <v>11</v>
      </c>
      <c r="C8" s="861">
        <f t="shared" ref="C8:S8" si="9">C7*33.717</f>
        <v>190298.74799999999</v>
      </c>
      <c r="D8" s="861">
        <f t="shared" si="9"/>
        <v>122055.54</v>
      </c>
      <c r="E8" s="861">
        <f t="shared" si="9"/>
        <v>121077.74699999999</v>
      </c>
      <c r="F8" s="861">
        <f t="shared" si="9"/>
        <v>300418.46999999997</v>
      </c>
      <c r="G8" s="861">
        <f t="shared" si="9"/>
        <v>284301.74400000001</v>
      </c>
      <c r="H8" s="861">
        <f t="shared" si="9"/>
        <v>529458.05099999998</v>
      </c>
      <c r="I8" s="861">
        <f t="shared" si="9"/>
        <v>279783.66599999997</v>
      </c>
      <c r="J8" s="861">
        <f t="shared" si="9"/>
        <v>323649.48300000001</v>
      </c>
      <c r="K8" s="861">
        <f t="shared" si="9"/>
        <v>238446.62399999998</v>
      </c>
      <c r="L8" s="861">
        <f t="shared" si="9"/>
        <v>314714.478</v>
      </c>
      <c r="M8" s="861">
        <f t="shared" si="9"/>
        <v>271792.73699999996</v>
      </c>
      <c r="N8" s="861">
        <f t="shared" si="9"/>
        <v>402041.50799999997</v>
      </c>
      <c r="O8" s="861">
        <f t="shared" si="9"/>
        <v>146904.96899999998</v>
      </c>
      <c r="P8" s="861">
        <f t="shared" si="9"/>
        <v>358850.03099999996</v>
      </c>
      <c r="Q8" s="861">
        <f t="shared" si="9"/>
        <v>161807.883</v>
      </c>
      <c r="R8" s="861">
        <f t="shared" si="9"/>
        <v>327425.78700000001</v>
      </c>
      <c r="S8" s="861">
        <f t="shared" si="9"/>
        <v>393275.08799999999</v>
      </c>
      <c r="T8" s="861">
        <f t="shared" ref="T8:Y8" si="10">T7*33.717</f>
        <v>83618.16</v>
      </c>
      <c r="U8" s="861">
        <f t="shared" si="10"/>
        <v>52935.689999999995</v>
      </c>
      <c r="V8" s="861">
        <f t="shared" si="10"/>
        <v>134834.283</v>
      </c>
      <c r="W8" s="861">
        <f t="shared" si="10"/>
        <v>269702.283</v>
      </c>
      <c r="X8" s="861">
        <f t="shared" si="10"/>
        <v>134834.283</v>
      </c>
      <c r="Y8" s="861">
        <f t="shared" si="10"/>
        <v>269702.283</v>
      </c>
      <c r="Z8" s="861">
        <f t="shared" ref="Z8:AA8" si="11">Z7*33.717</f>
        <v>134834.283</v>
      </c>
      <c r="AA8" s="861">
        <f t="shared" si="11"/>
        <v>269702.283</v>
      </c>
      <c r="AB8" s="861">
        <f t="shared" ref="AB8:AC8" si="12">AB7*33.717</f>
        <v>404570.283</v>
      </c>
      <c r="AC8" s="861">
        <f t="shared" si="12"/>
        <v>215788.79999999999</v>
      </c>
      <c r="AD8" s="862">
        <f>SUM(C8:AC8)</f>
        <v>6736825.1849999987</v>
      </c>
      <c r="AE8" s="844" t="s">
        <v>11</v>
      </c>
      <c r="AF8" s="861">
        <f t="shared" ref="AF8:AG8" si="13">AF7*33.717</f>
        <v>190298.74799999999</v>
      </c>
      <c r="AG8" s="861">
        <f t="shared" si="13"/>
        <v>122055.54</v>
      </c>
      <c r="AH8" s="861">
        <f t="shared" ref="AH8:AI8" si="14">AH7*33.717</f>
        <v>1144590.9990000001</v>
      </c>
      <c r="AI8" s="861">
        <f t="shared" si="14"/>
        <v>1786630.1129999999</v>
      </c>
      <c r="AJ8" s="861">
        <f t="shared" ref="AJ8:AM8" si="15">AJ7*33.717</f>
        <v>1687468.416</v>
      </c>
      <c r="AK8" s="861">
        <f t="shared" si="15"/>
        <v>1669227.5189999999</v>
      </c>
      <c r="AL8" s="861">
        <f t="shared" si="15"/>
        <v>136553.85</v>
      </c>
      <c r="AM8" s="861">
        <f t="shared" si="15"/>
        <v>3577913.1719999998</v>
      </c>
      <c r="AN8" s="861">
        <f t="shared" ref="AN8" si="16">AN7*33.717</f>
        <v>3158912.0129999998</v>
      </c>
      <c r="AO8" s="879"/>
      <c r="AP8" s="876" t="s">
        <v>5</v>
      </c>
      <c r="AQ8" s="583">
        <v>7975.5</v>
      </c>
      <c r="AR8" s="583">
        <v>13649</v>
      </c>
      <c r="AS8" s="583">
        <v>1289.9000000000001</v>
      </c>
      <c r="AT8" s="583">
        <v>13642</v>
      </c>
      <c r="AU8" s="583">
        <v>5483.9</v>
      </c>
    </row>
    <row r="9" spans="1:47" s="591" customFormat="1" x14ac:dyDescent="0.25">
      <c r="A9" s="916"/>
      <c r="B9" s="842" t="s">
        <v>301</v>
      </c>
      <c r="C9" s="861">
        <f>C4-C5</f>
        <v>146693.09999999998</v>
      </c>
      <c r="D9" s="861">
        <f t="shared" ref="D9:AN9" si="17">D4-D5</f>
        <v>66663.800000000017</v>
      </c>
      <c r="E9" s="861">
        <f t="shared" si="17"/>
        <v>65954.700000000012</v>
      </c>
      <c r="F9" s="861">
        <f t="shared" si="17"/>
        <v>43720.199999999983</v>
      </c>
      <c r="G9" s="861">
        <f t="shared" si="17"/>
        <v>49767.100000000006</v>
      </c>
      <c r="H9" s="861">
        <f t="shared" si="17"/>
        <v>173143.8</v>
      </c>
      <c r="I9" s="861">
        <f t="shared" si="17"/>
        <v>49570.899999999994</v>
      </c>
      <c r="J9" s="861">
        <f t="shared" si="17"/>
        <v>115706.5</v>
      </c>
      <c r="K9" s="861">
        <f t="shared" si="17"/>
        <v>39759.5</v>
      </c>
      <c r="L9" s="861">
        <f t="shared" si="17"/>
        <v>146949</v>
      </c>
      <c r="M9" s="861">
        <f t="shared" si="17"/>
        <v>57286.100000000006</v>
      </c>
      <c r="N9" s="861">
        <f t="shared" si="17"/>
        <v>225999.40000000002</v>
      </c>
      <c r="O9" s="861">
        <f t="shared" si="17"/>
        <v>24499.9</v>
      </c>
      <c r="P9" s="861">
        <f t="shared" si="17"/>
        <v>49651.200000000012</v>
      </c>
      <c r="Q9" s="861">
        <f t="shared" si="17"/>
        <v>56995.100000000006</v>
      </c>
      <c r="R9" s="861">
        <f t="shared" si="17"/>
        <v>58368.600000000006</v>
      </c>
      <c r="S9" s="861">
        <f t="shared" si="17"/>
        <v>84578.200000000012</v>
      </c>
      <c r="T9" s="861">
        <f t="shared" si="17"/>
        <v>38557.300000000003</v>
      </c>
      <c r="U9" s="861">
        <f t="shared" si="17"/>
        <v>22863.9</v>
      </c>
      <c r="V9" s="861">
        <f t="shared" si="17"/>
        <v>87335.2</v>
      </c>
      <c r="W9" s="861">
        <f t="shared" si="17"/>
        <v>179774.2</v>
      </c>
      <c r="X9" s="861">
        <f t="shared" si="17"/>
        <v>86733.4</v>
      </c>
      <c r="Y9" s="861">
        <f t="shared" si="17"/>
        <v>178578.1</v>
      </c>
      <c r="Z9" s="861">
        <f t="shared" si="17"/>
        <v>102193.4</v>
      </c>
      <c r="AA9" s="861">
        <f t="shared" si="17"/>
        <v>209490.5</v>
      </c>
      <c r="AB9" s="861">
        <f t="shared" si="17"/>
        <v>305296.90000000002</v>
      </c>
      <c r="AC9" s="861">
        <f t="shared" si="17"/>
        <v>190866.30000000002</v>
      </c>
      <c r="AD9" s="861">
        <f t="shared" si="17"/>
        <v>2856996.3</v>
      </c>
      <c r="AE9" s="842" t="s">
        <v>301</v>
      </c>
      <c r="AF9" s="861">
        <f t="shared" si="17"/>
        <v>146693.09999999998</v>
      </c>
      <c r="AG9" s="861">
        <f t="shared" si="17"/>
        <v>66663.800000000017</v>
      </c>
      <c r="AH9" s="861">
        <f t="shared" si="17"/>
        <v>363812.99999999994</v>
      </c>
      <c r="AI9" s="861">
        <f t="shared" si="17"/>
        <v>689459.70000000019</v>
      </c>
      <c r="AJ9" s="861">
        <f t="shared" si="17"/>
        <v>864026.89999999991</v>
      </c>
      <c r="AK9" s="861">
        <f t="shared" si="17"/>
        <v>664918.59999999986</v>
      </c>
      <c r="AL9" s="861">
        <f t="shared" si="17"/>
        <v>61421.2</v>
      </c>
      <c r="AM9" s="861">
        <f t="shared" si="17"/>
        <v>1421042.1</v>
      </c>
      <c r="AN9" s="861">
        <f t="shared" si="17"/>
        <v>1435954.1999999997</v>
      </c>
      <c r="AO9" s="880"/>
      <c r="AP9" s="877" t="s">
        <v>3</v>
      </c>
      <c r="AQ9" s="852">
        <f>AQ8/AQ7</f>
        <v>0.86767553689157739</v>
      </c>
      <c r="AR9" s="852">
        <f>AR8/AR7</f>
        <v>0.98994030911609621</v>
      </c>
      <c r="AS9" s="852">
        <f>AS8/AS7</f>
        <v>0.14649963656187537</v>
      </c>
      <c r="AT9" s="852">
        <f>AT8/AT7</f>
        <v>0.98943261022505558</v>
      </c>
      <c r="AU9" s="852">
        <f>AU8/AU7</f>
        <v>0.62283072869343992</v>
      </c>
    </row>
    <row r="10" spans="1:47" s="591" customFormat="1" ht="45" x14ac:dyDescent="0.25">
      <c r="A10" s="916"/>
      <c r="B10" s="847" t="s">
        <v>8</v>
      </c>
      <c r="C10" s="864">
        <f>SUM(C7-Source!F2)</f>
        <v>5295</v>
      </c>
      <c r="D10" s="864">
        <f>SUM(D7-Source!F3)</f>
        <v>3009</v>
      </c>
      <c r="E10" s="864">
        <f>SUM(E7-Source!F6)</f>
        <v>3009</v>
      </c>
      <c r="F10" s="864">
        <f>SUM(F7-Source!F7)</f>
        <v>6819</v>
      </c>
      <c r="G10" s="864">
        <f>SUM(G7-Source!F10)</f>
        <v>3366</v>
      </c>
      <c r="H10" s="864">
        <f>SUM(H7-Source!F9)</f>
        <v>13621</v>
      </c>
      <c r="I10" s="864">
        <f>SUM(I7-(Source!F8-2216))</f>
        <v>6949</v>
      </c>
      <c r="J10" s="864">
        <f>SUM(J7-Source!F11)</f>
        <v>1379</v>
      </c>
      <c r="K10" s="864">
        <f>SUM(K7-(Source!F12-1760))</f>
        <v>5979</v>
      </c>
      <c r="L10" s="864">
        <f>SUM(L7-Source!F13)</f>
        <v>6688</v>
      </c>
      <c r="M10" s="864">
        <f>SUM(M7-Source!F20)</f>
        <v>6414</v>
      </c>
      <c r="N10" s="864">
        <f>SUM(N7-Source!F23)</f>
        <v>10872</v>
      </c>
      <c r="O10" s="864">
        <f>SUM(O7-Source!F22)</f>
        <v>3436</v>
      </c>
      <c r="P10" s="864">
        <f>SUM(P7-(Source!F21-2614))</f>
        <v>7772</v>
      </c>
      <c r="Q10" s="864">
        <f>SUM(Q7-Source!F24)</f>
        <v>1827</v>
      </c>
      <c r="R10" s="864">
        <f>SUM(R7-Source!F25)</f>
        <v>4598</v>
      </c>
      <c r="S10" s="864">
        <f>SUM(S7-Source!F26)</f>
        <v>10095</v>
      </c>
      <c r="T10" s="598">
        <f>SUM(T7-Source!F34)</f>
        <v>1716</v>
      </c>
      <c r="U10" s="598">
        <f>SUM(U7-Source!F35)</f>
        <v>1103</v>
      </c>
      <c r="V10" s="864">
        <f>SUM(V7-Source!F27)</f>
        <v>1858</v>
      </c>
      <c r="W10" s="864">
        <f>SUM(W7-Source!F14)</f>
        <v>2490</v>
      </c>
      <c r="X10" s="864">
        <f>SUM(X7-Source!F15)</f>
        <v>1115</v>
      </c>
      <c r="Y10" s="864">
        <f>SUM(Y7-Source!F29)</f>
        <v>1393</v>
      </c>
      <c r="Z10" s="864">
        <f>SUM(Z7-Source!F17)</f>
        <v>561</v>
      </c>
      <c r="AA10" s="864">
        <f>SUM(AA7-Source!F30)</f>
        <v>1113</v>
      </c>
      <c r="AB10" s="864">
        <f>SUM(AB7-Source!F28)</f>
        <v>1978</v>
      </c>
      <c r="AC10" s="864">
        <f>SUM(AC7-Source!F31)</f>
        <v>0</v>
      </c>
      <c r="AD10" s="843">
        <f>SUM(C10:AC10)</f>
        <v>114455</v>
      </c>
      <c r="AE10" s="849" t="s">
        <v>8</v>
      </c>
      <c r="AF10" s="861">
        <f>C10</f>
        <v>5295</v>
      </c>
      <c r="AG10" s="861">
        <f>D10</f>
        <v>3009</v>
      </c>
      <c r="AH10" s="861">
        <f>F10+H10+L10</f>
        <v>27128</v>
      </c>
      <c r="AI10" s="861">
        <f>E10+G10+I10+J10+K10+W10+X10+Z10</f>
        <v>24848</v>
      </c>
      <c r="AJ10" s="861">
        <f>M10+N10+S10+AB10+AC10</f>
        <v>29359</v>
      </c>
      <c r="AK10" s="861">
        <f>O10+P10+Q10+R10+V10+Y10+AA10</f>
        <v>21997</v>
      </c>
      <c r="AL10" s="861">
        <f>T10+U10</f>
        <v>2819</v>
      </c>
      <c r="AM10" s="861">
        <f>AG10+AI10+AK10</f>
        <v>49854</v>
      </c>
      <c r="AN10" s="861">
        <f>AF10+AH10+AJ10+AL10</f>
        <v>64601</v>
      </c>
      <c r="AO10" s="880" t="s">
        <v>192</v>
      </c>
      <c r="AP10" s="842" t="s">
        <v>4</v>
      </c>
      <c r="AQ10" s="843">
        <v>97433.600000000006</v>
      </c>
      <c r="AR10" s="843">
        <v>243584.4</v>
      </c>
      <c r="AS10" s="843">
        <v>132070.29999999999</v>
      </c>
      <c r="AT10" s="843">
        <v>292299.3</v>
      </c>
      <c r="AU10" s="843">
        <v>132070.39999999999</v>
      </c>
    </row>
    <row r="11" spans="1:47" s="591" customFormat="1" x14ac:dyDescent="0.25">
      <c r="A11" s="916"/>
      <c r="B11" s="842" t="s">
        <v>77</v>
      </c>
      <c r="C11" s="861">
        <f t="shared" ref="C11:N11" si="18">C10*33.717</f>
        <v>178531.51499999998</v>
      </c>
      <c r="D11" s="861">
        <f t="shared" si="18"/>
        <v>101454.45299999999</v>
      </c>
      <c r="E11" s="861">
        <f t="shared" si="18"/>
        <v>101454.45299999999</v>
      </c>
      <c r="F11" s="861">
        <f t="shared" si="18"/>
        <v>229916.223</v>
      </c>
      <c r="G11" s="861">
        <f t="shared" si="18"/>
        <v>113491.42199999999</v>
      </c>
      <c r="H11" s="861">
        <f t="shared" si="18"/>
        <v>459259.25699999998</v>
      </c>
      <c r="I11" s="861">
        <f t="shared" si="18"/>
        <v>234299.43299999999</v>
      </c>
      <c r="J11" s="861">
        <f t="shared" si="18"/>
        <v>46495.742999999995</v>
      </c>
      <c r="K11" s="861">
        <f t="shared" si="18"/>
        <v>201593.943</v>
      </c>
      <c r="L11" s="861">
        <f t="shared" si="18"/>
        <v>225499.296</v>
      </c>
      <c r="M11" s="861">
        <f t="shared" si="18"/>
        <v>216260.83799999999</v>
      </c>
      <c r="N11" s="861">
        <f t="shared" si="18"/>
        <v>366571.22399999999</v>
      </c>
      <c r="O11" s="861">
        <f>(O10*33.717)</f>
        <v>115851.61199999999</v>
      </c>
      <c r="P11" s="861">
        <f>P10*33.717-(2614*33.717)</f>
        <v>173912.28599999996</v>
      </c>
      <c r="Q11" s="861">
        <f t="shared" ref="Q11:Y11" si="19">Q10*33.717</f>
        <v>61600.958999999995</v>
      </c>
      <c r="R11" s="861">
        <f t="shared" si="19"/>
        <v>155030.766</v>
      </c>
      <c r="S11" s="861">
        <f t="shared" si="19"/>
        <v>340373.11499999999</v>
      </c>
      <c r="T11" s="866">
        <f t="shared" si="19"/>
        <v>57858.371999999996</v>
      </c>
      <c r="U11" s="866">
        <f t="shared" si="19"/>
        <v>37189.850999999995</v>
      </c>
      <c r="V11" s="866">
        <f t="shared" si="19"/>
        <v>62646.185999999994</v>
      </c>
      <c r="W11" s="866">
        <f t="shared" si="19"/>
        <v>83955.33</v>
      </c>
      <c r="X11" s="866">
        <f t="shared" si="19"/>
        <v>37594.455000000002</v>
      </c>
      <c r="Y11" s="866">
        <f t="shared" si="19"/>
        <v>46967.780999999995</v>
      </c>
      <c r="Z11" s="866">
        <f t="shared" ref="Z11:AA11" si="20">Z10*33.717</f>
        <v>18915.237000000001</v>
      </c>
      <c r="AA11" s="866">
        <f t="shared" si="20"/>
        <v>37527.021000000001</v>
      </c>
      <c r="AB11" s="866">
        <f t="shared" ref="AB11:AC11" si="21">AB10*33.717</f>
        <v>66692.225999999995</v>
      </c>
      <c r="AC11" s="866">
        <f t="shared" si="21"/>
        <v>0</v>
      </c>
      <c r="AD11" s="867">
        <f>SUM(C11:AC11)</f>
        <v>3770942.997</v>
      </c>
      <c r="AE11" s="844" t="s">
        <v>77</v>
      </c>
      <c r="AF11" s="861">
        <f t="shared" ref="AF11:AG11" si="22">AF10*33.717</f>
        <v>178531.51499999998</v>
      </c>
      <c r="AG11" s="861">
        <f t="shared" si="22"/>
        <v>101454.45299999999</v>
      </c>
      <c r="AH11" s="861">
        <f t="shared" ref="AH11:AI11" si="23">AH10*33.717</f>
        <v>914674.77599999995</v>
      </c>
      <c r="AI11" s="861">
        <f t="shared" si="23"/>
        <v>837800.01599999995</v>
      </c>
      <c r="AJ11" s="861">
        <f t="shared" ref="AJ11:AM11" si="24">AJ10*33.717</f>
        <v>989897.40299999993</v>
      </c>
      <c r="AK11" s="861">
        <f t="shared" si="24"/>
        <v>741672.84899999993</v>
      </c>
      <c r="AL11" s="861">
        <f t="shared" si="24"/>
        <v>95048.222999999998</v>
      </c>
      <c r="AM11" s="861">
        <f t="shared" si="24"/>
        <v>1680927.318</v>
      </c>
      <c r="AN11" s="861">
        <f t="shared" ref="AN11" si="25">AN10*33.717</f>
        <v>2178151.9169999999</v>
      </c>
      <c r="AO11" s="846"/>
      <c r="AP11" s="847" t="s">
        <v>5</v>
      </c>
      <c r="AQ11" s="583">
        <v>38973.199999999997</v>
      </c>
      <c r="AR11" s="583">
        <v>124350.5</v>
      </c>
      <c r="AS11" s="583">
        <v>3817.1</v>
      </c>
      <c r="AT11" s="583">
        <v>109009</v>
      </c>
      <c r="AU11" s="583">
        <v>33401</v>
      </c>
    </row>
    <row r="12" spans="1:47" s="591" customFormat="1" x14ac:dyDescent="0.25">
      <c r="A12" s="916"/>
      <c r="B12" s="851" t="s">
        <v>218</v>
      </c>
      <c r="C12" s="852">
        <f t="shared" ref="C12:AD12" si="26">C11/C4</f>
        <v>0.71407350419009152</v>
      </c>
      <c r="D12" s="852">
        <f t="shared" si="26"/>
        <v>0.67404117283995724</v>
      </c>
      <c r="E12" s="869">
        <f t="shared" si="26"/>
        <v>0.67404117283995724</v>
      </c>
      <c r="F12" s="869">
        <f t="shared" si="26"/>
        <v>1.2632842798963511</v>
      </c>
      <c r="G12" s="869">
        <f t="shared" si="26"/>
        <v>0.68464961086642162</v>
      </c>
      <c r="H12" s="869">
        <f t="shared" si="26"/>
        <v>1.1790843686217121</v>
      </c>
      <c r="I12" s="869">
        <f t="shared" si="26"/>
        <v>1.3624000686144246</v>
      </c>
      <c r="J12" s="869">
        <f t="shared" si="26"/>
        <v>0.27996328833439704</v>
      </c>
      <c r="K12" s="869">
        <f t="shared" si="26"/>
        <v>1.6255059136004748</v>
      </c>
      <c r="L12" s="869">
        <f t="shared" si="26"/>
        <v>1.0063734027398434</v>
      </c>
      <c r="M12" s="869">
        <f t="shared" si="26"/>
        <v>1.120353552909898</v>
      </c>
      <c r="N12" s="869">
        <f t="shared" si="26"/>
        <v>0.83650063358601467</v>
      </c>
      <c r="O12" s="869">
        <f t="shared" si="26"/>
        <v>1.3951503634445583</v>
      </c>
      <c r="P12" s="869">
        <f t="shared" si="26"/>
        <v>0.62981941140852271</v>
      </c>
      <c r="Q12" s="869">
        <f t="shared" si="26"/>
        <v>0.74183344412491503</v>
      </c>
      <c r="R12" s="869">
        <f t="shared" si="26"/>
        <v>0.80906075727670956</v>
      </c>
      <c r="S12" s="869">
        <f t="shared" si="26"/>
        <v>1.3198562739809956</v>
      </c>
      <c r="T12" s="852">
        <f t="shared" si="26"/>
        <v>1.0490901706224727</v>
      </c>
      <c r="U12" s="852">
        <f t="shared" si="26"/>
        <v>1.1238830177845605</v>
      </c>
      <c r="V12" s="852">
        <f t="shared" si="26"/>
        <v>0.61299737270845867</v>
      </c>
      <c r="W12" s="852">
        <f t="shared" si="26"/>
        <v>0.40074812705701529</v>
      </c>
      <c r="X12" s="852">
        <f t="shared" si="26"/>
        <v>0.36786440827229899</v>
      </c>
      <c r="Y12" s="852">
        <f t="shared" si="26"/>
        <v>0.22419363091984829</v>
      </c>
      <c r="Z12" s="852">
        <f t="shared" ref="Z12:AA12" si="27">Z11/Z4</f>
        <v>0.18508693546256477</v>
      </c>
      <c r="AA12" s="852">
        <f t="shared" si="27"/>
        <v>0.1791295845037984</v>
      </c>
      <c r="AB12" s="852">
        <f t="shared" ref="AB12:AC12" si="28">AB11/AB4</f>
        <v>0.20289990848664657</v>
      </c>
      <c r="AC12" s="852">
        <f t="shared" si="28"/>
        <v>0</v>
      </c>
      <c r="AD12" s="854">
        <f t="shared" si="26"/>
        <v>0.74815639395309075</v>
      </c>
      <c r="AE12" s="855" t="s">
        <v>218</v>
      </c>
      <c r="AF12" s="852">
        <f t="shared" ref="AF12:AG12" si="29">AF11/AF4</f>
        <v>0.71407350419009152</v>
      </c>
      <c r="AG12" s="852">
        <f t="shared" si="29"/>
        <v>0.67404117283995724</v>
      </c>
      <c r="AH12" s="852">
        <f t="shared" ref="AH12:AI12" si="30">AH11/AH4</f>
        <v>1.149702763410112</v>
      </c>
      <c r="AI12" s="852">
        <f t="shared" si="30"/>
        <v>0.70270816575726147</v>
      </c>
      <c r="AJ12" s="852">
        <f t="shared" ref="AJ12:AM12" si="31">AJ11/AJ4</f>
        <v>0.70270182996132824</v>
      </c>
      <c r="AK12" s="852">
        <f t="shared" si="31"/>
        <v>0.64213226625404307</v>
      </c>
      <c r="AL12" s="852">
        <f t="shared" si="31"/>
        <v>1.0771374353337149</v>
      </c>
      <c r="AM12" s="852">
        <f t="shared" si="31"/>
        <v>0.67296933152959615</v>
      </c>
      <c r="AN12" s="852">
        <f t="shared" ref="AN12" si="32">AN11/AN4</f>
        <v>0.85668451957116221</v>
      </c>
      <c r="AO12" s="846"/>
      <c r="AP12" s="851" t="s">
        <v>3</v>
      </c>
      <c r="AQ12" s="852">
        <f>AQ11/AQ10</f>
        <v>0.39999753678402516</v>
      </c>
      <c r="AR12" s="852">
        <f>AR11/AR10</f>
        <v>0.51050272513346506</v>
      </c>
      <c r="AS12" s="852">
        <f>AS11/AS10</f>
        <v>2.8902031720984961E-2</v>
      </c>
      <c r="AT12" s="852">
        <f>AT11/AT10</f>
        <v>0.37293623351133581</v>
      </c>
      <c r="AU12" s="852">
        <f>AU11/AU10</f>
        <v>0.25290299718937781</v>
      </c>
    </row>
    <row r="13" spans="1:47" s="591" customFormat="1" x14ac:dyDescent="0.25">
      <c r="A13" s="846"/>
      <c r="B13" s="851" t="s">
        <v>219</v>
      </c>
      <c r="C13" s="598">
        <f>Source!G2</f>
        <v>168060</v>
      </c>
      <c r="D13" s="598">
        <f>Source!G3</f>
        <v>101049</v>
      </c>
      <c r="E13" s="598">
        <f>Source!G6</f>
        <v>101049</v>
      </c>
      <c r="F13" s="598">
        <f>Source!G7</f>
        <v>211912</v>
      </c>
      <c r="G13" s="598">
        <f>Source!G10</f>
        <v>111205</v>
      </c>
      <c r="H13" s="598">
        <f>Source!G9</f>
        <v>444187</v>
      </c>
      <c r="I13" s="598">
        <f>Source!G8</f>
        <v>159522</v>
      </c>
      <c r="J13" s="598">
        <f>Source!G11</f>
        <v>46536.5</v>
      </c>
      <c r="K13" s="598">
        <f>Source!G12</f>
        <v>143176</v>
      </c>
      <c r="L13" s="598">
        <f>Source!G13</f>
        <v>225887</v>
      </c>
      <c r="M13" s="598">
        <f>Source!G20</f>
        <v>212280</v>
      </c>
      <c r="N13" s="598">
        <f>Source!G23</f>
        <v>366652</v>
      </c>
      <c r="O13" s="598">
        <f>Source!G22</f>
        <v>115895</v>
      </c>
      <c r="P13" s="598">
        <f>Source!G21</f>
        <v>145657</v>
      </c>
      <c r="Q13" s="598">
        <f>Source!G24</f>
        <v>61652.2</v>
      </c>
      <c r="R13" s="598">
        <f>Source!G25</f>
        <v>141268</v>
      </c>
      <c r="S13" s="598">
        <f>Source!G26</f>
        <v>340559</v>
      </c>
      <c r="T13" s="598">
        <f>Source!G34</f>
        <v>57858.1</v>
      </c>
      <c r="U13" s="598">
        <f>Source!G35</f>
        <v>37189.699999999997</v>
      </c>
      <c r="V13" s="598">
        <f>Source!G27</f>
        <v>62679.7</v>
      </c>
      <c r="W13" s="598">
        <f>Source!G14</f>
        <v>62679.7</v>
      </c>
      <c r="X13" s="598">
        <f>Source!G15</f>
        <v>37642.800000000003</v>
      </c>
      <c r="Y13" s="598">
        <f>Source!G29</f>
        <v>37609</v>
      </c>
      <c r="Z13" s="598">
        <f>Source!G17</f>
        <v>18949</v>
      </c>
      <c r="AA13" s="598">
        <f>Source!G30</f>
        <v>18949</v>
      </c>
      <c r="AB13" s="598">
        <f>Source!G28</f>
        <v>66757.2</v>
      </c>
      <c r="AC13" s="598">
        <f>Source!G31</f>
        <v>0</v>
      </c>
      <c r="AD13" s="870">
        <f>SUM(C13:AC13)</f>
        <v>3496860.9000000008</v>
      </c>
      <c r="AE13" s="855" t="s">
        <v>219</v>
      </c>
      <c r="AF13" s="864">
        <f>C13</f>
        <v>168060</v>
      </c>
      <c r="AG13" s="864">
        <f>D13</f>
        <v>101049</v>
      </c>
      <c r="AH13" s="864">
        <f>F13+H13+L13</f>
        <v>881986</v>
      </c>
      <c r="AI13" s="864">
        <f>E13+G13+I13+J13+K13+W13+X13+Z13</f>
        <v>680760</v>
      </c>
      <c r="AJ13" s="864">
        <f>M13+N13+S13+AB13+AC13</f>
        <v>986248.2</v>
      </c>
      <c r="AK13" s="864">
        <f>O13+P13+Q13+R13+V13+Y13+AA13</f>
        <v>583709.9</v>
      </c>
      <c r="AL13" s="864">
        <f>T13+U13</f>
        <v>95047.799999999988</v>
      </c>
      <c r="AM13" s="864">
        <f>AG13+AI13+AK13</f>
        <v>1365518.9</v>
      </c>
      <c r="AN13" s="864">
        <f>AF13+AH13+AJ13+AL13</f>
        <v>2131342</v>
      </c>
      <c r="AO13" s="846" t="s">
        <v>220</v>
      </c>
      <c r="AP13" s="851" t="s">
        <v>3</v>
      </c>
      <c r="AQ13" s="852">
        <f>(AQ6+AQ12)/2</f>
        <v>0.38119624665106289</v>
      </c>
      <c r="AR13" s="852">
        <f t="shared" ref="AR13:AU13" si="33">(AR6+AR12)/2</f>
        <v>0.47677983409520408</v>
      </c>
      <c r="AS13" s="852">
        <f t="shared" si="33"/>
        <v>2.9589946651719472E-2</v>
      </c>
      <c r="AT13" s="852">
        <f t="shared" si="33"/>
        <v>0.45412051337057324</v>
      </c>
      <c r="AU13" s="852">
        <f t="shared" si="33"/>
        <v>0.31543211186862841</v>
      </c>
    </row>
    <row r="14" spans="1:47" s="591" customFormat="1" x14ac:dyDescent="0.25">
      <c r="A14" s="846"/>
      <c r="B14" s="851" t="s">
        <v>217</v>
      </c>
      <c r="C14" s="869">
        <f t="shared" ref="C14:AD14" si="34">C13/C4</f>
        <v>0.67219052677722924</v>
      </c>
      <c r="D14" s="869">
        <f t="shared" si="34"/>
        <v>0.67134743187965185</v>
      </c>
      <c r="E14" s="869">
        <f t="shared" si="34"/>
        <v>0.67134743187965185</v>
      </c>
      <c r="F14" s="869">
        <f t="shared" si="34"/>
        <v>1.164359325446102</v>
      </c>
      <c r="G14" s="869">
        <f t="shared" si="34"/>
        <v>0.67085651615503084</v>
      </c>
      <c r="H14" s="869">
        <f t="shared" si="34"/>
        <v>1.1403884417401573</v>
      </c>
      <c r="I14" s="869">
        <f t="shared" si="34"/>
        <v>0.92758561539289031</v>
      </c>
      <c r="J14" s="869">
        <f t="shared" si="34"/>
        <v>0.28020869711822155</v>
      </c>
      <c r="K14" s="869">
        <f t="shared" si="34"/>
        <v>1.1544664052017752</v>
      </c>
      <c r="L14" s="869">
        <f t="shared" si="34"/>
        <v>1.0081036741892755</v>
      </c>
      <c r="M14" s="869">
        <f t="shared" si="34"/>
        <v>1.0997305587603112</v>
      </c>
      <c r="N14" s="869">
        <f t="shared" si="34"/>
        <v>0.83668496113480917</v>
      </c>
      <c r="O14" s="869">
        <f t="shared" si="34"/>
        <v>1.3956728661782203</v>
      </c>
      <c r="P14" s="869">
        <f t="shared" si="34"/>
        <v>0.52749353204138327</v>
      </c>
      <c r="Q14" s="869">
        <f t="shared" si="34"/>
        <v>0.7424505171076653</v>
      </c>
      <c r="R14" s="869">
        <f t="shared" si="34"/>
        <v>0.73723685954674445</v>
      </c>
      <c r="S14" s="869">
        <f t="shared" si="34"/>
        <v>1.3205770755739443</v>
      </c>
      <c r="T14" s="869">
        <f t="shared" si="34"/>
        <v>1.0490852387082736</v>
      </c>
      <c r="U14" s="869">
        <f t="shared" si="34"/>
        <v>1.1238784545413336</v>
      </c>
      <c r="V14" s="869">
        <f t="shared" si="34"/>
        <v>0.61332530957518117</v>
      </c>
      <c r="W14" s="869">
        <f t="shared" si="34"/>
        <v>0.29919211060805312</v>
      </c>
      <c r="X14" s="869">
        <f t="shared" si="34"/>
        <v>0.36833746752579594</v>
      </c>
      <c r="Y14" s="869">
        <f t="shared" si="34"/>
        <v>0.17952089891716569</v>
      </c>
      <c r="Z14" s="869">
        <f t="shared" ref="Z14:AA14" si="35">Z13/Z4</f>
        <v>0.18541730881194562</v>
      </c>
      <c r="AA14" s="869">
        <f t="shared" si="35"/>
        <v>9.0450198452002778E-2</v>
      </c>
      <c r="AB14" s="869">
        <f t="shared" ref="AB14:AC14" si="36">AB13/AB4</f>
        <v>0.20309758098079922</v>
      </c>
      <c r="AC14" s="869">
        <f t="shared" si="36"/>
        <v>0</v>
      </c>
      <c r="AD14" s="872">
        <f t="shared" si="34"/>
        <v>0.69377841117749472</v>
      </c>
      <c r="AE14" s="855" t="s">
        <v>217</v>
      </c>
      <c r="AF14" s="852">
        <f t="shared" ref="AF14:AG14" si="37">AF13/AF4</f>
        <v>0.67219052677722924</v>
      </c>
      <c r="AG14" s="852">
        <f t="shared" si="37"/>
        <v>0.67134743187965185</v>
      </c>
      <c r="AH14" s="852">
        <f t="shared" ref="AH14:AI14" si="38">AH13/AH4</f>
        <v>1.1086145240863527</v>
      </c>
      <c r="AI14" s="852">
        <f t="shared" si="38"/>
        <v>0.57099021459187149</v>
      </c>
      <c r="AJ14" s="852">
        <f t="shared" ref="AJ14:AM14" si="39">AJ13/AJ4</f>
        <v>0.70011135783944067</v>
      </c>
      <c r="AK14" s="852">
        <f t="shared" si="39"/>
        <v>0.50536966726945798</v>
      </c>
      <c r="AL14" s="852">
        <f t="shared" si="39"/>
        <v>1.0771326416708691</v>
      </c>
      <c r="AM14" s="852">
        <f t="shared" si="39"/>
        <v>0.54669368002027396</v>
      </c>
      <c r="AN14" s="852">
        <f t="shared" ref="AN14" si="40">AN13/AN4</f>
        <v>0.83827380590912204</v>
      </c>
      <c r="AO14" s="846"/>
      <c r="AP14" s="851"/>
      <c r="AQ14" s="852"/>
      <c r="AR14" s="852"/>
      <c r="AS14" s="852"/>
      <c r="AT14" s="852"/>
      <c r="AU14" s="852"/>
    </row>
    <row r="15" spans="1:47" s="743" customFormat="1" x14ac:dyDescent="0.25">
      <c r="A15" s="917">
        <v>41815</v>
      </c>
      <c r="B15" s="917"/>
      <c r="C15" s="917"/>
      <c r="D15" s="529"/>
      <c r="E15" s="529"/>
      <c r="F15" s="529"/>
      <c r="G15" s="529"/>
      <c r="H15" s="529"/>
      <c r="I15" s="525"/>
      <c r="J15" s="531"/>
      <c r="K15" s="531"/>
      <c r="L15" s="529"/>
      <c r="M15" s="529"/>
      <c r="N15" s="527"/>
      <c r="R15" s="526"/>
      <c r="S15" s="534"/>
      <c r="T15" s="534"/>
      <c r="U15" s="534"/>
      <c r="V15" s="534"/>
      <c r="W15" s="534"/>
      <c r="X15" s="534"/>
      <c r="Y15" s="534"/>
      <c r="Z15" s="534"/>
      <c r="AA15" s="534"/>
      <c r="AB15" s="534"/>
      <c r="AC15" s="534"/>
      <c r="AD15" s="534"/>
      <c r="AE15" s="534"/>
      <c r="AF15" s="534"/>
      <c r="AG15" s="534"/>
      <c r="AH15" s="534"/>
      <c r="AI15" s="534"/>
    </row>
    <row r="16" spans="1:47" s="743" customFormat="1" x14ac:dyDescent="0.25">
      <c r="A16" s="918" t="s">
        <v>1</v>
      </c>
      <c r="B16" s="918"/>
      <c r="C16" s="913" t="s">
        <v>12</v>
      </c>
      <c r="D16" s="913" t="s">
        <v>12</v>
      </c>
      <c r="E16" s="913" t="s">
        <v>13</v>
      </c>
      <c r="F16" s="913" t="s">
        <v>13</v>
      </c>
      <c r="G16" s="913" t="s">
        <v>13</v>
      </c>
      <c r="H16" s="913" t="s">
        <v>13</v>
      </c>
      <c r="I16" s="913" t="s">
        <v>13</v>
      </c>
      <c r="J16" s="913" t="s">
        <v>13</v>
      </c>
      <c r="K16" s="913" t="s">
        <v>13</v>
      </c>
      <c r="L16" s="913" t="s">
        <v>13</v>
      </c>
      <c r="M16" s="832" t="s">
        <v>2</v>
      </c>
      <c r="N16" s="913" t="s">
        <v>2</v>
      </c>
      <c r="O16" s="913" t="s">
        <v>2</v>
      </c>
      <c r="P16" s="913" t="s">
        <v>2</v>
      </c>
      <c r="Q16" s="913" t="s">
        <v>2</v>
      </c>
      <c r="R16" s="913" t="s">
        <v>2</v>
      </c>
      <c r="S16" s="913" t="s">
        <v>2</v>
      </c>
      <c r="T16" s="833" t="s">
        <v>183</v>
      </c>
      <c r="U16" s="833" t="s">
        <v>183</v>
      </c>
      <c r="V16" s="833" t="s">
        <v>2</v>
      </c>
      <c r="W16" s="833" t="s">
        <v>13</v>
      </c>
      <c r="X16" s="833" t="s">
        <v>13</v>
      </c>
      <c r="Y16" s="833" t="s">
        <v>2</v>
      </c>
      <c r="Z16" s="833" t="s">
        <v>13</v>
      </c>
      <c r="AA16" s="833" t="s">
        <v>2</v>
      </c>
      <c r="AB16" s="892" t="s">
        <v>2</v>
      </c>
      <c r="AC16" s="892" t="s">
        <v>2</v>
      </c>
      <c r="AD16" s="834" t="s">
        <v>220</v>
      </c>
      <c r="AE16" s="918" t="s">
        <v>0</v>
      </c>
      <c r="AF16" s="918"/>
      <c r="AG16" s="836"/>
      <c r="AH16" s="836"/>
      <c r="AI16" s="836"/>
      <c r="AJ16" s="836"/>
      <c r="AK16" s="836"/>
      <c r="AL16" s="836"/>
      <c r="AM16" s="836"/>
      <c r="AN16" s="836"/>
      <c r="AO16" s="918" t="s">
        <v>1</v>
      </c>
      <c r="AP16" s="919"/>
      <c r="AQ16" s="913" t="s">
        <v>12</v>
      </c>
      <c r="AR16" s="920" t="s">
        <v>13</v>
      </c>
      <c r="AS16" s="921"/>
      <c r="AT16" s="920" t="s">
        <v>2</v>
      </c>
      <c r="AU16" s="921"/>
    </row>
    <row r="17" spans="1:47" s="743" customFormat="1" x14ac:dyDescent="0.25">
      <c r="A17" s="918" t="s">
        <v>0</v>
      </c>
      <c r="B17" s="918"/>
      <c r="C17" s="837" t="s">
        <v>99</v>
      </c>
      <c r="D17" s="838" t="s">
        <v>100</v>
      </c>
      <c r="E17" s="838" t="s">
        <v>101</v>
      </c>
      <c r="F17" s="837" t="s">
        <v>102</v>
      </c>
      <c r="G17" s="838" t="s">
        <v>97</v>
      </c>
      <c r="H17" s="837" t="s">
        <v>104</v>
      </c>
      <c r="I17" s="838" t="s">
        <v>103</v>
      </c>
      <c r="J17" s="838" t="s">
        <v>178</v>
      </c>
      <c r="K17" s="838" t="s">
        <v>200</v>
      </c>
      <c r="L17" s="837" t="s">
        <v>207</v>
      </c>
      <c r="M17" s="837" t="s">
        <v>105</v>
      </c>
      <c r="N17" s="837" t="s">
        <v>107</v>
      </c>
      <c r="O17" s="838" t="s">
        <v>98</v>
      </c>
      <c r="P17" s="838" t="s">
        <v>106</v>
      </c>
      <c r="Q17" s="838" t="s">
        <v>179</v>
      </c>
      <c r="R17" s="838" t="s">
        <v>199</v>
      </c>
      <c r="S17" s="837" t="s">
        <v>208</v>
      </c>
      <c r="T17" s="837" t="s">
        <v>182</v>
      </c>
      <c r="U17" s="837" t="s">
        <v>184</v>
      </c>
      <c r="V17" s="838" t="s">
        <v>222</v>
      </c>
      <c r="W17" s="838" t="s">
        <v>223</v>
      </c>
      <c r="X17" s="838" t="s">
        <v>256</v>
      </c>
      <c r="Y17" s="838" t="s">
        <v>257</v>
      </c>
      <c r="Z17" s="838" t="s">
        <v>267</v>
      </c>
      <c r="AA17" s="838" t="s">
        <v>268</v>
      </c>
      <c r="AB17" s="893" t="s">
        <v>269</v>
      </c>
      <c r="AC17" s="893" t="s">
        <v>270</v>
      </c>
      <c r="AD17" s="839"/>
      <c r="AE17" s="907" t="s">
        <v>1</v>
      </c>
      <c r="AF17" s="841" t="s">
        <v>258</v>
      </c>
      <c r="AG17" s="841" t="s">
        <v>259</v>
      </c>
      <c r="AH17" s="841" t="s">
        <v>260</v>
      </c>
      <c r="AI17" s="841" t="s">
        <v>261</v>
      </c>
      <c r="AJ17" s="841" t="s">
        <v>262</v>
      </c>
      <c r="AK17" s="841" t="s">
        <v>263</v>
      </c>
      <c r="AL17" s="841" t="s">
        <v>264</v>
      </c>
      <c r="AM17" s="908" t="s">
        <v>265</v>
      </c>
      <c r="AN17" s="908" t="s">
        <v>266</v>
      </c>
      <c r="AO17" s="922" t="s">
        <v>0</v>
      </c>
      <c r="AP17" s="919"/>
      <c r="AQ17" s="837" t="s">
        <v>99</v>
      </c>
      <c r="AR17" s="837" t="s">
        <v>104</v>
      </c>
      <c r="AS17" s="837" t="s">
        <v>207</v>
      </c>
      <c r="AT17" s="837" t="s">
        <v>107</v>
      </c>
      <c r="AU17" s="837" t="s">
        <v>208</v>
      </c>
    </row>
    <row r="18" spans="1:47" s="743" customFormat="1" ht="30" x14ac:dyDescent="0.25">
      <c r="A18" s="923" t="s">
        <v>9</v>
      </c>
      <c r="B18" s="842" t="s">
        <v>4</v>
      </c>
      <c r="C18" s="843">
        <v>250018.4</v>
      </c>
      <c r="D18" s="843">
        <v>150516.70000000001</v>
      </c>
      <c r="E18" s="843">
        <v>150516.70000000001</v>
      </c>
      <c r="F18" s="843">
        <v>181998.8</v>
      </c>
      <c r="G18" s="843">
        <v>165765.70000000001</v>
      </c>
      <c r="H18" s="843">
        <v>389505</v>
      </c>
      <c r="I18" s="843">
        <v>171975.5</v>
      </c>
      <c r="J18" s="843">
        <v>166078</v>
      </c>
      <c r="K18" s="843">
        <v>124019.2</v>
      </c>
      <c r="L18" s="843">
        <v>224071.2</v>
      </c>
      <c r="M18" s="843">
        <v>193029.1</v>
      </c>
      <c r="N18" s="843">
        <v>438219.9</v>
      </c>
      <c r="O18" s="843">
        <v>83038.8</v>
      </c>
      <c r="P18" s="843">
        <v>276130.40000000002</v>
      </c>
      <c r="Q18" s="843">
        <v>83038.8</v>
      </c>
      <c r="R18" s="843">
        <v>191618.2</v>
      </c>
      <c r="S18" s="843">
        <v>257886.5</v>
      </c>
      <c r="T18" s="843">
        <v>55151</v>
      </c>
      <c r="U18" s="843">
        <v>33090.5</v>
      </c>
      <c r="V18" s="843">
        <v>102196.5</v>
      </c>
      <c r="W18" s="843">
        <v>209496.5</v>
      </c>
      <c r="X18" s="843">
        <v>102196.5</v>
      </c>
      <c r="Y18" s="843">
        <v>209496.5</v>
      </c>
      <c r="Z18" s="843">
        <v>102196.5</v>
      </c>
      <c r="AA18" s="843">
        <v>209496.5</v>
      </c>
      <c r="AB18" s="843">
        <v>328695.2</v>
      </c>
      <c r="AC18" s="905">
        <v>190871.2</v>
      </c>
      <c r="AD18" s="843">
        <v>5040313.8</v>
      </c>
      <c r="AE18" s="844" t="s">
        <v>4</v>
      </c>
      <c r="AF18" s="866">
        <v>250018.4</v>
      </c>
      <c r="AG18" s="866">
        <v>150516.70000000001</v>
      </c>
      <c r="AH18" s="866">
        <v>795575</v>
      </c>
      <c r="AI18" s="866">
        <v>1192244.6000000001</v>
      </c>
      <c r="AJ18" s="866">
        <v>1408701.9</v>
      </c>
      <c r="AK18" s="866">
        <v>1155015.7</v>
      </c>
      <c r="AL18" s="866">
        <v>88241.5</v>
      </c>
      <c r="AM18" s="866">
        <v>2497777</v>
      </c>
      <c r="AN18" s="866">
        <v>2542536.7999999998</v>
      </c>
      <c r="AO18" s="878" t="s">
        <v>195</v>
      </c>
      <c r="AP18" s="875" t="s">
        <v>4</v>
      </c>
      <c r="AQ18" s="843">
        <v>143393</v>
      </c>
      <c r="AR18" s="843">
        <v>132132</v>
      </c>
      <c r="AS18" s="843">
        <v>83196.100000000006</v>
      </c>
      <c r="AT18" s="843">
        <v>132132.20000000001</v>
      </c>
      <c r="AU18" s="843">
        <v>83196.100000000006</v>
      </c>
    </row>
    <row r="19" spans="1:47" s="743" customFormat="1" x14ac:dyDescent="0.25">
      <c r="A19" s="923"/>
      <c r="B19" s="847" t="s">
        <v>5</v>
      </c>
      <c r="C19" s="583">
        <v>103064.3</v>
      </c>
      <c r="D19" s="583">
        <v>83794.5</v>
      </c>
      <c r="E19" s="583">
        <v>84503.8</v>
      </c>
      <c r="F19" s="583">
        <v>138218.70000000001</v>
      </c>
      <c r="G19" s="583">
        <v>115588.1</v>
      </c>
      <c r="H19" s="583">
        <v>215662.6</v>
      </c>
      <c r="I19" s="583">
        <v>122210.1</v>
      </c>
      <c r="J19" s="583">
        <v>50246.9</v>
      </c>
      <c r="K19" s="583">
        <v>83765.899999999994</v>
      </c>
      <c r="L19" s="583">
        <v>75784.5</v>
      </c>
      <c r="M19" s="583">
        <v>135603.5</v>
      </c>
      <c r="N19" s="583">
        <v>211901.6</v>
      </c>
      <c r="O19" s="583">
        <v>58338.2</v>
      </c>
      <c r="P19" s="583">
        <v>226157.4</v>
      </c>
      <c r="Q19" s="583">
        <v>25981.3</v>
      </c>
      <c r="R19" s="583">
        <v>132480.70000000001</v>
      </c>
      <c r="S19" s="583">
        <v>171934.9</v>
      </c>
      <c r="T19" s="583">
        <v>16593.7</v>
      </c>
      <c r="U19" s="583">
        <v>10226.6</v>
      </c>
      <c r="V19" s="583">
        <v>14797.3</v>
      </c>
      <c r="W19" s="583">
        <v>29594.5</v>
      </c>
      <c r="X19" s="583">
        <v>15453.1</v>
      </c>
      <c r="Y19" s="583">
        <v>30896.9</v>
      </c>
      <c r="Z19" s="583">
        <v>3.1</v>
      </c>
      <c r="AA19" s="583">
        <v>6</v>
      </c>
      <c r="AB19" s="583">
        <v>23373.7</v>
      </c>
      <c r="AC19" s="583">
        <v>4.9000000000000004</v>
      </c>
      <c r="AD19" s="848">
        <v>2176186.7999999998</v>
      </c>
      <c r="AE19" s="849" t="s">
        <v>5</v>
      </c>
      <c r="AF19" s="866">
        <v>103064.3</v>
      </c>
      <c r="AG19" s="866">
        <v>83794.5</v>
      </c>
      <c r="AH19" s="866">
        <v>429665.80000000005</v>
      </c>
      <c r="AI19" s="866">
        <v>501365.5</v>
      </c>
      <c r="AJ19" s="866">
        <v>542818.6</v>
      </c>
      <c r="AK19" s="866">
        <v>488657.8</v>
      </c>
      <c r="AL19" s="866">
        <v>26820.300000000003</v>
      </c>
      <c r="AM19" s="866">
        <v>1073817.8</v>
      </c>
      <c r="AN19" s="866">
        <v>1102369.0000000002</v>
      </c>
      <c r="AO19" s="879"/>
      <c r="AP19" s="876" t="s">
        <v>5</v>
      </c>
      <c r="AQ19" s="583">
        <v>51964.9</v>
      </c>
      <c r="AR19" s="583">
        <v>58542</v>
      </c>
      <c r="AS19" s="583">
        <v>2519</v>
      </c>
      <c r="AT19" s="583">
        <v>70731</v>
      </c>
      <c r="AU19" s="583">
        <v>31444.9</v>
      </c>
    </row>
    <row r="20" spans="1:47" s="743" customFormat="1" x14ac:dyDescent="0.25">
      <c r="A20" s="923"/>
      <c r="B20" s="851" t="s">
        <v>3</v>
      </c>
      <c r="C20" s="852">
        <v>0.41222686010309645</v>
      </c>
      <c r="D20" s="852">
        <v>0.55671231165711177</v>
      </c>
      <c r="E20" s="852">
        <v>0.56142474555979505</v>
      </c>
      <c r="F20" s="853">
        <v>0.7594484139455866</v>
      </c>
      <c r="G20" s="852">
        <v>0.69729805381933652</v>
      </c>
      <c r="H20" s="852">
        <v>0.55368377812865044</v>
      </c>
      <c r="I20" s="852">
        <v>0.71062505996493686</v>
      </c>
      <c r="J20" s="852">
        <v>0.30255000662339382</v>
      </c>
      <c r="K20" s="852">
        <v>0.6754268693879657</v>
      </c>
      <c r="L20" s="852">
        <v>0.33821615629317825</v>
      </c>
      <c r="M20" s="853">
        <v>0.70250288687042517</v>
      </c>
      <c r="N20" s="852">
        <v>0.48355083828917855</v>
      </c>
      <c r="O20" s="852">
        <v>0.70254146254521976</v>
      </c>
      <c r="P20" s="852">
        <v>0.81902391044231271</v>
      </c>
      <c r="Q20" s="852">
        <v>0.31288144819048441</v>
      </c>
      <c r="R20" s="852">
        <v>0.69137848074974095</v>
      </c>
      <c r="S20" s="852">
        <v>0.66670764076444478</v>
      </c>
      <c r="T20" s="852">
        <v>0.30087759061485742</v>
      </c>
      <c r="U20" s="852">
        <v>0.30904942506157357</v>
      </c>
      <c r="V20" s="852">
        <v>0.14479262988458508</v>
      </c>
      <c r="W20" s="852">
        <v>0.14126488986689514</v>
      </c>
      <c r="X20" s="852">
        <v>0.15120967939215141</v>
      </c>
      <c r="Y20" s="852">
        <v>0.14748170017160192</v>
      </c>
      <c r="Z20" s="852">
        <v>3.0333719843634569E-5</v>
      </c>
      <c r="AA20" s="852">
        <v>2.8640096612592574E-5</v>
      </c>
      <c r="AB20" s="852">
        <v>7.1110560787014845E-2</v>
      </c>
      <c r="AC20" s="852">
        <v>2.5671761900171424E-5</v>
      </c>
      <c r="AD20" s="854">
        <v>0.43175621327386399</v>
      </c>
      <c r="AE20" s="855" t="s">
        <v>3</v>
      </c>
      <c r="AF20" s="852">
        <v>0.41222686010309645</v>
      </c>
      <c r="AG20" s="852">
        <v>0.55671231165711177</v>
      </c>
      <c r="AH20" s="852">
        <v>0.54006950947427967</v>
      </c>
      <c r="AI20" s="852">
        <v>0.42052234918908415</v>
      </c>
      <c r="AJ20" s="852">
        <v>0.38533248233710765</v>
      </c>
      <c r="AK20" s="852">
        <v>0.42307459543623521</v>
      </c>
      <c r="AL20" s="852">
        <v>0.30394202274440035</v>
      </c>
      <c r="AM20" s="852">
        <v>0.42990939543442031</v>
      </c>
      <c r="AN20" s="852">
        <v>0.43357051901864324</v>
      </c>
      <c r="AO20" s="879"/>
      <c r="AP20" s="877" t="s">
        <v>3</v>
      </c>
      <c r="AQ20" s="852">
        <f>AQ19/AQ18</f>
        <v>0.36239495651810061</v>
      </c>
      <c r="AR20" s="852">
        <f>AR19/AR18</f>
        <v>0.44305694305694304</v>
      </c>
      <c r="AS20" s="852">
        <f>AS19/AS18</f>
        <v>3.0277861582453984E-2</v>
      </c>
      <c r="AT20" s="852">
        <f>AT19/AT18</f>
        <v>0.53530479322981073</v>
      </c>
      <c r="AU20" s="852">
        <f>AU19/AU18</f>
        <v>0.37796122654787906</v>
      </c>
    </row>
    <row r="21" spans="1:47" s="743" customFormat="1" ht="30" x14ac:dyDescent="0.25">
      <c r="A21" s="916" t="s">
        <v>6</v>
      </c>
      <c r="B21" s="857" t="s">
        <v>7</v>
      </c>
      <c r="C21" s="843">
        <v>5644</v>
      </c>
      <c r="D21" s="843">
        <v>3620</v>
      </c>
      <c r="E21" s="843">
        <v>3591</v>
      </c>
      <c r="F21" s="843">
        <v>8910</v>
      </c>
      <c r="G21" s="843">
        <v>8432</v>
      </c>
      <c r="H21" s="843">
        <v>15703</v>
      </c>
      <c r="I21" s="843">
        <v>8298</v>
      </c>
      <c r="J21" s="843">
        <v>9599</v>
      </c>
      <c r="K21" s="843">
        <v>7072</v>
      </c>
      <c r="L21" s="843">
        <v>9334</v>
      </c>
      <c r="M21" s="843">
        <v>8061</v>
      </c>
      <c r="N21" s="843">
        <v>11924</v>
      </c>
      <c r="O21" s="843">
        <v>4357</v>
      </c>
      <c r="P21" s="843">
        <v>10643</v>
      </c>
      <c r="Q21" s="843">
        <v>4799</v>
      </c>
      <c r="R21" s="843">
        <v>9711</v>
      </c>
      <c r="S21" s="843">
        <v>11664</v>
      </c>
      <c r="T21" s="858">
        <v>2480</v>
      </c>
      <c r="U21" s="858">
        <v>1570</v>
      </c>
      <c r="V21" s="843">
        <v>3999</v>
      </c>
      <c r="W21" s="843">
        <v>7999</v>
      </c>
      <c r="X21" s="843">
        <v>3999</v>
      </c>
      <c r="Y21" s="843">
        <v>7999</v>
      </c>
      <c r="Z21" s="843">
        <v>3999</v>
      </c>
      <c r="AA21" s="843">
        <v>7999</v>
      </c>
      <c r="AB21" s="843">
        <v>11999</v>
      </c>
      <c r="AC21" s="843">
        <v>6400</v>
      </c>
      <c r="AD21" s="843">
        <v>199805</v>
      </c>
      <c r="AE21" s="859" t="s">
        <v>7</v>
      </c>
      <c r="AF21" s="861">
        <v>5644</v>
      </c>
      <c r="AG21" s="861">
        <v>3620</v>
      </c>
      <c r="AH21" s="861">
        <v>33947</v>
      </c>
      <c r="AI21" s="861">
        <v>52989</v>
      </c>
      <c r="AJ21" s="861">
        <v>50048</v>
      </c>
      <c r="AK21" s="861">
        <v>49507</v>
      </c>
      <c r="AL21" s="861">
        <v>4050</v>
      </c>
      <c r="AM21" s="861">
        <v>106116</v>
      </c>
      <c r="AN21" s="861">
        <v>93689</v>
      </c>
      <c r="AO21" s="883" t="s">
        <v>191</v>
      </c>
      <c r="AP21" s="882" t="s">
        <v>4</v>
      </c>
      <c r="AQ21" s="860">
        <v>9191.7999999999993</v>
      </c>
      <c r="AR21" s="860">
        <v>13787.7</v>
      </c>
      <c r="AS21" s="860">
        <v>8804.7999999999993</v>
      </c>
      <c r="AT21" s="860">
        <v>13787.7</v>
      </c>
      <c r="AU21" s="860">
        <v>8804.7999999999993</v>
      </c>
    </row>
    <row r="22" spans="1:47" s="743" customFormat="1" x14ac:dyDescent="0.25">
      <c r="A22" s="916"/>
      <c r="B22" s="842" t="s">
        <v>11</v>
      </c>
      <c r="C22" s="861">
        <v>190298.74799999999</v>
      </c>
      <c r="D22" s="861">
        <v>122055.54</v>
      </c>
      <c r="E22" s="861">
        <v>121077.74699999999</v>
      </c>
      <c r="F22" s="861">
        <v>300418.46999999997</v>
      </c>
      <c r="G22" s="861">
        <v>284301.74400000001</v>
      </c>
      <c r="H22" s="861">
        <v>529458.05099999998</v>
      </c>
      <c r="I22" s="861">
        <v>279783.66599999997</v>
      </c>
      <c r="J22" s="861">
        <v>323649.48300000001</v>
      </c>
      <c r="K22" s="861">
        <v>238446.62399999998</v>
      </c>
      <c r="L22" s="861">
        <v>314714.478</v>
      </c>
      <c r="M22" s="861">
        <v>271792.73699999996</v>
      </c>
      <c r="N22" s="861">
        <v>402041.50799999997</v>
      </c>
      <c r="O22" s="861">
        <v>146904.96899999998</v>
      </c>
      <c r="P22" s="861">
        <v>358850.03099999996</v>
      </c>
      <c r="Q22" s="861">
        <v>161807.883</v>
      </c>
      <c r="R22" s="861">
        <v>327425.78700000001</v>
      </c>
      <c r="S22" s="861">
        <v>393275.08799999999</v>
      </c>
      <c r="T22" s="861">
        <v>83618.16</v>
      </c>
      <c r="U22" s="861">
        <v>52935.689999999995</v>
      </c>
      <c r="V22" s="861">
        <v>134834.283</v>
      </c>
      <c r="W22" s="861">
        <v>269702.283</v>
      </c>
      <c r="X22" s="861">
        <v>134834.283</v>
      </c>
      <c r="Y22" s="861">
        <v>269702.283</v>
      </c>
      <c r="Z22" s="861">
        <v>134834.283</v>
      </c>
      <c r="AA22" s="861">
        <v>269702.283</v>
      </c>
      <c r="AB22" s="861">
        <v>404570.283</v>
      </c>
      <c r="AC22" s="861">
        <v>215788.79999999999</v>
      </c>
      <c r="AD22" s="862">
        <v>6736825.1849999987</v>
      </c>
      <c r="AE22" s="844" t="s">
        <v>11</v>
      </c>
      <c r="AF22" s="861">
        <v>190298.74799999999</v>
      </c>
      <c r="AG22" s="861">
        <v>122055.54</v>
      </c>
      <c r="AH22" s="861">
        <v>1144590.9990000001</v>
      </c>
      <c r="AI22" s="861">
        <v>1786630.1129999999</v>
      </c>
      <c r="AJ22" s="861">
        <v>1687468.416</v>
      </c>
      <c r="AK22" s="861">
        <v>1669227.5189999999</v>
      </c>
      <c r="AL22" s="861">
        <v>136553.85</v>
      </c>
      <c r="AM22" s="861">
        <v>3577913.1719999998</v>
      </c>
      <c r="AN22" s="861">
        <v>3158912.0129999998</v>
      </c>
      <c r="AO22" s="879"/>
      <c r="AP22" s="876" t="s">
        <v>5</v>
      </c>
      <c r="AQ22" s="583">
        <v>7975.5</v>
      </c>
      <c r="AR22" s="583">
        <v>13649</v>
      </c>
      <c r="AS22" s="583">
        <v>1289.9000000000001</v>
      </c>
      <c r="AT22" s="583">
        <v>13642</v>
      </c>
      <c r="AU22" s="583">
        <v>5483.9</v>
      </c>
    </row>
    <row r="23" spans="1:47" s="743" customFormat="1" x14ac:dyDescent="0.25">
      <c r="A23" s="916"/>
      <c r="B23" s="842" t="s">
        <v>79</v>
      </c>
      <c r="C23" s="861">
        <f>C18-C19</f>
        <v>146954.09999999998</v>
      </c>
      <c r="D23" s="861">
        <f t="shared" ref="D23:AD23" si="41">D18-D19</f>
        <v>66722.200000000012</v>
      </c>
      <c r="E23" s="861">
        <f t="shared" si="41"/>
        <v>66012.900000000009</v>
      </c>
      <c r="F23" s="861">
        <f t="shared" si="41"/>
        <v>43780.099999999977</v>
      </c>
      <c r="G23" s="861">
        <f t="shared" si="41"/>
        <v>50177.600000000006</v>
      </c>
      <c r="H23" s="861">
        <f t="shared" si="41"/>
        <v>173842.4</v>
      </c>
      <c r="I23" s="861">
        <f t="shared" si="41"/>
        <v>49765.399999999994</v>
      </c>
      <c r="J23" s="861">
        <f t="shared" si="41"/>
        <v>115831.1</v>
      </c>
      <c r="K23" s="861">
        <f t="shared" si="41"/>
        <v>40253.300000000003</v>
      </c>
      <c r="L23" s="861">
        <f t="shared" si="41"/>
        <v>148286.70000000001</v>
      </c>
      <c r="M23" s="861">
        <f t="shared" si="41"/>
        <v>57425.600000000006</v>
      </c>
      <c r="N23" s="861">
        <f t="shared" si="41"/>
        <v>226318.30000000002</v>
      </c>
      <c r="O23" s="861">
        <f t="shared" si="41"/>
        <v>24700.600000000006</v>
      </c>
      <c r="P23" s="861">
        <f t="shared" si="41"/>
        <v>49973.000000000029</v>
      </c>
      <c r="Q23" s="861">
        <f t="shared" si="41"/>
        <v>57057.5</v>
      </c>
      <c r="R23" s="861">
        <f t="shared" si="41"/>
        <v>59137.5</v>
      </c>
      <c r="S23" s="861">
        <f t="shared" si="41"/>
        <v>85951.6</v>
      </c>
      <c r="T23" s="861">
        <f t="shared" si="41"/>
        <v>38557.300000000003</v>
      </c>
      <c r="U23" s="861">
        <f t="shared" si="41"/>
        <v>22863.9</v>
      </c>
      <c r="V23" s="861">
        <f t="shared" si="41"/>
        <v>87399.2</v>
      </c>
      <c r="W23" s="861">
        <f t="shared" si="41"/>
        <v>179902</v>
      </c>
      <c r="X23" s="861">
        <f t="shared" si="41"/>
        <v>86743.4</v>
      </c>
      <c r="Y23" s="861">
        <f t="shared" si="41"/>
        <v>178599.6</v>
      </c>
      <c r="Z23" s="861">
        <f t="shared" si="41"/>
        <v>102193.4</v>
      </c>
      <c r="AA23" s="861">
        <f t="shared" si="41"/>
        <v>209490.5</v>
      </c>
      <c r="AB23" s="861">
        <f t="shared" si="41"/>
        <v>305321.5</v>
      </c>
      <c r="AC23" s="861">
        <f t="shared" si="41"/>
        <v>190866.30000000002</v>
      </c>
      <c r="AD23" s="861">
        <f t="shared" si="41"/>
        <v>2864127</v>
      </c>
      <c r="AE23" s="844" t="s">
        <v>79</v>
      </c>
      <c r="AF23" s="861">
        <v>500036.8</v>
      </c>
      <c r="AG23" s="861">
        <v>301033.40000000002</v>
      </c>
      <c r="AH23" s="861">
        <v>1591150</v>
      </c>
      <c r="AI23" s="861">
        <v>2384489.2000000002</v>
      </c>
      <c r="AJ23" s="861">
        <v>2817403.8</v>
      </c>
      <c r="AK23" s="861">
        <v>2310031.4</v>
      </c>
      <c r="AL23" s="861">
        <v>176483</v>
      </c>
      <c r="AM23" s="861">
        <v>4995554</v>
      </c>
      <c r="AN23" s="861">
        <v>5085073.5999999996</v>
      </c>
      <c r="AO23" s="880"/>
      <c r="AP23" s="877" t="s">
        <v>3</v>
      </c>
      <c r="AQ23" s="852">
        <f>AQ22/AQ21</f>
        <v>0.86767553689157739</v>
      </c>
      <c r="AR23" s="852">
        <f>AR22/AR21</f>
        <v>0.98994030911609621</v>
      </c>
      <c r="AS23" s="852">
        <f>AS22/AS21</f>
        <v>0.14649963656187537</v>
      </c>
      <c r="AT23" s="852">
        <f>AT22/AT21</f>
        <v>0.98943261022505558</v>
      </c>
      <c r="AU23" s="852">
        <f>AU22/AU21</f>
        <v>0.62283072869343992</v>
      </c>
    </row>
    <row r="24" spans="1:47" s="743" customFormat="1" ht="45" x14ac:dyDescent="0.25">
      <c r="A24" s="916"/>
      <c r="B24" s="847" t="s">
        <v>8</v>
      </c>
      <c r="C24" s="864">
        <v>5295</v>
      </c>
      <c r="D24" s="864">
        <v>3009</v>
      </c>
      <c r="E24" s="864">
        <v>3009</v>
      </c>
      <c r="F24" s="864">
        <v>6819</v>
      </c>
      <c r="G24" s="864">
        <v>3366</v>
      </c>
      <c r="H24" s="864">
        <v>13621</v>
      </c>
      <c r="I24" s="864">
        <v>6949</v>
      </c>
      <c r="J24" s="864">
        <v>1379</v>
      </c>
      <c r="K24" s="864">
        <v>5979</v>
      </c>
      <c r="L24" s="864">
        <v>6688</v>
      </c>
      <c r="M24" s="864">
        <v>6414</v>
      </c>
      <c r="N24" s="864">
        <v>10872</v>
      </c>
      <c r="O24" s="864">
        <v>3436</v>
      </c>
      <c r="P24" s="864">
        <v>7772</v>
      </c>
      <c r="Q24" s="864">
        <v>1827</v>
      </c>
      <c r="R24" s="864">
        <v>4598</v>
      </c>
      <c r="S24" s="864">
        <v>10095</v>
      </c>
      <c r="T24" s="598">
        <v>1716</v>
      </c>
      <c r="U24" s="598">
        <v>1103</v>
      </c>
      <c r="V24" s="864">
        <v>1858</v>
      </c>
      <c r="W24" s="864">
        <v>2490</v>
      </c>
      <c r="X24" s="864">
        <v>1115</v>
      </c>
      <c r="Y24" s="864">
        <v>1393</v>
      </c>
      <c r="Z24" s="864">
        <v>561</v>
      </c>
      <c r="AA24" s="864">
        <v>1113</v>
      </c>
      <c r="AB24" s="864">
        <v>1978</v>
      </c>
      <c r="AC24" s="864">
        <v>0</v>
      </c>
      <c r="AD24" s="843">
        <v>114455</v>
      </c>
      <c r="AE24" s="849" t="s">
        <v>8</v>
      </c>
      <c r="AF24" s="861">
        <v>5295</v>
      </c>
      <c r="AG24" s="861">
        <v>3009</v>
      </c>
      <c r="AH24" s="861">
        <v>27128</v>
      </c>
      <c r="AI24" s="861">
        <v>24848</v>
      </c>
      <c r="AJ24" s="861">
        <v>29359</v>
      </c>
      <c r="AK24" s="861">
        <v>21997</v>
      </c>
      <c r="AL24" s="861">
        <v>2819</v>
      </c>
      <c r="AM24" s="861">
        <v>49854</v>
      </c>
      <c r="AN24" s="861">
        <v>64601</v>
      </c>
      <c r="AO24" s="880" t="s">
        <v>192</v>
      </c>
      <c r="AP24" s="842" t="s">
        <v>4</v>
      </c>
      <c r="AQ24" s="843">
        <v>97433.600000000006</v>
      </c>
      <c r="AR24" s="843">
        <v>243584.4</v>
      </c>
      <c r="AS24" s="843">
        <v>132070.29999999999</v>
      </c>
      <c r="AT24" s="843">
        <v>292299.3</v>
      </c>
      <c r="AU24" s="843">
        <v>132070.39999999999</v>
      </c>
    </row>
    <row r="25" spans="1:47" s="743" customFormat="1" x14ac:dyDescent="0.25">
      <c r="A25" s="916"/>
      <c r="B25" s="842" t="s">
        <v>77</v>
      </c>
      <c r="C25" s="861">
        <v>178531.51499999998</v>
      </c>
      <c r="D25" s="861">
        <v>101454.45299999999</v>
      </c>
      <c r="E25" s="861">
        <v>101454.45299999999</v>
      </c>
      <c r="F25" s="861">
        <v>229916.223</v>
      </c>
      <c r="G25" s="861">
        <v>113491.42199999999</v>
      </c>
      <c r="H25" s="861">
        <v>459259.25699999998</v>
      </c>
      <c r="I25" s="861">
        <v>234299.43299999999</v>
      </c>
      <c r="J25" s="861">
        <v>46495.742999999995</v>
      </c>
      <c r="K25" s="861">
        <v>201593.943</v>
      </c>
      <c r="L25" s="861">
        <v>225499.296</v>
      </c>
      <c r="M25" s="861">
        <v>216260.83799999999</v>
      </c>
      <c r="N25" s="861">
        <v>366571.22399999999</v>
      </c>
      <c r="O25" s="861">
        <v>115851.61199999999</v>
      </c>
      <c r="P25" s="861">
        <v>173912.28599999996</v>
      </c>
      <c r="Q25" s="861">
        <v>61600.958999999995</v>
      </c>
      <c r="R25" s="861">
        <v>155030.766</v>
      </c>
      <c r="S25" s="861">
        <v>340373.11499999999</v>
      </c>
      <c r="T25" s="866">
        <v>57858.371999999996</v>
      </c>
      <c r="U25" s="866">
        <v>37189.850999999995</v>
      </c>
      <c r="V25" s="866">
        <v>62646.185999999994</v>
      </c>
      <c r="W25" s="866">
        <v>83955.33</v>
      </c>
      <c r="X25" s="866">
        <v>37594.455000000002</v>
      </c>
      <c r="Y25" s="866">
        <v>46967.780999999995</v>
      </c>
      <c r="Z25" s="866">
        <v>18915.237000000001</v>
      </c>
      <c r="AA25" s="866">
        <v>37527.021000000001</v>
      </c>
      <c r="AB25" s="866">
        <v>66692.225999999995</v>
      </c>
      <c r="AC25" s="866">
        <v>0</v>
      </c>
      <c r="AD25" s="867">
        <v>3770942.997</v>
      </c>
      <c r="AE25" s="844" t="s">
        <v>77</v>
      </c>
      <c r="AF25" s="861">
        <v>178531.51499999998</v>
      </c>
      <c r="AG25" s="861">
        <v>101454.45299999999</v>
      </c>
      <c r="AH25" s="861">
        <v>914674.77599999995</v>
      </c>
      <c r="AI25" s="861">
        <v>837800.01599999995</v>
      </c>
      <c r="AJ25" s="861">
        <v>989897.40299999993</v>
      </c>
      <c r="AK25" s="861">
        <v>741672.84899999993</v>
      </c>
      <c r="AL25" s="861">
        <v>95048.222999999998</v>
      </c>
      <c r="AM25" s="861">
        <v>1680927.318</v>
      </c>
      <c r="AN25" s="861">
        <v>2178151.9169999999</v>
      </c>
      <c r="AO25" s="914"/>
      <c r="AP25" s="847" t="s">
        <v>5</v>
      </c>
      <c r="AQ25" s="583">
        <v>38973.199999999997</v>
      </c>
      <c r="AR25" s="583">
        <v>124350.5</v>
      </c>
      <c r="AS25" s="583">
        <v>3817.1</v>
      </c>
      <c r="AT25" s="583">
        <v>109009</v>
      </c>
      <c r="AU25" s="583">
        <v>33401</v>
      </c>
    </row>
    <row r="26" spans="1:47" s="743" customFormat="1" x14ac:dyDescent="0.25">
      <c r="A26" s="916"/>
      <c r="B26" s="851" t="s">
        <v>218</v>
      </c>
      <c r="C26" s="852">
        <v>0.71407350419009152</v>
      </c>
      <c r="D26" s="852">
        <v>0.67404117283995724</v>
      </c>
      <c r="E26" s="869">
        <v>0.67404117283995724</v>
      </c>
      <c r="F26" s="869">
        <v>1.2632842798963511</v>
      </c>
      <c r="G26" s="869">
        <v>0.68464961086642162</v>
      </c>
      <c r="H26" s="869">
        <v>1.1790843686217121</v>
      </c>
      <c r="I26" s="869">
        <v>1.3624000686144246</v>
      </c>
      <c r="J26" s="869">
        <v>0.27996328833439704</v>
      </c>
      <c r="K26" s="869">
        <v>1.6255059136004748</v>
      </c>
      <c r="L26" s="869">
        <v>1.0063734027398434</v>
      </c>
      <c r="M26" s="869">
        <v>1.120353552909898</v>
      </c>
      <c r="N26" s="869">
        <v>0.83650063358601467</v>
      </c>
      <c r="O26" s="869">
        <v>1.3951503634445583</v>
      </c>
      <c r="P26" s="869">
        <v>0.62981941140852271</v>
      </c>
      <c r="Q26" s="869">
        <v>0.74183344412491503</v>
      </c>
      <c r="R26" s="869">
        <v>0.80906075727670956</v>
      </c>
      <c r="S26" s="869">
        <v>1.3198562739809956</v>
      </c>
      <c r="T26" s="852">
        <v>1.0490901706224727</v>
      </c>
      <c r="U26" s="852">
        <v>1.1238830177845605</v>
      </c>
      <c r="V26" s="852">
        <v>0.61299737270845867</v>
      </c>
      <c r="W26" s="852">
        <v>0.40074812705701529</v>
      </c>
      <c r="X26" s="852">
        <v>0.36786440827229899</v>
      </c>
      <c r="Y26" s="852">
        <v>0.22419363091984829</v>
      </c>
      <c r="Z26" s="852">
        <v>0.18508693546256477</v>
      </c>
      <c r="AA26" s="852">
        <v>0.1791295845037984</v>
      </c>
      <c r="AB26" s="852">
        <v>0.20289990848664657</v>
      </c>
      <c r="AC26" s="852">
        <v>0</v>
      </c>
      <c r="AD26" s="854">
        <v>0.74815639395309075</v>
      </c>
      <c r="AE26" s="855" t="s">
        <v>218</v>
      </c>
      <c r="AF26" s="852">
        <v>0.71407350419009152</v>
      </c>
      <c r="AG26" s="852">
        <v>0.67404117283995724</v>
      </c>
      <c r="AH26" s="852">
        <v>1.149702763410112</v>
      </c>
      <c r="AI26" s="852">
        <v>0.70270816575726147</v>
      </c>
      <c r="AJ26" s="852">
        <v>0.70270182996132824</v>
      </c>
      <c r="AK26" s="852">
        <v>0.64213226625404307</v>
      </c>
      <c r="AL26" s="852">
        <v>1.0771374353337149</v>
      </c>
      <c r="AM26" s="852">
        <v>0.67296933152959615</v>
      </c>
      <c r="AN26" s="852">
        <v>0.85668451957116221</v>
      </c>
      <c r="AO26" s="914"/>
      <c r="AP26" s="851" t="s">
        <v>3</v>
      </c>
      <c r="AQ26" s="852">
        <f>AQ25/AQ24</f>
        <v>0.39999753678402516</v>
      </c>
      <c r="AR26" s="852">
        <f>AR25/AR24</f>
        <v>0.51050272513346506</v>
      </c>
      <c r="AS26" s="852">
        <f>AS25/AS24</f>
        <v>2.8902031720984961E-2</v>
      </c>
      <c r="AT26" s="852">
        <f>AT25/AT24</f>
        <v>0.37293623351133581</v>
      </c>
      <c r="AU26" s="852">
        <f>AU25/AU24</f>
        <v>0.25290299718937781</v>
      </c>
    </row>
    <row r="27" spans="1:47" s="743" customFormat="1" x14ac:dyDescent="0.25">
      <c r="A27" s="914"/>
      <c r="B27" s="851" t="s">
        <v>219</v>
      </c>
      <c r="C27" s="598">
        <v>168060</v>
      </c>
      <c r="D27" s="598">
        <v>101049</v>
      </c>
      <c r="E27" s="598">
        <v>101049</v>
      </c>
      <c r="F27" s="598">
        <v>211912</v>
      </c>
      <c r="G27" s="598">
        <v>111205</v>
      </c>
      <c r="H27" s="598">
        <v>444187</v>
      </c>
      <c r="I27" s="598">
        <v>159522</v>
      </c>
      <c r="J27" s="598">
        <v>46536.5</v>
      </c>
      <c r="K27" s="598">
        <v>143176</v>
      </c>
      <c r="L27" s="598">
        <v>225887</v>
      </c>
      <c r="M27" s="598">
        <v>212280</v>
      </c>
      <c r="N27" s="598">
        <v>366652</v>
      </c>
      <c r="O27" s="598">
        <v>115895</v>
      </c>
      <c r="P27" s="598">
        <v>145657</v>
      </c>
      <c r="Q27" s="598">
        <v>61652.2</v>
      </c>
      <c r="R27" s="598">
        <v>141268</v>
      </c>
      <c r="S27" s="598">
        <v>340559</v>
      </c>
      <c r="T27" s="598">
        <v>57858.1</v>
      </c>
      <c r="U27" s="598">
        <v>37189.699999999997</v>
      </c>
      <c r="V27" s="598">
        <v>62679.7</v>
      </c>
      <c r="W27" s="598">
        <v>62679.7</v>
      </c>
      <c r="X27" s="598">
        <v>37642.800000000003</v>
      </c>
      <c r="Y27" s="598">
        <v>37609</v>
      </c>
      <c r="Z27" s="598">
        <v>18949</v>
      </c>
      <c r="AA27" s="598">
        <v>18949</v>
      </c>
      <c r="AB27" s="598">
        <v>66757.2</v>
      </c>
      <c r="AC27" s="598">
        <v>0</v>
      </c>
      <c r="AD27" s="870">
        <v>3496860.9000000008</v>
      </c>
      <c r="AE27" s="855" t="s">
        <v>219</v>
      </c>
      <c r="AF27" s="864">
        <v>168060</v>
      </c>
      <c r="AG27" s="864">
        <v>101049</v>
      </c>
      <c r="AH27" s="864">
        <v>881986</v>
      </c>
      <c r="AI27" s="864">
        <v>680760</v>
      </c>
      <c r="AJ27" s="864">
        <v>986248.2</v>
      </c>
      <c r="AK27" s="864">
        <v>583709.9</v>
      </c>
      <c r="AL27" s="864">
        <v>95047.799999999988</v>
      </c>
      <c r="AM27" s="864">
        <v>1365518.9</v>
      </c>
      <c r="AN27" s="864">
        <v>2131342</v>
      </c>
      <c r="AO27" s="914" t="s">
        <v>220</v>
      </c>
      <c r="AP27" s="851" t="s">
        <v>3</v>
      </c>
      <c r="AQ27" s="852">
        <f>(AQ20+AQ26)/2</f>
        <v>0.38119624665106289</v>
      </c>
      <c r="AR27" s="852">
        <f t="shared" ref="AR27:AU27" si="42">(AR20+AR26)/2</f>
        <v>0.47677983409520408</v>
      </c>
      <c r="AS27" s="852">
        <f t="shared" si="42"/>
        <v>2.9589946651719472E-2</v>
      </c>
      <c r="AT27" s="852">
        <f t="shared" si="42"/>
        <v>0.45412051337057324</v>
      </c>
      <c r="AU27" s="852">
        <f t="shared" si="42"/>
        <v>0.31543211186862841</v>
      </c>
    </row>
    <row r="28" spans="1:47" s="743" customFormat="1" x14ac:dyDescent="0.25">
      <c r="A28" s="914"/>
      <c r="B28" s="851" t="s">
        <v>217</v>
      </c>
      <c r="C28" s="869">
        <v>0.67219052677722924</v>
      </c>
      <c r="D28" s="869">
        <v>0.67134743187965185</v>
      </c>
      <c r="E28" s="869">
        <v>0.67134743187965185</v>
      </c>
      <c r="F28" s="869">
        <v>1.164359325446102</v>
      </c>
      <c r="G28" s="869">
        <v>0.67085651615503084</v>
      </c>
      <c r="H28" s="869">
        <v>1.1403884417401573</v>
      </c>
      <c r="I28" s="869">
        <v>0.92758561539289031</v>
      </c>
      <c r="J28" s="869">
        <v>0.28020869711822155</v>
      </c>
      <c r="K28" s="869">
        <v>1.1544664052017752</v>
      </c>
      <c r="L28" s="869">
        <v>1.0081036741892755</v>
      </c>
      <c r="M28" s="869">
        <v>1.0997305587603112</v>
      </c>
      <c r="N28" s="869">
        <v>0.83668496113480917</v>
      </c>
      <c r="O28" s="869">
        <v>1.3956728661782203</v>
      </c>
      <c r="P28" s="869">
        <v>0.52749353204138327</v>
      </c>
      <c r="Q28" s="869">
        <v>0.7424505171076653</v>
      </c>
      <c r="R28" s="869">
        <v>0.73723685954674445</v>
      </c>
      <c r="S28" s="869">
        <v>1.3205770755739443</v>
      </c>
      <c r="T28" s="869">
        <v>1.0490852387082736</v>
      </c>
      <c r="U28" s="869">
        <v>1.1238784545413336</v>
      </c>
      <c r="V28" s="869">
        <v>0.61332530957518117</v>
      </c>
      <c r="W28" s="869">
        <v>0.29919211060805312</v>
      </c>
      <c r="X28" s="869">
        <v>0.36833746752579594</v>
      </c>
      <c r="Y28" s="869">
        <v>0.17952089891716569</v>
      </c>
      <c r="Z28" s="869">
        <v>0.18541730881194562</v>
      </c>
      <c r="AA28" s="869">
        <v>9.0450198452002778E-2</v>
      </c>
      <c r="AB28" s="869">
        <v>0.20309758098079922</v>
      </c>
      <c r="AC28" s="869">
        <v>0</v>
      </c>
      <c r="AD28" s="872">
        <v>0.69377841117749472</v>
      </c>
      <c r="AE28" s="855" t="s">
        <v>217</v>
      </c>
      <c r="AF28" s="852">
        <v>0.67219052677722924</v>
      </c>
      <c r="AG28" s="852">
        <v>0.67134743187965185</v>
      </c>
      <c r="AH28" s="852">
        <v>1.1086145240863527</v>
      </c>
      <c r="AI28" s="852">
        <v>0.57099021459187149</v>
      </c>
      <c r="AJ28" s="852">
        <v>0.70011135783944067</v>
      </c>
      <c r="AK28" s="852">
        <v>0.50536966726945798</v>
      </c>
      <c r="AL28" s="852">
        <v>1.0771326416708691</v>
      </c>
      <c r="AM28" s="852">
        <v>0.54669368002027396</v>
      </c>
      <c r="AN28" s="852">
        <v>0.83827380590912204</v>
      </c>
      <c r="AO28" s="914"/>
      <c r="AP28" s="851"/>
      <c r="AQ28" s="852"/>
      <c r="AR28" s="852"/>
      <c r="AS28" s="852"/>
      <c r="AT28" s="852"/>
      <c r="AU28" s="852"/>
    </row>
    <row r="29" spans="1:47" s="743" customFormat="1" x14ac:dyDescent="0.25">
      <c r="A29" s="917">
        <v>41808</v>
      </c>
      <c r="B29" s="917"/>
      <c r="C29" s="917"/>
      <c r="D29" s="529"/>
      <c r="E29" s="529"/>
      <c r="F29" s="529"/>
      <c r="G29" s="529"/>
      <c r="H29" s="529"/>
      <c r="I29" s="525"/>
      <c r="J29" s="531"/>
      <c r="K29" s="531"/>
      <c r="L29" s="529"/>
      <c r="M29" s="529"/>
      <c r="N29" s="527"/>
      <c r="R29" s="526"/>
      <c r="S29" s="534"/>
      <c r="T29" s="534"/>
      <c r="U29" s="534"/>
      <c r="V29" s="534"/>
      <c r="W29" s="534"/>
      <c r="X29" s="534"/>
      <c r="Y29" s="534"/>
      <c r="Z29" s="534"/>
      <c r="AA29" s="534"/>
      <c r="AB29" s="534"/>
      <c r="AC29" s="534"/>
      <c r="AD29" s="534"/>
      <c r="AE29" s="534"/>
      <c r="AF29" s="534"/>
      <c r="AG29" s="534"/>
      <c r="AH29" s="534"/>
      <c r="AI29" s="534"/>
    </row>
    <row r="30" spans="1:47" s="743" customFormat="1" x14ac:dyDescent="0.25">
      <c r="A30" s="918" t="s">
        <v>1</v>
      </c>
      <c r="B30" s="918"/>
      <c r="C30" s="910" t="s">
        <v>12</v>
      </c>
      <c r="D30" s="910" t="s">
        <v>12</v>
      </c>
      <c r="E30" s="910" t="s">
        <v>13</v>
      </c>
      <c r="F30" s="910" t="s">
        <v>13</v>
      </c>
      <c r="G30" s="910" t="s">
        <v>13</v>
      </c>
      <c r="H30" s="910" t="s">
        <v>13</v>
      </c>
      <c r="I30" s="910" t="s">
        <v>13</v>
      </c>
      <c r="J30" s="910" t="s">
        <v>13</v>
      </c>
      <c r="K30" s="910" t="s">
        <v>13</v>
      </c>
      <c r="L30" s="910" t="s">
        <v>13</v>
      </c>
      <c r="M30" s="832" t="s">
        <v>2</v>
      </c>
      <c r="N30" s="910" t="s">
        <v>2</v>
      </c>
      <c r="O30" s="910" t="s">
        <v>2</v>
      </c>
      <c r="P30" s="910" t="s">
        <v>2</v>
      </c>
      <c r="Q30" s="910" t="s">
        <v>2</v>
      </c>
      <c r="R30" s="910" t="s">
        <v>2</v>
      </c>
      <c r="S30" s="910" t="s">
        <v>2</v>
      </c>
      <c r="T30" s="833" t="s">
        <v>183</v>
      </c>
      <c r="U30" s="833" t="s">
        <v>183</v>
      </c>
      <c r="V30" s="833" t="s">
        <v>2</v>
      </c>
      <c r="W30" s="833" t="s">
        <v>13</v>
      </c>
      <c r="X30" s="833" t="s">
        <v>13</v>
      </c>
      <c r="Y30" s="833" t="s">
        <v>2</v>
      </c>
      <c r="Z30" s="833" t="s">
        <v>13</v>
      </c>
      <c r="AA30" s="833" t="s">
        <v>2</v>
      </c>
      <c r="AB30" s="892" t="s">
        <v>2</v>
      </c>
      <c r="AC30" s="892" t="s">
        <v>2</v>
      </c>
      <c r="AD30" s="834" t="s">
        <v>220</v>
      </c>
      <c r="AE30" s="918" t="s">
        <v>0</v>
      </c>
      <c r="AF30" s="918"/>
      <c r="AG30" s="836"/>
      <c r="AH30" s="836"/>
      <c r="AI30" s="836"/>
      <c r="AJ30" s="836"/>
      <c r="AK30" s="836"/>
      <c r="AL30" s="836"/>
      <c r="AM30" s="836"/>
      <c r="AN30" s="836"/>
      <c r="AO30" s="918" t="s">
        <v>1</v>
      </c>
      <c r="AP30" s="919"/>
      <c r="AQ30" s="910" t="s">
        <v>12</v>
      </c>
      <c r="AR30" s="920" t="s">
        <v>13</v>
      </c>
      <c r="AS30" s="921"/>
      <c r="AT30" s="920" t="s">
        <v>2</v>
      </c>
      <c r="AU30" s="921"/>
    </row>
    <row r="31" spans="1:47" s="743" customFormat="1" x14ac:dyDescent="0.25">
      <c r="A31" s="918" t="s">
        <v>0</v>
      </c>
      <c r="B31" s="918"/>
      <c r="C31" s="837" t="s">
        <v>99</v>
      </c>
      <c r="D31" s="838" t="s">
        <v>100</v>
      </c>
      <c r="E31" s="838" t="s">
        <v>101</v>
      </c>
      <c r="F31" s="837" t="s">
        <v>102</v>
      </c>
      <c r="G31" s="838" t="s">
        <v>97</v>
      </c>
      <c r="H31" s="837" t="s">
        <v>104</v>
      </c>
      <c r="I31" s="838" t="s">
        <v>103</v>
      </c>
      <c r="J31" s="838" t="s">
        <v>178</v>
      </c>
      <c r="K31" s="838" t="s">
        <v>200</v>
      </c>
      <c r="L31" s="837" t="s">
        <v>207</v>
      </c>
      <c r="M31" s="837" t="s">
        <v>105</v>
      </c>
      <c r="N31" s="837" t="s">
        <v>107</v>
      </c>
      <c r="O31" s="838" t="s">
        <v>98</v>
      </c>
      <c r="P31" s="838" t="s">
        <v>106</v>
      </c>
      <c r="Q31" s="838" t="s">
        <v>179</v>
      </c>
      <c r="R31" s="838" t="s">
        <v>199</v>
      </c>
      <c r="S31" s="837" t="s">
        <v>208</v>
      </c>
      <c r="T31" s="837" t="s">
        <v>182</v>
      </c>
      <c r="U31" s="837" t="s">
        <v>184</v>
      </c>
      <c r="V31" s="838" t="s">
        <v>222</v>
      </c>
      <c r="W31" s="838" t="s">
        <v>223</v>
      </c>
      <c r="X31" s="838" t="s">
        <v>256</v>
      </c>
      <c r="Y31" s="838" t="s">
        <v>257</v>
      </c>
      <c r="Z31" s="838" t="s">
        <v>267</v>
      </c>
      <c r="AA31" s="838" t="s">
        <v>268</v>
      </c>
      <c r="AB31" s="893" t="s">
        <v>269</v>
      </c>
      <c r="AC31" s="893" t="s">
        <v>270</v>
      </c>
      <c r="AD31" s="839"/>
      <c r="AE31" s="907" t="s">
        <v>1</v>
      </c>
      <c r="AF31" s="841" t="s">
        <v>258</v>
      </c>
      <c r="AG31" s="841" t="s">
        <v>259</v>
      </c>
      <c r="AH31" s="841" t="s">
        <v>260</v>
      </c>
      <c r="AI31" s="841" t="s">
        <v>261</v>
      </c>
      <c r="AJ31" s="841" t="s">
        <v>262</v>
      </c>
      <c r="AK31" s="841" t="s">
        <v>263</v>
      </c>
      <c r="AL31" s="841" t="s">
        <v>264</v>
      </c>
      <c r="AM31" s="908" t="s">
        <v>265</v>
      </c>
      <c r="AN31" s="908" t="s">
        <v>266</v>
      </c>
      <c r="AO31" s="922" t="s">
        <v>0</v>
      </c>
      <c r="AP31" s="919"/>
      <c r="AQ31" s="837" t="s">
        <v>99</v>
      </c>
      <c r="AR31" s="837" t="s">
        <v>104</v>
      </c>
      <c r="AS31" s="837" t="s">
        <v>207</v>
      </c>
      <c r="AT31" s="837" t="s">
        <v>107</v>
      </c>
      <c r="AU31" s="837" t="s">
        <v>208</v>
      </c>
    </row>
    <row r="32" spans="1:47" s="743" customFormat="1" ht="30" x14ac:dyDescent="0.25">
      <c r="A32" s="923" t="s">
        <v>9</v>
      </c>
      <c r="B32" s="842" t="s">
        <v>4</v>
      </c>
      <c r="C32" s="843">
        <v>250018.4</v>
      </c>
      <c r="D32" s="843">
        <v>150516.70000000001</v>
      </c>
      <c r="E32" s="843">
        <v>150516.70000000001</v>
      </c>
      <c r="F32" s="843">
        <v>181998.8</v>
      </c>
      <c r="G32" s="843">
        <v>165765.70000000001</v>
      </c>
      <c r="H32" s="843">
        <v>389505</v>
      </c>
      <c r="I32" s="843">
        <v>171975.5</v>
      </c>
      <c r="J32" s="843">
        <v>166078</v>
      </c>
      <c r="K32" s="843">
        <v>124019.2</v>
      </c>
      <c r="L32" s="843">
        <v>224071.2</v>
      </c>
      <c r="M32" s="843">
        <v>193029.1</v>
      </c>
      <c r="N32" s="843">
        <v>438219.9</v>
      </c>
      <c r="O32" s="843">
        <v>83038.8</v>
      </c>
      <c r="P32" s="843">
        <v>276130.40000000002</v>
      </c>
      <c r="Q32" s="843">
        <v>83038.8</v>
      </c>
      <c r="R32" s="843">
        <v>191618.2</v>
      </c>
      <c r="S32" s="843">
        <v>257886.5</v>
      </c>
      <c r="T32" s="843">
        <v>55151</v>
      </c>
      <c r="U32" s="843">
        <v>33090.5</v>
      </c>
      <c r="V32" s="843">
        <v>102196.5</v>
      </c>
      <c r="W32" s="843">
        <v>209496.5</v>
      </c>
      <c r="X32" s="843">
        <v>102196.5</v>
      </c>
      <c r="Y32" s="843">
        <v>209496.5</v>
      </c>
      <c r="Z32" s="843">
        <v>102196.5</v>
      </c>
      <c r="AA32" s="843">
        <v>209496.5</v>
      </c>
      <c r="AB32" s="843">
        <v>262657.90000000002</v>
      </c>
      <c r="AC32" s="905">
        <v>190871.2</v>
      </c>
      <c r="AD32" s="843">
        <v>4974276.5</v>
      </c>
      <c r="AE32" s="844" t="s">
        <v>4</v>
      </c>
      <c r="AF32" s="866">
        <v>250018.4</v>
      </c>
      <c r="AG32" s="866">
        <v>150516.70000000001</v>
      </c>
      <c r="AH32" s="866">
        <v>795575</v>
      </c>
      <c r="AI32" s="866">
        <v>1192244.6000000001</v>
      </c>
      <c r="AJ32" s="866">
        <v>1342664.5999999999</v>
      </c>
      <c r="AK32" s="866">
        <v>1155015.7</v>
      </c>
      <c r="AL32" s="866">
        <v>88241.5</v>
      </c>
      <c r="AM32" s="866">
        <v>2497777</v>
      </c>
      <c r="AN32" s="866">
        <v>2476499.5</v>
      </c>
      <c r="AO32" s="878" t="s">
        <v>195</v>
      </c>
      <c r="AP32" s="875" t="s">
        <v>4</v>
      </c>
      <c r="AQ32" s="843">
        <v>143393</v>
      </c>
      <c r="AR32" s="843">
        <v>132132</v>
      </c>
      <c r="AS32" s="843">
        <v>83196.100000000006</v>
      </c>
      <c r="AT32" s="843">
        <v>132132.20000000001</v>
      </c>
      <c r="AU32" s="843">
        <v>83196.100000000006</v>
      </c>
    </row>
    <row r="33" spans="1:47" s="743" customFormat="1" x14ac:dyDescent="0.25">
      <c r="A33" s="923"/>
      <c r="B33" s="847" t="s">
        <v>5</v>
      </c>
      <c r="C33" s="583">
        <v>102703.9</v>
      </c>
      <c r="D33" s="583">
        <v>83557.8</v>
      </c>
      <c r="E33" s="583">
        <v>84309.6</v>
      </c>
      <c r="F33" s="583">
        <v>138124.6</v>
      </c>
      <c r="G33" s="583">
        <v>115485.3</v>
      </c>
      <c r="H33" s="583">
        <v>214843.4</v>
      </c>
      <c r="I33" s="583">
        <v>122009.1</v>
      </c>
      <c r="J33" s="583">
        <v>50069.7</v>
      </c>
      <c r="K33" s="583">
        <v>83342.399999999994</v>
      </c>
      <c r="L33" s="583">
        <v>72466.3</v>
      </c>
      <c r="M33" s="583">
        <v>135250.79999999999</v>
      </c>
      <c r="N33" s="583">
        <v>211435.5</v>
      </c>
      <c r="O33" s="583">
        <v>58291.3</v>
      </c>
      <c r="P33" s="583">
        <v>225635</v>
      </c>
      <c r="Q33" s="583">
        <v>25892.2</v>
      </c>
      <c r="R33" s="583">
        <v>131717.70000000001</v>
      </c>
      <c r="S33" s="583">
        <v>171461.4</v>
      </c>
      <c r="T33" s="583">
        <v>16593.7</v>
      </c>
      <c r="U33" s="583">
        <v>10226.6</v>
      </c>
      <c r="V33" s="583">
        <v>14746</v>
      </c>
      <c r="W33" s="583">
        <v>29491.9</v>
      </c>
      <c r="X33" s="583">
        <v>15125.9</v>
      </c>
      <c r="Y33" s="583">
        <v>30236.5</v>
      </c>
      <c r="Z33" s="583">
        <v>3.1</v>
      </c>
      <c r="AA33" s="583">
        <v>6</v>
      </c>
      <c r="AB33" s="583">
        <v>18364.5</v>
      </c>
      <c r="AC33" s="583">
        <v>4.9000000000000004</v>
      </c>
      <c r="AD33" s="848">
        <v>2161395.0999999996</v>
      </c>
      <c r="AE33" s="849" t="s">
        <v>5</v>
      </c>
      <c r="AF33" s="866">
        <v>102703.9</v>
      </c>
      <c r="AG33" s="866">
        <v>83557.8</v>
      </c>
      <c r="AH33" s="866">
        <v>425434.3</v>
      </c>
      <c r="AI33" s="866">
        <v>499837</v>
      </c>
      <c r="AJ33" s="866">
        <v>536517.1</v>
      </c>
      <c r="AK33" s="866">
        <v>486524.7</v>
      </c>
      <c r="AL33" s="866">
        <v>26820.300000000003</v>
      </c>
      <c r="AM33" s="866">
        <v>1069919.5</v>
      </c>
      <c r="AN33" s="866">
        <v>1091475.5999999999</v>
      </c>
      <c r="AO33" s="879"/>
      <c r="AP33" s="876" t="s">
        <v>5</v>
      </c>
      <c r="AQ33" s="583">
        <v>51964.9</v>
      </c>
      <c r="AR33" s="583">
        <v>58542</v>
      </c>
      <c r="AS33" s="583">
        <v>2519</v>
      </c>
      <c r="AT33" s="583">
        <v>70731</v>
      </c>
      <c r="AU33" s="583">
        <v>31444.9</v>
      </c>
    </row>
    <row r="34" spans="1:47" s="743" customFormat="1" x14ac:dyDescent="0.25">
      <c r="A34" s="923"/>
      <c r="B34" s="851" t="s">
        <v>3</v>
      </c>
      <c r="C34" s="852">
        <v>0.41078536619704786</v>
      </c>
      <c r="D34" s="852">
        <v>0.55513972868126926</v>
      </c>
      <c r="E34" s="852">
        <v>0.5601345232788123</v>
      </c>
      <c r="F34" s="853">
        <v>0.75893137756952256</v>
      </c>
      <c r="G34" s="852">
        <v>0.69667790139938479</v>
      </c>
      <c r="H34" s="852">
        <v>0.55158059588452013</v>
      </c>
      <c r="I34" s="852">
        <v>0.70945628883183942</v>
      </c>
      <c r="J34" s="852">
        <v>0.30148303809053578</v>
      </c>
      <c r="K34" s="852">
        <v>0.6720120755495923</v>
      </c>
      <c r="L34" s="852">
        <v>0.3234074704825966</v>
      </c>
      <c r="M34" s="853">
        <v>0.70067570122846756</v>
      </c>
      <c r="N34" s="852">
        <v>0.48248721703418762</v>
      </c>
      <c r="O34" s="852">
        <v>0.70197666632947486</v>
      </c>
      <c r="P34" s="852">
        <v>0.81713205065432848</v>
      </c>
      <c r="Q34" s="852">
        <v>0.31180845580620142</v>
      </c>
      <c r="R34" s="852">
        <v>0.68739660428915417</v>
      </c>
      <c r="S34" s="852">
        <v>0.66487156171416495</v>
      </c>
      <c r="T34" s="852">
        <v>0.30087759061485742</v>
      </c>
      <c r="U34" s="852">
        <v>0.30904942506157357</v>
      </c>
      <c r="V34" s="852">
        <v>0.14429065574652752</v>
      </c>
      <c r="W34" s="852">
        <v>0.14077514421481982</v>
      </c>
      <c r="X34" s="852">
        <v>0.14800800418801036</v>
      </c>
      <c r="Y34" s="852">
        <v>0.14432938020444255</v>
      </c>
      <c r="Z34" s="852">
        <v>3.0333719843634569E-5</v>
      </c>
      <c r="AA34" s="852">
        <v>2.8640096612592574E-5</v>
      </c>
      <c r="AB34" s="852">
        <v>6.9917942692757376E-2</v>
      </c>
      <c r="AC34" s="852">
        <v>2.5671761900171424E-5</v>
      </c>
      <c r="AD34" s="854">
        <v>0.43451446657619447</v>
      </c>
      <c r="AE34" s="855" t="s">
        <v>3</v>
      </c>
      <c r="AF34" s="852">
        <v>0.41078536619704786</v>
      </c>
      <c r="AG34" s="852">
        <v>0.55513972868126926</v>
      </c>
      <c r="AH34" s="852">
        <v>0.53475071489174497</v>
      </c>
      <c r="AI34" s="852">
        <v>0.41924031360678837</v>
      </c>
      <c r="AJ34" s="852">
        <v>0.39959130522991371</v>
      </c>
      <c r="AK34" s="852">
        <v>0.42122778071328382</v>
      </c>
      <c r="AL34" s="852">
        <v>0.30394202274440035</v>
      </c>
      <c r="AM34" s="852">
        <v>0.42834868765306111</v>
      </c>
      <c r="AN34" s="852">
        <v>0.44073322041857865</v>
      </c>
      <c r="AO34" s="879"/>
      <c r="AP34" s="877" t="s">
        <v>3</v>
      </c>
      <c r="AQ34" s="852">
        <v>0.36239495651810061</v>
      </c>
      <c r="AR34" s="852">
        <v>0.44305694305694304</v>
      </c>
      <c r="AS34" s="852">
        <v>3.0277861582453984E-2</v>
      </c>
      <c r="AT34" s="852">
        <v>0.53530479322981073</v>
      </c>
      <c r="AU34" s="852">
        <v>0.37796122654787906</v>
      </c>
    </row>
    <row r="35" spans="1:47" s="743" customFormat="1" ht="30" x14ac:dyDescent="0.25">
      <c r="A35" s="916" t="s">
        <v>6</v>
      </c>
      <c r="B35" s="857" t="s">
        <v>7</v>
      </c>
      <c r="C35" s="843">
        <v>5644</v>
      </c>
      <c r="D35" s="843">
        <v>3620</v>
      </c>
      <c r="E35" s="843">
        <v>3591</v>
      </c>
      <c r="F35" s="843">
        <v>8910</v>
      </c>
      <c r="G35" s="843">
        <v>8432</v>
      </c>
      <c r="H35" s="843">
        <v>15703</v>
      </c>
      <c r="I35" s="843">
        <v>8298</v>
      </c>
      <c r="J35" s="843">
        <v>9599</v>
      </c>
      <c r="K35" s="843">
        <v>7072</v>
      </c>
      <c r="L35" s="843">
        <v>9334</v>
      </c>
      <c r="M35" s="843">
        <v>8046</v>
      </c>
      <c r="N35" s="843">
        <v>11924</v>
      </c>
      <c r="O35" s="843">
        <v>4357</v>
      </c>
      <c r="P35" s="843">
        <v>10643</v>
      </c>
      <c r="Q35" s="843">
        <v>4799</v>
      </c>
      <c r="R35" s="843">
        <v>9711</v>
      </c>
      <c r="S35" s="843">
        <v>11664</v>
      </c>
      <c r="T35" s="858">
        <v>2480</v>
      </c>
      <c r="U35" s="858">
        <v>1570</v>
      </c>
      <c r="V35" s="843">
        <v>3999</v>
      </c>
      <c r="W35" s="843">
        <v>7999</v>
      </c>
      <c r="X35" s="843">
        <v>3999</v>
      </c>
      <c r="Y35" s="843">
        <v>7999</v>
      </c>
      <c r="Z35" s="843">
        <v>3999</v>
      </c>
      <c r="AA35" s="843">
        <v>7999</v>
      </c>
      <c r="AB35" s="843">
        <v>11999</v>
      </c>
      <c r="AC35" s="843">
        <v>6400</v>
      </c>
      <c r="AD35" s="843">
        <v>199790</v>
      </c>
      <c r="AE35" s="859" t="s">
        <v>7</v>
      </c>
      <c r="AF35" s="861">
        <v>5644</v>
      </c>
      <c r="AG35" s="861">
        <v>3620</v>
      </c>
      <c r="AH35" s="861">
        <v>33947</v>
      </c>
      <c r="AI35" s="861">
        <v>52989</v>
      </c>
      <c r="AJ35" s="861">
        <v>50033</v>
      </c>
      <c r="AK35" s="861">
        <v>49507</v>
      </c>
      <c r="AL35" s="861">
        <v>4050</v>
      </c>
      <c r="AM35" s="861">
        <v>106116</v>
      </c>
      <c r="AN35" s="861">
        <v>93674</v>
      </c>
      <c r="AO35" s="883" t="s">
        <v>191</v>
      </c>
      <c r="AP35" s="882" t="s">
        <v>4</v>
      </c>
      <c r="AQ35" s="860">
        <v>9191.7999999999993</v>
      </c>
      <c r="AR35" s="860">
        <v>13787.7</v>
      </c>
      <c r="AS35" s="860">
        <v>8804.7999999999993</v>
      </c>
      <c r="AT35" s="860">
        <v>13787.7</v>
      </c>
      <c r="AU35" s="860">
        <v>8804.7999999999993</v>
      </c>
    </row>
    <row r="36" spans="1:47" s="743" customFormat="1" x14ac:dyDescent="0.25">
      <c r="A36" s="916"/>
      <c r="B36" s="842" t="s">
        <v>11</v>
      </c>
      <c r="C36" s="861">
        <v>190298.74799999999</v>
      </c>
      <c r="D36" s="861">
        <v>122055.54</v>
      </c>
      <c r="E36" s="861">
        <v>121077.74699999999</v>
      </c>
      <c r="F36" s="861">
        <v>300418.46999999997</v>
      </c>
      <c r="G36" s="861">
        <v>284301.74400000001</v>
      </c>
      <c r="H36" s="861">
        <v>529458.05099999998</v>
      </c>
      <c r="I36" s="861">
        <v>279783.66599999997</v>
      </c>
      <c r="J36" s="861">
        <v>323649.48300000001</v>
      </c>
      <c r="K36" s="861">
        <v>238446.62399999998</v>
      </c>
      <c r="L36" s="861">
        <v>314714.478</v>
      </c>
      <c r="M36" s="861">
        <v>271286.98200000002</v>
      </c>
      <c r="N36" s="861">
        <v>402041.50799999997</v>
      </c>
      <c r="O36" s="861">
        <v>146904.96899999998</v>
      </c>
      <c r="P36" s="861">
        <v>358850.03099999996</v>
      </c>
      <c r="Q36" s="861">
        <v>161807.883</v>
      </c>
      <c r="R36" s="861">
        <v>327425.78700000001</v>
      </c>
      <c r="S36" s="861">
        <v>393275.08799999999</v>
      </c>
      <c r="T36" s="861">
        <v>83618.16</v>
      </c>
      <c r="U36" s="861">
        <v>52935.689999999995</v>
      </c>
      <c r="V36" s="861">
        <v>134834.283</v>
      </c>
      <c r="W36" s="861">
        <v>269702.283</v>
      </c>
      <c r="X36" s="861">
        <v>134834.283</v>
      </c>
      <c r="Y36" s="861">
        <v>269702.283</v>
      </c>
      <c r="Z36" s="861">
        <v>134834.283</v>
      </c>
      <c r="AA36" s="861">
        <v>269702.283</v>
      </c>
      <c r="AB36" s="861">
        <v>404570.283</v>
      </c>
      <c r="AC36" s="861">
        <v>215788.79999999999</v>
      </c>
      <c r="AD36" s="862">
        <v>6736319.4299999978</v>
      </c>
      <c r="AE36" s="844" t="s">
        <v>11</v>
      </c>
      <c r="AF36" s="861">
        <v>190298.74799999999</v>
      </c>
      <c r="AG36" s="861">
        <v>122055.54</v>
      </c>
      <c r="AH36" s="861">
        <v>1144590.9990000001</v>
      </c>
      <c r="AI36" s="861">
        <v>1786630.1129999999</v>
      </c>
      <c r="AJ36" s="861">
        <v>1686962.6609999998</v>
      </c>
      <c r="AK36" s="861">
        <v>1669227.5189999999</v>
      </c>
      <c r="AL36" s="861">
        <v>136553.85</v>
      </c>
      <c r="AM36" s="861">
        <v>3577913.1719999998</v>
      </c>
      <c r="AN36" s="861">
        <v>3158406.2579999999</v>
      </c>
      <c r="AO36" s="879"/>
      <c r="AP36" s="876" t="s">
        <v>5</v>
      </c>
      <c r="AQ36" s="583">
        <v>7975.5</v>
      </c>
      <c r="AR36" s="583">
        <v>13649</v>
      </c>
      <c r="AS36" s="583">
        <v>1289.9000000000001</v>
      </c>
      <c r="AT36" s="583">
        <v>13642</v>
      </c>
      <c r="AU36" s="583">
        <v>5483.9</v>
      </c>
    </row>
    <row r="37" spans="1:47" s="743" customFormat="1" x14ac:dyDescent="0.25">
      <c r="A37" s="916"/>
      <c r="B37" s="842" t="s">
        <v>79</v>
      </c>
      <c r="C37" s="861">
        <f>C32-C33</f>
        <v>147314.5</v>
      </c>
      <c r="D37" s="861">
        <f t="shared" ref="D37:AC37" si="43">D32-D33</f>
        <v>66958.900000000009</v>
      </c>
      <c r="E37" s="861">
        <f t="shared" si="43"/>
        <v>66207.100000000006</v>
      </c>
      <c r="F37" s="861">
        <f t="shared" si="43"/>
        <v>43874.199999999983</v>
      </c>
      <c r="G37" s="861">
        <f t="shared" si="43"/>
        <v>50280.400000000009</v>
      </c>
      <c r="H37" s="861">
        <f t="shared" si="43"/>
        <v>174661.6</v>
      </c>
      <c r="I37" s="861">
        <f t="shared" si="43"/>
        <v>49966.399999999994</v>
      </c>
      <c r="J37" s="861">
        <f t="shared" si="43"/>
        <v>116008.3</v>
      </c>
      <c r="K37" s="861">
        <f t="shared" si="43"/>
        <v>40676.800000000003</v>
      </c>
      <c r="L37" s="861">
        <f t="shared" si="43"/>
        <v>151604.90000000002</v>
      </c>
      <c r="M37" s="861">
        <f t="shared" si="43"/>
        <v>57778.300000000017</v>
      </c>
      <c r="N37" s="861">
        <f t="shared" si="43"/>
        <v>226784.40000000002</v>
      </c>
      <c r="O37" s="861">
        <f t="shared" si="43"/>
        <v>24747.5</v>
      </c>
      <c r="P37" s="861">
        <f t="shared" si="43"/>
        <v>50495.400000000023</v>
      </c>
      <c r="Q37" s="861">
        <f t="shared" si="43"/>
        <v>57146.600000000006</v>
      </c>
      <c r="R37" s="861">
        <f t="shared" si="43"/>
        <v>59900.5</v>
      </c>
      <c r="S37" s="861">
        <f t="shared" si="43"/>
        <v>86425.1</v>
      </c>
      <c r="T37" s="861">
        <f t="shared" si="43"/>
        <v>38557.300000000003</v>
      </c>
      <c r="U37" s="861">
        <f t="shared" si="43"/>
        <v>22863.9</v>
      </c>
      <c r="V37" s="861">
        <f t="shared" si="43"/>
        <v>87450.5</v>
      </c>
      <c r="W37" s="861">
        <f t="shared" si="43"/>
        <v>180004.6</v>
      </c>
      <c r="X37" s="861">
        <f t="shared" si="43"/>
        <v>87070.6</v>
      </c>
      <c r="Y37" s="861">
        <f t="shared" si="43"/>
        <v>179260</v>
      </c>
      <c r="Z37" s="861">
        <f t="shared" si="43"/>
        <v>102193.4</v>
      </c>
      <c r="AA37" s="861">
        <f t="shared" si="43"/>
        <v>209490.5</v>
      </c>
      <c r="AB37" s="861">
        <f t="shared" si="43"/>
        <v>244293.40000000002</v>
      </c>
      <c r="AC37" s="861">
        <f t="shared" si="43"/>
        <v>190866.30000000002</v>
      </c>
      <c r="AD37" s="862">
        <v>7744521.6000000006</v>
      </c>
      <c r="AE37" s="844" t="s">
        <v>79</v>
      </c>
      <c r="AF37" s="861">
        <v>500036.8</v>
      </c>
      <c r="AG37" s="861">
        <v>301033.40000000002</v>
      </c>
      <c r="AH37" s="861">
        <v>1591150</v>
      </c>
      <c r="AI37" s="861">
        <v>2384489.2000000002</v>
      </c>
      <c r="AJ37" s="861">
        <v>2685329.1999999997</v>
      </c>
      <c r="AK37" s="861">
        <v>2310031.4</v>
      </c>
      <c r="AL37" s="861">
        <v>176483</v>
      </c>
      <c r="AM37" s="861">
        <v>4995554</v>
      </c>
      <c r="AN37" s="861">
        <v>4952999</v>
      </c>
      <c r="AO37" s="880"/>
      <c r="AP37" s="877" t="s">
        <v>3</v>
      </c>
      <c r="AQ37" s="852">
        <v>0.86767553689157739</v>
      </c>
      <c r="AR37" s="852">
        <v>0.98994030911609621</v>
      </c>
      <c r="AS37" s="852">
        <v>0.14649963656187537</v>
      </c>
      <c r="AT37" s="852">
        <v>0.98943261022505558</v>
      </c>
      <c r="AU37" s="852">
        <v>0.62283072869343992</v>
      </c>
    </row>
    <row r="38" spans="1:47" s="743" customFormat="1" ht="45" x14ac:dyDescent="0.25">
      <c r="A38" s="916"/>
      <c r="B38" s="847" t="s">
        <v>8</v>
      </c>
      <c r="C38" s="864">
        <v>5321</v>
      </c>
      <c r="D38" s="864">
        <v>2948</v>
      </c>
      <c r="E38" s="864">
        <v>2948</v>
      </c>
      <c r="F38" s="864">
        <v>7143</v>
      </c>
      <c r="G38" s="864">
        <v>3360</v>
      </c>
      <c r="H38" s="864">
        <v>13616</v>
      </c>
      <c r="I38" s="864">
        <v>6949</v>
      </c>
      <c r="J38" s="864">
        <v>1379</v>
      </c>
      <c r="K38" s="864">
        <v>5979</v>
      </c>
      <c r="L38" s="864">
        <v>6618</v>
      </c>
      <c r="M38" s="864">
        <v>6669</v>
      </c>
      <c r="N38" s="864">
        <v>10872</v>
      </c>
      <c r="O38" s="864">
        <v>3430</v>
      </c>
      <c r="P38" s="864">
        <v>7807</v>
      </c>
      <c r="Q38" s="864">
        <v>1827</v>
      </c>
      <c r="R38" s="864">
        <v>4598</v>
      </c>
      <c r="S38" s="864">
        <v>10019</v>
      </c>
      <c r="T38" s="598">
        <v>1716</v>
      </c>
      <c r="U38" s="598">
        <v>1103</v>
      </c>
      <c r="V38" s="864">
        <v>1858</v>
      </c>
      <c r="W38" s="864">
        <v>2490</v>
      </c>
      <c r="X38" s="864">
        <v>946</v>
      </c>
      <c r="Y38" s="864">
        <v>1224</v>
      </c>
      <c r="Z38" s="864">
        <v>561</v>
      </c>
      <c r="AA38" s="864">
        <v>1113</v>
      </c>
      <c r="AB38" s="864">
        <v>795</v>
      </c>
      <c r="AC38" s="864">
        <v>0</v>
      </c>
      <c r="AD38" s="843">
        <v>113289</v>
      </c>
      <c r="AE38" s="849" t="s">
        <v>8</v>
      </c>
      <c r="AF38" s="861">
        <v>5321</v>
      </c>
      <c r="AG38" s="861">
        <v>2948</v>
      </c>
      <c r="AH38" s="861">
        <v>27377</v>
      </c>
      <c r="AI38" s="861">
        <v>24612</v>
      </c>
      <c r="AJ38" s="861">
        <v>28355</v>
      </c>
      <c r="AK38" s="861">
        <v>21857</v>
      </c>
      <c r="AL38" s="861">
        <v>2819</v>
      </c>
      <c r="AM38" s="861">
        <v>49417</v>
      </c>
      <c r="AN38" s="861">
        <v>63872</v>
      </c>
      <c r="AO38" s="880" t="s">
        <v>192</v>
      </c>
      <c r="AP38" s="842" t="s">
        <v>4</v>
      </c>
      <c r="AQ38" s="843">
        <v>97433.600000000006</v>
      </c>
      <c r="AR38" s="843">
        <v>243584.4</v>
      </c>
      <c r="AS38" s="843">
        <v>132070.29999999999</v>
      </c>
      <c r="AT38" s="843">
        <v>292299.3</v>
      </c>
      <c r="AU38" s="843">
        <v>132070.39999999999</v>
      </c>
    </row>
    <row r="39" spans="1:47" s="743" customFormat="1" x14ac:dyDescent="0.25">
      <c r="A39" s="916"/>
      <c r="B39" s="842" t="s">
        <v>77</v>
      </c>
      <c r="C39" s="861">
        <v>179408.15700000001</v>
      </c>
      <c r="D39" s="861">
        <v>99397.716</v>
      </c>
      <c r="E39" s="861">
        <v>99397.716</v>
      </c>
      <c r="F39" s="861">
        <v>240840.53099999999</v>
      </c>
      <c r="G39" s="861">
        <v>113289.12</v>
      </c>
      <c r="H39" s="861">
        <v>459090.67199999996</v>
      </c>
      <c r="I39" s="861">
        <v>234299.43299999999</v>
      </c>
      <c r="J39" s="861">
        <v>46495.742999999995</v>
      </c>
      <c r="K39" s="861">
        <v>201593.943</v>
      </c>
      <c r="L39" s="861">
        <v>223139.106</v>
      </c>
      <c r="M39" s="861">
        <v>224858.67299999998</v>
      </c>
      <c r="N39" s="861">
        <v>366571.22399999999</v>
      </c>
      <c r="O39" s="861">
        <v>115649.31</v>
      </c>
      <c r="P39" s="861">
        <v>175092.38099999999</v>
      </c>
      <c r="Q39" s="861">
        <v>61600.958999999995</v>
      </c>
      <c r="R39" s="861">
        <v>155030.766</v>
      </c>
      <c r="S39" s="861">
        <v>337810.62299999996</v>
      </c>
      <c r="T39" s="866">
        <v>57858.371999999996</v>
      </c>
      <c r="U39" s="866">
        <v>37189.850999999995</v>
      </c>
      <c r="V39" s="866">
        <v>62646.185999999994</v>
      </c>
      <c r="W39" s="866">
        <v>83955.33</v>
      </c>
      <c r="X39" s="866">
        <v>31896.281999999999</v>
      </c>
      <c r="Y39" s="866">
        <v>41269.608</v>
      </c>
      <c r="Z39" s="866">
        <v>18915.237000000001</v>
      </c>
      <c r="AA39" s="866">
        <v>37527.021000000001</v>
      </c>
      <c r="AB39" s="866">
        <v>26805.014999999999</v>
      </c>
      <c r="AC39" s="866">
        <v>0</v>
      </c>
      <c r="AD39" s="867">
        <v>3731628.9750000006</v>
      </c>
      <c r="AE39" s="844" t="s">
        <v>77</v>
      </c>
      <c r="AF39" s="861">
        <v>179408.15700000001</v>
      </c>
      <c r="AG39" s="861">
        <v>99397.716</v>
      </c>
      <c r="AH39" s="861">
        <v>923070.30900000001</v>
      </c>
      <c r="AI39" s="861">
        <v>829842.804</v>
      </c>
      <c r="AJ39" s="861">
        <v>956045.53499999992</v>
      </c>
      <c r="AK39" s="861">
        <v>736952.46899999992</v>
      </c>
      <c r="AL39" s="861">
        <v>95048.222999999998</v>
      </c>
      <c r="AM39" s="861">
        <v>1666192.9889999998</v>
      </c>
      <c r="AN39" s="861">
        <v>2153572.2239999999</v>
      </c>
      <c r="AO39" s="911"/>
      <c r="AP39" s="847" t="s">
        <v>5</v>
      </c>
      <c r="AQ39" s="583">
        <v>38973.199999999997</v>
      </c>
      <c r="AR39" s="583">
        <v>124350.5</v>
      </c>
      <c r="AS39" s="583">
        <v>3817.1</v>
      </c>
      <c r="AT39" s="583">
        <v>109009</v>
      </c>
      <c r="AU39" s="583">
        <v>33401</v>
      </c>
    </row>
    <row r="40" spans="1:47" s="743" customFormat="1" x14ac:dyDescent="0.25">
      <c r="A40" s="916"/>
      <c r="B40" s="851" t="s">
        <v>218</v>
      </c>
      <c r="C40" s="852">
        <v>0.71757981412568039</v>
      </c>
      <c r="D40" s="852">
        <v>0.66037666252316185</v>
      </c>
      <c r="E40" s="869">
        <v>0.66037666252316185</v>
      </c>
      <c r="F40" s="869">
        <v>1.3233083459890944</v>
      </c>
      <c r="G40" s="869">
        <v>0.68342920157788967</v>
      </c>
      <c r="H40" s="869">
        <v>1.1786515500442869</v>
      </c>
      <c r="I40" s="869">
        <v>1.3624000686144246</v>
      </c>
      <c r="J40" s="869">
        <v>0.27996328833439704</v>
      </c>
      <c r="K40" s="869">
        <v>1.6255059136004748</v>
      </c>
      <c r="L40" s="869">
        <v>0.99584018829729115</v>
      </c>
      <c r="M40" s="869">
        <v>1.1648952049198797</v>
      </c>
      <c r="N40" s="869">
        <v>0.83650063358601467</v>
      </c>
      <c r="O40" s="869">
        <v>1.3927141288168903</v>
      </c>
      <c r="P40" s="869">
        <v>0.63409309876782849</v>
      </c>
      <c r="Q40" s="869">
        <v>0.74183344412491503</v>
      </c>
      <c r="R40" s="869">
        <v>0.80906075727670956</v>
      </c>
      <c r="S40" s="869">
        <v>1.3099197631516188</v>
      </c>
      <c r="T40" s="852">
        <v>1.0490901706224727</v>
      </c>
      <c r="U40" s="852">
        <v>1.1238830177845605</v>
      </c>
      <c r="V40" s="852">
        <v>0.61299737270845867</v>
      </c>
      <c r="W40" s="852">
        <v>0.40074812705701529</v>
      </c>
      <c r="X40" s="852">
        <v>0.31210738136824645</v>
      </c>
      <c r="Y40" s="852">
        <v>0.19699426004730389</v>
      </c>
      <c r="Z40" s="852">
        <v>0.18508693546256477</v>
      </c>
      <c r="AA40" s="852">
        <v>0.1791295845037984</v>
      </c>
      <c r="AB40" s="852">
        <v>0.10205295557453249</v>
      </c>
      <c r="AC40" s="852">
        <v>0</v>
      </c>
      <c r="AD40" s="854">
        <v>0.75018527317490302</v>
      </c>
      <c r="AE40" s="855" t="s">
        <v>218</v>
      </c>
      <c r="AF40" s="852">
        <v>0.71757981412568039</v>
      </c>
      <c r="AG40" s="852">
        <v>0.66037666252316185</v>
      </c>
      <c r="AH40" s="852">
        <v>1.1602555497596079</v>
      </c>
      <c r="AI40" s="852">
        <v>0.69603402187772534</v>
      </c>
      <c r="AJ40" s="852">
        <v>0.71205089863842397</v>
      </c>
      <c r="AK40" s="852">
        <v>0.63804541271603488</v>
      </c>
      <c r="AL40" s="852">
        <v>1.0771374353337149</v>
      </c>
      <c r="AM40" s="852">
        <v>0.66707035455927399</v>
      </c>
      <c r="AN40" s="852">
        <v>0.86960333486843022</v>
      </c>
      <c r="AO40" s="911"/>
      <c r="AP40" s="851" t="s">
        <v>3</v>
      </c>
      <c r="AQ40" s="852">
        <v>0.39999753678402516</v>
      </c>
      <c r="AR40" s="852">
        <v>0.51050272513346506</v>
      </c>
      <c r="AS40" s="852">
        <v>2.8902031720984961E-2</v>
      </c>
      <c r="AT40" s="852">
        <v>0.37293623351133581</v>
      </c>
      <c r="AU40" s="852">
        <v>0.25290299718937781</v>
      </c>
    </row>
    <row r="41" spans="1:47" s="743" customFormat="1" x14ac:dyDescent="0.25">
      <c r="A41" s="911"/>
      <c r="B41" s="851" t="s">
        <v>219</v>
      </c>
      <c r="C41" s="598">
        <v>168937</v>
      </c>
      <c r="D41" s="598">
        <v>98992.5</v>
      </c>
      <c r="E41" s="598">
        <v>98992.5</v>
      </c>
      <c r="F41" s="598">
        <v>222843</v>
      </c>
      <c r="G41" s="598">
        <v>111003</v>
      </c>
      <c r="H41" s="598">
        <v>444018</v>
      </c>
      <c r="I41" s="598">
        <v>159522</v>
      </c>
      <c r="J41" s="598">
        <v>46536.5</v>
      </c>
      <c r="K41" s="598">
        <v>143176</v>
      </c>
      <c r="L41" s="598">
        <v>223522</v>
      </c>
      <c r="M41" s="598">
        <v>220891</v>
      </c>
      <c r="N41" s="598">
        <v>366652</v>
      </c>
      <c r="O41" s="598">
        <v>115693</v>
      </c>
      <c r="P41" s="598">
        <v>146837</v>
      </c>
      <c r="Q41" s="598">
        <v>61652.2</v>
      </c>
      <c r="R41" s="598">
        <v>141268</v>
      </c>
      <c r="S41" s="598">
        <v>337989</v>
      </c>
      <c r="T41" s="598">
        <v>57858.1</v>
      </c>
      <c r="U41" s="598">
        <v>37189.699999999997</v>
      </c>
      <c r="V41" s="598">
        <v>62679.7</v>
      </c>
      <c r="W41" s="598">
        <v>62679.7</v>
      </c>
      <c r="X41" s="598">
        <v>31944.6</v>
      </c>
      <c r="Y41" s="598">
        <v>31910.9</v>
      </c>
      <c r="Z41" s="598">
        <v>18949</v>
      </c>
      <c r="AA41" s="598">
        <v>18949</v>
      </c>
      <c r="AB41" s="598">
        <v>26851.200000000001</v>
      </c>
      <c r="AC41" s="598">
        <v>0</v>
      </c>
      <c r="AD41" s="870">
        <v>3457536.600000001</v>
      </c>
      <c r="AE41" s="855" t="s">
        <v>219</v>
      </c>
      <c r="AF41" s="864">
        <v>168937</v>
      </c>
      <c r="AG41" s="864">
        <v>98992.5</v>
      </c>
      <c r="AH41" s="864">
        <v>890383</v>
      </c>
      <c r="AI41" s="864">
        <v>672803.29999999993</v>
      </c>
      <c r="AJ41" s="864">
        <v>952383.2</v>
      </c>
      <c r="AK41" s="864">
        <v>578989.80000000005</v>
      </c>
      <c r="AL41" s="864">
        <v>95047.799999999988</v>
      </c>
      <c r="AM41" s="864">
        <v>1350785.6</v>
      </c>
      <c r="AN41" s="864">
        <v>2106751</v>
      </c>
      <c r="AO41" s="911" t="s">
        <v>220</v>
      </c>
      <c r="AP41" s="851" t="s">
        <v>3</v>
      </c>
      <c r="AQ41" s="852">
        <v>0.38119624665106289</v>
      </c>
      <c r="AR41" s="852">
        <v>0.47677983409520408</v>
      </c>
      <c r="AS41" s="852">
        <v>2.9589946651719472E-2</v>
      </c>
      <c r="AT41" s="852">
        <v>0.45412051337057324</v>
      </c>
      <c r="AU41" s="852">
        <v>0.31543211186862841</v>
      </c>
    </row>
    <row r="42" spans="1:47" s="743" customFormat="1" x14ac:dyDescent="0.25">
      <c r="A42" s="911"/>
      <c r="B42" s="851" t="s">
        <v>217</v>
      </c>
      <c r="C42" s="869">
        <f t="shared" ref="C42:AD42" si="44">C41/C32</f>
        <v>0.67569826860743054</v>
      </c>
      <c r="D42" s="869">
        <f t="shared" si="44"/>
        <v>0.65768449613896662</v>
      </c>
      <c r="E42" s="869">
        <f t="shared" si="44"/>
        <v>0.65768449613896662</v>
      </c>
      <c r="F42" s="869">
        <f t="shared" si="44"/>
        <v>1.2244201610120506</v>
      </c>
      <c r="G42" s="869">
        <f t="shared" si="44"/>
        <v>0.66963792871504779</v>
      </c>
      <c r="H42" s="869">
        <f t="shared" si="44"/>
        <v>1.13995455770786</v>
      </c>
      <c r="I42" s="869">
        <f t="shared" si="44"/>
        <v>0.92758561539289031</v>
      </c>
      <c r="J42" s="869">
        <f t="shared" si="44"/>
        <v>0.28020869711822155</v>
      </c>
      <c r="K42" s="869">
        <f t="shared" si="44"/>
        <v>1.1544664052017752</v>
      </c>
      <c r="L42" s="869">
        <f t="shared" si="44"/>
        <v>0.99754899335568337</v>
      </c>
      <c r="M42" s="869">
        <f t="shared" si="44"/>
        <v>1.1443404129221966</v>
      </c>
      <c r="N42" s="869">
        <f t="shared" si="44"/>
        <v>0.83668496113480917</v>
      </c>
      <c r="O42" s="869">
        <f t="shared" si="44"/>
        <v>1.3932402684046494</v>
      </c>
      <c r="P42" s="869">
        <f t="shared" si="44"/>
        <v>0.53176687536033695</v>
      </c>
      <c r="Q42" s="869">
        <f t="shared" si="44"/>
        <v>0.7424505171076653</v>
      </c>
      <c r="R42" s="869">
        <f t="shared" si="44"/>
        <v>0.73723685954674445</v>
      </c>
      <c r="S42" s="869">
        <f t="shared" si="44"/>
        <v>1.3106114511616545</v>
      </c>
      <c r="T42" s="869">
        <f t="shared" si="44"/>
        <v>1.0490852387082736</v>
      </c>
      <c r="U42" s="869">
        <f t="shared" si="44"/>
        <v>1.1238784545413336</v>
      </c>
      <c r="V42" s="869">
        <f t="shared" si="44"/>
        <v>0.61332530957518117</v>
      </c>
      <c r="W42" s="869">
        <f t="shared" si="44"/>
        <v>0.29919211060805312</v>
      </c>
      <c r="X42" s="869">
        <f t="shared" si="44"/>
        <v>0.3125801764248286</v>
      </c>
      <c r="Y42" s="869">
        <f t="shared" si="44"/>
        <v>0.15232187649913007</v>
      </c>
      <c r="Z42" s="869">
        <f t="shared" si="44"/>
        <v>0.18541730881194562</v>
      </c>
      <c r="AA42" s="869">
        <f t="shared" si="44"/>
        <v>9.0450198452002778E-2</v>
      </c>
      <c r="AB42" s="869">
        <f t="shared" si="44"/>
        <v>0.10222879266148095</v>
      </c>
      <c r="AC42" s="869">
        <f t="shared" si="44"/>
        <v>0</v>
      </c>
      <c r="AD42" s="872">
        <f t="shared" si="44"/>
        <v>0.69508331513135646</v>
      </c>
      <c r="AE42" s="855" t="s">
        <v>217</v>
      </c>
      <c r="AF42" s="852">
        <f t="shared" ref="AF42:AN42" si="45">AF41/AF32</f>
        <v>0.67569826860743054</v>
      </c>
      <c r="AG42" s="852">
        <f t="shared" si="45"/>
        <v>0.65768449613896662</v>
      </c>
      <c r="AH42" s="852">
        <f t="shared" si="45"/>
        <v>1.1191691543851932</v>
      </c>
      <c r="AI42" s="852">
        <f t="shared" si="45"/>
        <v>0.56431650015441448</v>
      </c>
      <c r="AJ42" s="852">
        <f t="shared" si="45"/>
        <v>0.70932323679346287</v>
      </c>
      <c r="AK42" s="852">
        <f t="shared" si="45"/>
        <v>0.50128305615239699</v>
      </c>
      <c r="AL42" s="852">
        <f t="shared" si="45"/>
        <v>1.0771326416708691</v>
      </c>
      <c r="AM42" s="852">
        <f t="shared" si="45"/>
        <v>0.54079511501627253</v>
      </c>
      <c r="AN42" s="852">
        <f t="shared" si="45"/>
        <v>0.850697123096532</v>
      </c>
      <c r="AO42" s="911"/>
      <c r="AP42" s="851"/>
      <c r="AQ42" s="852"/>
      <c r="AR42" s="852"/>
      <c r="AS42" s="852"/>
      <c r="AT42" s="852"/>
      <c r="AU42" s="852"/>
    </row>
    <row r="43" spans="1:47" s="743" customFormat="1" x14ac:dyDescent="0.25">
      <c r="A43" s="917">
        <v>41801</v>
      </c>
      <c r="B43" s="917"/>
      <c r="C43" s="917"/>
      <c r="D43" s="529"/>
      <c r="E43" s="529"/>
      <c r="F43" s="529"/>
      <c r="G43" s="529"/>
      <c r="H43" s="529"/>
      <c r="I43" s="525"/>
      <c r="J43" s="531"/>
      <c r="K43" s="531"/>
      <c r="L43" s="529"/>
      <c r="M43" s="529"/>
      <c r="N43" s="527"/>
      <c r="R43" s="526"/>
      <c r="S43" s="534"/>
      <c r="T43" s="534"/>
      <c r="U43" s="534"/>
      <c r="V43" s="534"/>
      <c r="W43" s="534"/>
      <c r="X43" s="534"/>
      <c r="Y43" s="534"/>
      <c r="Z43" s="534"/>
      <c r="AA43" s="534"/>
      <c r="AB43" s="534"/>
      <c r="AC43" s="534"/>
      <c r="AD43" s="534"/>
      <c r="AE43" s="534"/>
      <c r="AF43" s="534"/>
      <c r="AG43" s="534"/>
      <c r="AH43" s="534"/>
      <c r="AI43" s="534"/>
    </row>
    <row r="44" spans="1:47" s="743" customFormat="1" x14ac:dyDescent="0.25">
      <c r="A44" s="918" t="s">
        <v>1</v>
      </c>
      <c r="B44" s="918"/>
      <c r="C44" s="901" t="s">
        <v>12</v>
      </c>
      <c r="D44" s="901" t="s">
        <v>12</v>
      </c>
      <c r="E44" s="901" t="s">
        <v>13</v>
      </c>
      <c r="F44" s="901" t="s">
        <v>13</v>
      </c>
      <c r="G44" s="901" t="s">
        <v>13</v>
      </c>
      <c r="H44" s="901" t="s">
        <v>13</v>
      </c>
      <c r="I44" s="901" t="s">
        <v>13</v>
      </c>
      <c r="J44" s="901" t="s">
        <v>13</v>
      </c>
      <c r="K44" s="901" t="s">
        <v>13</v>
      </c>
      <c r="L44" s="901" t="s">
        <v>13</v>
      </c>
      <c r="M44" s="832" t="s">
        <v>2</v>
      </c>
      <c r="N44" s="901" t="s">
        <v>2</v>
      </c>
      <c r="O44" s="901" t="s">
        <v>2</v>
      </c>
      <c r="P44" s="901" t="s">
        <v>2</v>
      </c>
      <c r="Q44" s="901" t="s">
        <v>2</v>
      </c>
      <c r="R44" s="901" t="s">
        <v>2</v>
      </c>
      <c r="S44" s="901" t="s">
        <v>2</v>
      </c>
      <c r="T44" s="833" t="s">
        <v>183</v>
      </c>
      <c r="U44" s="833" t="s">
        <v>183</v>
      </c>
      <c r="V44" s="833" t="s">
        <v>2</v>
      </c>
      <c r="W44" s="833" t="s">
        <v>13</v>
      </c>
      <c r="X44" s="833" t="s">
        <v>13</v>
      </c>
      <c r="Y44" s="833" t="s">
        <v>2</v>
      </c>
      <c r="Z44" s="833" t="s">
        <v>13</v>
      </c>
      <c r="AA44" s="833" t="s">
        <v>2</v>
      </c>
      <c r="AB44" s="892" t="s">
        <v>2</v>
      </c>
      <c r="AC44" s="834" t="s">
        <v>220</v>
      </c>
      <c r="AD44" s="835"/>
      <c r="AE44" s="836"/>
      <c r="AF44" s="836"/>
      <c r="AG44" s="836"/>
      <c r="AH44" s="836"/>
      <c r="AI44" s="836"/>
      <c r="AJ44" s="836"/>
      <c r="AK44" s="836"/>
      <c r="AL44" s="836"/>
      <c r="AM44" s="836"/>
      <c r="AN44" s="918" t="s">
        <v>1</v>
      </c>
      <c r="AO44" s="919"/>
      <c r="AP44" s="901" t="s">
        <v>12</v>
      </c>
      <c r="AQ44" s="920" t="s">
        <v>13</v>
      </c>
      <c r="AR44" s="921"/>
      <c r="AS44" s="920" t="s">
        <v>2</v>
      </c>
      <c r="AT44" s="921"/>
    </row>
    <row r="45" spans="1:47" s="743" customFormat="1" x14ac:dyDescent="0.25">
      <c r="A45" s="918" t="s">
        <v>0</v>
      </c>
      <c r="B45" s="918"/>
      <c r="C45" s="837" t="s">
        <v>99</v>
      </c>
      <c r="D45" s="838" t="s">
        <v>100</v>
      </c>
      <c r="E45" s="838" t="s">
        <v>101</v>
      </c>
      <c r="F45" s="837" t="s">
        <v>102</v>
      </c>
      <c r="G45" s="838" t="s">
        <v>97</v>
      </c>
      <c r="H45" s="837" t="s">
        <v>104</v>
      </c>
      <c r="I45" s="838" t="s">
        <v>103</v>
      </c>
      <c r="J45" s="838" t="s">
        <v>178</v>
      </c>
      <c r="K45" s="838" t="s">
        <v>200</v>
      </c>
      <c r="L45" s="837" t="s">
        <v>207</v>
      </c>
      <c r="M45" s="837" t="s">
        <v>105</v>
      </c>
      <c r="N45" s="837" t="s">
        <v>107</v>
      </c>
      <c r="O45" s="838" t="s">
        <v>98</v>
      </c>
      <c r="P45" s="838" t="s">
        <v>106</v>
      </c>
      <c r="Q45" s="838" t="s">
        <v>179</v>
      </c>
      <c r="R45" s="838" t="s">
        <v>199</v>
      </c>
      <c r="S45" s="837" t="s">
        <v>208</v>
      </c>
      <c r="T45" s="837" t="s">
        <v>182</v>
      </c>
      <c r="U45" s="837" t="s">
        <v>184</v>
      </c>
      <c r="V45" s="838" t="s">
        <v>222</v>
      </c>
      <c r="W45" s="838" t="s">
        <v>223</v>
      </c>
      <c r="X45" s="838" t="s">
        <v>256</v>
      </c>
      <c r="Y45" s="838" t="s">
        <v>257</v>
      </c>
      <c r="Z45" s="838" t="s">
        <v>267</v>
      </c>
      <c r="AA45" s="838" t="s">
        <v>268</v>
      </c>
      <c r="AB45" s="893" t="s">
        <v>269</v>
      </c>
      <c r="AC45" s="839"/>
      <c r="AD45" s="840"/>
      <c r="AE45" s="841" t="s">
        <v>258</v>
      </c>
      <c r="AF45" s="841" t="s">
        <v>259</v>
      </c>
      <c r="AG45" s="841" t="s">
        <v>260</v>
      </c>
      <c r="AH45" s="841" t="s">
        <v>261</v>
      </c>
      <c r="AI45" s="841" t="s">
        <v>262</v>
      </c>
      <c r="AJ45" s="841" t="s">
        <v>263</v>
      </c>
      <c r="AK45" s="841" t="s">
        <v>264</v>
      </c>
      <c r="AL45" s="841" t="s">
        <v>265</v>
      </c>
      <c r="AM45" s="841" t="s">
        <v>266</v>
      </c>
      <c r="AN45" s="922" t="s">
        <v>0</v>
      </c>
      <c r="AO45" s="919"/>
      <c r="AP45" s="837" t="s">
        <v>99</v>
      </c>
      <c r="AQ45" s="837" t="s">
        <v>104</v>
      </c>
      <c r="AR45" s="837" t="s">
        <v>207</v>
      </c>
      <c r="AS45" s="837" t="s">
        <v>107</v>
      </c>
      <c r="AT45" s="837" t="s">
        <v>208</v>
      </c>
    </row>
    <row r="46" spans="1:47" s="743" customFormat="1" ht="30" x14ac:dyDescent="0.25">
      <c r="A46" s="923" t="s">
        <v>9</v>
      </c>
      <c r="B46" s="842" t="s">
        <v>4</v>
      </c>
      <c r="C46" s="843">
        <v>250018.4</v>
      </c>
      <c r="D46" s="843">
        <v>150516.70000000001</v>
      </c>
      <c r="E46" s="843">
        <v>150516.70000000001</v>
      </c>
      <c r="F46" s="843">
        <v>181998.8</v>
      </c>
      <c r="G46" s="843">
        <v>165765.70000000001</v>
      </c>
      <c r="H46" s="843">
        <v>389505</v>
      </c>
      <c r="I46" s="843">
        <v>171975.5</v>
      </c>
      <c r="J46" s="843">
        <v>166078</v>
      </c>
      <c r="K46" s="843">
        <v>124019.2</v>
      </c>
      <c r="L46" s="843">
        <v>224071.2</v>
      </c>
      <c r="M46" s="843">
        <v>193029.1</v>
      </c>
      <c r="N46" s="843">
        <v>438219.9</v>
      </c>
      <c r="O46" s="843">
        <v>83038.8</v>
      </c>
      <c r="P46" s="843">
        <v>276130.40000000002</v>
      </c>
      <c r="Q46" s="843">
        <v>83038.8</v>
      </c>
      <c r="R46" s="843">
        <v>191618.2</v>
      </c>
      <c r="S46" s="843">
        <v>257886.5</v>
      </c>
      <c r="T46" s="843">
        <v>55151</v>
      </c>
      <c r="U46" s="843">
        <v>33090.5</v>
      </c>
      <c r="V46" s="843">
        <v>102196.5</v>
      </c>
      <c r="W46" s="843">
        <v>209496.5</v>
      </c>
      <c r="X46" s="843">
        <v>102196.5</v>
      </c>
      <c r="Y46" s="843">
        <v>209496.5</v>
      </c>
      <c r="Z46" s="843">
        <v>102196.5</v>
      </c>
      <c r="AA46" s="843">
        <v>209496.5</v>
      </c>
      <c r="AB46" s="843">
        <v>228473.60000000001</v>
      </c>
      <c r="AC46" s="843">
        <v>4749220.9999999991</v>
      </c>
      <c r="AD46" s="844" t="s">
        <v>4</v>
      </c>
      <c r="AE46" s="845">
        <v>250018.4</v>
      </c>
      <c r="AF46" s="845">
        <v>150516.70000000001</v>
      </c>
      <c r="AG46" s="845">
        <v>795575</v>
      </c>
      <c r="AH46" s="845">
        <v>1192244.6000000001</v>
      </c>
      <c r="AI46" s="845">
        <v>1117609.1000000001</v>
      </c>
      <c r="AJ46" s="845">
        <v>1155015.7</v>
      </c>
      <c r="AK46" s="845">
        <v>88241.5</v>
      </c>
      <c r="AL46" s="845">
        <v>2497777</v>
      </c>
      <c r="AM46" s="873">
        <v>2251444</v>
      </c>
      <c r="AN46" s="878" t="s">
        <v>195</v>
      </c>
      <c r="AO46" s="875" t="s">
        <v>4</v>
      </c>
      <c r="AP46" s="843">
        <v>143393</v>
      </c>
      <c r="AQ46" s="843">
        <v>132132</v>
      </c>
      <c r="AR46" s="843">
        <v>83196.100000000006</v>
      </c>
      <c r="AS46" s="843">
        <v>132132.20000000001</v>
      </c>
      <c r="AT46" s="843">
        <v>83196.100000000006</v>
      </c>
    </row>
    <row r="47" spans="1:47" s="743" customFormat="1" x14ac:dyDescent="0.25">
      <c r="A47" s="923"/>
      <c r="B47" s="847" t="s">
        <v>5</v>
      </c>
      <c r="C47" s="583">
        <v>102703.9</v>
      </c>
      <c r="D47" s="583">
        <v>83557.8</v>
      </c>
      <c r="E47" s="583">
        <v>84266.9</v>
      </c>
      <c r="F47" s="583">
        <v>147811.4</v>
      </c>
      <c r="G47" s="583">
        <v>114725</v>
      </c>
      <c r="H47" s="583">
        <v>214253.3</v>
      </c>
      <c r="I47" s="583">
        <v>121800.6</v>
      </c>
      <c r="J47" s="583">
        <v>50007</v>
      </c>
      <c r="K47" s="583">
        <v>82666</v>
      </c>
      <c r="L47" s="583">
        <v>71507.7</v>
      </c>
      <c r="M47" s="583">
        <v>147277.29999999999</v>
      </c>
      <c r="N47" s="583">
        <v>211078.5</v>
      </c>
      <c r="O47" s="583">
        <v>57914.9</v>
      </c>
      <c r="P47" s="583">
        <v>225227.2</v>
      </c>
      <c r="Q47" s="583">
        <v>25860.799999999999</v>
      </c>
      <c r="R47" s="583">
        <v>125937</v>
      </c>
      <c r="S47" s="583">
        <v>167687.29999999999</v>
      </c>
      <c r="T47" s="583">
        <v>16593.7</v>
      </c>
      <c r="U47" s="583">
        <v>10226.6</v>
      </c>
      <c r="V47" s="583">
        <v>14431.1</v>
      </c>
      <c r="W47" s="583">
        <v>28862.2</v>
      </c>
      <c r="X47" s="583">
        <v>8037.3</v>
      </c>
      <c r="Y47" s="583">
        <v>16059.2</v>
      </c>
      <c r="Z47" s="583">
        <v>3.1</v>
      </c>
      <c r="AA47" s="583">
        <v>6</v>
      </c>
      <c r="AB47" s="583">
        <v>18050.2</v>
      </c>
      <c r="AC47" s="848">
        <v>2146552.0000000005</v>
      </c>
      <c r="AD47" s="849" t="s">
        <v>5</v>
      </c>
      <c r="AE47" s="850">
        <v>102703.9</v>
      </c>
      <c r="AF47" s="850">
        <v>83557.8</v>
      </c>
      <c r="AG47" s="850">
        <v>433572.39999999997</v>
      </c>
      <c r="AH47" s="845">
        <v>490368.1</v>
      </c>
      <c r="AI47" s="845">
        <v>544093.29999999993</v>
      </c>
      <c r="AJ47" s="845">
        <v>465436.2</v>
      </c>
      <c r="AK47" s="845">
        <v>26820.300000000003</v>
      </c>
      <c r="AL47" s="845">
        <v>1039362.1000000001</v>
      </c>
      <c r="AM47" s="873">
        <v>1107189.8999999999</v>
      </c>
      <c r="AN47" s="879"/>
      <c r="AO47" s="876" t="s">
        <v>5</v>
      </c>
      <c r="AP47" s="583">
        <v>51964.9</v>
      </c>
      <c r="AQ47" s="583">
        <v>58542</v>
      </c>
      <c r="AR47" s="583">
        <v>2519</v>
      </c>
      <c r="AS47" s="583">
        <v>70731</v>
      </c>
      <c r="AT47" s="583">
        <v>31444.9</v>
      </c>
    </row>
    <row r="48" spans="1:47" s="743" customFormat="1" x14ac:dyDescent="0.25">
      <c r="A48" s="923"/>
      <c r="B48" s="851" t="s">
        <v>3</v>
      </c>
      <c r="C48" s="852">
        <v>0.41078536619704786</v>
      </c>
      <c r="D48" s="852">
        <v>0.55513972868126926</v>
      </c>
      <c r="E48" s="852">
        <v>0.55985083382774126</v>
      </c>
      <c r="F48" s="853">
        <v>0.81215590432464391</v>
      </c>
      <c r="G48" s="852">
        <v>0.69209130718839895</v>
      </c>
      <c r="H48" s="852">
        <v>0.55006559607707217</v>
      </c>
      <c r="I48" s="852">
        <v>0.70824390683556671</v>
      </c>
      <c r="J48" s="852">
        <v>0.30110550464239694</v>
      </c>
      <c r="K48" s="852">
        <v>0.66655808132934258</v>
      </c>
      <c r="L48" s="852">
        <v>0.31912936602294267</v>
      </c>
      <c r="M48" s="853">
        <v>0.76297977869657985</v>
      </c>
      <c r="N48" s="852">
        <v>0.48167255754473948</v>
      </c>
      <c r="O48" s="852">
        <v>0.69744384552763283</v>
      </c>
      <c r="P48" s="852">
        <v>0.81565521217511727</v>
      </c>
      <c r="Q48" s="852">
        <v>0.31143031932060672</v>
      </c>
      <c r="R48" s="852">
        <v>0.65722880185702603</v>
      </c>
      <c r="S48" s="852">
        <v>0.65023682899259938</v>
      </c>
      <c r="T48" s="852">
        <v>0.30087759061485742</v>
      </c>
      <c r="U48" s="852">
        <v>0.30904942506157357</v>
      </c>
      <c r="V48" s="852">
        <v>0.1412093369146693</v>
      </c>
      <c r="W48" s="852">
        <v>0.13776936607532822</v>
      </c>
      <c r="X48" s="852">
        <v>7.8645550483627133E-2</v>
      </c>
      <c r="Y48" s="852">
        <v>7.6656173253491111E-2</v>
      </c>
      <c r="Z48" s="852">
        <v>3.0333719843634569E-5</v>
      </c>
      <c r="AA48" s="852">
        <v>2.8640096612592574E-5</v>
      </c>
      <c r="AB48" s="852">
        <v>7.9003438471665868E-2</v>
      </c>
      <c r="AC48" s="854">
        <v>0.45197980889918599</v>
      </c>
      <c r="AD48" s="855" t="s">
        <v>3</v>
      </c>
      <c r="AE48" s="856">
        <v>0.41078536619704786</v>
      </c>
      <c r="AF48" s="856">
        <v>0.55513972868126926</v>
      </c>
      <c r="AG48" s="856">
        <v>0.54497992018351504</v>
      </c>
      <c r="AH48" s="856">
        <v>0.41129823527823062</v>
      </c>
      <c r="AI48" s="856">
        <v>0.48683685556962614</v>
      </c>
      <c r="AJ48" s="856">
        <v>0.40296958733980848</v>
      </c>
      <c r="AK48" s="856">
        <v>0.30394202274440035</v>
      </c>
      <c r="AL48" s="856">
        <v>0.41611484932401893</v>
      </c>
      <c r="AM48" s="874">
        <v>0.49176879371638821</v>
      </c>
      <c r="AN48" s="879"/>
      <c r="AO48" s="877" t="s">
        <v>3</v>
      </c>
      <c r="AP48" s="852">
        <f>AP47/AP46</f>
        <v>0.36239495651810061</v>
      </c>
      <c r="AQ48" s="852">
        <f>AQ47/AQ46</f>
        <v>0.44305694305694304</v>
      </c>
      <c r="AR48" s="852">
        <f>AR47/AR46</f>
        <v>3.0277861582453984E-2</v>
      </c>
      <c r="AS48" s="852">
        <f>AS47/AS46</f>
        <v>0.53530479322981073</v>
      </c>
      <c r="AT48" s="852">
        <f>AT47/AT46</f>
        <v>0.37796122654787906</v>
      </c>
    </row>
    <row r="49" spans="1:46" s="743" customFormat="1" ht="30" x14ac:dyDescent="0.25">
      <c r="A49" s="916" t="s">
        <v>6</v>
      </c>
      <c r="B49" s="857" t="s">
        <v>7</v>
      </c>
      <c r="C49" s="843">
        <v>5644</v>
      </c>
      <c r="D49" s="843">
        <v>3620</v>
      </c>
      <c r="E49" s="843">
        <v>3591</v>
      </c>
      <c r="F49" s="843">
        <v>9273</v>
      </c>
      <c r="G49" s="843">
        <v>8432</v>
      </c>
      <c r="H49" s="843">
        <v>15703</v>
      </c>
      <c r="I49" s="843">
        <v>8298</v>
      </c>
      <c r="J49" s="843">
        <v>9599</v>
      </c>
      <c r="K49" s="843">
        <v>7072</v>
      </c>
      <c r="L49" s="843">
        <v>9414</v>
      </c>
      <c r="M49" s="843">
        <v>8345</v>
      </c>
      <c r="N49" s="843">
        <v>11924</v>
      </c>
      <c r="O49" s="843">
        <v>4357</v>
      </c>
      <c r="P49" s="843">
        <v>10643</v>
      </c>
      <c r="Q49" s="843">
        <v>4799</v>
      </c>
      <c r="R49" s="843">
        <v>9711</v>
      </c>
      <c r="S49" s="843">
        <v>11664</v>
      </c>
      <c r="T49" s="858">
        <v>2480</v>
      </c>
      <c r="U49" s="858">
        <v>1570</v>
      </c>
      <c r="V49" s="843">
        <v>3999</v>
      </c>
      <c r="W49" s="843">
        <v>7999</v>
      </c>
      <c r="X49" s="843">
        <v>3999</v>
      </c>
      <c r="Y49" s="843">
        <v>7999</v>
      </c>
      <c r="Z49" s="843">
        <v>3999</v>
      </c>
      <c r="AA49" s="843">
        <v>7999</v>
      </c>
      <c r="AB49" s="843">
        <v>11999</v>
      </c>
      <c r="AC49" s="843">
        <v>194132</v>
      </c>
      <c r="AD49" s="859" t="s">
        <v>7</v>
      </c>
      <c r="AE49" s="845">
        <v>5644</v>
      </c>
      <c r="AF49" s="845">
        <v>3620</v>
      </c>
      <c r="AG49" s="845">
        <v>34390</v>
      </c>
      <c r="AH49" s="845">
        <v>52989</v>
      </c>
      <c r="AI49" s="845">
        <v>43932</v>
      </c>
      <c r="AJ49" s="845">
        <v>49507</v>
      </c>
      <c r="AK49" s="845">
        <v>4050</v>
      </c>
      <c r="AL49" s="845">
        <v>106116</v>
      </c>
      <c r="AM49" s="873">
        <v>88016</v>
      </c>
      <c r="AN49" s="883" t="s">
        <v>191</v>
      </c>
      <c r="AO49" s="882" t="s">
        <v>4</v>
      </c>
      <c r="AP49" s="860">
        <v>9191.7999999999993</v>
      </c>
      <c r="AQ49" s="860">
        <v>13787.7</v>
      </c>
      <c r="AR49" s="860">
        <v>8804.7999999999993</v>
      </c>
      <c r="AS49" s="860">
        <v>13787.7</v>
      </c>
      <c r="AT49" s="860">
        <v>8804.7999999999993</v>
      </c>
    </row>
    <row r="50" spans="1:46" s="743" customFormat="1" x14ac:dyDescent="0.25">
      <c r="A50" s="916"/>
      <c r="B50" s="842" t="s">
        <v>11</v>
      </c>
      <c r="C50" s="861">
        <v>190298.74799999999</v>
      </c>
      <c r="D50" s="861">
        <v>122055.54</v>
      </c>
      <c r="E50" s="861">
        <v>121077.74699999999</v>
      </c>
      <c r="F50" s="861">
        <v>312657.74099999998</v>
      </c>
      <c r="G50" s="861">
        <v>284301.74400000001</v>
      </c>
      <c r="H50" s="861">
        <v>529458.05099999998</v>
      </c>
      <c r="I50" s="861">
        <v>279783.66599999997</v>
      </c>
      <c r="J50" s="861">
        <v>323649.48300000001</v>
      </c>
      <c r="K50" s="861">
        <v>238446.62399999998</v>
      </c>
      <c r="L50" s="861">
        <v>317411.83799999999</v>
      </c>
      <c r="M50" s="861">
        <v>281368.36499999999</v>
      </c>
      <c r="N50" s="861">
        <v>402041.50799999997</v>
      </c>
      <c r="O50" s="861">
        <v>146904.96899999998</v>
      </c>
      <c r="P50" s="861">
        <v>358850.03099999996</v>
      </c>
      <c r="Q50" s="861">
        <v>161807.883</v>
      </c>
      <c r="R50" s="861">
        <v>327425.78700000001</v>
      </c>
      <c r="S50" s="861">
        <v>393275.08799999999</v>
      </c>
      <c r="T50" s="861">
        <v>83618.16</v>
      </c>
      <c r="U50" s="861">
        <v>52935.689999999995</v>
      </c>
      <c r="V50" s="861">
        <v>134834.283</v>
      </c>
      <c r="W50" s="861">
        <v>269702.283</v>
      </c>
      <c r="X50" s="861">
        <v>134834.283</v>
      </c>
      <c r="Y50" s="861">
        <v>269702.283</v>
      </c>
      <c r="Z50" s="861">
        <v>134834.283</v>
      </c>
      <c r="AA50" s="861">
        <v>269702.283</v>
      </c>
      <c r="AB50" s="861">
        <v>404570.283</v>
      </c>
      <c r="AC50" s="862">
        <v>6545548.6439999985</v>
      </c>
      <c r="AD50" s="844" t="s">
        <v>11</v>
      </c>
      <c r="AE50" s="863">
        <v>190298.74799999999</v>
      </c>
      <c r="AF50" s="863">
        <v>122055.54</v>
      </c>
      <c r="AG50" s="863">
        <v>1159527.6299999999</v>
      </c>
      <c r="AH50" s="863">
        <v>1786630.1129999999</v>
      </c>
      <c r="AI50" s="863">
        <v>1481255.2439999999</v>
      </c>
      <c r="AJ50" s="863">
        <v>1669227.5189999999</v>
      </c>
      <c r="AK50" s="863">
        <v>136553.85</v>
      </c>
      <c r="AL50" s="863">
        <v>3577913.1719999998</v>
      </c>
      <c r="AM50" s="881">
        <v>2967635.4720000001</v>
      </c>
      <c r="AN50" s="879"/>
      <c r="AO50" s="876" t="s">
        <v>5</v>
      </c>
      <c r="AP50" s="583">
        <v>7975.5</v>
      </c>
      <c r="AQ50" s="583">
        <v>13649</v>
      </c>
      <c r="AR50" s="583">
        <v>1289.9000000000001</v>
      </c>
      <c r="AS50" s="583">
        <v>13642</v>
      </c>
      <c r="AT50" s="583">
        <v>5483.9</v>
      </c>
    </row>
    <row r="51" spans="1:46" s="743" customFormat="1" x14ac:dyDescent="0.25">
      <c r="A51" s="916"/>
      <c r="B51" s="842" t="s">
        <v>79</v>
      </c>
      <c r="C51" s="861">
        <f>C46-C47</f>
        <v>147314.5</v>
      </c>
      <c r="D51" s="861">
        <f t="shared" ref="D51:AC51" si="46">D46-D47</f>
        <v>66958.900000000009</v>
      </c>
      <c r="E51" s="861">
        <f t="shared" si="46"/>
        <v>66249.800000000017</v>
      </c>
      <c r="F51" s="861">
        <f t="shared" si="46"/>
        <v>34187.399999999994</v>
      </c>
      <c r="G51" s="861">
        <f t="shared" si="46"/>
        <v>51040.700000000012</v>
      </c>
      <c r="H51" s="861">
        <f t="shared" si="46"/>
        <v>175251.7</v>
      </c>
      <c r="I51" s="861">
        <f t="shared" si="46"/>
        <v>50174.899999999994</v>
      </c>
      <c r="J51" s="861">
        <f t="shared" si="46"/>
        <v>116071</v>
      </c>
      <c r="K51" s="861">
        <f t="shared" si="46"/>
        <v>41353.199999999997</v>
      </c>
      <c r="L51" s="861">
        <f t="shared" si="46"/>
        <v>152563.5</v>
      </c>
      <c r="M51" s="861">
        <f t="shared" si="46"/>
        <v>45751.800000000017</v>
      </c>
      <c r="N51" s="861">
        <f t="shared" si="46"/>
        <v>227141.40000000002</v>
      </c>
      <c r="O51" s="861">
        <f t="shared" si="46"/>
        <v>25123.9</v>
      </c>
      <c r="P51" s="861">
        <f t="shared" si="46"/>
        <v>50903.200000000012</v>
      </c>
      <c r="Q51" s="861">
        <f t="shared" si="46"/>
        <v>57178</v>
      </c>
      <c r="R51" s="861">
        <f t="shared" si="46"/>
        <v>65681.200000000012</v>
      </c>
      <c r="S51" s="861">
        <f t="shared" si="46"/>
        <v>90199.200000000012</v>
      </c>
      <c r="T51" s="861">
        <f t="shared" si="46"/>
        <v>38557.300000000003</v>
      </c>
      <c r="U51" s="861">
        <f t="shared" si="46"/>
        <v>22863.9</v>
      </c>
      <c r="V51" s="861">
        <f t="shared" si="46"/>
        <v>87765.4</v>
      </c>
      <c r="W51" s="861">
        <f t="shared" si="46"/>
        <v>180634.3</v>
      </c>
      <c r="X51" s="861">
        <f t="shared" si="46"/>
        <v>94159.2</v>
      </c>
      <c r="Y51" s="861">
        <f t="shared" si="46"/>
        <v>193437.3</v>
      </c>
      <c r="Z51" s="861">
        <f t="shared" si="46"/>
        <v>102193.4</v>
      </c>
      <c r="AA51" s="861">
        <f t="shared" si="46"/>
        <v>209490.5</v>
      </c>
      <c r="AB51" s="861">
        <f t="shared" si="46"/>
        <v>210423.4</v>
      </c>
      <c r="AC51" s="862">
        <f t="shared" si="46"/>
        <v>2602668.9999999986</v>
      </c>
      <c r="AD51" s="844" t="s">
        <v>79</v>
      </c>
      <c r="AE51" s="863">
        <v>500036.8</v>
      </c>
      <c r="AF51" s="863">
        <v>301033.40000000002</v>
      </c>
      <c r="AG51" s="863">
        <v>1591150</v>
      </c>
      <c r="AH51" s="863">
        <v>2384489.2000000002</v>
      </c>
      <c r="AI51" s="863">
        <v>2235218.2000000002</v>
      </c>
      <c r="AJ51" s="863">
        <v>2310031.4</v>
      </c>
      <c r="AK51" s="863">
        <v>176483</v>
      </c>
      <c r="AL51" s="863">
        <v>4995554</v>
      </c>
      <c r="AM51" s="881">
        <v>4502888</v>
      </c>
      <c r="AN51" s="880"/>
      <c r="AO51" s="877" t="s">
        <v>3</v>
      </c>
      <c r="AP51" s="852">
        <f>AP50/AP49</f>
        <v>0.86767553689157739</v>
      </c>
      <c r="AQ51" s="852">
        <f>AQ50/AQ49</f>
        <v>0.98994030911609621</v>
      </c>
      <c r="AR51" s="852">
        <f>AR50/AR49</f>
        <v>0.14649963656187537</v>
      </c>
      <c r="AS51" s="852">
        <f>AS50/AS49</f>
        <v>0.98943261022505558</v>
      </c>
      <c r="AT51" s="852">
        <f>AT50/AT49</f>
        <v>0.62283072869343992</v>
      </c>
    </row>
    <row r="52" spans="1:46" s="743" customFormat="1" ht="30" x14ac:dyDescent="0.25">
      <c r="A52" s="916"/>
      <c r="B52" s="847" t="s">
        <v>8</v>
      </c>
      <c r="C52" s="864">
        <v>5321</v>
      </c>
      <c r="D52" s="864">
        <v>2948</v>
      </c>
      <c r="E52" s="864">
        <v>2948</v>
      </c>
      <c r="F52" s="864">
        <v>7524</v>
      </c>
      <c r="G52" s="864">
        <v>3348</v>
      </c>
      <c r="H52" s="864">
        <v>13616</v>
      </c>
      <c r="I52" s="864">
        <v>6949</v>
      </c>
      <c r="J52" s="864">
        <v>1379</v>
      </c>
      <c r="K52" s="864">
        <v>5956</v>
      </c>
      <c r="L52" s="864">
        <v>6588</v>
      </c>
      <c r="M52" s="864">
        <v>7040</v>
      </c>
      <c r="N52" s="864">
        <v>10872</v>
      </c>
      <c r="O52" s="864">
        <v>3430</v>
      </c>
      <c r="P52" s="864">
        <v>8071</v>
      </c>
      <c r="Q52" s="864">
        <v>1827</v>
      </c>
      <c r="R52" s="864">
        <v>4575</v>
      </c>
      <c r="S52" s="864">
        <v>10016</v>
      </c>
      <c r="T52" s="598">
        <v>1716</v>
      </c>
      <c r="U52" s="598">
        <v>1103</v>
      </c>
      <c r="V52" s="864">
        <v>1848</v>
      </c>
      <c r="W52" s="864">
        <v>2480</v>
      </c>
      <c r="X52" s="864">
        <v>682</v>
      </c>
      <c r="Y52" s="864">
        <v>960</v>
      </c>
      <c r="Z52" s="864">
        <v>561</v>
      </c>
      <c r="AA52" s="864">
        <v>1113</v>
      </c>
      <c r="AB52" s="864">
        <v>719</v>
      </c>
      <c r="AC52" s="843">
        <v>113590</v>
      </c>
      <c r="AD52" s="849" t="s">
        <v>8</v>
      </c>
      <c r="AE52" s="865">
        <v>5321</v>
      </c>
      <c r="AF52" s="865">
        <v>2948</v>
      </c>
      <c r="AG52" s="865">
        <v>27728</v>
      </c>
      <c r="AH52" s="845">
        <v>24303</v>
      </c>
      <c r="AI52" s="845">
        <v>28647</v>
      </c>
      <c r="AJ52" s="845">
        <v>21824</v>
      </c>
      <c r="AK52" s="845">
        <v>2819</v>
      </c>
      <c r="AL52" s="845">
        <v>49075</v>
      </c>
      <c r="AM52" s="845">
        <v>64515</v>
      </c>
      <c r="AN52" s="880" t="s">
        <v>192</v>
      </c>
      <c r="AO52" s="842" t="s">
        <v>4</v>
      </c>
      <c r="AP52" s="843">
        <v>97433.600000000006</v>
      </c>
      <c r="AQ52" s="843">
        <v>243584.4</v>
      </c>
      <c r="AR52" s="843">
        <v>132070.29999999999</v>
      </c>
      <c r="AS52" s="843">
        <v>292299.3</v>
      </c>
      <c r="AT52" s="843">
        <v>132070.39999999999</v>
      </c>
    </row>
    <row r="53" spans="1:46" s="743" customFormat="1" x14ac:dyDescent="0.25">
      <c r="A53" s="916"/>
      <c r="B53" s="842" t="s">
        <v>77</v>
      </c>
      <c r="C53" s="861">
        <v>179408.15700000001</v>
      </c>
      <c r="D53" s="861">
        <v>99397.716</v>
      </c>
      <c r="E53" s="861">
        <v>99397.716</v>
      </c>
      <c r="F53" s="861">
        <v>253686.70799999998</v>
      </c>
      <c r="G53" s="861">
        <v>112884.51599999999</v>
      </c>
      <c r="H53" s="861">
        <v>459090.67199999996</v>
      </c>
      <c r="I53" s="861">
        <v>234299.43299999999</v>
      </c>
      <c r="J53" s="861">
        <v>46495.742999999995</v>
      </c>
      <c r="K53" s="861">
        <v>200818.45199999999</v>
      </c>
      <c r="L53" s="861">
        <v>222127.59599999999</v>
      </c>
      <c r="M53" s="861">
        <v>237367.67999999999</v>
      </c>
      <c r="N53" s="861">
        <v>366571.22399999999</v>
      </c>
      <c r="O53" s="861">
        <v>115649.31</v>
      </c>
      <c r="P53" s="861">
        <v>183993.66899999999</v>
      </c>
      <c r="Q53" s="861">
        <v>61600.958999999995</v>
      </c>
      <c r="R53" s="861">
        <v>154255.27499999999</v>
      </c>
      <c r="S53" s="861">
        <v>337709.47200000001</v>
      </c>
      <c r="T53" s="866">
        <v>57858.371999999996</v>
      </c>
      <c r="U53" s="866">
        <v>37189.850999999995</v>
      </c>
      <c r="V53" s="866">
        <v>62309.015999999996</v>
      </c>
      <c r="W53" s="866">
        <v>83618.16</v>
      </c>
      <c r="X53" s="866">
        <v>22994.993999999999</v>
      </c>
      <c r="Y53" s="866">
        <v>32368.32</v>
      </c>
      <c r="Z53" s="866">
        <v>18915.237000000001</v>
      </c>
      <c r="AA53" s="866">
        <v>37527.021000000001</v>
      </c>
      <c r="AB53" s="866">
        <v>24242.522999999997</v>
      </c>
      <c r="AC53" s="867">
        <v>3741777.7919999999</v>
      </c>
      <c r="AD53" s="844" t="s">
        <v>77</v>
      </c>
      <c r="AE53" s="868">
        <v>179408.15700000001</v>
      </c>
      <c r="AF53" s="868">
        <v>99397.716</v>
      </c>
      <c r="AG53" s="868">
        <v>934904.97599999991</v>
      </c>
      <c r="AH53" s="868">
        <v>819424.25099999993</v>
      </c>
      <c r="AI53" s="868">
        <v>965890.89899999998</v>
      </c>
      <c r="AJ53" s="868">
        <v>735839.80799999996</v>
      </c>
      <c r="AK53" s="868">
        <v>95048.222999999998</v>
      </c>
      <c r="AL53" s="868">
        <v>1654661.7749999999</v>
      </c>
      <c r="AM53" s="868">
        <v>2175252.2549999999</v>
      </c>
      <c r="AN53" s="902"/>
      <c r="AO53" s="847" t="s">
        <v>5</v>
      </c>
      <c r="AP53" s="583">
        <v>38973.199999999997</v>
      </c>
      <c r="AQ53" s="583">
        <v>124350.5</v>
      </c>
      <c r="AR53" s="583">
        <v>3817.1</v>
      </c>
      <c r="AS53" s="583">
        <v>109009</v>
      </c>
      <c r="AT53" s="583">
        <v>33401</v>
      </c>
    </row>
    <row r="54" spans="1:46" s="743" customFormat="1" x14ac:dyDescent="0.25">
      <c r="A54" s="916"/>
      <c r="B54" s="851" t="s">
        <v>218</v>
      </c>
      <c r="C54" s="852">
        <v>0.71757981412568039</v>
      </c>
      <c r="D54" s="852">
        <v>0.66037666252316185</v>
      </c>
      <c r="E54" s="869">
        <v>0.66037666252316185</v>
      </c>
      <c r="F54" s="869">
        <v>1.3938922014870427</v>
      </c>
      <c r="G54" s="869">
        <v>0.68098838300082576</v>
      </c>
      <c r="H54" s="869">
        <v>1.1786515500442869</v>
      </c>
      <c r="I54" s="869">
        <v>1.3624000686144246</v>
      </c>
      <c r="J54" s="869">
        <v>0.27996328833439704</v>
      </c>
      <c r="K54" s="869">
        <v>1.6192529221281866</v>
      </c>
      <c r="L54" s="869">
        <v>0.99132595353619735</v>
      </c>
      <c r="M54" s="869">
        <v>1.2296989417657751</v>
      </c>
      <c r="N54" s="869">
        <v>0.83650063358601467</v>
      </c>
      <c r="O54" s="869">
        <v>1.3927141288168903</v>
      </c>
      <c r="P54" s="869">
        <v>0.66632891199230504</v>
      </c>
      <c r="Q54" s="869">
        <v>0.74183344412491503</v>
      </c>
      <c r="R54" s="869">
        <v>0.8050136938975524</v>
      </c>
      <c r="S54" s="869">
        <v>1.3095275324609859</v>
      </c>
      <c r="T54" s="852">
        <v>1.0490901706224727</v>
      </c>
      <c r="U54" s="852">
        <v>1.1238830177845605</v>
      </c>
      <c r="V54" s="852">
        <v>0.6096981403472721</v>
      </c>
      <c r="W54" s="852">
        <v>0.39913869682787068</v>
      </c>
      <c r="X54" s="852">
        <v>0.22500764703292186</v>
      </c>
      <c r="Y54" s="852">
        <v>0.1545053019978854</v>
      </c>
      <c r="Z54" s="852">
        <v>0.18508693546256477</v>
      </c>
      <c r="AA54" s="852">
        <v>0.1791295845037984</v>
      </c>
      <c r="AB54" s="852">
        <v>0.10610645168632173</v>
      </c>
      <c r="AC54" s="854">
        <v>0.78787190404489504</v>
      </c>
      <c r="AD54" s="855" t="s">
        <v>218</v>
      </c>
      <c r="AE54" s="856">
        <v>0.71757981412568039</v>
      </c>
      <c r="AF54" s="856">
        <v>0.66037666252316185</v>
      </c>
      <c r="AG54" s="856">
        <v>1.1751311642522702</v>
      </c>
      <c r="AH54" s="856">
        <v>0.6872954182388411</v>
      </c>
      <c r="AI54" s="856">
        <v>0.86424752536463767</v>
      </c>
      <c r="AJ54" s="856">
        <v>0.63708208295350444</v>
      </c>
      <c r="AK54" s="856">
        <v>1.0771374353337149</v>
      </c>
      <c r="AL54" s="856">
        <v>0.66245376388684818</v>
      </c>
      <c r="AM54" s="856">
        <v>0.96615872080318221</v>
      </c>
      <c r="AN54" s="902"/>
      <c r="AO54" s="851" t="s">
        <v>3</v>
      </c>
      <c r="AP54" s="852">
        <f>AP53/AP52</f>
        <v>0.39999753678402516</v>
      </c>
      <c r="AQ54" s="852">
        <f>AQ53/AQ52</f>
        <v>0.51050272513346506</v>
      </c>
      <c r="AR54" s="852">
        <f>AR53/AR52</f>
        <v>2.8902031720984961E-2</v>
      </c>
      <c r="AS54" s="852">
        <f>AS53/AS52</f>
        <v>0.37293623351133581</v>
      </c>
      <c r="AT54" s="852">
        <f>AT53/AT52</f>
        <v>0.25290299718937781</v>
      </c>
    </row>
    <row r="55" spans="1:46" s="743" customFormat="1" x14ac:dyDescent="0.25">
      <c r="A55" s="902"/>
      <c r="B55" s="851" t="s">
        <v>219</v>
      </c>
      <c r="C55" s="598">
        <v>168937</v>
      </c>
      <c r="D55" s="598">
        <v>98992.5</v>
      </c>
      <c r="E55" s="598">
        <v>98992.5</v>
      </c>
      <c r="F55" s="598">
        <v>235689</v>
      </c>
      <c r="G55" s="598">
        <v>110597</v>
      </c>
      <c r="H55" s="598">
        <v>444018</v>
      </c>
      <c r="I55" s="598">
        <v>159522</v>
      </c>
      <c r="J55" s="598">
        <v>46536.5</v>
      </c>
      <c r="K55" s="598">
        <v>142401</v>
      </c>
      <c r="L55" s="598">
        <v>222509</v>
      </c>
      <c r="M55" s="598">
        <v>233403</v>
      </c>
      <c r="N55" s="598">
        <v>366652</v>
      </c>
      <c r="O55" s="598">
        <v>115692</v>
      </c>
      <c r="P55" s="598">
        <v>155739</v>
      </c>
      <c r="Q55" s="598">
        <v>61652.2</v>
      </c>
      <c r="R55" s="598">
        <v>140493</v>
      </c>
      <c r="S55" s="598">
        <v>337888</v>
      </c>
      <c r="T55" s="598">
        <v>57858.1</v>
      </c>
      <c r="U55" s="598">
        <v>37189.699999999997</v>
      </c>
      <c r="V55" s="598">
        <v>62342.5</v>
      </c>
      <c r="W55" s="598">
        <v>62342.5</v>
      </c>
      <c r="X55" s="598">
        <v>23040.2</v>
      </c>
      <c r="Y55" s="598">
        <v>23006.5</v>
      </c>
      <c r="Z55" s="598">
        <v>18949</v>
      </c>
      <c r="AA55" s="598">
        <v>18949</v>
      </c>
      <c r="AB55" s="598">
        <v>24278.2</v>
      </c>
      <c r="AC55" s="870">
        <v>3467669.4000000008</v>
      </c>
      <c r="AD55" s="855" t="s">
        <v>219</v>
      </c>
      <c r="AE55" s="871">
        <v>168937</v>
      </c>
      <c r="AF55" s="871">
        <v>98992.5</v>
      </c>
      <c r="AG55" s="871">
        <v>902216</v>
      </c>
      <c r="AH55" s="845">
        <v>662380.69999999995</v>
      </c>
      <c r="AI55" s="845">
        <v>962221.2</v>
      </c>
      <c r="AJ55" s="845">
        <v>577874.19999999995</v>
      </c>
      <c r="AK55" s="845">
        <v>95047.799999999988</v>
      </c>
      <c r="AL55" s="845">
        <v>1339247.3999999999</v>
      </c>
      <c r="AM55" s="845">
        <v>2128422</v>
      </c>
      <c r="AN55" s="902" t="s">
        <v>220</v>
      </c>
      <c r="AO55" s="851" t="s">
        <v>3</v>
      </c>
      <c r="AP55" s="852">
        <f>(AP48+AP54)/2</f>
        <v>0.38119624665106289</v>
      </c>
      <c r="AQ55" s="852">
        <f t="shared" ref="AQ55:AT55" si="47">(AQ48+AQ54)/2</f>
        <v>0.47677983409520408</v>
      </c>
      <c r="AR55" s="852">
        <f t="shared" si="47"/>
        <v>2.9589946651719472E-2</v>
      </c>
      <c r="AS55" s="852">
        <f t="shared" si="47"/>
        <v>0.45412051337057324</v>
      </c>
      <c r="AT55" s="852">
        <f t="shared" si="47"/>
        <v>0.31543211186862841</v>
      </c>
    </row>
    <row r="56" spans="1:46" s="743" customFormat="1" x14ac:dyDescent="0.25">
      <c r="A56" s="902"/>
      <c r="B56" s="851" t="s">
        <v>217</v>
      </c>
      <c r="C56" s="869">
        <v>0.67569826860743054</v>
      </c>
      <c r="D56" s="869">
        <v>0.65768449613896662</v>
      </c>
      <c r="E56" s="869">
        <v>0.65768449613896662</v>
      </c>
      <c r="F56" s="869">
        <v>1.2950030439761142</v>
      </c>
      <c r="G56" s="869">
        <v>0.66718868861290359</v>
      </c>
      <c r="H56" s="869">
        <v>1.13995455770786</v>
      </c>
      <c r="I56" s="869">
        <v>0.92758561539289031</v>
      </c>
      <c r="J56" s="869">
        <v>0.28020869711822155</v>
      </c>
      <c r="K56" s="869">
        <v>1.14821737279389</v>
      </c>
      <c r="L56" s="869">
        <v>0.99302810892252102</v>
      </c>
      <c r="M56" s="869">
        <v>1.2091596552022468</v>
      </c>
      <c r="N56" s="869">
        <v>0.83668496113480917</v>
      </c>
      <c r="O56" s="869">
        <v>1.3932282258414139</v>
      </c>
      <c r="P56" s="869">
        <v>0.56400526707671439</v>
      </c>
      <c r="Q56" s="869">
        <v>0.7424505171076653</v>
      </c>
      <c r="R56" s="869">
        <v>0.73319235855466747</v>
      </c>
      <c r="S56" s="869">
        <v>1.3102198059999264</v>
      </c>
      <c r="T56" s="869">
        <v>1.0490852387082736</v>
      </c>
      <c r="U56" s="869">
        <v>1.1238784545413336</v>
      </c>
      <c r="V56" s="869">
        <v>0.6100257836618671</v>
      </c>
      <c r="W56" s="869">
        <v>0.29758253717842542</v>
      </c>
      <c r="X56" s="869">
        <v>0.22544999094880941</v>
      </c>
      <c r="Y56" s="869">
        <v>0.1098180637862685</v>
      </c>
      <c r="Z56" s="869">
        <v>0.18541730881194562</v>
      </c>
      <c r="AA56" s="869">
        <v>9.0450198452002778E-2</v>
      </c>
      <c r="AB56" s="869">
        <v>0.10626260539510911</v>
      </c>
      <c r="AC56" s="872">
        <v>0.7301554086449128</v>
      </c>
      <c r="AD56" s="855" t="s">
        <v>217</v>
      </c>
      <c r="AE56" s="856">
        <v>0.67569826860743054</v>
      </c>
      <c r="AF56" s="856">
        <v>0.65768449613896662</v>
      </c>
      <c r="AG56" s="856">
        <v>1.1340426735380071</v>
      </c>
      <c r="AH56" s="856">
        <v>0.55557450207784531</v>
      </c>
      <c r="AI56" s="856">
        <v>0.86096399895097475</v>
      </c>
      <c r="AJ56" s="856">
        <v>0.50031718183571006</v>
      </c>
      <c r="AK56" s="856">
        <v>1.0771326416708691</v>
      </c>
      <c r="AL56" s="856">
        <v>0.5361757274568546</v>
      </c>
      <c r="AM56" s="856">
        <v>0.94535862317694774</v>
      </c>
      <c r="AN56" s="902"/>
      <c r="AO56" s="851"/>
      <c r="AP56" s="852"/>
      <c r="AQ56" s="852"/>
      <c r="AR56" s="852"/>
      <c r="AS56" s="852"/>
      <c r="AT56" s="852"/>
    </row>
    <row r="57" spans="1:46" s="743" customFormat="1" x14ac:dyDescent="0.25">
      <c r="A57" s="917">
        <v>41794</v>
      </c>
      <c r="B57" s="917"/>
      <c r="C57" s="917"/>
      <c r="D57" s="529"/>
      <c r="E57" s="529"/>
      <c r="F57" s="529"/>
      <c r="G57" s="529"/>
      <c r="H57" s="529"/>
      <c r="I57" s="525"/>
      <c r="J57" s="531"/>
      <c r="K57" s="531"/>
      <c r="L57" s="529"/>
      <c r="M57" s="529"/>
      <c r="N57" s="527"/>
      <c r="R57" s="526"/>
      <c r="S57" s="534"/>
      <c r="T57" s="534"/>
      <c r="U57" s="534"/>
      <c r="V57" s="534"/>
      <c r="W57" s="534"/>
      <c r="X57" s="534"/>
      <c r="Y57" s="534"/>
      <c r="Z57" s="534"/>
      <c r="AA57" s="534"/>
      <c r="AB57" s="534"/>
      <c r="AC57" s="534"/>
      <c r="AD57" s="534"/>
      <c r="AE57" s="534"/>
      <c r="AF57" s="534"/>
      <c r="AG57" s="534"/>
      <c r="AH57" s="534"/>
      <c r="AI57" s="534"/>
    </row>
    <row r="58" spans="1:46" s="743" customFormat="1" x14ac:dyDescent="0.25">
      <c r="A58" s="918" t="s">
        <v>1</v>
      </c>
      <c r="B58" s="918"/>
      <c r="C58" s="898" t="s">
        <v>12</v>
      </c>
      <c r="D58" s="898" t="s">
        <v>12</v>
      </c>
      <c r="E58" s="898" t="s">
        <v>13</v>
      </c>
      <c r="F58" s="898" t="s">
        <v>13</v>
      </c>
      <c r="G58" s="898" t="s">
        <v>13</v>
      </c>
      <c r="H58" s="898" t="s">
        <v>13</v>
      </c>
      <c r="I58" s="898" t="s">
        <v>13</v>
      </c>
      <c r="J58" s="898" t="s">
        <v>13</v>
      </c>
      <c r="K58" s="898" t="s">
        <v>13</v>
      </c>
      <c r="L58" s="898" t="s">
        <v>13</v>
      </c>
      <c r="M58" s="832" t="s">
        <v>2</v>
      </c>
      <c r="N58" s="898" t="s">
        <v>2</v>
      </c>
      <c r="O58" s="898" t="s">
        <v>2</v>
      </c>
      <c r="P58" s="898" t="s">
        <v>2</v>
      </c>
      <c r="Q58" s="898" t="s">
        <v>2</v>
      </c>
      <c r="R58" s="898" t="s">
        <v>2</v>
      </c>
      <c r="S58" s="898" t="s">
        <v>2</v>
      </c>
      <c r="T58" s="833" t="s">
        <v>183</v>
      </c>
      <c r="U58" s="833" t="s">
        <v>183</v>
      </c>
      <c r="V58" s="833" t="s">
        <v>2</v>
      </c>
      <c r="W58" s="833" t="s">
        <v>13</v>
      </c>
      <c r="X58" s="833" t="s">
        <v>13</v>
      </c>
      <c r="Y58" s="833" t="s">
        <v>2</v>
      </c>
      <c r="Z58" s="833" t="s">
        <v>13</v>
      </c>
      <c r="AA58" s="833" t="s">
        <v>2</v>
      </c>
      <c r="AB58" s="892" t="s">
        <v>2</v>
      </c>
      <c r="AC58" s="834" t="s">
        <v>220</v>
      </c>
      <c r="AD58" s="835"/>
      <c r="AE58" s="836"/>
      <c r="AF58" s="836"/>
      <c r="AG58" s="836"/>
      <c r="AH58" s="836"/>
      <c r="AI58" s="836"/>
      <c r="AJ58" s="836"/>
      <c r="AK58" s="836"/>
      <c r="AL58" s="836"/>
      <c r="AM58" s="836"/>
      <c r="AN58" s="918" t="s">
        <v>1</v>
      </c>
      <c r="AO58" s="919"/>
      <c r="AP58" s="898" t="s">
        <v>12</v>
      </c>
      <c r="AQ58" s="920" t="s">
        <v>13</v>
      </c>
      <c r="AR58" s="921"/>
      <c r="AS58" s="920" t="s">
        <v>2</v>
      </c>
      <c r="AT58" s="921"/>
    </row>
    <row r="59" spans="1:46" s="743" customFormat="1" x14ac:dyDescent="0.25">
      <c r="A59" s="918" t="s">
        <v>0</v>
      </c>
      <c r="B59" s="918"/>
      <c r="C59" s="837" t="s">
        <v>99</v>
      </c>
      <c r="D59" s="838" t="s">
        <v>100</v>
      </c>
      <c r="E59" s="838" t="s">
        <v>101</v>
      </c>
      <c r="F59" s="837" t="s">
        <v>102</v>
      </c>
      <c r="G59" s="838" t="s">
        <v>97</v>
      </c>
      <c r="H59" s="837" t="s">
        <v>104</v>
      </c>
      <c r="I59" s="838" t="s">
        <v>103</v>
      </c>
      <c r="J59" s="838" t="s">
        <v>178</v>
      </c>
      <c r="K59" s="838" t="s">
        <v>200</v>
      </c>
      <c r="L59" s="837" t="s">
        <v>207</v>
      </c>
      <c r="M59" s="837" t="s">
        <v>105</v>
      </c>
      <c r="N59" s="837" t="s">
        <v>107</v>
      </c>
      <c r="O59" s="838" t="s">
        <v>98</v>
      </c>
      <c r="P59" s="838" t="s">
        <v>106</v>
      </c>
      <c r="Q59" s="838" t="s">
        <v>179</v>
      </c>
      <c r="R59" s="838" t="s">
        <v>199</v>
      </c>
      <c r="S59" s="837" t="s">
        <v>208</v>
      </c>
      <c r="T59" s="837" t="s">
        <v>182</v>
      </c>
      <c r="U59" s="837" t="s">
        <v>184</v>
      </c>
      <c r="V59" s="838" t="s">
        <v>222</v>
      </c>
      <c r="W59" s="838" t="s">
        <v>223</v>
      </c>
      <c r="X59" s="838" t="s">
        <v>256</v>
      </c>
      <c r="Y59" s="838" t="s">
        <v>257</v>
      </c>
      <c r="Z59" s="838" t="s">
        <v>267</v>
      </c>
      <c r="AA59" s="838" t="s">
        <v>268</v>
      </c>
      <c r="AB59" s="893" t="s">
        <v>269</v>
      </c>
      <c r="AC59" s="839"/>
      <c r="AD59" s="840"/>
      <c r="AE59" s="841" t="s">
        <v>258</v>
      </c>
      <c r="AF59" s="841" t="s">
        <v>259</v>
      </c>
      <c r="AG59" s="841" t="s">
        <v>260</v>
      </c>
      <c r="AH59" s="841" t="s">
        <v>261</v>
      </c>
      <c r="AI59" s="841" t="s">
        <v>262</v>
      </c>
      <c r="AJ59" s="841" t="s">
        <v>263</v>
      </c>
      <c r="AK59" s="841" t="s">
        <v>264</v>
      </c>
      <c r="AL59" s="841" t="s">
        <v>265</v>
      </c>
      <c r="AM59" s="841" t="s">
        <v>266</v>
      </c>
      <c r="AN59" s="922" t="s">
        <v>0</v>
      </c>
      <c r="AO59" s="919"/>
      <c r="AP59" s="837" t="s">
        <v>99</v>
      </c>
      <c r="AQ59" s="837" t="s">
        <v>104</v>
      </c>
      <c r="AR59" s="837" t="s">
        <v>207</v>
      </c>
      <c r="AS59" s="837" t="s">
        <v>107</v>
      </c>
      <c r="AT59" s="837" t="s">
        <v>208</v>
      </c>
    </row>
    <row r="60" spans="1:46" s="743" customFormat="1" ht="30" x14ac:dyDescent="0.25">
      <c r="A60" s="923" t="s">
        <v>9</v>
      </c>
      <c r="B60" s="842" t="s">
        <v>4</v>
      </c>
      <c r="C60" s="843">
        <v>250018.4</v>
      </c>
      <c r="D60" s="843">
        <v>150516.70000000001</v>
      </c>
      <c r="E60" s="843">
        <v>150516.70000000001</v>
      </c>
      <c r="F60" s="843">
        <v>181998.8</v>
      </c>
      <c r="G60" s="843">
        <v>165765.70000000001</v>
      </c>
      <c r="H60" s="843">
        <v>389505</v>
      </c>
      <c r="I60" s="843">
        <v>171975.5</v>
      </c>
      <c r="J60" s="843">
        <v>166078</v>
      </c>
      <c r="K60" s="843">
        <v>124019.2</v>
      </c>
      <c r="L60" s="843">
        <v>224071.2</v>
      </c>
      <c r="M60" s="843">
        <v>193029.1</v>
      </c>
      <c r="N60" s="843">
        <v>438219.9</v>
      </c>
      <c r="O60" s="843">
        <v>83038.8</v>
      </c>
      <c r="P60" s="843">
        <v>276130.40000000002</v>
      </c>
      <c r="Q60" s="843">
        <v>83038.8</v>
      </c>
      <c r="R60" s="843">
        <v>191618.2</v>
      </c>
      <c r="S60" s="843">
        <v>257886.5</v>
      </c>
      <c r="T60" s="843">
        <v>55151</v>
      </c>
      <c r="U60" s="843">
        <v>33090.5</v>
      </c>
      <c r="V60" s="843">
        <v>102196.5</v>
      </c>
      <c r="W60" s="843">
        <v>209496.5</v>
      </c>
      <c r="X60" s="843">
        <v>102196.5</v>
      </c>
      <c r="Y60" s="843">
        <v>209496.5</v>
      </c>
      <c r="Z60" s="843">
        <v>102196.5</v>
      </c>
      <c r="AA60" s="843">
        <v>209496.5</v>
      </c>
      <c r="AB60" s="843">
        <v>228473.60000000001</v>
      </c>
      <c r="AC60" s="843">
        <v>4749220.9999999991</v>
      </c>
      <c r="AD60" s="844" t="s">
        <v>4</v>
      </c>
      <c r="AE60" s="845">
        <v>250018.4</v>
      </c>
      <c r="AF60" s="845">
        <v>150516.70000000001</v>
      </c>
      <c r="AG60" s="845">
        <v>795575</v>
      </c>
      <c r="AH60" s="845">
        <v>1192244.6000000001</v>
      </c>
      <c r="AI60" s="845">
        <v>1117609.1000000001</v>
      </c>
      <c r="AJ60" s="845">
        <v>1155015.7</v>
      </c>
      <c r="AK60" s="845">
        <v>88241.5</v>
      </c>
      <c r="AL60" s="845">
        <v>2497777</v>
      </c>
      <c r="AM60" s="873">
        <v>2251444</v>
      </c>
      <c r="AN60" s="878" t="s">
        <v>195</v>
      </c>
      <c r="AO60" s="875" t="s">
        <v>4</v>
      </c>
      <c r="AP60" s="843">
        <v>143393</v>
      </c>
      <c r="AQ60" s="843">
        <v>132132</v>
      </c>
      <c r="AR60" s="843">
        <v>83196.100000000006</v>
      </c>
      <c r="AS60" s="843">
        <v>132132.20000000001</v>
      </c>
      <c r="AT60" s="843">
        <v>83196.100000000006</v>
      </c>
    </row>
    <row r="61" spans="1:46" s="743" customFormat="1" x14ac:dyDescent="0.25">
      <c r="A61" s="923"/>
      <c r="B61" s="847" t="s">
        <v>5</v>
      </c>
      <c r="C61" s="583">
        <v>102137.8</v>
      </c>
      <c r="D61" s="583">
        <v>83523.199999999997</v>
      </c>
      <c r="E61" s="583">
        <v>84201.2</v>
      </c>
      <c r="F61" s="583">
        <v>147615.4</v>
      </c>
      <c r="G61" s="583">
        <v>114392.9</v>
      </c>
      <c r="H61" s="583">
        <v>213832.5</v>
      </c>
      <c r="I61" s="583">
        <v>120902.2</v>
      </c>
      <c r="J61" s="583">
        <v>49331.4</v>
      </c>
      <c r="K61" s="583">
        <v>82549.899999999994</v>
      </c>
      <c r="L61" s="583">
        <v>66906.100000000006</v>
      </c>
      <c r="M61" s="583">
        <v>147021.4</v>
      </c>
      <c r="N61" s="583">
        <v>210702.8</v>
      </c>
      <c r="O61" s="583">
        <v>57757.599999999999</v>
      </c>
      <c r="P61" s="583">
        <v>223471.4</v>
      </c>
      <c r="Q61" s="583">
        <v>25523</v>
      </c>
      <c r="R61" s="583">
        <v>125740.9</v>
      </c>
      <c r="S61" s="583">
        <v>166152.1</v>
      </c>
      <c r="T61" s="583">
        <v>16593.7</v>
      </c>
      <c r="U61" s="583">
        <v>10226.6</v>
      </c>
      <c r="V61" s="583">
        <v>12513.4</v>
      </c>
      <c r="W61" s="583">
        <v>25026.7</v>
      </c>
      <c r="X61" s="583">
        <v>6856.2</v>
      </c>
      <c r="Y61" s="583">
        <v>13696.6</v>
      </c>
      <c r="Z61" s="583">
        <v>3.1</v>
      </c>
      <c r="AA61" s="583">
        <v>6</v>
      </c>
      <c r="AB61" s="583">
        <v>14720.2</v>
      </c>
      <c r="AC61" s="848">
        <v>2121404.3000000003</v>
      </c>
      <c r="AD61" s="849" t="s">
        <v>5</v>
      </c>
      <c r="AE61" s="850">
        <v>102137.8</v>
      </c>
      <c r="AF61" s="850">
        <v>83523.199999999997</v>
      </c>
      <c r="AG61" s="850">
        <v>428354</v>
      </c>
      <c r="AH61" s="845">
        <v>483263.6</v>
      </c>
      <c r="AI61" s="845">
        <v>538596.49999999988</v>
      </c>
      <c r="AJ61" s="845">
        <v>458708.9</v>
      </c>
      <c r="AK61" s="845">
        <v>26820.300000000003</v>
      </c>
      <c r="AL61" s="845">
        <v>1025495.7</v>
      </c>
      <c r="AM61" s="873">
        <v>1095908.5999999999</v>
      </c>
      <c r="AN61" s="879"/>
      <c r="AO61" s="876" t="s">
        <v>5</v>
      </c>
      <c r="AP61" s="583">
        <v>51964.9</v>
      </c>
      <c r="AQ61" s="583">
        <v>58542</v>
      </c>
      <c r="AR61" s="583">
        <v>2519</v>
      </c>
      <c r="AS61" s="583">
        <v>70731</v>
      </c>
      <c r="AT61" s="583">
        <v>31444.9</v>
      </c>
    </row>
    <row r="62" spans="1:46" s="743" customFormat="1" x14ac:dyDescent="0.25">
      <c r="A62" s="923"/>
      <c r="B62" s="851" t="s">
        <v>3</v>
      </c>
      <c r="C62" s="852">
        <v>0.40852113284462266</v>
      </c>
      <c r="D62" s="852">
        <v>0.55490985385674807</v>
      </c>
      <c r="E62" s="852">
        <v>0.55941433741239333</v>
      </c>
      <c r="F62" s="853">
        <v>0.8110789741470823</v>
      </c>
      <c r="G62" s="852">
        <v>0.69008787704573371</v>
      </c>
      <c r="H62" s="852">
        <v>0.54898525051026303</v>
      </c>
      <c r="I62" s="852">
        <v>0.70301990690534411</v>
      </c>
      <c r="J62" s="852">
        <v>0.29703753657919774</v>
      </c>
      <c r="K62" s="852">
        <v>0.66562193595830321</v>
      </c>
      <c r="L62" s="852">
        <v>0.29859303649911278</v>
      </c>
      <c r="M62" s="853">
        <v>0.76165407184719813</v>
      </c>
      <c r="N62" s="852">
        <v>0.48081522541536792</v>
      </c>
      <c r="O62" s="852">
        <v>0.69554955033068877</v>
      </c>
      <c r="P62" s="852">
        <v>0.80929662217560971</v>
      </c>
      <c r="Q62" s="852">
        <v>0.30736234145965502</v>
      </c>
      <c r="R62" s="852">
        <v>0.6562054126382566</v>
      </c>
      <c r="S62" s="852">
        <v>0.64428382253433203</v>
      </c>
      <c r="T62" s="852">
        <v>0.30087759061485742</v>
      </c>
      <c r="U62" s="852">
        <v>0.30904942506157357</v>
      </c>
      <c r="V62" s="852">
        <v>0.12244450641656025</v>
      </c>
      <c r="W62" s="852">
        <v>0.11946118431572843</v>
      </c>
      <c r="X62" s="852">
        <v>6.7088403223202364E-2</v>
      </c>
      <c r="Y62" s="852">
        <v>6.5378657877339236E-2</v>
      </c>
      <c r="Z62" s="852">
        <v>3.0333719843634569E-5</v>
      </c>
      <c r="AA62" s="852">
        <v>2.8640096612592574E-5</v>
      </c>
      <c r="AB62" s="852">
        <v>6.4428450376761259E-2</v>
      </c>
      <c r="AC62" s="854">
        <v>0.44668468786775783</v>
      </c>
      <c r="AD62" s="855" t="s">
        <v>3</v>
      </c>
      <c r="AE62" s="856">
        <v>0.40852113284462266</v>
      </c>
      <c r="AF62" s="856">
        <v>0.55490985385674807</v>
      </c>
      <c r="AG62" s="856">
        <v>0.53842063916035576</v>
      </c>
      <c r="AH62" s="856">
        <v>0.40533930705158988</v>
      </c>
      <c r="AI62" s="856">
        <v>0.48191849905302298</v>
      </c>
      <c r="AJ62" s="856">
        <v>0.39714516434711672</v>
      </c>
      <c r="AK62" s="856">
        <v>0.30394202274440035</v>
      </c>
      <c r="AL62" s="856">
        <v>0.41056335293342838</v>
      </c>
      <c r="AM62" s="874">
        <v>0.48675809835820916</v>
      </c>
      <c r="AN62" s="879"/>
      <c r="AO62" s="877" t="s">
        <v>3</v>
      </c>
      <c r="AP62" s="852">
        <v>0.36239495651810061</v>
      </c>
      <c r="AQ62" s="852">
        <v>0.44305694305694304</v>
      </c>
      <c r="AR62" s="852">
        <v>3.0277861582453984E-2</v>
      </c>
      <c r="AS62" s="852">
        <v>0.53530479322981073</v>
      </c>
      <c r="AT62" s="852">
        <v>0.37796122654787906</v>
      </c>
    </row>
    <row r="63" spans="1:46" s="743" customFormat="1" ht="30" x14ac:dyDescent="0.25">
      <c r="A63" s="916" t="s">
        <v>6</v>
      </c>
      <c r="B63" s="857" t="s">
        <v>7</v>
      </c>
      <c r="C63" s="843">
        <v>5644</v>
      </c>
      <c r="D63" s="843">
        <v>3620</v>
      </c>
      <c r="E63" s="843">
        <v>3591</v>
      </c>
      <c r="F63" s="843">
        <v>9273</v>
      </c>
      <c r="G63" s="843">
        <v>8432</v>
      </c>
      <c r="H63" s="843">
        <v>15703</v>
      </c>
      <c r="I63" s="843">
        <v>8298</v>
      </c>
      <c r="J63" s="843">
        <v>9599</v>
      </c>
      <c r="K63" s="843">
        <v>7072</v>
      </c>
      <c r="L63" s="843">
        <v>9414</v>
      </c>
      <c r="M63" s="843">
        <v>8345</v>
      </c>
      <c r="N63" s="843">
        <v>11924</v>
      </c>
      <c r="O63" s="843">
        <v>4357</v>
      </c>
      <c r="P63" s="843">
        <v>10643</v>
      </c>
      <c r="Q63" s="843">
        <v>4799</v>
      </c>
      <c r="R63" s="843">
        <v>9711</v>
      </c>
      <c r="S63" s="843">
        <v>11664</v>
      </c>
      <c r="T63" s="858">
        <v>2480</v>
      </c>
      <c r="U63" s="858">
        <v>1570</v>
      </c>
      <c r="V63" s="843">
        <v>3999</v>
      </c>
      <c r="W63" s="843">
        <v>7999</v>
      </c>
      <c r="X63" s="843">
        <v>3999</v>
      </c>
      <c r="Y63" s="843">
        <v>7999</v>
      </c>
      <c r="Z63" s="843">
        <v>3999</v>
      </c>
      <c r="AA63" s="843">
        <v>7999</v>
      </c>
      <c r="AB63" s="843">
        <v>11999</v>
      </c>
      <c r="AC63" s="843">
        <v>194132</v>
      </c>
      <c r="AD63" s="859" t="s">
        <v>7</v>
      </c>
      <c r="AE63" s="845">
        <v>5644</v>
      </c>
      <c r="AF63" s="845">
        <v>3620</v>
      </c>
      <c r="AG63" s="845">
        <v>34390</v>
      </c>
      <c r="AH63" s="845">
        <v>52989</v>
      </c>
      <c r="AI63" s="845">
        <v>43932</v>
      </c>
      <c r="AJ63" s="845">
        <v>49507</v>
      </c>
      <c r="AK63" s="845">
        <v>4050</v>
      </c>
      <c r="AL63" s="845">
        <v>106116</v>
      </c>
      <c r="AM63" s="873">
        <v>88016</v>
      </c>
      <c r="AN63" s="883" t="s">
        <v>191</v>
      </c>
      <c r="AO63" s="882" t="s">
        <v>4</v>
      </c>
      <c r="AP63" s="860">
        <v>9191.7999999999993</v>
      </c>
      <c r="AQ63" s="860">
        <v>13787.7</v>
      </c>
      <c r="AR63" s="860">
        <v>8804.7999999999993</v>
      </c>
      <c r="AS63" s="860">
        <v>13787.7</v>
      </c>
      <c r="AT63" s="860">
        <v>8804.7999999999993</v>
      </c>
    </row>
    <row r="64" spans="1:46" s="743" customFormat="1" x14ac:dyDescent="0.25">
      <c r="A64" s="916"/>
      <c r="B64" s="842" t="s">
        <v>11</v>
      </c>
      <c r="C64" s="861">
        <v>190298.74799999999</v>
      </c>
      <c r="D64" s="861">
        <v>122055.54</v>
      </c>
      <c r="E64" s="861">
        <v>121077.74699999999</v>
      </c>
      <c r="F64" s="861">
        <v>312657.74099999998</v>
      </c>
      <c r="G64" s="861">
        <v>284301.74400000001</v>
      </c>
      <c r="H64" s="861">
        <v>529458.05099999998</v>
      </c>
      <c r="I64" s="861">
        <v>279783.66599999997</v>
      </c>
      <c r="J64" s="861">
        <v>323649.48300000001</v>
      </c>
      <c r="K64" s="861">
        <v>238446.62399999998</v>
      </c>
      <c r="L64" s="861">
        <v>317411.83799999999</v>
      </c>
      <c r="M64" s="861">
        <v>281368.36499999999</v>
      </c>
      <c r="N64" s="861">
        <v>402041.50799999997</v>
      </c>
      <c r="O64" s="861">
        <v>146904.96899999998</v>
      </c>
      <c r="P64" s="861">
        <v>358850.03099999996</v>
      </c>
      <c r="Q64" s="861">
        <v>161807.883</v>
      </c>
      <c r="R64" s="861">
        <v>327425.78700000001</v>
      </c>
      <c r="S64" s="861">
        <v>393275.08799999999</v>
      </c>
      <c r="T64" s="861">
        <v>83618.16</v>
      </c>
      <c r="U64" s="861">
        <v>52935.689999999995</v>
      </c>
      <c r="V64" s="861">
        <v>134834.283</v>
      </c>
      <c r="W64" s="861">
        <v>269702.283</v>
      </c>
      <c r="X64" s="861">
        <v>134834.283</v>
      </c>
      <c r="Y64" s="861">
        <v>269702.283</v>
      </c>
      <c r="Z64" s="861">
        <v>134834.283</v>
      </c>
      <c r="AA64" s="861">
        <v>269702.283</v>
      </c>
      <c r="AB64" s="861">
        <v>404570.283</v>
      </c>
      <c r="AC64" s="862">
        <v>6545548.6439999985</v>
      </c>
      <c r="AD64" s="844" t="s">
        <v>11</v>
      </c>
      <c r="AE64" s="863">
        <v>190298.74799999999</v>
      </c>
      <c r="AF64" s="863">
        <v>122055.54</v>
      </c>
      <c r="AG64" s="863">
        <v>1159527.6299999999</v>
      </c>
      <c r="AH64" s="863">
        <v>1786630.1129999999</v>
      </c>
      <c r="AI64" s="863">
        <v>1481255.2439999999</v>
      </c>
      <c r="AJ64" s="863">
        <v>1669227.5189999999</v>
      </c>
      <c r="AK64" s="863">
        <v>136553.85</v>
      </c>
      <c r="AL64" s="863">
        <v>3577913.1719999998</v>
      </c>
      <c r="AM64" s="881">
        <v>2967635.4720000001</v>
      </c>
      <c r="AN64" s="879"/>
      <c r="AO64" s="876" t="s">
        <v>5</v>
      </c>
      <c r="AP64" s="583">
        <v>7975.5</v>
      </c>
      <c r="AQ64" s="583">
        <v>13649</v>
      </c>
      <c r="AR64" s="583">
        <v>1289.9000000000001</v>
      </c>
      <c r="AS64" s="583">
        <v>13642</v>
      </c>
      <c r="AT64" s="583">
        <v>5483.9</v>
      </c>
    </row>
    <row r="65" spans="1:46" s="743" customFormat="1" x14ac:dyDescent="0.25">
      <c r="A65" s="916"/>
      <c r="B65" s="842" t="s">
        <v>79</v>
      </c>
      <c r="C65" s="861">
        <f t="shared" ref="C65:AB65" si="48">C60-C61</f>
        <v>147880.59999999998</v>
      </c>
      <c r="D65" s="861">
        <f t="shared" si="48"/>
        <v>66993.500000000015</v>
      </c>
      <c r="E65" s="861">
        <f t="shared" si="48"/>
        <v>66315.500000000015</v>
      </c>
      <c r="F65" s="861">
        <f t="shared" si="48"/>
        <v>34383.399999999994</v>
      </c>
      <c r="G65" s="861">
        <f t="shared" si="48"/>
        <v>51372.800000000017</v>
      </c>
      <c r="H65" s="861">
        <f t="shared" si="48"/>
        <v>175672.5</v>
      </c>
      <c r="I65" s="861">
        <f t="shared" si="48"/>
        <v>51073.3</v>
      </c>
      <c r="J65" s="861">
        <f t="shared" si="48"/>
        <v>116746.6</v>
      </c>
      <c r="K65" s="861">
        <f t="shared" si="48"/>
        <v>41469.300000000003</v>
      </c>
      <c r="L65" s="861">
        <f t="shared" si="48"/>
        <v>157165.1</v>
      </c>
      <c r="M65" s="861">
        <f t="shared" si="48"/>
        <v>46007.700000000012</v>
      </c>
      <c r="N65" s="861">
        <f t="shared" si="48"/>
        <v>227517.10000000003</v>
      </c>
      <c r="O65" s="861">
        <f t="shared" si="48"/>
        <v>25281.200000000004</v>
      </c>
      <c r="P65" s="861">
        <f t="shared" si="48"/>
        <v>52659.000000000029</v>
      </c>
      <c r="Q65" s="861">
        <f t="shared" si="48"/>
        <v>57515.8</v>
      </c>
      <c r="R65" s="861">
        <f t="shared" si="48"/>
        <v>65877.300000000017</v>
      </c>
      <c r="S65" s="861">
        <f t="shared" si="48"/>
        <v>91734.399999999994</v>
      </c>
      <c r="T65" s="861">
        <f t="shared" si="48"/>
        <v>38557.300000000003</v>
      </c>
      <c r="U65" s="861">
        <f t="shared" si="48"/>
        <v>22863.9</v>
      </c>
      <c r="V65" s="861">
        <f t="shared" si="48"/>
        <v>89683.1</v>
      </c>
      <c r="W65" s="861">
        <f t="shared" si="48"/>
        <v>184469.8</v>
      </c>
      <c r="X65" s="861">
        <f t="shared" si="48"/>
        <v>95340.3</v>
      </c>
      <c r="Y65" s="861">
        <f t="shared" si="48"/>
        <v>195799.9</v>
      </c>
      <c r="Z65" s="861">
        <f t="shared" si="48"/>
        <v>102193.4</v>
      </c>
      <c r="AA65" s="861">
        <f t="shared" si="48"/>
        <v>209490.5</v>
      </c>
      <c r="AB65" s="861">
        <f t="shared" si="48"/>
        <v>213753.4</v>
      </c>
      <c r="AC65" s="862">
        <v>7294410.6000000006</v>
      </c>
      <c r="AD65" s="844" t="s">
        <v>79</v>
      </c>
      <c r="AE65" s="863">
        <v>500036.8</v>
      </c>
      <c r="AF65" s="863">
        <v>301033.40000000002</v>
      </c>
      <c r="AG65" s="863">
        <v>1591150</v>
      </c>
      <c r="AH65" s="863">
        <v>2384489.2000000002</v>
      </c>
      <c r="AI65" s="863">
        <v>2235218.2000000002</v>
      </c>
      <c r="AJ65" s="863">
        <v>2310031.4</v>
      </c>
      <c r="AK65" s="863">
        <v>176483</v>
      </c>
      <c r="AL65" s="863">
        <v>4995554</v>
      </c>
      <c r="AM65" s="881">
        <v>4502888</v>
      </c>
      <c r="AN65" s="880"/>
      <c r="AO65" s="877" t="s">
        <v>3</v>
      </c>
      <c r="AP65" s="852">
        <v>0.86767553689157739</v>
      </c>
      <c r="AQ65" s="852">
        <v>0.98994030911609621</v>
      </c>
      <c r="AR65" s="852">
        <v>0.14649963656187537</v>
      </c>
      <c r="AS65" s="852">
        <v>0.98943261022505558</v>
      </c>
      <c r="AT65" s="852">
        <v>0.62283072869343992</v>
      </c>
    </row>
    <row r="66" spans="1:46" s="743" customFormat="1" ht="30" x14ac:dyDescent="0.25">
      <c r="A66" s="916"/>
      <c r="B66" s="847" t="s">
        <v>8</v>
      </c>
      <c r="C66" s="864">
        <v>5321</v>
      </c>
      <c r="D66" s="864">
        <v>2948</v>
      </c>
      <c r="E66" s="864">
        <v>2948</v>
      </c>
      <c r="F66" s="864">
        <v>7524</v>
      </c>
      <c r="G66" s="864">
        <v>3348</v>
      </c>
      <c r="H66" s="864">
        <v>13616</v>
      </c>
      <c r="I66" s="864">
        <v>6938</v>
      </c>
      <c r="J66" s="864">
        <v>1379</v>
      </c>
      <c r="K66" s="864">
        <v>5956</v>
      </c>
      <c r="L66" s="864">
        <v>6576</v>
      </c>
      <c r="M66" s="864">
        <v>7040</v>
      </c>
      <c r="N66" s="864">
        <v>10872</v>
      </c>
      <c r="O66" s="864">
        <v>3430</v>
      </c>
      <c r="P66" s="864">
        <v>8060</v>
      </c>
      <c r="Q66" s="864">
        <v>1827</v>
      </c>
      <c r="R66" s="864">
        <v>4575</v>
      </c>
      <c r="S66" s="864">
        <v>9974</v>
      </c>
      <c r="T66" s="598">
        <v>1716</v>
      </c>
      <c r="U66" s="598">
        <v>1103</v>
      </c>
      <c r="V66" s="864">
        <v>1848</v>
      </c>
      <c r="W66" s="864">
        <v>2480</v>
      </c>
      <c r="X66" s="864">
        <v>664</v>
      </c>
      <c r="Y66" s="864">
        <v>942</v>
      </c>
      <c r="Z66" s="864">
        <v>469</v>
      </c>
      <c r="AA66" s="864">
        <v>933</v>
      </c>
      <c r="AB66" s="864">
        <v>585</v>
      </c>
      <c r="AC66" s="843">
        <v>113072</v>
      </c>
      <c r="AD66" s="849" t="s">
        <v>8</v>
      </c>
      <c r="AE66" s="865">
        <v>5321</v>
      </c>
      <c r="AF66" s="865">
        <v>2948</v>
      </c>
      <c r="AG66" s="865">
        <v>27716</v>
      </c>
      <c r="AH66" s="845">
        <v>24182</v>
      </c>
      <c r="AI66" s="845">
        <v>28471</v>
      </c>
      <c r="AJ66" s="845">
        <v>21615</v>
      </c>
      <c r="AK66" s="845">
        <v>2819</v>
      </c>
      <c r="AL66" s="845">
        <v>48745</v>
      </c>
      <c r="AM66" s="845">
        <v>64327</v>
      </c>
      <c r="AN66" s="880" t="s">
        <v>192</v>
      </c>
      <c r="AO66" s="842" t="s">
        <v>4</v>
      </c>
      <c r="AP66" s="843">
        <v>97433.600000000006</v>
      </c>
      <c r="AQ66" s="843">
        <v>243584.4</v>
      </c>
      <c r="AR66" s="843">
        <v>132070.29999999999</v>
      </c>
      <c r="AS66" s="843">
        <v>292299.3</v>
      </c>
      <c r="AT66" s="843">
        <v>132070.39999999999</v>
      </c>
    </row>
    <row r="67" spans="1:46" s="743" customFormat="1" x14ac:dyDescent="0.25">
      <c r="A67" s="916"/>
      <c r="B67" s="842" t="s">
        <v>77</v>
      </c>
      <c r="C67" s="861">
        <v>179408.15700000001</v>
      </c>
      <c r="D67" s="861">
        <v>99397.716</v>
      </c>
      <c r="E67" s="861">
        <v>99397.716</v>
      </c>
      <c r="F67" s="861">
        <v>253686.70799999998</v>
      </c>
      <c r="G67" s="861">
        <v>112884.51599999999</v>
      </c>
      <c r="H67" s="861">
        <v>459090.67199999996</v>
      </c>
      <c r="I67" s="861">
        <v>233928.546</v>
      </c>
      <c r="J67" s="861">
        <v>46495.742999999995</v>
      </c>
      <c r="K67" s="861">
        <v>200818.45199999999</v>
      </c>
      <c r="L67" s="861">
        <v>221722.992</v>
      </c>
      <c r="M67" s="861">
        <v>237367.67999999999</v>
      </c>
      <c r="N67" s="861">
        <v>366571.22399999999</v>
      </c>
      <c r="O67" s="861">
        <v>115649.31</v>
      </c>
      <c r="P67" s="861">
        <v>183622.78200000001</v>
      </c>
      <c r="Q67" s="861">
        <v>61600.958999999995</v>
      </c>
      <c r="R67" s="861">
        <v>154255.27499999999</v>
      </c>
      <c r="S67" s="861">
        <v>336293.35800000001</v>
      </c>
      <c r="T67" s="866">
        <v>57858.371999999996</v>
      </c>
      <c r="U67" s="866">
        <v>37189.850999999995</v>
      </c>
      <c r="V67" s="866">
        <v>62309.015999999996</v>
      </c>
      <c r="W67" s="866">
        <v>83618.16</v>
      </c>
      <c r="X67" s="866">
        <v>22388.088</v>
      </c>
      <c r="Y67" s="866">
        <v>31761.413999999997</v>
      </c>
      <c r="Z67" s="866">
        <v>15813.272999999999</v>
      </c>
      <c r="AA67" s="866">
        <v>31457.960999999999</v>
      </c>
      <c r="AB67" s="866">
        <v>19724.445</v>
      </c>
      <c r="AC67" s="867">
        <v>3724312.3859999995</v>
      </c>
      <c r="AD67" s="844" t="s">
        <v>77</v>
      </c>
      <c r="AE67" s="868">
        <v>179408.15700000001</v>
      </c>
      <c r="AF67" s="868">
        <v>99397.716</v>
      </c>
      <c r="AG67" s="868">
        <v>934500.37199999997</v>
      </c>
      <c r="AH67" s="868">
        <v>815344.49399999995</v>
      </c>
      <c r="AI67" s="868">
        <v>959956.70699999994</v>
      </c>
      <c r="AJ67" s="868">
        <v>728792.95499999996</v>
      </c>
      <c r="AK67" s="868">
        <v>95048.222999999998</v>
      </c>
      <c r="AL67" s="868">
        <v>1643535.165</v>
      </c>
      <c r="AM67" s="868">
        <v>2168913.4589999998</v>
      </c>
      <c r="AN67" s="899"/>
      <c r="AO67" s="847" t="s">
        <v>5</v>
      </c>
      <c r="AP67" s="583">
        <v>38973.199999999997</v>
      </c>
      <c r="AQ67" s="583">
        <v>124350.5</v>
      </c>
      <c r="AR67" s="583">
        <v>3817.1</v>
      </c>
      <c r="AS67" s="583">
        <v>109009</v>
      </c>
      <c r="AT67" s="583">
        <v>33401</v>
      </c>
    </row>
    <row r="68" spans="1:46" s="743" customFormat="1" x14ac:dyDescent="0.25">
      <c r="A68" s="916"/>
      <c r="B68" s="851" t="s">
        <v>218</v>
      </c>
      <c r="C68" s="852">
        <v>0.71757981412568039</v>
      </c>
      <c r="D68" s="852">
        <v>0.66037666252316185</v>
      </c>
      <c r="E68" s="869">
        <v>0.66037666252316185</v>
      </c>
      <c r="F68" s="869">
        <v>1.3938922014870427</v>
      </c>
      <c r="G68" s="869">
        <v>0.68098838300082576</v>
      </c>
      <c r="H68" s="869">
        <v>1.1786515500442869</v>
      </c>
      <c r="I68" s="869">
        <v>1.3602434416530262</v>
      </c>
      <c r="J68" s="869">
        <v>0.27996328833439704</v>
      </c>
      <c r="K68" s="869">
        <v>1.6192529221281866</v>
      </c>
      <c r="L68" s="869">
        <v>0.98952025963175982</v>
      </c>
      <c r="M68" s="869">
        <v>1.2296989417657751</v>
      </c>
      <c r="N68" s="869">
        <v>0.83650063358601467</v>
      </c>
      <c r="O68" s="869">
        <v>1.3927141288168903</v>
      </c>
      <c r="P68" s="869">
        <v>0.66498575310795183</v>
      </c>
      <c r="Q68" s="869">
        <v>0.74183344412491503</v>
      </c>
      <c r="R68" s="869">
        <v>0.8050136938975524</v>
      </c>
      <c r="S68" s="869">
        <v>1.3040363027921198</v>
      </c>
      <c r="T68" s="852">
        <v>1.0490901706224727</v>
      </c>
      <c r="U68" s="852">
        <v>1.1238830177845605</v>
      </c>
      <c r="V68" s="852">
        <v>0.6096981403472721</v>
      </c>
      <c r="W68" s="852">
        <v>0.39913869682787068</v>
      </c>
      <c r="X68" s="852">
        <v>0.21906902878278611</v>
      </c>
      <c r="Y68" s="852">
        <v>0.15160832758542503</v>
      </c>
      <c r="Z68" s="852">
        <v>0.1547339977396486</v>
      </c>
      <c r="AA68" s="852">
        <v>0.15015984037919489</v>
      </c>
      <c r="AB68" s="852">
        <v>8.6331396712793065E-2</v>
      </c>
      <c r="AC68" s="854">
        <v>0.7841943733509138</v>
      </c>
      <c r="AD68" s="855" t="s">
        <v>218</v>
      </c>
      <c r="AE68" s="856">
        <v>0.71757981412568039</v>
      </c>
      <c r="AF68" s="856">
        <v>0.66037666252316185</v>
      </c>
      <c r="AG68" s="856">
        <v>1.1746225962354271</v>
      </c>
      <c r="AH68" s="856">
        <v>0.68387350548704506</v>
      </c>
      <c r="AI68" s="856">
        <v>0.8589378048192341</v>
      </c>
      <c r="AJ68" s="856">
        <v>0.63098099445747791</v>
      </c>
      <c r="AK68" s="856">
        <v>1.0771374353337149</v>
      </c>
      <c r="AL68" s="856">
        <v>0.65799915885205129</v>
      </c>
      <c r="AM68" s="856">
        <v>0.9633432850206356</v>
      </c>
      <c r="AN68" s="899"/>
      <c r="AO68" s="851" t="s">
        <v>3</v>
      </c>
      <c r="AP68" s="852">
        <v>0.39999753678402516</v>
      </c>
      <c r="AQ68" s="852">
        <v>0.51050272513346506</v>
      </c>
      <c r="AR68" s="852">
        <v>2.8902031720984961E-2</v>
      </c>
      <c r="AS68" s="852">
        <v>0.37293623351133581</v>
      </c>
      <c r="AT68" s="852">
        <v>0.25290299718937781</v>
      </c>
    </row>
    <row r="69" spans="1:46" s="743" customFormat="1" x14ac:dyDescent="0.25">
      <c r="A69" s="899"/>
      <c r="B69" s="851" t="s">
        <v>219</v>
      </c>
      <c r="C69" s="598">
        <v>168937</v>
      </c>
      <c r="D69" s="598">
        <v>98992.5</v>
      </c>
      <c r="E69" s="598">
        <v>98992.5</v>
      </c>
      <c r="F69" s="598">
        <v>235689</v>
      </c>
      <c r="G69" s="598">
        <v>110597</v>
      </c>
      <c r="H69" s="598">
        <v>444018</v>
      </c>
      <c r="I69" s="598">
        <v>159151</v>
      </c>
      <c r="J69" s="598">
        <v>46535.5</v>
      </c>
      <c r="K69" s="598">
        <v>142401</v>
      </c>
      <c r="L69" s="598">
        <v>222103</v>
      </c>
      <c r="M69" s="598">
        <v>233403</v>
      </c>
      <c r="N69" s="598">
        <v>366652</v>
      </c>
      <c r="O69" s="598">
        <v>115692</v>
      </c>
      <c r="P69" s="598">
        <v>155368</v>
      </c>
      <c r="Q69" s="598">
        <v>61652.2</v>
      </c>
      <c r="R69" s="598">
        <v>140493</v>
      </c>
      <c r="S69" s="598">
        <v>336472</v>
      </c>
      <c r="T69" s="598">
        <v>57858.1</v>
      </c>
      <c r="U69" s="598">
        <v>37189.699999999997</v>
      </c>
      <c r="V69" s="598">
        <v>62342.5</v>
      </c>
      <c r="W69" s="598">
        <v>62342.5</v>
      </c>
      <c r="X69" s="598">
        <v>22433.3</v>
      </c>
      <c r="Y69" s="598">
        <v>22399.599999999999</v>
      </c>
      <c r="Z69" s="598">
        <v>15847</v>
      </c>
      <c r="AA69" s="598">
        <v>15847</v>
      </c>
      <c r="AB69" s="598">
        <v>19760.2</v>
      </c>
      <c r="AC69" s="870">
        <v>3453168.6000000006</v>
      </c>
      <c r="AD69" s="855" t="s">
        <v>219</v>
      </c>
      <c r="AE69" s="871">
        <v>168937</v>
      </c>
      <c r="AF69" s="871">
        <v>98992.5</v>
      </c>
      <c r="AG69" s="871">
        <v>901810</v>
      </c>
      <c r="AH69" s="845">
        <v>658299.80000000005</v>
      </c>
      <c r="AI69" s="845">
        <v>956287.2</v>
      </c>
      <c r="AJ69" s="845">
        <v>573794.29999999993</v>
      </c>
      <c r="AK69" s="845">
        <v>95047.799999999988</v>
      </c>
      <c r="AL69" s="845">
        <v>1331086.6000000001</v>
      </c>
      <c r="AM69" s="845">
        <v>2122082</v>
      </c>
      <c r="AN69" s="899" t="s">
        <v>220</v>
      </c>
      <c r="AO69" s="851" t="s">
        <v>3</v>
      </c>
      <c r="AP69" s="852">
        <v>0.38119624665106289</v>
      </c>
      <c r="AQ69" s="852">
        <v>0.47677983409520408</v>
      </c>
      <c r="AR69" s="852">
        <v>2.9589946651719472E-2</v>
      </c>
      <c r="AS69" s="852">
        <v>0.45412051337057324</v>
      </c>
      <c r="AT69" s="852">
        <v>0.31543211186862841</v>
      </c>
    </row>
    <row r="70" spans="1:46" s="743" customFormat="1" x14ac:dyDescent="0.25">
      <c r="A70" s="899"/>
      <c r="B70" s="851" t="s">
        <v>217</v>
      </c>
      <c r="C70" s="869">
        <v>0.67569826860743054</v>
      </c>
      <c r="D70" s="869">
        <v>0.65768449613896662</v>
      </c>
      <c r="E70" s="869">
        <v>0.65768449613896662</v>
      </c>
      <c r="F70" s="869">
        <v>1.2950030439761142</v>
      </c>
      <c r="G70" s="869">
        <v>0.66718868861290359</v>
      </c>
      <c r="H70" s="869">
        <v>1.13995455770786</v>
      </c>
      <c r="I70" s="869">
        <v>0.92542833136115321</v>
      </c>
      <c r="J70" s="869">
        <v>0.28020267585110609</v>
      </c>
      <c r="K70" s="869">
        <v>1.14821737279389</v>
      </c>
      <c r="L70" s="869">
        <v>0.99121618485552798</v>
      </c>
      <c r="M70" s="869">
        <v>1.2091596552022468</v>
      </c>
      <c r="N70" s="869">
        <v>0.83668496113480917</v>
      </c>
      <c r="O70" s="869">
        <v>1.3932282258414139</v>
      </c>
      <c r="P70" s="869">
        <v>0.56266169896541629</v>
      </c>
      <c r="Q70" s="869">
        <v>0.7424505171076653</v>
      </c>
      <c r="R70" s="869">
        <v>0.73319235855466747</v>
      </c>
      <c r="S70" s="869">
        <v>1.3047290183859954</v>
      </c>
      <c r="T70" s="869">
        <v>1.0490852387082736</v>
      </c>
      <c r="U70" s="869">
        <v>1.1238784545413336</v>
      </c>
      <c r="V70" s="869">
        <v>0.6100257836618671</v>
      </c>
      <c r="W70" s="869">
        <v>0.29758253717842542</v>
      </c>
      <c r="X70" s="869">
        <v>0.21951143140909912</v>
      </c>
      <c r="Y70" s="869">
        <v>0.10692111801390476</v>
      </c>
      <c r="Z70" s="869">
        <v>0.15506401882647644</v>
      </c>
      <c r="AA70" s="869">
        <v>7.5643268503292421E-2</v>
      </c>
      <c r="AB70" s="869">
        <v>8.6487891817697976E-2</v>
      </c>
      <c r="AC70" s="872">
        <v>0.7271021079035912</v>
      </c>
      <c r="AD70" s="855" t="s">
        <v>217</v>
      </c>
      <c r="AE70" s="856">
        <v>0.67569826860743054</v>
      </c>
      <c r="AF70" s="856">
        <v>0.65768449613896662</v>
      </c>
      <c r="AG70" s="856">
        <v>1.133532350815448</v>
      </c>
      <c r="AH70" s="856">
        <v>0.5521516306301576</v>
      </c>
      <c r="AI70" s="856">
        <v>0.8556544502008796</v>
      </c>
      <c r="AJ70" s="856">
        <v>0.4967848488985907</v>
      </c>
      <c r="AK70" s="856">
        <v>1.0771326416708691</v>
      </c>
      <c r="AL70" s="856">
        <v>0.53290850224019204</v>
      </c>
      <c r="AM70" s="856">
        <v>0.94254265262649217</v>
      </c>
      <c r="AN70" s="899"/>
      <c r="AO70" s="851"/>
      <c r="AP70" s="852"/>
      <c r="AQ70" s="852"/>
      <c r="AR70" s="852"/>
      <c r="AS70" s="852"/>
      <c r="AT70" s="852"/>
    </row>
    <row r="71" spans="1:46" s="743" customFormat="1" x14ac:dyDescent="0.25">
      <c r="A71" s="917">
        <v>41787</v>
      </c>
      <c r="B71" s="917"/>
      <c r="C71" s="917"/>
      <c r="D71" s="529"/>
      <c r="E71" s="529"/>
      <c r="F71" s="529"/>
      <c r="G71" s="529"/>
      <c r="H71" s="529"/>
      <c r="I71" s="525"/>
      <c r="J71" s="531"/>
      <c r="K71" s="531"/>
      <c r="L71" s="529"/>
      <c r="M71" s="529"/>
      <c r="N71" s="527"/>
      <c r="R71" s="526"/>
      <c r="S71" s="534"/>
      <c r="T71" s="534"/>
      <c r="U71" s="534"/>
      <c r="V71" s="534"/>
      <c r="W71" s="534"/>
      <c r="X71" s="534"/>
      <c r="Y71" s="534"/>
      <c r="Z71" s="534"/>
      <c r="AA71" s="534"/>
      <c r="AB71" s="534"/>
      <c r="AC71" s="534"/>
      <c r="AD71" s="534"/>
      <c r="AE71" s="534"/>
      <c r="AF71" s="534"/>
      <c r="AG71" s="534"/>
      <c r="AH71" s="534"/>
      <c r="AI71" s="534"/>
    </row>
    <row r="72" spans="1:46" s="743" customFormat="1" x14ac:dyDescent="0.25">
      <c r="A72" s="918" t="s">
        <v>1</v>
      </c>
      <c r="B72" s="918"/>
      <c r="C72" s="895" t="s">
        <v>12</v>
      </c>
      <c r="D72" s="895" t="s">
        <v>12</v>
      </c>
      <c r="E72" s="895" t="s">
        <v>13</v>
      </c>
      <c r="F72" s="895" t="s">
        <v>13</v>
      </c>
      <c r="G72" s="895" t="s">
        <v>13</v>
      </c>
      <c r="H72" s="895" t="s">
        <v>13</v>
      </c>
      <c r="I72" s="895" t="s">
        <v>13</v>
      </c>
      <c r="J72" s="895" t="s">
        <v>13</v>
      </c>
      <c r="K72" s="895" t="s">
        <v>13</v>
      </c>
      <c r="L72" s="895" t="s">
        <v>13</v>
      </c>
      <c r="M72" s="832" t="s">
        <v>2</v>
      </c>
      <c r="N72" s="895" t="s">
        <v>2</v>
      </c>
      <c r="O72" s="895" t="s">
        <v>2</v>
      </c>
      <c r="P72" s="895" t="s">
        <v>2</v>
      </c>
      <c r="Q72" s="895" t="s">
        <v>2</v>
      </c>
      <c r="R72" s="895" t="s">
        <v>2</v>
      </c>
      <c r="S72" s="895" t="s">
        <v>2</v>
      </c>
      <c r="T72" s="833" t="s">
        <v>183</v>
      </c>
      <c r="U72" s="833" t="s">
        <v>183</v>
      </c>
      <c r="V72" s="833" t="s">
        <v>2</v>
      </c>
      <c r="W72" s="833" t="s">
        <v>13</v>
      </c>
      <c r="X72" s="833" t="s">
        <v>13</v>
      </c>
      <c r="Y72" s="833" t="s">
        <v>2</v>
      </c>
      <c r="Z72" s="833" t="s">
        <v>13</v>
      </c>
      <c r="AA72" s="833" t="s">
        <v>2</v>
      </c>
      <c r="AB72" s="892" t="s">
        <v>2</v>
      </c>
      <c r="AC72" s="834" t="s">
        <v>220</v>
      </c>
      <c r="AD72" s="835"/>
      <c r="AE72" s="836"/>
      <c r="AF72" s="836"/>
      <c r="AG72" s="836"/>
      <c r="AH72" s="836"/>
      <c r="AI72" s="836"/>
      <c r="AJ72" s="836"/>
      <c r="AK72" s="836"/>
      <c r="AL72" s="836"/>
      <c r="AM72" s="836"/>
      <c r="AN72" s="918" t="s">
        <v>1</v>
      </c>
      <c r="AO72" s="919"/>
      <c r="AP72" s="895" t="s">
        <v>12</v>
      </c>
      <c r="AQ72" s="920" t="s">
        <v>13</v>
      </c>
      <c r="AR72" s="921"/>
      <c r="AS72" s="920" t="s">
        <v>2</v>
      </c>
      <c r="AT72" s="921"/>
    </row>
    <row r="73" spans="1:46" s="743" customFormat="1" x14ac:dyDescent="0.25">
      <c r="A73" s="918" t="s">
        <v>0</v>
      </c>
      <c r="B73" s="918"/>
      <c r="C73" s="837" t="s">
        <v>99</v>
      </c>
      <c r="D73" s="838" t="s">
        <v>100</v>
      </c>
      <c r="E73" s="838" t="s">
        <v>101</v>
      </c>
      <c r="F73" s="837" t="s">
        <v>102</v>
      </c>
      <c r="G73" s="838" t="s">
        <v>97</v>
      </c>
      <c r="H73" s="837" t="s">
        <v>104</v>
      </c>
      <c r="I73" s="838" t="s">
        <v>103</v>
      </c>
      <c r="J73" s="838" t="s">
        <v>178</v>
      </c>
      <c r="K73" s="838" t="s">
        <v>200</v>
      </c>
      <c r="L73" s="837" t="s">
        <v>207</v>
      </c>
      <c r="M73" s="837" t="s">
        <v>105</v>
      </c>
      <c r="N73" s="837" t="s">
        <v>107</v>
      </c>
      <c r="O73" s="838" t="s">
        <v>98</v>
      </c>
      <c r="P73" s="838" t="s">
        <v>106</v>
      </c>
      <c r="Q73" s="838" t="s">
        <v>179</v>
      </c>
      <c r="R73" s="838" t="s">
        <v>199</v>
      </c>
      <c r="S73" s="837" t="s">
        <v>208</v>
      </c>
      <c r="T73" s="837" t="s">
        <v>182</v>
      </c>
      <c r="U73" s="837" t="s">
        <v>184</v>
      </c>
      <c r="V73" s="838" t="s">
        <v>222</v>
      </c>
      <c r="W73" s="838" t="s">
        <v>223</v>
      </c>
      <c r="X73" s="838" t="s">
        <v>256</v>
      </c>
      <c r="Y73" s="838" t="s">
        <v>257</v>
      </c>
      <c r="Z73" s="838" t="s">
        <v>267</v>
      </c>
      <c r="AA73" s="838" t="s">
        <v>268</v>
      </c>
      <c r="AB73" s="893" t="s">
        <v>269</v>
      </c>
      <c r="AC73" s="839"/>
      <c r="AD73" s="840"/>
      <c r="AE73" s="841" t="s">
        <v>258</v>
      </c>
      <c r="AF73" s="841" t="s">
        <v>259</v>
      </c>
      <c r="AG73" s="841" t="s">
        <v>260</v>
      </c>
      <c r="AH73" s="841" t="s">
        <v>261</v>
      </c>
      <c r="AI73" s="841" t="s">
        <v>262</v>
      </c>
      <c r="AJ73" s="841" t="s">
        <v>263</v>
      </c>
      <c r="AK73" s="841" t="s">
        <v>264</v>
      </c>
      <c r="AL73" s="841" t="s">
        <v>265</v>
      </c>
      <c r="AM73" s="841" t="s">
        <v>266</v>
      </c>
      <c r="AN73" s="922" t="s">
        <v>0</v>
      </c>
      <c r="AO73" s="919"/>
      <c r="AP73" s="837" t="s">
        <v>99</v>
      </c>
      <c r="AQ73" s="837" t="s">
        <v>104</v>
      </c>
      <c r="AR73" s="837" t="s">
        <v>207</v>
      </c>
      <c r="AS73" s="837" t="s">
        <v>107</v>
      </c>
      <c r="AT73" s="837" t="s">
        <v>208</v>
      </c>
    </row>
    <row r="74" spans="1:46" s="743" customFormat="1" ht="30" x14ac:dyDescent="0.25">
      <c r="A74" s="923" t="s">
        <v>9</v>
      </c>
      <c r="B74" s="842" t="s">
        <v>4</v>
      </c>
      <c r="C74" s="843">
        <v>250018.4</v>
      </c>
      <c r="D74" s="843">
        <v>150516.70000000001</v>
      </c>
      <c r="E74" s="843">
        <v>150516.70000000001</v>
      </c>
      <c r="F74" s="843">
        <v>181998.8</v>
      </c>
      <c r="G74" s="843">
        <v>165765.70000000001</v>
      </c>
      <c r="H74" s="843">
        <v>389505</v>
      </c>
      <c r="I74" s="843">
        <v>171975.5</v>
      </c>
      <c r="J74" s="843">
        <v>166078</v>
      </c>
      <c r="K74" s="843">
        <v>124019.2</v>
      </c>
      <c r="L74" s="843">
        <v>224071.2</v>
      </c>
      <c r="M74" s="843">
        <v>193029.1</v>
      </c>
      <c r="N74" s="843">
        <v>438219.9</v>
      </c>
      <c r="O74" s="843">
        <v>83038.8</v>
      </c>
      <c r="P74" s="843">
        <v>276130.40000000002</v>
      </c>
      <c r="Q74" s="843">
        <v>83038.8</v>
      </c>
      <c r="R74" s="843">
        <v>191618.2</v>
      </c>
      <c r="S74" s="843">
        <v>257886.5</v>
      </c>
      <c r="T74" s="843">
        <v>55151</v>
      </c>
      <c r="U74" s="843">
        <v>33090.5</v>
      </c>
      <c r="V74" s="843">
        <v>102196.5</v>
      </c>
      <c r="W74" s="843">
        <v>209496.5</v>
      </c>
      <c r="X74" s="843">
        <v>102196.5</v>
      </c>
      <c r="Y74" s="843">
        <v>209496.5</v>
      </c>
      <c r="Z74" s="843">
        <v>102196.5</v>
      </c>
      <c r="AA74" s="843">
        <v>209496.5</v>
      </c>
      <c r="AB74" s="843">
        <v>228473.60000000001</v>
      </c>
      <c r="AC74" s="843">
        <v>4749220.9999999991</v>
      </c>
      <c r="AD74" s="844" t="s">
        <v>4</v>
      </c>
      <c r="AE74" s="845">
        <v>250018.4</v>
      </c>
      <c r="AF74" s="845">
        <v>150516.70000000001</v>
      </c>
      <c r="AG74" s="845">
        <v>795575</v>
      </c>
      <c r="AH74" s="845">
        <v>1192244.6000000001</v>
      </c>
      <c r="AI74" s="845">
        <v>1117609.1000000001</v>
      </c>
      <c r="AJ74" s="845">
        <v>1155015.7</v>
      </c>
      <c r="AK74" s="845">
        <v>88241.5</v>
      </c>
      <c r="AL74" s="845">
        <v>2497777</v>
      </c>
      <c r="AM74" s="873">
        <v>2251444</v>
      </c>
      <c r="AN74" s="878" t="s">
        <v>195</v>
      </c>
      <c r="AO74" s="875" t="s">
        <v>4</v>
      </c>
      <c r="AP74" s="843">
        <v>143393</v>
      </c>
      <c r="AQ74" s="843">
        <v>132132</v>
      </c>
      <c r="AR74" s="843">
        <v>83196.100000000006</v>
      </c>
      <c r="AS74" s="843">
        <v>132132.20000000001</v>
      </c>
      <c r="AT74" s="843">
        <v>83196.100000000006</v>
      </c>
    </row>
    <row r="75" spans="1:46" s="743" customFormat="1" x14ac:dyDescent="0.25">
      <c r="A75" s="923"/>
      <c r="B75" s="847" t="s">
        <v>5</v>
      </c>
      <c r="C75" s="583">
        <v>104295.9</v>
      </c>
      <c r="D75" s="583">
        <v>83437</v>
      </c>
      <c r="E75" s="583">
        <v>84777.9</v>
      </c>
      <c r="F75" s="583">
        <v>147341.29999999999</v>
      </c>
      <c r="G75" s="583">
        <v>113924.1</v>
      </c>
      <c r="H75" s="583">
        <v>213164.1</v>
      </c>
      <c r="I75" s="583">
        <v>123460.9</v>
      </c>
      <c r="J75" s="583">
        <v>49188.7</v>
      </c>
      <c r="K75" s="583">
        <v>82338.3</v>
      </c>
      <c r="L75" s="583">
        <v>58892.5</v>
      </c>
      <c r="M75" s="583">
        <v>153991.5</v>
      </c>
      <c r="N75" s="583">
        <v>210106.8</v>
      </c>
      <c r="O75" s="583">
        <v>57555.6</v>
      </c>
      <c r="P75" s="583">
        <v>228606.9</v>
      </c>
      <c r="Q75" s="583">
        <v>25451.599999999999</v>
      </c>
      <c r="R75" s="583">
        <v>129313.8</v>
      </c>
      <c r="S75" s="583">
        <v>163355.5</v>
      </c>
      <c r="T75" s="583">
        <v>16593.7</v>
      </c>
      <c r="U75" s="583">
        <v>10226.6</v>
      </c>
      <c r="V75" s="583">
        <v>12448.1</v>
      </c>
      <c r="W75" s="583">
        <v>24896.2</v>
      </c>
      <c r="X75" s="583">
        <v>6606.1</v>
      </c>
      <c r="Y75" s="583">
        <v>13193</v>
      </c>
      <c r="Z75" s="583">
        <v>3.1</v>
      </c>
      <c r="AA75" s="583">
        <v>6</v>
      </c>
      <c r="AB75" s="583">
        <v>6025.8</v>
      </c>
      <c r="AC75" s="848">
        <v>2119201</v>
      </c>
      <c r="AD75" s="849" t="s">
        <v>5</v>
      </c>
      <c r="AE75" s="850">
        <v>104295.9</v>
      </c>
      <c r="AF75" s="850">
        <v>83437</v>
      </c>
      <c r="AG75" s="850">
        <v>419397.9</v>
      </c>
      <c r="AH75" s="845">
        <v>485195.3</v>
      </c>
      <c r="AI75" s="845">
        <v>533479.60000000009</v>
      </c>
      <c r="AJ75" s="845">
        <v>466574.99999999994</v>
      </c>
      <c r="AK75" s="845">
        <v>26820.300000000003</v>
      </c>
      <c r="AL75" s="845">
        <v>1035207.3</v>
      </c>
      <c r="AM75" s="873">
        <v>1083993.7000000002</v>
      </c>
      <c r="AN75" s="879"/>
      <c r="AO75" s="876" t="s">
        <v>5</v>
      </c>
      <c r="AP75" s="583">
        <v>51964.9</v>
      </c>
      <c r="AQ75" s="583">
        <v>58542</v>
      </c>
      <c r="AR75" s="583">
        <v>2519</v>
      </c>
      <c r="AS75" s="583">
        <v>70731</v>
      </c>
      <c r="AT75" s="583">
        <v>31444.9</v>
      </c>
    </row>
    <row r="76" spans="1:46" s="743" customFormat="1" x14ac:dyDescent="0.25">
      <c r="A76" s="923"/>
      <c r="B76" s="851" t="s">
        <v>3</v>
      </c>
      <c r="C76" s="852">
        <v>0.41715289754674056</v>
      </c>
      <c r="D76" s="852">
        <v>0.55433715992976196</v>
      </c>
      <c r="E76" s="852">
        <v>0.56324580594711404</v>
      </c>
      <c r="F76" s="853">
        <v>0.80957292026101269</v>
      </c>
      <c r="G76" s="852">
        <v>0.68725978896719886</v>
      </c>
      <c r="H76" s="852">
        <v>0.54726922632572117</v>
      </c>
      <c r="I76" s="852">
        <v>0.71789818898622182</v>
      </c>
      <c r="J76" s="852">
        <v>0.29617830176182275</v>
      </c>
      <c r="K76" s="852">
        <v>0.66391574852926005</v>
      </c>
      <c r="L76" s="852">
        <v>0.26282940422508561</v>
      </c>
      <c r="M76" s="853">
        <v>0.79776313519567776</v>
      </c>
      <c r="N76" s="852">
        <v>0.47945517764026685</v>
      </c>
      <c r="O76" s="852">
        <v>0.6931169525571178</v>
      </c>
      <c r="P76" s="852">
        <v>0.82789471930653047</v>
      </c>
      <c r="Q76" s="852">
        <v>0.30650250244464033</v>
      </c>
      <c r="R76" s="852">
        <v>0.67485134501837507</v>
      </c>
      <c r="S76" s="852">
        <v>0.63343951699681833</v>
      </c>
      <c r="T76" s="852">
        <v>0.30087759061485742</v>
      </c>
      <c r="U76" s="852">
        <v>0.30904942506157357</v>
      </c>
      <c r="V76" s="852">
        <v>0.12180554128566047</v>
      </c>
      <c r="W76" s="852">
        <v>0.11883826221440454</v>
      </c>
      <c r="X76" s="852">
        <v>6.464115698678527E-2</v>
      </c>
      <c r="Y76" s="852">
        <v>6.297479910165564E-2</v>
      </c>
      <c r="Z76" s="852">
        <v>3.0333719843634569E-5</v>
      </c>
      <c r="AA76" s="852">
        <v>2.8640096612592574E-5</v>
      </c>
      <c r="AB76" s="852">
        <v>2.63741631418247E-2</v>
      </c>
      <c r="AC76" s="854">
        <v>0.44622075915186943</v>
      </c>
      <c r="AD76" s="855" t="s">
        <v>3</v>
      </c>
      <c r="AE76" s="856">
        <v>0.41715289754674056</v>
      </c>
      <c r="AF76" s="856">
        <v>0.55433715992976196</v>
      </c>
      <c r="AG76" s="856">
        <v>0.52716324670835557</v>
      </c>
      <c r="AH76" s="856">
        <v>0.40695952827129594</v>
      </c>
      <c r="AI76" s="856">
        <v>0.47734006460756273</v>
      </c>
      <c r="AJ76" s="856">
        <v>0.4039555479635471</v>
      </c>
      <c r="AK76" s="856">
        <v>0.30394202274440035</v>
      </c>
      <c r="AL76" s="856">
        <v>0.4144514502295441</v>
      </c>
      <c r="AM76" s="874">
        <v>0.48146598360874188</v>
      </c>
      <c r="AN76" s="879"/>
      <c r="AO76" s="877" t="s">
        <v>3</v>
      </c>
      <c r="AP76" s="852">
        <v>0.36239495651810061</v>
      </c>
      <c r="AQ76" s="852">
        <v>0.44305694305694304</v>
      </c>
      <c r="AR76" s="852">
        <v>3.0277861582453984E-2</v>
      </c>
      <c r="AS76" s="852">
        <v>0.53530479322981073</v>
      </c>
      <c r="AT76" s="852">
        <v>0.37796122654787906</v>
      </c>
    </row>
    <row r="77" spans="1:46" s="743" customFormat="1" ht="30" x14ac:dyDescent="0.25">
      <c r="A77" s="916" t="s">
        <v>6</v>
      </c>
      <c r="B77" s="857" t="s">
        <v>7</v>
      </c>
      <c r="C77" s="843">
        <v>5732</v>
      </c>
      <c r="D77" s="843">
        <v>3620</v>
      </c>
      <c r="E77" s="843">
        <v>3617</v>
      </c>
      <c r="F77" s="843">
        <v>9273</v>
      </c>
      <c r="G77" s="843">
        <v>8416</v>
      </c>
      <c r="H77" s="843">
        <v>15703</v>
      </c>
      <c r="I77" s="843">
        <v>8315</v>
      </c>
      <c r="J77" s="843">
        <v>9599</v>
      </c>
      <c r="K77" s="843">
        <v>7072</v>
      </c>
      <c r="L77" s="843">
        <v>9417</v>
      </c>
      <c r="M77" s="843">
        <v>8601</v>
      </c>
      <c r="N77" s="843">
        <v>11924</v>
      </c>
      <c r="O77" s="843">
        <v>4357</v>
      </c>
      <c r="P77" s="843">
        <v>10677</v>
      </c>
      <c r="Q77" s="843">
        <v>4799</v>
      </c>
      <c r="R77" s="843">
        <v>9711</v>
      </c>
      <c r="S77" s="843">
        <v>11666</v>
      </c>
      <c r="T77" s="858">
        <v>2480</v>
      </c>
      <c r="U77" s="858">
        <v>1570</v>
      </c>
      <c r="V77" s="843">
        <v>3999</v>
      </c>
      <c r="W77" s="843">
        <v>7999</v>
      </c>
      <c r="X77" s="843">
        <v>3999</v>
      </c>
      <c r="Y77" s="843">
        <v>7999</v>
      </c>
      <c r="Z77" s="843">
        <v>3999</v>
      </c>
      <c r="AA77" s="843">
        <v>7999</v>
      </c>
      <c r="AB77" s="843">
        <v>11999</v>
      </c>
      <c r="AC77" s="843">
        <v>194542</v>
      </c>
      <c r="AD77" s="859" t="s">
        <v>7</v>
      </c>
      <c r="AE77" s="845">
        <v>5732</v>
      </c>
      <c r="AF77" s="845">
        <v>3620</v>
      </c>
      <c r="AG77" s="845">
        <v>34393</v>
      </c>
      <c r="AH77" s="845">
        <v>53016</v>
      </c>
      <c r="AI77" s="845">
        <v>44190</v>
      </c>
      <c r="AJ77" s="845">
        <v>49541</v>
      </c>
      <c r="AK77" s="845">
        <v>4050</v>
      </c>
      <c r="AL77" s="845">
        <v>106177</v>
      </c>
      <c r="AM77" s="873">
        <v>88365</v>
      </c>
      <c r="AN77" s="883" t="s">
        <v>191</v>
      </c>
      <c r="AO77" s="882" t="s">
        <v>4</v>
      </c>
      <c r="AP77" s="860">
        <v>9191.7999999999993</v>
      </c>
      <c r="AQ77" s="860">
        <v>13787.7</v>
      </c>
      <c r="AR77" s="860">
        <v>8804.7999999999993</v>
      </c>
      <c r="AS77" s="860">
        <v>13787.7</v>
      </c>
      <c r="AT77" s="860">
        <v>8804.7999999999993</v>
      </c>
    </row>
    <row r="78" spans="1:46" s="743" customFormat="1" x14ac:dyDescent="0.25">
      <c r="A78" s="916"/>
      <c r="B78" s="842" t="s">
        <v>11</v>
      </c>
      <c r="C78" s="861">
        <v>193265.84399999998</v>
      </c>
      <c r="D78" s="861">
        <v>122055.54</v>
      </c>
      <c r="E78" s="861">
        <v>121954.389</v>
      </c>
      <c r="F78" s="861">
        <v>312657.74099999998</v>
      </c>
      <c r="G78" s="861">
        <v>283762.272</v>
      </c>
      <c r="H78" s="861">
        <v>529458.05099999998</v>
      </c>
      <c r="I78" s="861">
        <v>280356.85499999998</v>
      </c>
      <c r="J78" s="861">
        <v>323649.48300000001</v>
      </c>
      <c r="K78" s="861">
        <v>238446.62399999998</v>
      </c>
      <c r="L78" s="861">
        <v>317512.989</v>
      </c>
      <c r="M78" s="861">
        <v>289999.91700000002</v>
      </c>
      <c r="N78" s="861">
        <v>402041.50799999997</v>
      </c>
      <c r="O78" s="861">
        <v>146904.96899999998</v>
      </c>
      <c r="P78" s="861">
        <v>359996.40899999999</v>
      </c>
      <c r="Q78" s="861">
        <v>161807.883</v>
      </c>
      <c r="R78" s="861">
        <v>327425.78700000001</v>
      </c>
      <c r="S78" s="861">
        <v>393342.522</v>
      </c>
      <c r="T78" s="861">
        <v>83618.16</v>
      </c>
      <c r="U78" s="861">
        <v>52935.689999999995</v>
      </c>
      <c r="V78" s="861">
        <v>134834.283</v>
      </c>
      <c r="W78" s="861">
        <v>269702.283</v>
      </c>
      <c r="X78" s="861">
        <v>134834.283</v>
      </c>
      <c r="Y78" s="861">
        <v>269702.283</v>
      </c>
      <c r="Z78" s="861">
        <v>134834.283</v>
      </c>
      <c r="AA78" s="861">
        <v>269702.283</v>
      </c>
      <c r="AB78" s="861">
        <v>404570.283</v>
      </c>
      <c r="AC78" s="862">
        <v>6559372.6139999991</v>
      </c>
      <c r="AD78" s="844" t="s">
        <v>11</v>
      </c>
      <c r="AE78" s="863">
        <v>193265.84399999998</v>
      </c>
      <c r="AF78" s="863">
        <v>122055.54</v>
      </c>
      <c r="AG78" s="863">
        <v>1159628.781</v>
      </c>
      <c r="AH78" s="863">
        <v>1787540.4719999998</v>
      </c>
      <c r="AI78" s="863">
        <v>1489954.23</v>
      </c>
      <c r="AJ78" s="863">
        <v>1670373.8969999999</v>
      </c>
      <c r="AK78" s="863">
        <v>136553.85</v>
      </c>
      <c r="AL78" s="863">
        <v>3579969.909</v>
      </c>
      <c r="AM78" s="881">
        <v>2979402.7050000001</v>
      </c>
      <c r="AN78" s="879"/>
      <c r="AO78" s="876" t="s">
        <v>5</v>
      </c>
      <c r="AP78" s="583">
        <v>7975.5</v>
      </c>
      <c r="AQ78" s="583">
        <v>13649</v>
      </c>
      <c r="AR78" s="583">
        <v>1289.9000000000001</v>
      </c>
      <c r="AS78" s="583">
        <v>13642</v>
      </c>
      <c r="AT78" s="583">
        <v>5483.9</v>
      </c>
    </row>
    <row r="79" spans="1:46" s="743" customFormat="1" x14ac:dyDescent="0.25">
      <c r="A79" s="916"/>
      <c r="B79" s="842" t="s">
        <v>79</v>
      </c>
      <c r="C79" s="861">
        <f t="shared" ref="C79:AB79" si="49">C74-C75</f>
        <v>145722.5</v>
      </c>
      <c r="D79" s="861">
        <f t="shared" si="49"/>
        <v>67079.700000000012</v>
      </c>
      <c r="E79" s="861">
        <f t="shared" si="49"/>
        <v>65738.800000000017</v>
      </c>
      <c r="F79" s="861">
        <f t="shared" si="49"/>
        <v>34657.5</v>
      </c>
      <c r="G79" s="861">
        <f t="shared" si="49"/>
        <v>51841.600000000006</v>
      </c>
      <c r="H79" s="861">
        <f t="shared" si="49"/>
        <v>176340.9</v>
      </c>
      <c r="I79" s="861">
        <f t="shared" si="49"/>
        <v>48514.600000000006</v>
      </c>
      <c r="J79" s="861">
        <f t="shared" si="49"/>
        <v>116889.3</v>
      </c>
      <c r="K79" s="861">
        <f t="shared" si="49"/>
        <v>41680.899999999994</v>
      </c>
      <c r="L79" s="861">
        <f t="shared" si="49"/>
        <v>165178.70000000001</v>
      </c>
      <c r="M79" s="861">
        <f t="shared" si="49"/>
        <v>39037.600000000006</v>
      </c>
      <c r="N79" s="861">
        <f t="shared" si="49"/>
        <v>228113.10000000003</v>
      </c>
      <c r="O79" s="861">
        <f t="shared" si="49"/>
        <v>25483.200000000004</v>
      </c>
      <c r="P79" s="861">
        <f t="shared" si="49"/>
        <v>47523.500000000029</v>
      </c>
      <c r="Q79" s="861">
        <f t="shared" si="49"/>
        <v>57587.200000000004</v>
      </c>
      <c r="R79" s="861">
        <f t="shared" si="49"/>
        <v>62304.400000000009</v>
      </c>
      <c r="S79" s="861">
        <f t="shared" si="49"/>
        <v>94531</v>
      </c>
      <c r="T79" s="861">
        <f t="shared" si="49"/>
        <v>38557.300000000003</v>
      </c>
      <c r="U79" s="861">
        <f t="shared" si="49"/>
        <v>22863.9</v>
      </c>
      <c r="V79" s="861">
        <f t="shared" si="49"/>
        <v>89748.4</v>
      </c>
      <c r="W79" s="861">
        <f t="shared" si="49"/>
        <v>184600.3</v>
      </c>
      <c r="X79" s="861">
        <f t="shared" si="49"/>
        <v>95590.399999999994</v>
      </c>
      <c r="Y79" s="861">
        <f t="shared" si="49"/>
        <v>196303.5</v>
      </c>
      <c r="Z79" s="861">
        <f t="shared" si="49"/>
        <v>102193.4</v>
      </c>
      <c r="AA79" s="861">
        <f t="shared" si="49"/>
        <v>209490.5</v>
      </c>
      <c r="AB79" s="861">
        <f t="shared" si="49"/>
        <v>222447.80000000002</v>
      </c>
      <c r="AC79" s="862">
        <v>7294410.6000000006</v>
      </c>
      <c r="AD79" s="844" t="s">
        <v>79</v>
      </c>
      <c r="AE79" s="863">
        <v>500036.8</v>
      </c>
      <c r="AF79" s="863">
        <v>301033.40000000002</v>
      </c>
      <c r="AG79" s="863">
        <v>1591150</v>
      </c>
      <c r="AH79" s="863">
        <v>2384489.2000000002</v>
      </c>
      <c r="AI79" s="863">
        <v>2235218.2000000002</v>
      </c>
      <c r="AJ79" s="863">
        <v>2310031.4</v>
      </c>
      <c r="AK79" s="863">
        <v>176483</v>
      </c>
      <c r="AL79" s="863">
        <v>4995554</v>
      </c>
      <c r="AM79" s="881">
        <v>4502888</v>
      </c>
      <c r="AN79" s="880"/>
      <c r="AO79" s="877" t="s">
        <v>3</v>
      </c>
      <c r="AP79" s="852">
        <v>0.86767553689157739</v>
      </c>
      <c r="AQ79" s="852">
        <v>0.98994030911609621</v>
      </c>
      <c r="AR79" s="852">
        <v>0.14649963656187537</v>
      </c>
      <c r="AS79" s="852">
        <v>0.98943261022505558</v>
      </c>
      <c r="AT79" s="852">
        <v>0.62283072869343992</v>
      </c>
    </row>
    <row r="80" spans="1:46" s="743" customFormat="1" ht="30" x14ac:dyDescent="0.25">
      <c r="A80" s="916"/>
      <c r="B80" s="847" t="s">
        <v>8</v>
      </c>
      <c r="C80" s="864">
        <v>5365</v>
      </c>
      <c r="D80" s="864">
        <v>2948</v>
      </c>
      <c r="E80" s="864">
        <v>2948</v>
      </c>
      <c r="F80" s="864">
        <v>7524</v>
      </c>
      <c r="G80" s="864">
        <v>3348</v>
      </c>
      <c r="H80" s="864">
        <v>13616</v>
      </c>
      <c r="I80" s="864">
        <v>7019</v>
      </c>
      <c r="J80" s="864">
        <v>1379</v>
      </c>
      <c r="K80" s="864">
        <v>5940</v>
      </c>
      <c r="L80" s="864">
        <v>5992</v>
      </c>
      <c r="M80" s="864">
        <v>7169</v>
      </c>
      <c r="N80" s="864">
        <v>10872</v>
      </c>
      <c r="O80" s="864">
        <v>3430</v>
      </c>
      <c r="P80" s="864">
        <v>8202</v>
      </c>
      <c r="Q80" s="864">
        <v>1827</v>
      </c>
      <c r="R80" s="864">
        <v>4543</v>
      </c>
      <c r="S80" s="864">
        <v>9821</v>
      </c>
      <c r="T80" s="598">
        <v>1716</v>
      </c>
      <c r="U80" s="598">
        <v>1103</v>
      </c>
      <c r="V80" s="864">
        <v>1848</v>
      </c>
      <c r="W80" s="864">
        <v>2480</v>
      </c>
      <c r="X80" s="864">
        <v>664</v>
      </c>
      <c r="Y80" s="864">
        <v>942</v>
      </c>
      <c r="Z80" s="864">
        <v>469</v>
      </c>
      <c r="AA80" s="864">
        <v>933</v>
      </c>
      <c r="AB80" s="864">
        <v>199</v>
      </c>
      <c r="AC80" s="843">
        <v>112297</v>
      </c>
      <c r="AD80" s="849" t="s">
        <v>8</v>
      </c>
      <c r="AE80" s="865">
        <v>5365</v>
      </c>
      <c r="AF80" s="865">
        <v>2948</v>
      </c>
      <c r="AG80" s="865">
        <v>27132</v>
      </c>
      <c r="AH80" s="845">
        <v>24247</v>
      </c>
      <c r="AI80" s="845">
        <v>28061</v>
      </c>
      <c r="AJ80" s="845">
        <v>21725</v>
      </c>
      <c r="AK80" s="845">
        <v>2819</v>
      </c>
      <c r="AL80" s="845">
        <v>48920</v>
      </c>
      <c r="AM80" s="845">
        <v>63377</v>
      </c>
      <c r="AN80" s="880" t="s">
        <v>192</v>
      </c>
      <c r="AO80" s="842" t="s">
        <v>4</v>
      </c>
      <c r="AP80" s="843">
        <v>97433.600000000006</v>
      </c>
      <c r="AQ80" s="843">
        <v>243584.4</v>
      </c>
      <c r="AR80" s="843">
        <v>132070.29999999999</v>
      </c>
      <c r="AS80" s="843">
        <v>292299.3</v>
      </c>
      <c r="AT80" s="843">
        <v>132070.39999999999</v>
      </c>
    </row>
    <row r="81" spans="1:46" s="743" customFormat="1" x14ac:dyDescent="0.25">
      <c r="A81" s="916"/>
      <c r="B81" s="842" t="s">
        <v>77</v>
      </c>
      <c r="C81" s="861">
        <v>180891.70499999999</v>
      </c>
      <c r="D81" s="861">
        <v>99397.716</v>
      </c>
      <c r="E81" s="861">
        <v>99397.716</v>
      </c>
      <c r="F81" s="861">
        <v>253686.70799999998</v>
      </c>
      <c r="G81" s="861">
        <v>112884.51599999999</v>
      </c>
      <c r="H81" s="861">
        <v>459090.67199999996</v>
      </c>
      <c r="I81" s="861">
        <v>236659.62299999999</v>
      </c>
      <c r="J81" s="861">
        <v>46495.742999999995</v>
      </c>
      <c r="K81" s="861">
        <v>200278.97999999998</v>
      </c>
      <c r="L81" s="861">
        <v>202032.264</v>
      </c>
      <c r="M81" s="861">
        <v>241717.17299999998</v>
      </c>
      <c r="N81" s="861">
        <v>366571.22399999999</v>
      </c>
      <c r="O81" s="861">
        <v>115649.31</v>
      </c>
      <c r="P81" s="861">
        <v>188410.59599999996</v>
      </c>
      <c r="Q81" s="861">
        <v>61600.958999999995</v>
      </c>
      <c r="R81" s="861">
        <v>153176.33100000001</v>
      </c>
      <c r="S81" s="861">
        <v>331134.65700000001</v>
      </c>
      <c r="T81" s="866">
        <v>57858.371999999996</v>
      </c>
      <c r="U81" s="866">
        <v>37189.850999999995</v>
      </c>
      <c r="V81" s="866">
        <v>62309.015999999996</v>
      </c>
      <c r="W81" s="866">
        <v>83618.16</v>
      </c>
      <c r="X81" s="866">
        <v>22388.088</v>
      </c>
      <c r="Y81" s="866">
        <v>31761.413999999997</v>
      </c>
      <c r="Z81" s="866">
        <v>15813.272999999999</v>
      </c>
      <c r="AA81" s="866">
        <v>31457.960999999999</v>
      </c>
      <c r="AB81" s="866">
        <v>6709.683</v>
      </c>
      <c r="AC81" s="867">
        <v>3698181.7109999997</v>
      </c>
      <c r="AD81" s="844" t="s">
        <v>77</v>
      </c>
      <c r="AE81" s="868">
        <v>180891.70499999999</v>
      </c>
      <c r="AF81" s="868">
        <v>99397.716</v>
      </c>
      <c r="AG81" s="868">
        <v>914809.64399999997</v>
      </c>
      <c r="AH81" s="868">
        <v>817536.09899999993</v>
      </c>
      <c r="AI81" s="868">
        <v>946132.73699999996</v>
      </c>
      <c r="AJ81" s="868">
        <v>732501.82499999995</v>
      </c>
      <c r="AK81" s="868">
        <v>95048.222999999998</v>
      </c>
      <c r="AL81" s="868">
        <v>1649435.64</v>
      </c>
      <c r="AM81" s="868">
        <v>2136882.3089999999</v>
      </c>
      <c r="AN81" s="896"/>
      <c r="AO81" s="847" t="s">
        <v>5</v>
      </c>
      <c r="AP81" s="583">
        <v>38973.199999999997</v>
      </c>
      <c r="AQ81" s="583">
        <v>124350.5</v>
      </c>
      <c r="AR81" s="583">
        <v>3817.1</v>
      </c>
      <c r="AS81" s="583">
        <v>109009</v>
      </c>
      <c r="AT81" s="583">
        <v>33401</v>
      </c>
    </row>
    <row r="82" spans="1:46" s="743" customFormat="1" x14ac:dyDescent="0.25">
      <c r="A82" s="916"/>
      <c r="B82" s="851" t="s">
        <v>218</v>
      </c>
      <c r="C82" s="852">
        <v>0.72351356940129208</v>
      </c>
      <c r="D82" s="852">
        <v>0.66037666252316185</v>
      </c>
      <c r="E82" s="869">
        <v>0.66037666252316185</v>
      </c>
      <c r="F82" s="869">
        <v>1.3938922014870427</v>
      </c>
      <c r="G82" s="869">
        <v>0.68098838300082576</v>
      </c>
      <c r="H82" s="869">
        <v>1.1786515500442869</v>
      </c>
      <c r="I82" s="869">
        <v>1.3761240583687793</v>
      </c>
      <c r="J82" s="869">
        <v>0.27996328833439704</v>
      </c>
      <c r="K82" s="869">
        <v>1.6149030150170296</v>
      </c>
      <c r="L82" s="869">
        <v>0.90164315628246727</v>
      </c>
      <c r="M82" s="869">
        <v>1.2522317774884717</v>
      </c>
      <c r="N82" s="869">
        <v>0.83650063358601467</v>
      </c>
      <c r="O82" s="869">
        <v>1.3927141288168903</v>
      </c>
      <c r="P82" s="869">
        <v>0.68232471325142019</v>
      </c>
      <c r="Q82" s="869">
        <v>0.74183344412491503</v>
      </c>
      <c r="R82" s="869">
        <v>0.7993829970222035</v>
      </c>
      <c r="S82" s="869">
        <v>1.2840325375698225</v>
      </c>
      <c r="T82" s="852">
        <v>1.0490901706224727</v>
      </c>
      <c r="U82" s="852">
        <v>1.1238830177845605</v>
      </c>
      <c r="V82" s="852">
        <v>0.6096981403472721</v>
      </c>
      <c r="W82" s="852">
        <v>0.39913869682787068</v>
      </c>
      <c r="X82" s="852">
        <v>0.21906902878278611</v>
      </c>
      <c r="Y82" s="852">
        <v>0.15160832758542503</v>
      </c>
      <c r="Z82" s="852">
        <v>0.1547339977396486</v>
      </c>
      <c r="AA82" s="852">
        <v>0.15015984037919489</v>
      </c>
      <c r="AB82" s="852">
        <v>2.9367432386061234E-2</v>
      </c>
      <c r="AC82" s="854">
        <v>0.77869227627015047</v>
      </c>
      <c r="AD82" s="855" t="s">
        <v>218</v>
      </c>
      <c r="AE82" s="856">
        <v>0.72351356940129208</v>
      </c>
      <c r="AF82" s="856">
        <v>0.66037666252316185</v>
      </c>
      <c r="AG82" s="856">
        <v>1.1498722860823931</v>
      </c>
      <c r="AH82" s="856">
        <v>0.68571172308098516</v>
      </c>
      <c r="AI82" s="856">
        <v>0.84656856945778258</v>
      </c>
      <c r="AJ82" s="856">
        <v>0.63419209366591289</v>
      </c>
      <c r="AK82" s="856">
        <v>1.0771374353337149</v>
      </c>
      <c r="AL82" s="856">
        <v>0.66036144940080721</v>
      </c>
      <c r="AM82" s="856">
        <v>0.9491163488854264</v>
      </c>
      <c r="AN82" s="896"/>
      <c r="AO82" s="851" t="s">
        <v>3</v>
      </c>
      <c r="AP82" s="852">
        <v>0.39999753678402516</v>
      </c>
      <c r="AQ82" s="852">
        <v>0.51050272513346506</v>
      </c>
      <c r="AR82" s="852">
        <v>2.8902031720984961E-2</v>
      </c>
      <c r="AS82" s="852">
        <v>0.37293623351133581</v>
      </c>
      <c r="AT82" s="852">
        <v>0.25290299718937781</v>
      </c>
    </row>
    <row r="83" spans="1:46" s="743" customFormat="1" x14ac:dyDescent="0.25">
      <c r="A83" s="896"/>
      <c r="B83" s="851" t="s">
        <v>219</v>
      </c>
      <c r="C83" s="598">
        <v>170421</v>
      </c>
      <c r="D83" s="598">
        <v>98992.5</v>
      </c>
      <c r="E83" s="598">
        <v>98992.5</v>
      </c>
      <c r="F83" s="598">
        <v>235689</v>
      </c>
      <c r="G83" s="598">
        <v>110597</v>
      </c>
      <c r="H83" s="598">
        <v>444018</v>
      </c>
      <c r="I83" s="598">
        <v>160432</v>
      </c>
      <c r="J83" s="598">
        <v>46535.5</v>
      </c>
      <c r="K83" s="598">
        <v>141861</v>
      </c>
      <c r="L83" s="598">
        <v>202411</v>
      </c>
      <c r="M83" s="598">
        <v>237753</v>
      </c>
      <c r="N83" s="598">
        <v>366652</v>
      </c>
      <c r="O83" s="598">
        <v>115692</v>
      </c>
      <c r="P83" s="598">
        <v>156649</v>
      </c>
      <c r="Q83" s="598">
        <v>61651.1</v>
      </c>
      <c r="R83" s="598">
        <v>139953</v>
      </c>
      <c r="S83" s="598">
        <v>331311</v>
      </c>
      <c r="T83" s="598">
        <v>57858.1</v>
      </c>
      <c r="U83" s="598">
        <v>37189.699999999997</v>
      </c>
      <c r="V83" s="598">
        <v>62342.5</v>
      </c>
      <c r="W83" s="598">
        <v>62342.5</v>
      </c>
      <c r="X83" s="598">
        <v>22433.3</v>
      </c>
      <c r="Y83" s="598">
        <v>22399.599999999999</v>
      </c>
      <c r="Z83" s="598">
        <v>15847</v>
      </c>
      <c r="AA83" s="598">
        <v>15847</v>
      </c>
      <c r="AB83" s="598">
        <v>6744.41</v>
      </c>
      <c r="AC83" s="870">
        <v>3422614.7100000004</v>
      </c>
      <c r="AD83" s="855" t="s">
        <v>219</v>
      </c>
      <c r="AE83" s="871">
        <v>170421</v>
      </c>
      <c r="AF83" s="871">
        <v>98992.5</v>
      </c>
      <c r="AG83" s="871">
        <v>882118</v>
      </c>
      <c r="AH83" s="845">
        <v>659040.80000000005</v>
      </c>
      <c r="AI83" s="845">
        <v>942460.41</v>
      </c>
      <c r="AJ83" s="845">
        <v>574534.19999999995</v>
      </c>
      <c r="AK83" s="845">
        <v>95047.799999999988</v>
      </c>
      <c r="AL83" s="845">
        <v>1332567.5</v>
      </c>
      <c r="AM83" s="845">
        <v>2090047.2100000002</v>
      </c>
      <c r="AN83" s="896" t="s">
        <v>220</v>
      </c>
      <c r="AO83" s="851" t="s">
        <v>3</v>
      </c>
      <c r="AP83" s="852">
        <v>0.38119624665106289</v>
      </c>
      <c r="AQ83" s="852">
        <v>0.47677983409520408</v>
      </c>
      <c r="AR83" s="852">
        <v>2.9589946651719472E-2</v>
      </c>
      <c r="AS83" s="852">
        <v>0.45412051337057324</v>
      </c>
      <c r="AT83" s="852">
        <v>0.31543211186862841</v>
      </c>
    </row>
    <row r="84" spans="1:46" s="743" customFormat="1" x14ac:dyDescent="0.25">
      <c r="A84" s="896"/>
      <c r="B84" s="851" t="s">
        <v>217</v>
      </c>
      <c r="C84" s="869">
        <v>0.68163383174998327</v>
      </c>
      <c r="D84" s="869">
        <v>0.65768449613896662</v>
      </c>
      <c r="E84" s="869">
        <v>0.65768449613896662</v>
      </c>
      <c r="F84" s="869">
        <v>1.2950030439761142</v>
      </c>
      <c r="G84" s="869">
        <v>0.66718868861290359</v>
      </c>
      <c r="H84" s="869">
        <v>1.13995455770786</v>
      </c>
      <c r="I84" s="869">
        <v>0.93287706679149063</v>
      </c>
      <c r="J84" s="869">
        <v>0.28020267585110609</v>
      </c>
      <c r="K84" s="869">
        <v>1.143863208277428</v>
      </c>
      <c r="L84" s="869">
        <v>0.90333340473920787</v>
      </c>
      <c r="M84" s="869">
        <v>1.2316951174719253</v>
      </c>
      <c r="N84" s="869">
        <v>0.83668496113480917</v>
      </c>
      <c r="O84" s="869">
        <v>1.3932282258414139</v>
      </c>
      <c r="P84" s="869">
        <v>0.56730081150065326</v>
      </c>
      <c r="Q84" s="869">
        <v>0.74243727028810624</v>
      </c>
      <c r="R84" s="869">
        <v>0.73037425463760741</v>
      </c>
      <c r="S84" s="869">
        <v>1.2847163383891751</v>
      </c>
      <c r="T84" s="869">
        <v>1.0490852387082736</v>
      </c>
      <c r="U84" s="869">
        <v>1.1238784545413336</v>
      </c>
      <c r="V84" s="869">
        <v>0.6100257836618671</v>
      </c>
      <c r="W84" s="869">
        <v>0.29758253717842542</v>
      </c>
      <c r="X84" s="869">
        <v>0.21951143140909912</v>
      </c>
      <c r="Y84" s="869">
        <v>0.10692111801390476</v>
      </c>
      <c r="Z84" s="869">
        <v>0.15506401882647644</v>
      </c>
      <c r="AA84" s="869">
        <v>7.5643268503292421E-2</v>
      </c>
      <c r="AB84" s="869">
        <v>2.9519428065211909E-2</v>
      </c>
      <c r="AC84" s="872">
        <v>0.72066865492256538</v>
      </c>
      <c r="AD84" s="855" t="s">
        <v>217</v>
      </c>
      <c r="AE84" s="856">
        <v>0.68163383174998327</v>
      </c>
      <c r="AF84" s="856">
        <v>0.65768449613896662</v>
      </c>
      <c r="AG84" s="856">
        <v>1.1087804418188103</v>
      </c>
      <c r="AH84" s="856">
        <v>0.55277314738938632</v>
      </c>
      <c r="AI84" s="856">
        <v>0.84328269159583613</v>
      </c>
      <c r="AJ84" s="856">
        <v>0.49742544625150981</v>
      </c>
      <c r="AK84" s="856">
        <v>1.0771326416708691</v>
      </c>
      <c r="AL84" s="856">
        <v>0.53350138943548608</v>
      </c>
      <c r="AM84" s="856">
        <v>0.92831409975109314</v>
      </c>
      <c r="AN84" s="896"/>
      <c r="AO84" s="851"/>
      <c r="AP84" s="852"/>
      <c r="AQ84" s="852"/>
      <c r="AR84" s="852"/>
      <c r="AS84" s="852"/>
      <c r="AT84" s="852"/>
    </row>
    <row r="85" spans="1:46" s="743" customFormat="1" x14ac:dyDescent="0.25">
      <c r="A85" s="917">
        <v>41780</v>
      </c>
      <c r="B85" s="917"/>
      <c r="C85" s="917"/>
      <c r="D85" s="529"/>
      <c r="E85" s="529"/>
      <c r="F85" s="529"/>
      <c r="G85" s="529"/>
      <c r="H85" s="529"/>
      <c r="I85" s="525"/>
      <c r="J85" s="531"/>
      <c r="K85" s="531"/>
      <c r="L85" s="529"/>
      <c r="M85" s="529"/>
      <c r="N85" s="527"/>
      <c r="R85" s="526"/>
      <c r="S85" s="534"/>
      <c r="T85" s="534"/>
      <c r="U85" s="534"/>
      <c r="V85" s="534"/>
      <c r="W85" s="534"/>
      <c r="X85" s="534"/>
      <c r="Y85" s="534"/>
      <c r="Z85" s="534"/>
      <c r="AA85" s="534"/>
      <c r="AB85" s="534"/>
      <c r="AC85" s="534"/>
      <c r="AD85" s="534"/>
      <c r="AE85" s="534"/>
      <c r="AF85" s="534"/>
      <c r="AG85" s="534"/>
      <c r="AH85" s="534"/>
      <c r="AI85" s="534"/>
    </row>
    <row r="86" spans="1:46" s="743" customFormat="1" x14ac:dyDescent="0.25">
      <c r="A86" s="918" t="s">
        <v>1</v>
      </c>
      <c r="B86" s="918"/>
      <c r="C86" s="889" t="s">
        <v>12</v>
      </c>
      <c r="D86" s="889" t="s">
        <v>12</v>
      </c>
      <c r="E86" s="889" t="s">
        <v>13</v>
      </c>
      <c r="F86" s="889" t="s">
        <v>13</v>
      </c>
      <c r="G86" s="889" t="s">
        <v>13</v>
      </c>
      <c r="H86" s="889" t="s">
        <v>13</v>
      </c>
      <c r="I86" s="889" t="s">
        <v>13</v>
      </c>
      <c r="J86" s="889" t="s">
        <v>13</v>
      </c>
      <c r="K86" s="889" t="s">
        <v>13</v>
      </c>
      <c r="L86" s="889" t="s">
        <v>13</v>
      </c>
      <c r="M86" s="832" t="s">
        <v>2</v>
      </c>
      <c r="N86" s="889" t="s">
        <v>2</v>
      </c>
      <c r="O86" s="889" t="s">
        <v>2</v>
      </c>
      <c r="P86" s="889" t="s">
        <v>2</v>
      </c>
      <c r="Q86" s="889" t="s">
        <v>2</v>
      </c>
      <c r="R86" s="889" t="s">
        <v>2</v>
      </c>
      <c r="S86" s="889" t="s">
        <v>2</v>
      </c>
      <c r="T86" s="833" t="s">
        <v>183</v>
      </c>
      <c r="U86" s="833" t="s">
        <v>183</v>
      </c>
      <c r="V86" s="833" t="s">
        <v>2</v>
      </c>
      <c r="W86" s="833" t="s">
        <v>13</v>
      </c>
      <c r="X86" s="833" t="s">
        <v>13</v>
      </c>
      <c r="Y86" s="833" t="s">
        <v>2</v>
      </c>
      <c r="Z86" s="833" t="s">
        <v>13</v>
      </c>
      <c r="AA86" s="833" t="s">
        <v>2</v>
      </c>
      <c r="AB86" s="892" t="s">
        <v>2</v>
      </c>
      <c r="AC86" s="834" t="s">
        <v>220</v>
      </c>
      <c r="AD86" s="835"/>
      <c r="AE86" s="836"/>
      <c r="AF86" s="836"/>
      <c r="AG86" s="836"/>
      <c r="AH86" s="836"/>
      <c r="AI86" s="836"/>
      <c r="AJ86" s="836"/>
      <c r="AK86" s="836"/>
      <c r="AL86" s="836"/>
      <c r="AM86" s="836"/>
      <c r="AN86" s="918" t="s">
        <v>1</v>
      </c>
      <c r="AO86" s="919"/>
      <c r="AP86" s="889" t="s">
        <v>12</v>
      </c>
      <c r="AQ86" s="920" t="s">
        <v>13</v>
      </c>
      <c r="AR86" s="921"/>
      <c r="AS86" s="920" t="s">
        <v>2</v>
      </c>
      <c r="AT86" s="921"/>
    </row>
    <row r="87" spans="1:46" s="743" customFormat="1" x14ac:dyDescent="0.25">
      <c r="A87" s="918" t="s">
        <v>0</v>
      </c>
      <c r="B87" s="918"/>
      <c r="C87" s="837" t="s">
        <v>99</v>
      </c>
      <c r="D87" s="838" t="s">
        <v>100</v>
      </c>
      <c r="E87" s="838" t="s">
        <v>101</v>
      </c>
      <c r="F87" s="837" t="s">
        <v>102</v>
      </c>
      <c r="G87" s="838" t="s">
        <v>97</v>
      </c>
      <c r="H87" s="837" t="s">
        <v>104</v>
      </c>
      <c r="I87" s="838" t="s">
        <v>103</v>
      </c>
      <c r="J87" s="838" t="s">
        <v>178</v>
      </c>
      <c r="K87" s="838" t="s">
        <v>200</v>
      </c>
      <c r="L87" s="837" t="s">
        <v>207</v>
      </c>
      <c r="M87" s="837" t="s">
        <v>105</v>
      </c>
      <c r="N87" s="837" t="s">
        <v>107</v>
      </c>
      <c r="O87" s="838" t="s">
        <v>98</v>
      </c>
      <c r="P87" s="838" t="s">
        <v>106</v>
      </c>
      <c r="Q87" s="838" t="s">
        <v>179</v>
      </c>
      <c r="R87" s="838" t="s">
        <v>199</v>
      </c>
      <c r="S87" s="837" t="s">
        <v>208</v>
      </c>
      <c r="T87" s="837" t="s">
        <v>182</v>
      </c>
      <c r="U87" s="837" t="s">
        <v>184</v>
      </c>
      <c r="V87" s="838" t="s">
        <v>222</v>
      </c>
      <c r="W87" s="838" t="s">
        <v>223</v>
      </c>
      <c r="X87" s="838" t="s">
        <v>256</v>
      </c>
      <c r="Y87" s="838" t="s">
        <v>257</v>
      </c>
      <c r="Z87" s="838" t="s">
        <v>267</v>
      </c>
      <c r="AA87" s="838" t="s">
        <v>268</v>
      </c>
      <c r="AB87" s="893" t="s">
        <v>269</v>
      </c>
      <c r="AC87" s="839"/>
      <c r="AD87" s="840"/>
      <c r="AE87" s="841" t="s">
        <v>258</v>
      </c>
      <c r="AF87" s="841" t="s">
        <v>259</v>
      </c>
      <c r="AG87" s="841" t="s">
        <v>260</v>
      </c>
      <c r="AH87" s="841" t="s">
        <v>261</v>
      </c>
      <c r="AI87" s="841" t="s">
        <v>262</v>
      </c>
      <c r="AJ87" s="841" t="s">
        <v>263</v>
      </c>
      <c r="AK87" s="841" t="s">
        <v>264</v>
      </c>
      <c r="AL87" s="841" t="s">
        <v>265</v>
      </c>
      <c r="AM87" s="841" t="s">
        <v>266</v>
      </c>
      <c r="AN87" s="922" t="s">
        <v>0</v>
      </c>
      <c r="AO87" s="919"/>
      <c r="AP87" s="837" t="s">
        <v>99</v>
      </c>
      <c r="AQ87" s="837" t="s">
        <v>104</v>
      </c>
      <c r="AR87" s="837" t="s">
        <v>207</v>
      </c>
      <c r="AS87" s="837" t="s">
        <v>107</v>
      </c>
      <c r="AT87" s="837" t="s">
        <v>208</v>
      </c>
    </row>
    <row r="88" spans="1:46" s="743" customFormat="1" ht="30" x14ac:dyDescent="0.25">
      <c r="A88" s="923" t="s">
        <v>9</v>
      </c>
      <c r="B88" s="842" t="s">
        <v>4</v>
      </c>
      <c r="C88" s="843">
        <v>250018.4</v>
      </c>
      <c r="D88" s="843">
        <v>150516.70000000001</v>
      </c>
      <c r="E88" s="843">
        <v>150516.70000000001</v>
      </c>
      <c r="F88" s="843">
        <v>181998.8</v>
      </c>
      <c r="G88" s="843">
        <v>165765.70000000001</v>
      </c>
      <c r="H88" s="843">
        <v>389505</v>
      </c>
      <c r="I88" s="843">
        <v>171975.5</v>
      </c>
      <c r="J88" s="843">
        <v>166078</v>
      </c>
      <c r="K88" s="843">
        <v>124019.2</v>
      </c>
      <c r="L88" s="843">
        <v>224071.2</v>
      </c>
      <c r="M88" s="843">
        <v>193029.1</v>
      </c>
      <c r="N88" s="843">
        <v>438219.9</v>
      </c>
      <c r="O88" s="843">
        <v>83038.8</v>
      </c>
      <c r="P88" s="843">
        <v>276130.40000000002</v>
      </c>
      <c r="Q88" s="843">
        <v>83038.8</v>
      </c>
      <c r="R88" s="843">
        <v>191618.2</v>
      </c>
      <c r="S88" s="843">
        <v>257886.5</v>
      </c>
      <c r="T88" s="843">
        <v>55151</v>
      </c>
      <c r="U88" s="843">
        <v>33090.5</v>
      </c>
      <c r="V88" s="843">
        <v>102196.5</v>
      </c>
      <c r="W88" s="843">
        <v>209496.5</v>
      </c>
      <c r="X88" s="843">
        <v>102196.5</v>
      </c>
      <c r="Y88" s="843">
        <v>209496.5</v>
      </c>
      <c r="Z88" s="843">
        <v>102196.5</v>
      </c>
      <c r="AA88" s="843">
        <v>209496.5</v>
      </c>
      <c r="AB88" s="843">
        <v>228473.60000000001</v>
      </c>
      <c r="AC88" s="843">
        <v>4749220.9999999991</v>
      </c>
      <c r="AD88" s="844" t="s">
        <v>4</v>
      </c>
      <c r="AE88" s="845">
        <v>250018.4</v>
      </c>
      <c r="AF88" s="845">
        <v>150516.70000000001</v>
      </c>
      <c r="AG88" s="845">
        <v>795575</v>
      </c>
      <c r="AH88" s="845">
        <v>1192244.6000000001</v>
      </c>
      <c r="AI88" s="845">
        <v>1117609.1000000001</v>
      </c>
      <c r="AJ88" s="845">
        <v>1155015.7</v>
      </c>
      <c r="AK88" s="845">
        <v>88241.5</v>
      </c>
      <c r="AL88" s="845">
        <v>2497777</v>
      </c>
      <c r="AM88" s="873">
        <v>2251444</v>
      </c>
      <c r="AN88" s="878" t="s">
        <v>195</v>
      </c>
      <c r="AO88" s="875" t="s">
        <v>4</v>
      </c>
      <c r="AP88" s="843">
        <v>143393</v>
      </c>
      <c r="AQ88" s="843">
        <v>132132</v>
      </c>
      <c r="AR88" s="843">
        <v>83196.100000000006</v>
      </c>
      <c r="AS88" s="843">
        <v>132132.20000000001</v>
      </c>
      <c r="AT88" s="843">
        <v>83196.100000000006</v>
      </c>
    </row>
    <row r="89" spans="1:46" s="743" customFormat="1" x14ac:dyDescent="0.25">
      <c r="A89" s="923"/>
      <c r="B89" s="847" t="s">
        <v>5</v>
      </c>
      <c r="C89" s="583">
        <v>104316.3</v>
      </c>
      <c r="D89" s="583">
        <v>84471.4</v>
      </c>
      <c r="E89" s="583">
        <v>85810</v>
      </c>
      <c r="F89" s="583">
        <v>151442</v>
      </c>
      <c r="G89" s="583">
        <v>113818.4</v>
      </c>
      <c r="H89" s="583">
        <v>212092.79999999999</v>
      </c>
      <c r="I89" s="583">
        <v>125909.4</v>
      </c>
      <c r="J89" s="583">
        <v>49007.9</v>
      </c>
      <c r="K89" s="583">
        <v>82107.899999999994</v>
      </c>
      <c r="L89" s="583">
        <v>58291.7</v>
      </c>
      <c r="M89" s="583">
        <v>159925.70000000001</v>
      </c>
      <c r="N89" s="583">
        <v>209268.2</v>
      </c>
      <c r="O89" s="583">
        <v>57364.9</v>
      </c>
      <c r="P89" s="583">
        <v>233511.3</v>
      </c>
      <c r="Q89" s="583">
        <v>25360.5</v>
      </c>
      <c r="R89" s="583">
        <v>128871.1</v>
      </c>
      <c r="S89" s="583">
        <v>158950.79999999999</v>
      </c>
      <c r="T89" s="583">
        <v>16593.7</v>
      </c>
      <c r="U89" s="583">
        <v>10226.6</v>
      </c>
      <c r="V89" s="583">
        <v>12122.2</v>
      </c>
      <c r="W89" s="583">
        <v>24245.1</v>
      </c>
      <c r="X89" s="583">
        <v>3772.6</v>
      </c>
      <c r="Y89" s="583">
        <v>7535.5</v>
      </c>
      <c r="Z89" s="583">
        <v>3.1</v>
      </c>
      <c r="AA89" s="583">
        <v>6</v>
      </c>
      <c r="AB89" s="583">
        <v>9</v>
      </c>
      <c r="AC89" s="848">
        <v>2115034.1</v>
      </c>
      <c r="AD89" s="849" t="s">
        <v>5</v>
      </c>
      <c r="AE89" s="850">
        <v>104316.3</v>
      </c>
      <c r="AF89" s="850">
        <v>84471.4</v>
      </c>
      <c r="AG89" s="850">
        <v>421826.5</v>
      </c>
      <c r="AH89" s="845">
        <v>484674.39999999991</v>
      </c>
      <c r="AI89" s="845">
        <v>528153.69999999995</v>
      </c>
      <c r="AJ89" s="845">
        <v>464771.50000000006</v>
      </c>
      <c r="AK89" s="845">
        <v>26820.300000000003</v>
      </c>
      <c r="AL89" s="845">
        <v>1033917.3</v>
      </c>
      <c r="AM89" s="873">
        <v>1081116.8</v>
      </c>
      <c r="AN89" s="879"/>
      <c r="AO89" s="876" t="s">
        <v>5</v>
      </c>
      <c r="AP89" s="583">
        <v>51964.9</v>
      </c>
      <c r="AQ89" s="583">
        <v>58542</v>
      </c>
      <c r="AR89" s="583">
        <v>2519</v>
      </c>
      <c r="AS89" s="583">
        <v>70731</v>
      </c>
      <c r="AT89" s="583">
        <v>31444.9</v>
      </c>
    </row>
    <row r="90" spans="1:46" s="743" customFormat="1" x14ac:dyDescent="0.25">
      <c r="A90" s="923"/>
      <c r="B90" s="851" t="s">
        <v>3</v>
      </c>
      <c r="C90" s="852">
        <v>0.41723449154142256</v>
      </c>
      <c r="D90" s="852">
        <v>0.56120948705359597</v>
      </c>
      <c r="E90" s="852">
        <v>0.57010285237452052</v>
      </c>
      <c r="F90" s="853">
        <v>0.8321043875014561</v>
      </c>
      <c r="G90" s="852">
        <v>0.68662214197508886</v>
      </c>
      <c r="H90" s="852">
        <v>0.54451881233873756</v>
      </c>
      <c r="I90" s="852">
        <v>0.7321356821175109</v>
      </c>
      <c r="J90" s="852">
        <v>0.2950896566673491</v>
      </c>
      <c r="K90" s="852">
        <v>0.6620579716689029</v>
      </c>
      <c r="L90" s="852">
        <v>0.26014811363530876</v>
      </c>
      <c r="M90" s="853">
        <v>0.82850565018435052</v>
      </c>
      <c r="N90" s="852">
        <v>0.47754152652583781</v>
      </c>
      <c r="O90" s="852">
        <v>0.69082043574810814</v>
      </c>
      <c r="P90" s="852">
        <v>0.84565589301286626</v>
      </c>
      <c r="Q90" s="852">
        <v>0.30540542493388634</v>
      </c>
      <c r="R90" s="852">
        <v>0.67254102167748153</v>
      </c>
      <c r="S90" s="852">
        <v>0.61635952250311665</v>
      </c>
      <c r="T90" s="852">
        <v>0.30087759061485742</v>
      </c>
      <c r="U90" s="852">
        <v>0.30904942506157357</v>
      </c>
      <c r="V90" s="852">
        <v>0.11861658667371193</v>
      </c>
      <c r="W90" s="852">
        <v>0.11573033439699469</v>
      </c>
      <c r="X90" s="852">
        <v>3.6915158542611536E-2</v>
      </c>
      <c r="Y90" s="852">
        <v>3.5969574670698556E-2</v>
      </c>
      <c r="Z90" s="852">
        <v>3.0333719843634569E-5</v>
      </c>
      <c r="AA90" s="852">
        <v>2.8640096612592574E-5</v>
      </c>
      <c r="AB90" s="852">
        <v>3.9391859715958426E-5</v>
      </c>
      <c r="AC90" s="854">
        <v>0.44534337315530281</v>
      </c>
      <c r="AD90" s="855" t="s">
        <v>3</v>
      </c>
      <c r="AE90" s="856">
        <v>0.41723449154142256</v>
      </c>
      <c r="AF90" s="856">
        <v>0.56120948705359597</v>
      </c>
      <c r="AG90" s="856">
        <v>0.53021588159507271</v>
      </c>
      <c r="AH90" s="856">
        <v>0.4065226212809015</v>
      </c>
      <c r="AI90" s="856">
        <v>0.47257462381077597</v>
      </c>
      <c r="AJ90" s="856">
        <v>0.40239409732698878</v>
      </c>
      <c r="AK90" s="856">
        <v>0.30394202274440035</v>
      </c>
      <c r="AL90" s="856">
        <v>0.41393499099399189</v>
      </c>
      <c r="AM90" s="874">
        <v>0.48018818145154846</v>
      </c>
      <c r="AN90" s="879"/>
      <c r="AO90" s="877" t="s">
        <v>3</v>
      </c>
      <c r="AP90" s="852">
        <v>0.36239495651810061</v>
      </c>
      <c r="AQ90" s="852">
        <v>0.44305694305694304</v>
      </c>
      <c r="AR90" s="852">
        <v>3.0277861582453984E-2</v>
      </c>
      <c r="AS90" s="852">
        <v>0.53530479322981073</v>
      </c>
      <c r="AT90" s="852">
        <v>0.37796122654787906</v>
      </c>
    </row>
    <row r="91" spans="1:46" s="743" customFormat="1" ht="30" x14ac:dyDescent="0.25">
      <c r="A91" s="916" t="s">
        <v>6</v>
      </c>
      <c r="B91" s="857" t="s">
        <v>7</v>
      </c>
      <c r="C91" s="843">
        <v>5741</v>
      </c>
      <c r="D91" s="843">
        <v>3653</v>
      </c>
      <c r="E91" s="843">
        <v>3650</v>
      </c>
      <c r="F91" s="843">
        <v>9450</v>
      </c>
      <c r="G91" s="843">
        <v>8432</v>
      </c>
      <c r="H91" s="843">
        <v>15703</v>
      </c>
      <c r="I91" s="843">
        <v>8405</v>
      </c>
      <c r="J91" s="843">
        <v>9599</v>
      </c>
      <c r="K91" s="843">
        <v>7072</v>
      </c>
      <c r="L91" s="843">
        <v>9423</v>
      </c>
      <c r="M91" s="843">
        <v>8889</v>
      </c>
      <c r="N91" s="843">
        <v>11924</v>
      </c>
      <c r="O91" s="843">
        <v>4357</v>
      </c>
      <c r="P91" s="843">
        <v>10857</v>
      </c>
      <c r="Q91" s="843">
        <v>4799</v>
      </c>
      <c r="R91" s="843">
        <v>9711</v>
      </c>
      <c r="S91" s="843">
        <v>11666</v>
      </c>
      <c r="T91" s="858">
        <v>2480</v>
      </c>
      <c r="U91" s="858">
        <v>1570</v>
      </c>
      <c r="V91" s="843">
        <v>3999</v>
      </c>
      <c r="W91" s="843">
        <v>7999</v>
      </c>
      <c r="X91" s="843">
        <v>3999</v>
      </c>
      <c r="Y91" s="843">
        <v>7999</v>
      </c>
      <c r="Z91" s="843">
        <v>3999</v>
      </c>
      <c r="AA91" s="843">
        <v>7999</v>
      </c>
      <c r="AB91" s="843">
        <v>11999</v>
      </c>
      <c r="AC91" s="843">
        <v>195374</v>
      </c>
      <c r="AD91" s="859" t="s">
        <v>7</v>
      </c>
      <c r="AE91" s="845">
        <v>5741</v>
      </c>
      <c r="AF91" s="845">
        <v>3653</v>
      </c>
      <c r="AG91" s="845">
        <v>34576</v>
      </c>
      <c r="AH91" s="845">
        <v>53155</v>
      </c>
      <c r="AI91" s="845">
        <v>44478</v>
      </c>
      <c r="AJ91" s="845">
        <v>49721</v>
      </c>
      <c r="AK91" s="845">
        <v>4050</v>
      </c>
      <c r="AL91" s="845">
        <v>106529</v>
      </c>
      <c r="AM91" s="873">
        <v>88845</v>
      </c>
      <c r="AN91" s="883" t="s">
        <v>191</v>
      </c>
      <c r="AO91" s="882" t="s">
        <v>4</v>
      </c>
      <c r="AP91" s="860">
        <v>9191.7999999999993</v>
      </c>
      <c r="AQ91" s="860">
        <v>13787.7</v>
      </c>
      <c r="AR91" s="860">
        <v>8804.7999999999993</v>
      </c>
      <c r="AS91" s="860">
        <v>13787.7</v>
      </c>
      <c r="AT91" s="860">
        <v>8804.7999999999993</v>
      </c>
    </row>
    <row r="92" spans="1:46" s="743" customFormat="1" x14ac:dyDescent="0.25">
      <c r="A92" s="916"/>
      <c r="B92" s="842" t="s">
        <v>11</v>
      </c>
      <c r="C92" s="861">
        <v>193569.29699999999</v>
      </c>
      <c r="D92" s="861">
        <v>123168.201</v>
      </c>
      <c r="E92" s="861">
        <v>123067.04999999999</v>
      </c>
      <c r="F92" s="861">
        <v>318625.64999999997</v>
      </c>
      <c r="G92" s="861">
        <v>284301.74400000001</v>
      </c>
      <c r="H92" s="861">
        <v>529458.05099999998</v>
      </c>
      <c r="I92" s="861">
        <v>283391.38500000001</v>
      </c>
      <c r="J92" s="861">
        <v>323649.48300000001</v>
      </c>
      <c r="K92" s="861">
        <v>238446.62399999998</v>
      </c>
      <c r="L92" s="861">
        <v>317715.29099999997</v>
      </c>
      <c r="M92" s="861">
        <v>299710.413</v>
      </c>
      <c r="N92" s="861">
        <v>402041.50799999997</v>
      </c>
      <c r="O92" s="861">
        <v>146904.96899999998</v>
      </c>
      <c r="P92" s="861">
        <v>366065.46899999998</v>
      </c>
      <c r="Q92" s="861">
        <v>161807.883</v>
      </c>
      <c r="R92" s="861">
        <v>327425.78700000001</v>
      </c>
      <c r="S92" s="861">
        <v>393342.522</v>
      </c>
      <c r="T92" s="861">
        <v>83618.16</v>
      </c>
      <c r="U92" s="861">
        <v>52935.689999999995</v>
      </c>
      <c r="V92" s="861">
        <v>134834.283</v>
      </c>
      <c r="W92" s="861">
        <v>269702.283</v>
      </c>
      <c r="X92" s="861">
        <v>134834.283</v>
      </c>
      <c r="Y92" s="861">
        <v>269702.283</v>
      </c>
      <c r="Z92" s="861">
        <v>134834.283</v>
      </c>
      <c r="AA92" s="861">
        <v>269702.283</v>
      </c>
      <c r="AB92" s="861">
        <v>404570.283</v>
      </c>
      <c r="AC92" s="862">
        <v>6587425.1579999989</v>
      </c>
      <c r="AD92" s="844" t="s">
        <v>11</v>
      </c>
      <c r="AE92" s="863">
        <v>193569.29699999999</v>
      </c>
      <c r="AF92" s="863">
        <v>123168.201</v>
      </c>
      <c r="AG92" s="863">
        <v>1165798.9919999999</v>
      </c>
      <c r="AH92" s="863">
        <v>1792227.135</v>
      </c>
      <c r="AI92" s="863">
        <v>1499664.726</v>
      </c>
      <c r="AJ92" s="863">
        <v>1676442.9569999999</v>
      </c>
      <c r="AK92" s="863">
        <v>136553.85</v>
      </c>
      <c r="AL92" s="863">
        <v>3591838.2930000001</v>
      </c>
      <c r="AM92" s="881">
        <v>2995586.8649999998</v>
      </c>
      <c r="AN92" s="879"/>
      <c r="AO92" s="876" t="s">
        <v>5</v>
      </c>
      <c r="AP92" s="583">
        <v>7975.5</v>
      </c>
      <c r="AQ92" s="583">
        <v>13649</v>
      </c>
      <c r="AR92" s="583">
        <v>1289.9000000000001</v>
      </c>
      <c r="AS92" s="583">
        <v>13642</v>
      </c>
      <c r="AT92" s="583">
        <v>5483.9</v>
      </c>
    </row>
    <row r="93" spans="1:46" s="743" customFormat="1" x14ac:dyDescent="0.25">
      <c r="A93" s="916"/>
      <c r="B93" s="842" t="s">
        <v>79</v>
      </c>
      <c r="C93" s="861">
        <f t="shared" ref="C93:AB93" si="50">C88-C89</f>
        <v>145702.09999999998</v>
      </c>
      <c r="D93" s="861">
        <f t="shared" si="50"/>
        <v>66045.300000000017</v>
      </c>
      <c r="E93" s="861">
        <f t="shared" si="50"/>
        <v>64706.700000000012</v>
      </c>
      <c r="F93" s="861">
        <f t="shared" si="50"/>
        <v>30556.799999999988</v>
      </c>
      <c r="G93" s="861">
        <f t="shared" si="50"/>
        <v>51947.300000000017</v>
      </c>
      <c r="H93" s="861">
        <f t="shared" si="50"/>
        <v>177412.2</v>
      </c>
      <c r="I93" s="861">
        <f t="shared" si="50"/>
        <v>46066.100000000006</v>
      </c>
      <c r="J93" s="861">
        <f t="shared" si="50"/>
        <v>117070.1</v>
      </c>
      <c r="K93" s="861">
        <f t="shared" si="50"/>
        <v>41911.300000000003</v>
      </c>
      <c r="L93" s="861">
        <f t="shared" si="50"/>
        <v>165779.5</v>
      </c>
      <c r="M93" s="861">
        <f t="shared" si="50"/>
        <v>33103.399999999994</v>
      </c>
      <c r="N93" s="861">
        <f t="shared" si="50"/>
        <v>228951.7</v>
      </c>
      <c r="O93" s="861">
        <f t="shared" si="50"/>
        <v>25673.9</v>
      </c>
      <c r="P93" s="861">
        <f t="shared" si="50"/>
        <v>42619.100000000035</v>
      </c>
      <c r="Q93" s="861">
        <f t="shared" si="50"/>
        <v>57678.3</v>
      </c>
      <c r="R93" s="861">
        <f t="shared" si="50"/>
        <v>62747.100000000006</v>
      </c>
      <c r="S93" s="861">
        <f t="shared" si="50"/>
        <v>98935.700000000012</v>
      </c>
      <c r="T93" s="861">
        <f t="shared" si="50"/>
        <v>38557.300000000003</v>
      </c>
      <c r="U93" s="861">
        <f t="shared" si="50"/>
        <v>22863.9</v>
      </c>
      <c r="V93" s="861">
        <f t="shared" si="50"/>
        <v>90074.3</v>
      </c>
      <c r="W93" s="861">
        <f t="shared" si="50"/>
        <v>185251.4</v>
      </c>
      <c r="X93" s="861">
        <f t="shared" si="50"/>
        <v>98423.9</v>
      </c>
      <c r="Y93" s="861">
        <f t="shared" si="50"/>
        <v>201961</v>
      </c>
      <c r="Z93" s="861">
        <f t="shared" si="50"/>
        <v>102193.4</v>
      </c>
      <c r="AA93" s="861">
        <f t="shared" si="50"/>
        <v>209490.5</v>
      </c>
      <c r="AB93" s="861">
        <f t="shared" si="50"/>
        <v>228464.6</v>
      </c>
      <c r="AC93" s="862">
        <v>7294410.6000000006</v>
      </c>
      <c r="AD93" s="844" t="s">
        <v>79</v>
      </c>
      <c r="AE93" s="863">
        <v>500036.8</v>
      </c>
      <c r="AF93" s="863">
        <v>301033.40000000002</v>
      </c>
      <c r="AG93" s="863">
        <v>1591150</v>
      </c>
      <c r="AH93" s="863">
        <v>2384489.2000000002</v>
      </c>
      <c r="AI93" s="863">
        <v>2235218.2000000002</v>
      </c>
      <c r="AJ93" s="863">
        <v>2310031.4</v>
      </c>
      <c r="AK93" s="863">
        <v>176483</v>
      </c>
      <c r="AL93" s="863">
        <v>4995554</v>
      </c>
      <c r="AM93" s="881">
        <v>4502888</v>
      </c>
      <c r="AN93" s="880"/>
      <c r="AO93" s="877" t="s">
        <v>3</v>
      </c>
      <c r="AP93" s="852">
        <v>0.86767553689157739</v>
      </c>
      <c r="AQ93" s="852">
        <v>0.98994030911609621</v>
      </c>
      <c r="AR93" s="852">
        <v>0.14649963656187537</v>
      </c>
      <c r="AS93" s="852">
        <v>0.98943261022505558</v>
      </c>
      <c r="AT93" s="852">
        <v>0.62283072869343992</v>
      </c>
    </row>
    <row r="94" spans="1:46" s="743" customFormat="1" ht="30" x14ac:dyDescent="0.25">
      <c r="A94" s="916"/>
      <c r="B94" s="847" t="s">
        <v>8</v>
      </c>
      <c r="C94" s="864">
        <v>5397</v>
      </c>
      <c r="D94" s="864">
        <v>2981</v>
      </c>
      <c r="E94" s="864">
        <v>3007</v>
      </c>
      <c r="F94" s="864">
        <v>7701</v>
      </c>
      <c r="G94" s="864">
        <v>3356</v>
      </c>
      <c r="H94" s="864">
        <v>13615</v>
      </c>
      <c r="I94" s="864">
        <v>7093</v>
      </c>
      <c r="J94" s="864">
        <v>1379</v>
      </c>
      <c r="K94" s="864">
        <v>5848</v>
      </c>
      <c r="L94" s="864">
        <v>5649</v>
      </c>
      <c r="M94" s="864">
        <v>7608</v>
      </c>
      <c r="N94" s="864">
        <v>10872</v>
      </c>
      <c r="O94" s="864">
        <v>3430</v>
      </c>
      <c r="P94" s="864">
        <v>8202</v>
      </c>
      <c r="Q94" s="864">
        <v>1827</v>
      </c>
      <c r="R94" s="864">
        <v>4451</v>
      </c>
      <c r="S94" s="864">
        <v>9656</v>
      </c>
      <c r="T94" s="598">
        <v>1716</v>
      </c>
      <c r="U94" s="598">
        <v>1103</v>
      </c>
      <c r="V94" s="864">
        <v>1848</v>
      </c>
      <c r="W94" s="864">
        <v>2480</v>
      </c>
      <c r="X94" s="864">
        <v>503</v>
      </c>
      <c r="Y94" s="864">
        <v>694</v>
      </c>
      <c r="Z94" s="864">
        <v>469</v>
      </c>
      <c r="AA94" s="864">
        <v>933</v>
      </c>
      <c r="AB94" s="864">
        <v>-1</v>
      </c>
      <c r="AC94" s="843">
        <v>111817</v>
      </c>
      <c r="AD94" s="849" t="s">
        <v>8</v>
      </c>
      <c r="AE94" s="865">
        <v>5397</v>
      </c>
      <c r="AF94" s="865">
        <v>2981</v>
      </c>
      <c r="AG94" s="865">
        <v>26965</v>
      </c>
      <c r="AH94" s="845">
        <v>24135</v>
      </c>
      <c r="AI94" s="845">
        <v>28135</v>
      </c>
      <c r="AJ94" s="845">
        <v>21385</v>
      </c>
      <c r="AK94" s="845">
        <v>2819</v>
      </c>
      <c r="AL94" s="845">
        <v>48501</v>
      </c>
      <c r="AM94" s="845">
        <v>63316</v>
      </c>
      <c r="AN94" s="880" t="s">
        <v>192</v>
      </c>
      <c r="AO94" s="842" t="s">
        <v>4</v>
      </c>
      <c r="AP94" s="843">
        <v>97433.600000000006</v>
      </c>
      <c r="AQ94" s="843">
        <v>243584.4</v>
      </c>
      <c r="AR94" s="843">
        <v>132070.29999999999</v>
      </c>
      <c r="AS94" s="843">
        <v>292299.3</v>
      </c>
      <c r="AT94" s="843">
        <v>132070.39999999999</v>
      </c>
    </row>
    <row r="95" spans="1:46" s="743" customFormat="1" x14ac:dyDescent="0.25">
      <c r="A95" s="916"/>
      <c r="B95" s="842" t="s">
        <v>77</v>
      </c>
      <c r="C95" s="861">
        <v>181970.649</v>
      </c>
      <c r="D95" s="861">
        <v>100510.37699999999</v>
      </c>
      <c r="E95" s="861">
        <v>101387.019</v>
      </c>
      <c r="F95" s="861">
        <v>259654.617</v>
      </c>
      <c r="G95" s="861">
        <v>113154.25199999999</v>
      </c>
      <c r="H95" s="861">
        <v>459056.95499999996</v>
      </c>
      <c r="I95" s="861">
        <v>239154.68099999998</v>
      </c>
      <c r="J95" s="861">
        <v>46495.742999999995</v>
      </c>
      <c r="K95" s="861">
        <v>197177.016</v>
      </c>
      <c r="L95" s="861">
        <v>190467.33299999998</v>
      </c>
      <c r="M95" s="861">
        <v>256518.93599999999</v>
      </c>
      <c r="N95" s="861">
        <v>366571.22399999999</v>
      </c>
      <c r="O95" s="861">
        <v>115649.31</v>
      </c>
      <c r="P95" s="861">
        <v>188410.59599999996</v>
      </c>
      <c r="Q95" s="861">
        <v>61600.958999999995</v>
      </c>
      <c r="R95" s="861">
        <v>150074.367</v>
      </c>
      <c r="S95" s="861">
        <v>325571.35200000001</v>
      </c>
      <c r="T95" s="866">
        <v>57858.371999999996</v>
      </c>
      <c r="U95" s="866">
        <v>37189.850999999995</v>
      </c>
      <c r="V95" s="866">
        <v>62309.015999999996</v>
      </c>
      <c r="W95" s="866">
        <v>83618.16</v>
      </c>
      <c r="X95" s="866">
        <v>16959.650999999998</v>
      </c>
      <c r="Y95" s="866">
        <v>23399.597999999998</v>
      </c>
      <c r="Z95" s="866">
        <v>15813.272999999999</v>
      </c>
      <c r="AA95" s="866">
        <v>31457.960999999999</v>
      </c>
      <c r="AB95" s="866">
        <v>-33.716999999999999</v>
      </c>
      <c r="AC95" s="867">
        <v>3681997.550999999</v>
      </c>
      <c r="AD95" s="844" t="s">
        <v>77</v>
      </c>
      <c r="AE95" s="868">
        <v>181970.649</v>
      </c>
      <c r="AF95" s="868">
        <v>100510.37699999999</v>
      </c>
      <c r="AG95" s="868">
        <v>909178.90499999991</v>
      </c>
      <c r="AH95" s="868">
        <v>813759.79499999993</v>
      </c>
      <c r="AI95" s="868">
        <v>948627.79499999993</v>
      </c>
      <c r="AJ95" s="868">
        <v>721038.04499999993</v>
      </c>
      <c r="AK95" s="868">
        <v>95048.222999999998</v>
      </c>
      <c r="AL95" s="868">
        <v>1635308.2169999999</v>
      </c>
      <c r="AM95" s="868">
        <v>2134825.5719999997</v>
      </c>
      <c r="AN95" s="890"/>
      <c r="AO95" s="847" t="s">
        <v>5</v>
      </c>
      <c r="AP95" s="583">
        <v>38973.199999999997</v>
      </c>
      <c r="AQ95" s="583">
        <v>124350.5</v>
      </c>
      <c r="AR95" s="583">
        <v>3817.1</v>
      </c>
      <c r="AS95" s="583">
        <v>109009</v>
      </c>
      <c r="AT95" s="583">
        <v>33401</v>
      </c>
    </row>
    <row r="96" spans="1:46" s="743" customFormat="1" x14ac:dyDescent="0.25">
      <c r="A96" s="916"/>
      <c r="B96" s="851" t="s">
        <v>218</v>
      </c>
      <c r="C96" s="852">
        <v>0.72782902778355518</v>
      </c>
      <c r="D96" s="852">
        <v>0.66776893859618225</v>
      </c>
      <c r="E96" s="869">
        <v>0.67359315610825898</v>
      </c>
      <c r="F96" s="869">
        <v>1.4266831264821527</v>
      </c>
      <c r="G96" s="869">
        <v>0.68261559538553507</v>
      </c>
      <c r="H96" s="869">
        <v>1.1785649863288019</v>
      </c>
      <c r="I96" s="869">
        <v>1.3906322761090968</v>
      </c>
      <c r="J96" s="869">
        <v>0.27996328833439704</v>
      </c>
      <c r="K96" s="869">
        <v>1.589891049127877</v>
      </c>
      <c r="L96" s="869">
        <v>0.85003040551396147</v>
      </c>
      <c r="M96" s="869">
        <v>1.3289132882036956</v>
      </c>
      <c r="N96" s="869">
        <v>0.83650063358601467</v>
      </c>
      <c r="O96" s="869">
        <v>1.3927141288168903</v>
      </c>
      <c r="P96" s="869">
        <v>0.68232471325142019</v>
      </c>
      <c r="Q96" s="869">
        <v>0.74183344412491503</v>
      </c>
      <c r="R96" s="869">
        <v>0.78319474350557505</v>
      </c>
      <c r="S96" s="869">
        <v>1.2624598495849919</v>
      </c>
      <c r="T96" s="852">
        <v>1.0490901706224727</v>
      </c>
      <c r="U96" s="852">
        <v>1.1238830177845605</v>
      </c>
      <c r="V96" s="852">
        <v>0.6096981403472721</v>
      </c>
      <c r="W96" s="852">
        <v>0.39913869682787068</v>
      </c>
      <c r="X96" s="852">
        <v>0.16595138776768284</v>
      </c>
      <c r="Y96" s="852">
        <v>0.11169445790263799</v>
      </c>
      <c r="Z96" s="852">
        <v>0.1547339977396486</v>
      </c>
      <c r="AA96" s="852">
        <v>0.15015984037919489</v>
      </c>
      <c r="AB96" s="852">
        <v>-1.4757503711588558E-4</v>
      </c>
      <c r="AC96" s="854">
        <v>0.77528452582012919</v>
      </c>
      <c r="AD96" s="855" t="s">
        <v>218</v>
      </c>
      <c r="AE96" s="856">
        <v>0.72782902778355518</v>
      </c>
      <c r="AF96" s="856">
        <v>0.66776893859618225</v>
      </c>
      <c r="AG96" s="856">
        <v>1.1427947145146591</v>
      </c>
      <c r="AH96" s="856">
        <v>0.68254433276527304</v>
      </c>
      <c r="AI96" s="856">
        <v>0.84880106559619084</v>
      </c>
      <c r="AJ96" s="856">
        <v>0.6242668779307502</v>
      </c>
      <c r="AK96" s="856">
        <v>1.0771374353337149</v>
      </c>
      <c r="AL96" s="856">
        <v>0.65470545088692866</v>
      </c>
      <c r="AM96" s="856">
        <v>0.94820282982832338</v>
      </c>
      <c r="AN96" s="890"/>
      <c r="AO96" s="851" t="s">
        <v>3</v>
      </c>
      <c r="AP96" s="852">
        <v>0.39999753678402516</v>
      </c>
      <c r="AQ96" s="852">
        <v>0.51050272513346506</v>
      </c>
      <c r="AR96" s="852">
        <v>2.8902031720984961E-2</v>
      </c>
      <c r="AS96" s="852">
        <v>0.37293623351133581</v>
      </c>
      <c r="AT96" s="852">
        <v>0.25290299718937781</v>
      </c>
    </row>
    <row r="97" spans="1:46" s="743" customFormat="1" x14ac:dyDescent="0.25">
      <c r="A97" s="890"/>
      <c r="B97" s="851" t="s">
        <v>219</v>
      </c>
      <c r="C97" s="598">
        <v>171500</v>
      </c>
      <c r="D97" s="598">
        <v>100105</v>
      </c>
      <c r="E97" s="598">
        <v>100982</v>
      </c>
      <c r="F97" s="598">
        <v>241657</v>
      </c>
      <c r="G97" s="598">
        <v>110867</v>
      </c>
      <c r="H97" s="598">
        <v>443985</v>
      </c>
      <c r="I97" s="598">
        <v>164406</v>
      </c>
      <c r="J97" s="598">
        <v>46535.5</v>
      </c>
      <c r="K97" s="598">
        <v>138759</v>
      </c>
      <c r="L97" s="598">
        <v>190845</v>
      </c>
      <c r="M97" s="598">
        <v>252557</v>
      </c>
      <c r="N97" s="598">
        <v>366652</v>
      </c>
      <c r="O97" s="598">
        <v>115692</v>
      </c>
      <c r="P97" s="598">
        <v>158128</v>
      </c>
      <c r="Q97" s="598">
        <v>61651.1</v>
      </c>
      <c r="R97" s="598">
        <v>136851</v>
      </c>
      <c r="S97" s="598">
        <v>325741</v>
      </c>
      <c r="T97" s="598">
        <v>57858.1</v>
      </c>
      <c r="U97" s="598">
        <v>37189.699999999997</v>
      </c>
      <c r="V97" s="598">
        <v>62342.5</v>
      </c>
      <c r="W97" s="598">
        <v>62342.5</v>
      </c>
      <c r="X97" s="598">
        <v>17003.8</v>
      </c>
      <c r="Y97" s="598">
        <v>16970.099999999999</v>
      </c>
      <c r="Z97" s="598">
        <v>15847</v>
      </c>
      <c r="AA97" s="598">
        <v>15847</v>
      </c>
      <c r="AB97" s="598">
        <v>0</v>
      </c>
      <c r="AC97" s="870">
        <v>3412314.3000000003</v>
      </c>
      <c r="AD97" s="855" t="s">
        <v>219</v>
      </c>
      <c r="AE97" s="871">
        <v>171500</v>
      </c>
      <c r="AF97" s="871">
        <v>100105</v>
      </c>
      <c r="AG97" s="871">
        <v>876487</v>
      </c>
      <c r="AH97" s="845">
        <v>656742.80000000005</v>
      </c>
      <c r="AI97" s="845">
        <v>944950</v>
      </c>
      <c r="AJ97" s="845">
        <v>567481.69999999995</v>
      </c>
      <c r="AK97" s="845">
        <v>95047.799999999988</v>
      </c>
      <c r="AL97" s="845">
        <v>1324329.5</v>
      </c>
      <c r="AM97" s="845">
        <v>2087984.8</v>
      </c>
      <c r="AN97" s="890" t="s">
        <v>220</v>
      </c>
      <c r="AO97" s="851" t="s">
        <v>3</v>
      </c>
      <c r="AP97" s="852">
        <v>0.38119624665106289</v>
      </c>
      <c r="AQ97" s="852">
        <v>0.47677983409520408</v>
      </c>
      <c r="AR97" s="852">
        <v>2.9589946651719472E-2</v>
      </c>
      <c r="AS97" s="852">
        <v>0.45412051337057324</v>
      </c>
      <c r="AT97" s="852">
        <v>0.31543211186862841</v>
      </c>
    </row>
    <row r="98" spans="1:46" s="743" customFormat="1" x14ac:dyDescent="0.25">
      <c r="A98" s="890"/>
      <c r="B98" s="851" t="s">
        <v>217</v>
      </c>
      <c r="C98" s="869">
        <v>0.68594951411576111</v>
      </c>
      <c r="D98" s="869">
        <v>0.66507570256323711</v>
      </c>
      <c r="E98" s="869">
        <v>0.67090229854893169</v>
      </c>
      <c r="F98" s="869">
        <v>1.3277944689745207</v>
      </c>
      <c r="G98" s="869">
        <v>0.66881749360694032</v>
      </c>
      <c r="H98" s="869">
        <v>1.1398698347903107</v>
      </c>
      <c r="I98" s="869">
        <v>0.95598500949263121</v>
      </c>
      <c r="J98" s="869">
        <v>0.28020267585110609</v>
      </c>
      <c r="K98" s="869">
        <v>1.1188509521106409</v>
      </c>
      <c r="L98" s="869">
        <v>0.85171588316570801</v>
      </c>
      <c r="M98" s="869">
        <v>1.3083882171133783</v>
      </c>
      <c r="N98" s="869">
        <v>0.83668496113480917</v>
      </c>
      <c r="O98" s="869">
        <v>1.3932282258414139</v>
      </c>
      <c r="P98" s="869">
        <v>0.57265697655890113</v>
      </c>
      <c r="Q98" s="869">
        <v>0.74243727028810624</v>
      </c>
      <c r="R98" s="869">
        <v>0.71418581324738462</v>
      </c>
      <c r="S98" s="869">
        <v>1.2631176893710994</v>
      </c>
      <c r="T98" s="869">
        <v>1.0490852387082736</v>
      </c>
      <c r="U98" s="869">
        <v>1.1238784545413336</v>
      </c>
      <c r="V98" s="869">
        <v>0.6100257836618671</v>
      </c>
      <c r="W98" s="869">
        <v>0.29758253717842542</v>
      </c>
      <c r="X98" s="869">
        <v>0.16638338886361079</v>
      </c>
      <c r="Y98" s="869">
        <v>8.1004217254226199E-2</v>
      </c>
      <c r="Z98" s="869">
        <v>0.15506401882647644</v>
      </c>
      <c r="AA98" s="869">
        <v>7.5643268503292421E-2</v>
      </c>
      <c r="AB98" s="869">
        <v>0</v>
      </c>
      <c r="AC98" s="872">
        <v>0.7184997918606022</v>
      </c>
      <c r="AD98" s="855" t="s">
        <v>217</v>
      </c>
      <c r="AE98" s="856">
        <v>0.68594951411576111</v>
      </c>
      <c r="AF98" s="856">
        <v>0.66507570256323711</v>
      </c>
      <c r="AG98" s="856">
        <v>1.101702542186469</v>
      </c>
      <c r="AH98" s="856">
        <v>0.55084569055712229</v>
      </c>
      <c r="AI98" s="856">
        <v>0.84551029514702403</v>
      </c>
      <c r="AJ98" s="856">
        <v>0.4913194686444522</v>
      </c>
      <c r="AK98" s="856">
        <v>1.0771326416708691</v>
      </c>
      <c r="AL98" s="856">
        <v>0.53020325673588953</v>
      </c>
      <c r="AM98" s="856">
        <v>0.92739806097775479</v>
      </c>
      <c r="AN98" s="890"/>
      <c r="AO98" s="851"/>
      <c r="AP98" s="852"/>
      <c r="AQ98" s="852"/>
      <c r="AR98" s="852"/>
      <c r="AS98" s="852"/>
      <c r="AT98" s="852"/>
    </row>
    <row r="99" spans="1:46" s="743" customFormat="1" x14ac:dyDescent="0.25">
      <c r="A99" s="917">
        <v>41773</v>
      </c>
      <c r="B99" s="917"/>
      <c r="C99" s="917"/>
      <c r="D99" s="529"/>
      <c r="E99" s="529"/>
      <c r="F99" s="529"/>
      <c r="G99" s="529"/>
      <c r="H99" s="529"/>
      <c r="I99" s="525"/>
      <c r="J99" s="531"/>
      <c r="K99" s="531"/>
      <c r="L99" s="529"/>
      <c r="M99" s="529"/>
      <c r="N99" s="527"/>
      <c r="R99" s="526"/>
      <c r="S99" s="534"/>
      <c r="T99" s="534"/>
      <c r="U99" s="534"/>
      <c r="V99" s="534"/>
      <c r="W99" s="534"/>
      <c r="X99" s="534"/>
      <c r="Y99" s="534"/>
      <c r="Z99" s="534"/>
      <c r="AA99" s="534"/>
      <c r="AB99" s="534"/>
      <c r="AC99" s="534"/>
      <c r="AD99" s="534"/>
      <c r="AE99" s="534"/>
      <c r="AF99" s="534"/>
      <c r="AG99" s="534"/>
      <c r="AH99" s="534"/>
      <c r="AI99" s="534"/>
    </row>
    <row r="100" spans="1:46" s="743" customFormat="1" x14ac:dyDescent="0.25">
      <c r="A100" s="918" t="s">
        <v>1</v>
      </c>
      <c r="B100" s="918"/>
      <c r="C100" s="888" t="s">
        <v>12</v>
      </c>
      <c r="D100" s="888" t="s">
        <v>12</v>
      </c>
      <c r="E100" s="888" t="s">
        <v>13</v>
      </c>
      <c r="F100" s="888" t="s">
        <v>13</v>
      </c>
      <c r="G100" s="888" t="s">
        <v>13</v>
      </c>
      <c r="H100" s="888" t="s">
        <v>13</v>
      </c>
      <c r="I100" s="888" t="s">
        <v>13</v>
      </c>
      <c r="J100" s="888" t="s">
        <v>13</v>
      </c>
      <c r="K100" s="888" t="s">
        <v>13</v>
      </c>
      <c r="L100" s="888" t="s">
        <v>13</v>
      </c>
      <c r="M100" s="832" t="s">
        <v>2</v>
      </c>
      <c r="N100" s="888" t="s">
        <v>2</v>
      </c>
      <c r="O100" s="888" t="s">
        <v>2</v>
      </c>
      <c r="P100" s="888" t="s">
        <v>2</v>
      </c>
      <c r="Q100" s="888" t="s">
        <v>2</v>
      </c>
      <c r="R100" s="888" t="s">
        <v>2</v>
      </c>
      <c r="S100" s="888" t="s">
        <v>2</v>
      </c>
      <c r="T100" s="833" t="s">
        <v>183</v>
      </c>
      <c r="U100" s="833" t="s">
        <v>183</v>
      </c>
      <c r="V100" s="833" t="s">
        <v>2</v>
      </c>
      <c r="W100" s="833" t="s">
        <v>13</v>
      </c>
      <c r="X100" s="833" t="s">
        <v>13</v>
      </c>
      <c r="Y100" s="833" t="s">
        <v>2</v>
      </c>
      <c r="Z100" s="833" t="s">
        <v>13</v>
      </c>
      <c r="AA100" s="833" t="s">
        <v>2</v>
      </c>
      <c r="AB100" s="834" t="s">
        <v>220</v>
      </c>
      <c r="AC100" s="835"/>
      <c r="AD100" s="836"/>
      <c r="AE100" s="836"/>
      <c r="AF100" s="836"/>
      <c r="AG100" s="836"/>
      <c r="AH100" s="836"/>
      <c r="AI100" s="836"/>
      <c r="AJ100" s="836"/>
      <c r="AK100" s="836"/>
      <c r="AL100" s="836"/>
      <c r="AM100" s="918" t="s">
        <v>1</v>
      </c>
      <c r="AN100" s="919"/>
      <c r="AO100" s="888" t="s">
        <v>12</v>
      </c>
      <c r="AP100" s="920" t="s">
        <v>13</v>
      </c>
      <c r="AQ100" s="921"/>
      <c r="AR100" s="920" t="s">
        <v>2</v>
      </c>
      <c r="AS100" s="921"/>
    </row>
    <row r="101" spans="1:46" s="743" customFormat="1" x14ac:dyDescent="0.25">
      <c r="A101" s="918" t="s">
        <v>0</v>
      </c>
      <c r="B101" s="918"/>
      <c r="C101" s="837" t="s">
        <v>99</v>
      </c>
      <c r="D101" s="838" t="s">
        <v>100</v>
      </c>
      <c r="E101" s="838" t="s">
        <v>101</v>
      </c>
      <c r="F101" s="837" t="s">
        <v>102</v>
      </c>
      <c r="G101" s="838" t="s">
        <v>97</v>
      </c>
      <c r="H101" s="837" t="s">
        <v>104</v>
      </c>
      <c r="I101" s="838" t="s">
        <v>103</v>
      </c>
      <c r="J101" s="838" t="s">
        <v>178</v>
      </c>
      <c r="K101" s="838" t="s">
        <v>200</v>
      </c>
      <c r="L101" s="837" t="s">
        <v>207</v>
      </c>
      <c r="M101" s="837" t="s">
        <v>105</v>
      </c>
      <c r="N101" s="837" t="s">
        <v>107</v>
      </c>
      <c r="O101" s="838" t="s">
        <v>98</v>
      </c>
      <c r="P101" s="838" t="s">
        <v>106</v>
      </c>
      <c r="Q101" s="838" t="s">
        <v>179</v>
      </c>
      <c r="R101" s="838" t="s">
        <v>199</v>
      </c>
      <c r="S101" s="837" t="s">
        <v>208</v>
      </c>
      <c r="T101" s="837" t="s">
        <v>182</v>
      </c>
      <c r="U101" s="837" t="s">
        <v>184</v>
      </c>
      <c r="V101" s="838" t="s">
        <v>222</v>
      </c>
      <c r="W101" s="838" t="s">
        <v>223</v>
      </c>
      <c r="X101" s="838" t="s">
        <v>256</v>
      </c>
      <c r="Y101" s="838" t="s">
        <v>257</v>
      </c>
      <c r="Z101" s="838" t="s">
        <v>267</v>
      </c>
      <c r="AA101" s="838" t="s">
        <v>268</v>
      </c>
      <c r="AB101" s="839"/>
      <c r="AC101" s="840"/>
      <c r="AD101" s="841" t="s">
        <v>258</v>
      </c>
      <c r="AE101" s="841" t="s">
        <v>259</v>
      </c>
      <c r="AF101" s="841" t="s">
        <v>260</v>
      </c>
      <c r="AG101" s="841" t="s">
        <v>261</v>
      </c>
      <c r="AH101" s="841" t="s">
        <v>262</v>
      </c>
      <c r="AI101" s="841" t="s">
        <v>263</v>
      </c>
      <c r="AJ101" s="841" t="s">
        <v>264</v>
      </c>
      <c r="AK101" s="841" t="s">
        <v>265</v>
      </c>
      <c r="AL101" s="841" t="s">
        <v>266</v>
      </c>
      <c r="AM101" s="922" t="s">
        <v>0</v>
      </c>
      <c r="AN101" s="919"/>
      <c r="AO101" s="837" t="s">
        <v>99</v>
      </c>
      <c r="AP101" s="837" t="s">
        <v>104</v>
      </c>
      <c r="AQ101" s="837" t="s">
        <v>207</v>
      </c>
      <c r="AR101" s="837" t="s">
        <v>107</v>
      </c>
      <c r="AS101" s="837" t="s">
        <v>208</v>
      </c>
    </row>
    <row r="102" spans="1:46" s="743" customFormat="1" ht="30" x14ac:dyDescent="0.25">
      <c r="A102" s="923" t="s">
        <v>9</v>
      </c>
      <c r="B102" s="842" t="s">
        <v>4</v>
      </c>
      <c r="C102" s="843">
        <v>250018.4</v>
      </c>
      <c r="D102" s="843">
        <v>150516.70000000001</v>
      </c>
      <c r="E102" s="843">
        <v>150516.70000000001</v>
      </c>
      <c r="F102" s="843">
        <v>181998.8</v>
      </c>
      <c r="G102" s="843">
        <v>165765.70000000001</v>
      </c>
      <c r="H102" s="843">
        <v>389505</v>
      </c>
      <c r="I102" s="843">
        <v>171975.5</v>
      </c>
      <c r="J102" s="843">
        <v>166078</v>
      </c>
      <c r="K102" s="843">
        <v>124019.2</v>
      </c>
      <c r="L102" s="843">
        <v>224071.2</v>
      </c>
      <c r="M102" s="843">
        <v>193029.1</v>
      </c>
      <c r="N102" s="843">
        <v>438219.9</v>
      </c>
      <c r="O102" s="843">
        <v>83038.8</v>
      </c>
      <c r="P102" s="843">
        <v>276130.40000000002</v>
      </c>
      <c r="Q102" s="843">
        <v>83038.8</v>
      </c>
      <c r="R102" s="843">
        <v>191618.2</v>
      </c>
      <c r="S102" s="843">
        <v>224071.2</v>
      </c>
      <c r="T102" s="843">
        <v>55151</v>
      </c>
      <c r="U102" s="843">
        <v>33090.5</v>
      </c>
      <c r="V102" s="843">
        <v>102196.5</v>
      </c>
      <c r="W102" s="843">
        <v>209496.5</v>
      </c>
      <c r="X102" s="843">
        <v>102196.5</v>
      </c>
      <c r="Y102" s="843">
        <v>209496.5</v>
      </c>
      <c r="Z102" s="843">
        <v>102196.5</v>
      </c>
      <c r="AA102" s="843">
        <v>209496.5</v>
      </c>
      <c r="AB102" s="843">
        <v>4486932.0999999996</v>
      </c>
      <c r="AC102" s="844" t="s">
        <v>4</v>
      </c>
      <c r="AD102" s="845">
        <v>250018.4</v>
      </c>
      <c r="AE102" s="845">
        <v>150516.70000000001</v>
      </c>
      <c r="AF102" s="845">
        <v>795575</v>
      </c>
      <c r="AG102" s="845">
        <v>1192244.6000000001</v>
      </c>
      <c r="AH102" s="845">
        <v>855320.2</v>
      </c>
      <c r="AI102" s="845">
        <v>1155015.7</v>
      </c>
      <c r="AJ102" s="845">
        <v>88241.5</v>
      </c>
      <c r="AK102" s="845">
        <v>2497777</v>
      </c>
      <c r="AL102" s="873">
        <v>1989155.1</v>
      </c>
      <c r="AM102" s="878" t="s">
        <v>195</v>
      </c>
      <c r="AN102" s="875" t="s">
        <v>4</v>
      </c>
      <c r="AO102" s="843">
        <v>143393</v>
      </c>
      <c r="AP102" s="843">
        <v>132132</v>
      </c>
      <c r="AQ102" s="843">
        <v>83196.100000000006</v>
      </c>
      <c r="AR102" s="843">
        <v>132132.20000000001</v>
      </c>
      <c r="AS102" s="843">
        <v>83196.100000000006</v>
      </c>
    </row>
    <row r="103" spans="1:46" s="743" customFormat="1" x14ac:dyDescent="0.25">
      <c r="A103" s="923"/>
      <c r="B103" s="847" t="s">
        <v>5</v>
      </c>
      <c r="C103" s="583">
        <v>103983.6</v>
      </c>
      <c r="D103" s="583">
        <v>84443.8</v>
      </c>
      <c r="E103" s="583">
        <v>85783.4</v>
      </c>
      <c r="F103" s="583">
        <v>151357.79999999999</v>
      </c>
      <c r="G103" s="583">
        <v>113030</v>
      </c>
      <c r="H103" s="583">
        <v>210920.2</v>
      </c>
      <c r="I103" s="583">
        <v>125194.6</v>
      </c>
      <c r="J103" s="583">
        <v>48616</v>
      </c>
      <c r="K103" s="583">
        <v>81863.3</v>
      </c>
      <c r="L103" s="583">
        <v>54713.2</v>
      </c>
      <c r="M103" s="583">
        <v>159826.29999999999</v>
      </c>
      <c r="N103" s="583">
        <v>208674.4</v>
      </c>
      <c r="O103" s="583">
        <v>56983.8</v>
      </c>
      <c r="P103" s="583">
        <v>232246.5</v>
      </c>
      <c r="Q103" s="583">
        <v>25163.200000000001</v>
      </c>
      <c r="R103" s="583">
        <v>126010.4</v>
      </c>
      <c r="S103" s="583">
        <v>152696.4</v>
      </c>
      <c r="T103" s="583">
        <v>15990.4</v>
      </c>
      <c r="U103" s="583">
        <v>9456.4</v>
      </c>
      <c r="V103" s="583">
        <v>11256.5</v>
      </c>
      <c r="W103" s="583">
        <v>22512.799999999999</v>
      </c>
      <c r="X103" s="583">
        <v>1302.4000000000001</v>
      </c>
      <c r="Y103" s="583">
        <v>2594</v>
      </c>
      <c r="Z103" s="583">
        <v>3.1</v>
      </c>
      <c r="AA103" s="583">
        <v>6</v>
      </c>
      <c r="AB103" s="848">
        <v>2084628.4999999998</v>
      </c>
      <c r="AC103" s="849" t="s">
        <v>5</v>
      </c>
      <c r="AD103" s="850">
        <v>103983.6</v>
      </c>
      <c r="AE103" s="850">
        <v>84443.8</v>
      </c>
      <c r="AF103" s="850">
        <v>416991.2</v>
      </c>
      <c r="AG103" s="845">
        <v>478305.6</v>
      </c>
      <c r="AH103" s="845">
        <v>521197.1</v>
      </c>
      <c r="AI103" s="845">
        <v>454260.4</v>
      </c>
      <c r="AJ103" s="845">
        <v>25446.799999999999</v>
      </c>
      <c r="AK103" s="845">
        <v>1017009.8</v>
      </c>
      <c r="AL103" s="873">
        <v>1067618.7</v>
      </c>
      <c r="AM103" s="879"/>
      <c r="AN103" s="876" t="s">
        <v>5</v>
      </c>
      <c r="AO103" s="583">
        <v>51964.9</v>
      </c>
      <c r="AP103" s="583">
        <v>58542</v>
      </c>
      <c r="AQ103" s="583">
        <v>2519</v>
      </c>
      <c r="AR103" s="583">
        <v>70731</v>
      </c>
      <c r="AS103" s="583">
        <v>31444.9</v>
      </c>
    </row>
    <row r="104" spans="1:46" s="743" customFormat="1" x14ac:dyDescent="0.25">
      <c r="A104" s="923"/>
      <c r="B104" s="851" t="s">
        <v>3</v>
      </c>
      <c r="C104" s="852">
        <v>0.41590378948109424</v>
      </c>
      <c r="D104" s="852">
        <v>0.56102611869646357</v>
      </c>
      <c r="E104" s="852">
        <v>0.56992612779844354</v>
      </c>
      <c r="F104" s="853">
        <v>0.8316417470884423</v>
      </c>
      <c r="G104" s="852">
        <v>0.68186603139250157</v>
      </c>
      <c r="H104" s="852">
        <v>0.54150832466848953</v>
      </c>
      <c r="I104" s="852">
        <v>0.7279792761178191</v>
      </c>
      <c r="J104" s="852">
        <v>0.29272992208480353</v>
      </c>
      <c r="K104" s="852">
        <v>0.66008569640829806</v>
      </c>
      <c r="L104" s="852">
        <v>0.24417774350295796</v>
      </c>
      <c r="M104" s="853">
        <v>0.82799070192007307</v>
      </c>
      <c r="N104" s="852">
        <v>0.47618649906131599</v>
      </c>
      <c r="O104" s="852">
        <v>0.68623101489905924</v>
      </c>
      <c r="P104" s="852">
        <v>0.8410754484113302</v>
      </c>
      <c r="Q104" s="852">
        <v>0.30302942720752224</v>
      </c>
      <c r="R104" s="852">
        <v>0.65761185524130794</v>
      </c>
      <c r="S104" s="852">
        <v>0.68146374902263207</v>
      </c>
      <c r="T104" s="852">
        <v>0.28993853239288497</v>
      </c>
      <c r="U104" s="852">
        <v>0.28577386258896059</v>
      </c>
      <c r="V104" s="852">
        <v>0.11014565078060404</v>
      </c>
      <c r="W104" s="852">
        <v>0.10746146116999568</v>
      </c>
      <c r="X104" s="852">
        <v>1.274407636269344E-2</v>
      </c>
      <c r="Y104" s="852">
        <v>1.2382068435510856E-2</v>
      </c>
      <c r="Z104" s="852">
        <v>3.0333719843634569E-5</v>
      </c>
      <c r="AA104" s="852">
        <v>2.8640096612592574E-5</v>
      </c>
      <c r="AB104" s="854">
        <v>0.46459996575388335</v>
      </c>
      <c r="AC104" s="855" t="s">
        <v>3</v>
      </c>
      <c r="AD104" s="856">
        <v>0.41590378948109424</v>
      </c>
      <c r="AE104" s="856">
        <v>0.56102611869646357</v>
      </c>
      <c r="AF104" s="856">
        <v>0.52413813908179618</v>
      </c>
      <c r="AG104" s="856">
        <v>0.40118076441696604</v>
      </c>
      <c r="AH104" s="856">
        <v>0.60935904471798985</v>
      </c>
      <c r="AI104" s="856">
        <v>0.39329370154881882</v>
      </c>
      <c r="AJ104" s="856">
        <v>0.28837678416618029</v>
      </c>
      <c r="AK104" s="856">
        <v>0.40716597198228666</v>
      </c>
      <c r="AL104" s="874">
        <v>0.53671968565950434</v>
      </c>
      <c r="AM104" s="879"/>
      <c r="AN104" s="877" t="s">
        <v>3</v>
      </c>
      <c r="AO104" s="852">
        <f>AO103/AO102</f>
        <v>0.36239495651810061</v>
      </c>
      <c r="AP104" s="852">
        <f>AP103/AP102</f>
        <v>0.44305694305694304</v>
      </c>
      <c r="AQ104" s="852">
        <f>AQ103/AQ102</f>
        <v>3.0277861582453984E-2</v>
      </c>
      <c r="AR104" s="852">
        <f>AR103/AR102</f>
        <v>0.53530479322981073</v>
      </c>
      <c r="AS104" s="852">
        <f>AS103/AS102</f>
        <v>0.37796122654787906</v>
      </c>
    </row>
    <row r="105" spans="1:46" s="743" customFormat="1" ht="30" x14ac:dyDescent="0.25">
      <c r="A105" s="916" t="s">
        <v>6</v>
      </c>
      <c r="B105" s="857" t="s">
        <v>7</v>
      </c>
      <c r="C105" s="843">
        <v>5741</v>
      </c>
      <c r="D105" s="843">
        <v>3653</v>
      </c>
      <c r="E105" s="843">
        <v>3650</v>
      </c>
      <c r="F105" s="843">
        <v>9450</v>
      </c>
      <c r="G105" s="843">
        <v>8432</v>
      </c>
      <c r="H105" s="843">
        <v>15703</v>
      </c>
      <c r="I105" s="843">
        <v>8405</v>
      </c>
      <c r="J105" s="843">
        <v>9599</v>
      </c>
      <c r="K105" s="843">
        <v>7072</v>
      </c>
      <c r="L105" s="843">
        <v>9423</v>
      </c>
      <c r="M105" s="843">
        <v>8889</v>
      </c>
      <c r="N105" s="843">
        <v>11924</v>
      </c>
      <c r="O105" s="843">
        <v>4357</v>
      </c>
      <c r="P105" s="843">
        <v>10857</v>
      </c>
      <c r="Q105" s="843">
        <v>4799</v>
      </c>
      <c r="R105" s="843">
        <v>9711</v>
      </c>
      <c r="S105" s="843">
        <v>11666</v>
      </c>
      <c r="T105" s="858">
        <v>2480</v>
      </c>
      <c r="U105" s="858">
        <v>1570</v>
      </c>
      <c r="V105" s="843">
        <v>3999</v>
      </c>
      <c r="W105" s="843">
        <v>7999</v>
      </c>
      <c r="X105" s="843">
        <v>3999</v>
      </c>
      <c r="Y105" s="843">
        <v>7999</v>
      </c>
      <c r="Z105" s="843">
        <v>3999</v>
      </c>
      <c r="AA105" s="843">
        <v>7999</v>
      </c>
      <c r="AB105" s="843">
        <v>183375</v>
      </c>
      <c r="AC105" s="859" t="s">
        <v>7</v>
      </c>
      <c r="AD105" s="845">
        <v>5741</v>
      </c>
      <c r="AE105" s="845">
        <v>3653</v>
      </c>
      <c r="AF105" s="845">
        <v>34576</v>
      </c>
      <c r="AG105" s="845">
        <v>53155</v>
      </c>
      <c r="AH105" s="845">
        <v>32479</v>
      </c>
      <c r="AI105" s="845">
        <v>49721</v>
      </c>
      <c r="AJ105" s="845">
        <v>4050</v>
      </c>
      <c r="AK105" s="845">
        <v>106529</v>
      </c>
      <c r="AL105" s="873">
        <v>76846</v>
      </c>
      <c r="AM105" s="883" t="s">
        <v>191</v>
      </c>
      <c r="AN105" s="882" t="s">
        <v>4</v>
      </c>
      <c r="AO105" s="860">
        <v>9191.7999999999993</v>
      </c>
      <c r="AP105" s="860">
        <v>13787.7</v>
      </c>
      <c r="AQ105" s="860">
        <v>8804.7999999999993</v>
      </c>
      <c r="AR105" s="860">
        <v>13787.7</v>
      </c>
      <c r="AS105" s="860">
        <v>8804.7999999999993</v>
      </c>
    </row>
    <row r="106" spans="1:46" s="743" customFormat="1" x14ac:dyDescent="0.25">
      <c r="A106" s="916"/>
      <c r="B106" s="842" t="s">
        <v>11</v>
      </c>
      <c r="C106" s="861">
        <v>193569.29699999999</v>
      </c>
      <c r="D106" s="861">
        <v>123168.201</v>
      </c>
      <c r="E106" s="861">
        <v>123067.04999999999</v>
      </c>
      <c r="F106" s="861">
        <v>318625.64999999997</v>
      </c>
      <c r="G106" s="861">
        <v>284301.74400000001</v>
      </c>
      <c r="H106" s="861">
        <v>529458.05099999998</v>
      </c>
      <c r="I106" s="861">
        <v>283391.38500000001</v>
      </c>
      <c r="J106" s="861">
        <v>323649.48300000001</v>
      </c>
      <c r="K106" s="861">
        <v>238446.62399999998</v>
      </c>
      <c r="L106" s="861">
        <v>317715.29099999997</v>
      </c>
      <c r="M106" s="861">
        <v>299710.413</v>
      </c>
      <c r="N106" s="861">
        <v>402041.50799999997</v>
      </c>
      <c r="O106" s="861">
        <v>146904.96899999998</v>
      </c>
      <c r="P106" s="861">
        <v>366065.46899999998</v>
      </c>
      <c r="Q106" s="861">
        <v>161807.883</v>
      </c>
      <c r="R106" s="861">
        <v>327425.78700000001</v>
      </c>
      <c r="S106" s="861">
        <v>393342.522</v>
      </c>
      <c r="T106" s="861">
        <v>83618.16</v>
      </c>
      <c r="U106" s="861">
        <v>52935.689999999995</v>
      </c>
      <c r="V106" s="861">
        <v>134834.283</v>
      </c>
      <c r="W106" s="861">
        <v>269702.283</v>
      </c>
      <c r="X106" s="861">
        <v>134834.283</v>
      </c>
      <c r="Y106" s="861">
        <v>269702.283</v>
      </c>
      <c r="Z106" s="861">
        <v>134834.283</v>
      </c>
      <c r="AA106" s="861">
        <v>269702.283</v>
      </c>
      <c r="AB106" s="862">
        <v>6182854.8749999991</v>
      </c>
      <c r="AC106" s="844" t="s">
        <v>11</v>
      </c>
      <c r="AD106" s="863">
        <v>193569.29699999999</v>
      </c>
      <c r="AE106" s="863">
        <v>123168.201</v>
      </c>
      <c r="AF106" s="863">
        <v>1165798.9919999999</v>
      </c>
      <c r="AG106" s="863">
        <v>1792227.135</v>
      </c>
      <c r="AH106" s="863">
        <v>1095094.443</v>
      </c>
      <c r="AI106" s="863">
        <v>1676442.9569999999</v>
      </c>
      <c r="AJ106" s="863">
        <v>136553.85</v>
      </c>
      <c r="AK106" s="863">
        <v>3591838.2930000001</v>
      </c>
      <c r="AL106" s="881">
        <v>2591016.5819999999</v>
      </c>
      <c r="AM106" s="879"/>
      <c r="AN106" s="876" t="s">
        <v>5</v>
      </c>
      <c r="AO106" s="583">
        <v>7975.5</v>
      </c>
      <c r="AP106" s="583">
        <v>13649</v>
      </c>
      <c r="AQ106" s="583">
        <v>1289.9000000000001</v>
      </c>
      <c r="AR106" s="583">
        <v>13642</v>
      </c>
      <c r="AS106" s="583">
        <v>5483.9</v>
      </c>
    </row>
    <row r="107" spans="1:46" s="743" customFormat="1" x14ac:dyDescent="0.25">
      <c r="A107" s="916"/>
      <c r="B107" s="842" t="s">
        <v>79</v>
      </c>
      <c r="C107" s="861">
        <f t="shared" ref="C107:AA107" si="51">C102-C103</f>
        <v>146034.79999999999</v>
      </c>
      <c r="D107" s="861">
        <f t="shared" si="51"/>
        <v>66072.900000000009</v>
      </c>
      <c r="E107" s="861">
        <f t="shared" si="51"/>
        <v>64733.300000000017</v>
      </c>
      <c r="F107" s="861">
        <f t="shared" si="51"/>
        <v>30641</v>
      </c>
      <c r="G107" s="861">
        <f t="shared" si="51"/>
        <v>52735.700000000012</v>
      </c>
      <c r="H107" s="861">
        <f t="shared" si="51"/>
        <v>178584.8</v>
      </c>
      <c r="I107" s="861">
        <f t="shared" si="51"/>
        <v>46780.899999999994</v>
      </c>
      <c r="J107" s="861">
        <f t="shared" si="51"/>
        <v>117462</v>
      </c>
      <c r="K107" s="861">
        <f t="shared" si="51"/>
        <v>42155.899999999994</v>
      </c>
      <c r="L107" s="861">
        <f t="shared" si="51"/>
        <v>169358</v>
      </c>
      <c r="M107" s="861">
        <f t="shared" si="51"/>
        <v>33202.800000000017</v>
      </c>
      <c r="N107" s="861">
        <f t="shared" si="51"/>
        <v>229545.50000000003</v>
      </c>
      <c r="O107" s="861">
        <f t="shared" si="51"/>
        <v>26055</v>
      </c>
      <c r="P107" s="861">
        <f t="shared" si="51"/>
        <v>43883.900000000023</v>
      </c>
      <c r="Q107" s="861">
        <f t="shared" si="51"/>
        <v>57875.600000000006</v>
      </c>
      <c r="R107" s="861">
        <f t="shared" si="51"/>
        <v>65607.800000000017</v>
      </c>
      <c r="S107" s="861">
        <f t="shared" si="51"/>
        <v>71374.800000000017</v>
      </c>
      <c r="T107" s="861">
        <f t="shared" si="51"/>
        <v>39160.6</v>
      </c>
      <c r="U107" s="861">
        <f t="shared" si="51"/>
        <v>23634.1</v>
      </c>
      <c r="V107" s="861">
        <f t="shared" si="51"/>
        <v>90940</v>
      </c>
      <c r="W107" s="861">
        <f t="shared" si="51"/>
        <v>186983.7</v>
      </c>
      <c r="X107" s="861">
        <f t="shared" si="51"/>
        <v>100894.1</v>
      </c>
      <c r="Y107" s="861">
        <f t="shared" si="51"/>
        <v>206902.5</v>
      </c>
      <c r="Z107" s="861">
        <f t="shared" si="51"/>
        <v>102193.4</v>
      </c>
      <c r="AA107" s="861">
        <f t="shared" si="51"/>
        <v>209490.5</v>
      </c>
      <c r="AB107" s="862">
        <v>6837463.4000000004</v>
      </c>
      <c r="AC107" s="844" t="s">
        <v>79</v>
      </c>
      <c r="AD107" s="863">
        <v>500036.8</v>
      </c>
      <c r="AE107" s="863">
        <v>301033.40000000002</v>
      </c>
      <c r="AF107" s="863">
        <v>1591150</v>
      </c>
      <c r="AG107" s="863">
        <v>2384489.2000000002</v>
      </c>
      <c r="AH107" s="863">
        <v>1710640.4</v>
      </c>
      <c r="AI107" s="863">
        <v>2310031.4</v>
      </c>
      <c r="AJ107" s="863">
        <v>176483</v>
      </c>
      <c r="AK107" s="863">
        <v>4995554</v>
      </c>
      <c r="AL107" s="881">
        <v>3978310.2</v>
      </c>
      <c r="AM107" s="880"/>
      <c r="AN107" s="877" t="s">
        <v>3</v>
      </c>
      <c r="AO107" s="852">
        <f>AO106/AO105</f>
        <v>0.86767553689157739</v>
      </c>
      <c r="AP107" s="852">
        <f>AP106/AP105</f>
        <v>0.98994030911609621</v>
      </c>
      <c r="AQ107" s="852">
        <f>AQ106/AQ105</f>
        <v>0.14649963656187537</v>
      </c>
      <c r="AR107" s="852">
        <f>AR106/AR105</f>
        <v>0.98943261022505558</v>
      </c>
      <c r="AS107" s="852">
        <f>AS106/AS105</f>
        <v>0.62283072869343992</v>
      </c>
    </row>
    <row r="108" spans="1:46" s="743" customFormat="1" ht="30" x14ac:dyDescent="0.25">
      <c r="A108" s="916"/>
      <c r="B108" s="847" t="s">
        <v>8</v>
      </c>
      <c r="C108" s="864">
        <v>5397</v>
      </c>
      <c r="D108" s="864">
        <v>2972</v>
      </c>
      <c r="E108" s="864">
        <v>2998</v>
      </c>
      <c r="F108" s="864">
        <v>7701</v>
      </c>
      <c r="G108" s="864">
        <v>3356</v>
      </c>
      <c r="H108" s="864">
        <v>13614</v>
      </c>
      <c r="I108" s="864">
        <v>7093</v>
      </c>
      <c r="J108" s="864">
        <v>1379</v>
      </c>
      <c r="K108" s="864">
        <v>5848</v>
      </c>
      <c r="L108" s="864">
        <v>5435</v>
      </c>
      <c r="M108" s="864">
        <v>7623</v>
      </c>
      <c r="N108" s="864">
        <v>10872</v>
      </c>
      <c r="O108" s="864">
        <v>3430</v>
      </c>
      <c r="P108" s="864">
        <v>8276</v>
      </c>
      <c r="Q108" s="864">
        <v>1827</v>
      </c>
      <c r="R108" s="864">
        <v>4451</v>
      </c>
      <c r="S108" s="864">
        <v>9483</v>
      </c>
      <c r="T108" s="598">
        <v>1716</v>
      </c>
      <c r="U108" s="598">
        <v>1103</v>
      </c>
      <c r="V108" s="864">
        <v>1848</v>
      </c>
      <c r="W108" s="864">
        <v>2480</v>
      </c>
      <c r="X108" s="864">
        <v>420</v>
      </c>
      <c r="Y108" s="864">
        <v>611</v>
      </c>
      <c r="Z108" s="864">
        <v>469</v>
      </c>
      <c r="AA108" s="864">
        <v>933</v>
      </c>
      <c r="AB108" s="843">
        <v>111335</v>
      </c>
      <c r="AC108" s="849" t="s">
        <v>8</v>
      </c>
      <c r="AD108" s="865">
        <v>5397</v>
      </c>
      <c r="AE108" s="865">
        <v>2972</v>
      </c>
      <c r="AF108" s="865">
        <v>26750</v>
      </c>
      <c r="AG108" s="845">
        <v>24043</v>
      </c>
      <c r="AH108" s="845">
        <v>27978</v>
      </c>
      <c r="AI108" s="845">
        <v>21376</v>
      </c>
      <c r="AJ108" s="845">
        <v>2819</v>
      </c>
      <c r="AK108" s="845">
        <v>48391</v>
      </c>
      <c r="AL108" s="845">
        <v>62944</v>
      </c>
      <c r="AM108" s="880" t="s">
        <v>192</v>
      </c>
      <c r="AN108" s="842" t="s">
        <v>4</v>
      </c>
      <c r="AO108" s="843">
        <v>97433.600000000006</v>
      </c>
      <c r="AP108" s="843">
        <v>243584.4</v>
      </c>
      <c r="AQ108" s="843">
        <v>132070.29999999999</v>
      </c>
      <c r="AR108" s="843">
        <v>292299.3</v>
      </c>
      <c r="AS108" s="843">
        <v>132070.39999999999</v>
      </c>
    </row>
    <row r="109" spans="1:46" s="743" customFormat="1" x14ac:dyDescent="0.25">
      <c r="A109" s="916"/>
      <c r="B109" s="842" t="s">
        <v>77</v>
      </c>
      <c r="C109" s="861">
        <v>181970.649</v>
      </c>
      <c r="D109" s="861">
        <v>100206.924</v>
      </c>
      <c r="E109" s="861">
        <v>101083.56599999999</v>
      </c>
      <c r="F109" s="861">
        <v>259654.617</v>
      </c>
      <c r="G109" s="861">
        <v>113154.25199999999</v>
      </c>
      <c r="H109" s="861">
        <v>459023.23799999995</v>
      </c>
      <c r="I109" s="861">
        <v>239154.68099999998</v>
      </c>
      <c r="J109" s="861">
        <v>46495.742999999995</v>
      </c>
      <c r="K109" s="861">
        <v>197177.016</v>
      </c>
      <c r="L109" s="861">
        <v>183251.89499999999</v>
      </c>
      <c r="M109" s="861">
        <v>257024.69099999999</v>
      </c>
      <c r="N109" s="861">
        <v>366571.22399999999</v>
      </c>
      <c r="O109" s="861">
        <v>115649.31</v>
      </c>
      <c r="P109" s="861">
        <v>190905.65399999998</v>
      </c>
      <c r="Q109" s="861">
        <v>61600.958999999995</v>
      </c>
      <c r="R109" s="861">
        <v>150074.367</v>
      </c>
      <c r="S109" s="861">
        <v>319738.31099999999</v>
      </c>
      <c r="T109" s="866">
        <v>57858.371999999996</v>
      </c>
      <c r="U109" s="866">
        <v>37189.850999999995</v>
      </c>
      <c r="V109" s="866">
        <v>62309.015999999996</v>
      </c>
      <c r="W109" s="866">
        <v>83618.16</v>
      </c>
      <c r="X109" s="866">
        <v>14161.14</v>
      </c>
      <c r="Y109" s="866">
        <v>20601.087</v>
      </c>
      <c r="Z109" s="866">
        <v>15813.272999999999</v>
      </c>
      <c r="AA109" s="866">
        <v>31457.960999999999</v>
      </c>
      <c r="AB109" s="867">
        <v>3665745.9569999999</v>
      </c>
      <c r="AC109" s="844" t="s">
        <v>77</v>
      </c>
      <c r="AD109" s="868">
        <v>181970.649</v>
      </c>
      <c r="AE109" s="868">
        <v>100206.924</v>
      </c>
      <c r="AF109" s="868">
        <v>901929.75</v>
      </c>
      <c r="AG109" s="868">
        <v>810657.83100000001</v>
      </c>
      <c r="AH109" s="868">
        <v>943334.22599999991</v>
      </c>
      <c r="AI109" s="868">
        <v>720734.59199999995</v>
      </c>
      <c r="AJ109" s="868">
        <v>95048.222999999998</v>
      </c>
      <c r="AK109" s="868">
        <v>1631599.3469999998</v>
      </c>
      <c r="AL109" s="868">
        <v>2122282.8479999998</v>
      </c>
      <c r="AM109" s="887"/>
      <c r="AN109" s="847" t="s">
        <v>5</v>
      </c>
      <c r="AO109" s="583">
        <v>38973.199999999997</v>
      </c>
      <c r="AP109" s="583">
        <v>124350.5</v>
      </c>
      <c r="AQ109" s="583">
        <v>3817.1</v>
      </c>
      <c r="AR109" s="583">
        <v>109009</v>
      </c>
      <c r="AS109" s="583">
        <v>33401</v>
      </c>
    </row>
    <row r="110" spans="1:46" s="743" customFormat="1" x14ac:dyDescent="0.25">
      <c r="A110" s="916"/>
      <c r="B110" s="851" t="s">
        <v>218</v>
      </c>
      <c r="C110" s="852">
        <v>0.72782902778355518</v>
      </c>
      <c r="D110" s="852">
        <v>0.66575286330354033</v>
      </c>
      <c r="E110" s="869">
        <v>0.67157708081561707</v>
      </c>
      <c r="F110" s="869">
        <v>1.4266831264821527</v>
      </c>
      <c r="G110" s="869">
        <v>0.68261559538553507</v>
      </c>
      <c r="H110" s="869">
        <v>1.1784784226133167</v>
      </c>
      <c r="I110" s="869">
        <v>1.3906322761090968</v>
      </c>
      <c r="J110" s="869">
        <v>0.27996328833439704</v>
      </c>
      <c r="K110" s="869">
        <v>1.589891049127877</v>
      </c>
      <c r="L110" s="869">
        <v>0.81782886421815915</v>
      </c>
      <c r="M110" s="869">
        <v>1.3315333853807534</v>
      </c>
      <c r="N110" s="869">
        <v>0.83650063358601467</v>
      </c>
      <c r="O110" s="869">
        <v>1.3927141288168903</v>
      </c>
      <c r="P110" s="869">
        <v>0.69136050938252347</v>
      </c>
      <c r="Q110" s="869">
        <v>0.74183344412491503</v>
      </c>
      <c r="R110" s="869">
        <v>0.78319474350557505</v>
      </c>
      <c r="S110" s="869">
        <v>1.4269496079817485</v>
      </c>
      <c r="T110" s="852">
        <v>1.0490901706224727</v>
      </c>
      <c r="U110" s="852">
        <v>1.1238830177845605</v>
      </c>
      <c r="V110" s="852">
        <v>0.6096981403472721</v>
      </c>
      <c r="W110" s="852">
        <v>0.39913869682787068</v>
      </c>
      <c r="X110" s="852">
        <v>0.13856775916983458</v>
      </c>
      <c r="Y110" s="852">
        <v>9.8336187000737485E-2</v>
      </c>
      <c r="Z110" s="852">
        <v>0.1547339977396486</v>
      </c>
      <c r="AA110" s="852">
        <v>0.15015984037919489</v>
      </c>
      <c r="AB110" s="854">
        <v>0.81698271230803787</v>
      </c>
      <c r="AC110" s="855" t="s">
        <v>218</v>
      </c>
      <c r="AD110" s="856">
        <v>0.72782902778355518</v>
      </c>
      <c r="AE110" s="856">
        <v>0.66575286330354033</v>
      </c>
      <c r="AF110" s="856">
        <v>1.1336828708795526</v>
      </c>
      <c r="AG110" s="856">
        <v>0.67994254786308106</v>
      </c>
      <c r="AH110" s="856">
        <v>1.1029018442449974</v>
      </c>
      <c r="AI110" s="856">
        <v>0.62400415163187828</v>
      </c>
      <c r="AJ110" s="856">
        <v>1.0771374353337149</v>
      </c>
      <c r="AK110" s="856">
        <v>0.65322058254199633</v>
      </c>
      <c r="AL110" s="856">
        <v>1.0669267811243073</v>
      </c>
      <c r="AM110" s="887"/>
      <c r="AN110" s="851" t="s">
        <v>3</v>
      </c>
      <c r="AO110" s="852">
        <f>AO109/AO108</f>
        <v>0.39999753678402516</v>
      </c>
      <c r="AP110" s="852">
        <f>AP109/AP108</f>
        <v>0.51050272513346506</v>
      </c>
      <c r="AQ110" s="852">
        <f>AQ109/AQ108</f>
        <v>2.8902031720984961E-2</v>
      </c>
      <c r="AR110" s="852">
        <f>AR109/AR108</f>
        <v>0.37293623351133581</v>
      </c>
      <c r="AS110" s="852">
        <f>AS109/AS108</f>
        <v>0.25290299718937781</v>
      </c>
    </row>
    <row r="111" spans="1:46" s="743" customFormat="1" x14ac:dyDescent="0.25">
      <c r="A111" s="887"/>
      <c r="B111" s="851" t="s">
        <v>219</v>
      </c>
      <c r="C111" s="598">
        <v>171500</v>
      </c>
      <c r="D111" s="598">
        <v>99801.7</v>
      </c>
      <c r="E111" s="598">
        <v>100678</v>
      </c>
      <c r="F111" s="598">
        <v>241657</v>
      </c>
      <c r="G111" s="598">
        <v>110866</v>
      </c>
      <c r="H111" s="598">
        <v>443950</v>
      </c>
      <c r="I111" s="598">
        <v>164406</v>
      </c>
      <c r="J111" s="598">
        <v>46535.5</v>
      </c>
      <c r="K111" s="598">
        <v>138759</v>
      </c>
      <c r="L111" s="598">
        <v>183630</v>
      </c>
      <c r="M111" s="598">
        <v>253063</v>
      </c>
      <c r="N111" s="598">
        <v>366652</v>
      </c>
      <c r="O111" s="598">
        <v>115691</v>
      </c>
      <c r="P111" s="598">
        <v>160623</v>
      </c>
      <c r="Q111" s="598">
        <v>61651.1</v>
      </c>
      <c r="R111" s="598">
        <v>136851</v>
      </c>
      <c r="S111" s="598">
        <v>319908</v>
      </c>
      <c r="T111" s="598">
        <v>57858.1</v>
      </c>
      <c r="U111" s="598">
        <v>37189.699999999997</v>
      </c>
      <c r="V111" s="598">
        <v>62342.5</v>
      </c>
      <c r="W111" s="598">
        <v>62342.5</v>
      </c>
      <c r="X111" s="598">
        <v>14205.3</v>
      </c>
      <c r="Y111" s="598">
        <v>14171.6</v>
      </c>
      <c r="Z111" s="598">
        <v>15847</v>
      </c>
      <c r="AA111" s="598">
        <v>15847</v>
      </c>
      <c r="AB111" s="870">
        <v>3396026.0000000005</v>
      </c>
      <c r="AC111" s="855" t="s">
        <v>219</v>
      </c>
      <c r="AD111" s="871">
        <v>171500</v>
      </c>
      <c r="AE111" s="871">
        <v>99801.7</v>
      </c>
      <c r="AF111" s="871">
        <v>869237</v>
      </c>
      <c r="AG111" s="845">
        <v>653639.30000000005</v>
      </c>
      <c r="AH111" s="845">
        <v>939623</v>
      </c>
      <c r="AI111" s="845">
        <v>567177.19999999995</v>
      </c>
      <c r="AJ111" s="845">
        <v>95047.799999999988</v>
      </c>
      <c r="AK111" s="845">
        <v>1320618.2</v>
      </c>
      <c r="AL111" s="845">
        <v>2075407.8</v>
      </c>
      <c r="AM111" s="887" t="s">
        <v>220</v>
      </c>
      <c r="AN111" s="851" t="s">
        <v>3</v>
      </c>
      <c r="AO111" s="852">
        <f>(AO104+AO110)/2</f>
        <v>0.38119624665106289</v>
      </c>
      <c r="AP111" s="852">
        <f t="shared" ref="AP111:AS111" si="52">(AP104+AP110)/2</f>
        <v>0.47677983409520408</v>
      </c>
      <c r="AQ111" s="852">
        <f t="shared" si="52"/>
        <v>2.9589946651719472E-2</v>
      </c>
      <c r="AR111" s="852">
        <f t="shared" si="52"/>
        <v>0.45412051337057324</v>
      </c>
      <c r="AS111" s="852">
        <f t="shared" si="52"/>
        <v>0.31543211186862841</v>
      </c>
    </row>
    <row r="112" spans="1:46" s="743" customFormat="1" x14ac:dyDescent="0.25">
      <c r="A112" s="887"/>
      <c r="B112" s="851" t="s">
        <v>217</v>
      </c>
      <c r="C112" s="869">
        <v>0.68594951411576111</v>
      </c>
      <c r="D112" s="869">
        <v>0.66306064376909668</v>
      </c>
      <c r="E112" s="869">
        <v>0.66888258910805243</v>
      </c>
      <c r="F112" s="869">
        <v>1.3277944689745207</v>
      </c>
      <c r="G112" s="869">
        <v>0.66881146099585131</v>
      </c>
      <c r="H112" s="869">
        <v>1.139779977150486</v>
      </c>
      <c r="I112" s="869">
        <v>0.95598500949263121</v>
      </c>
      <c r="J112" s="869">
        <v>0.28020267585110609</v>
      </c>
      <c r="K112" s="869">
        <v>1.1188509521106409</v>
      </c>
      <c r="L112" s="869">
        <v>0.81951629660572167</v>
      </c>
      <c r="M112" s="869">
        <v>1.3110095835291156</v>
      </c>
      <c r="N112" s="869">
        <v>0.83668496113480917</v>
      </c>
      <c r="O112" s="869">
        <v>1.3932161832781784</v>
      </c>
      <c r="P112" s="869">
        <v>0.58169256264431579</v>
      </c>
      <c r="Q112" s="869">
        <v>0.74243727028810624</v>
      </c>
      <c r="R112" s="869">
        <v>0.71418581324738462</v>
      </c>
      <c r="S112" s="869">
        <v>1.4277069074472757</v>
      </c>
      <c r="T112" s="869">
        <v>1.0490852387082736</v>
      </c>
      <c r="U112" s="869">
        <v>1.1238784545413336</v>
      </c>
      <c r="V112" s="869">
        <v>0.6100257836618671</v>
      </c>
      <c r="W112" s="869">
        <v>0.29758253717842542</v>
      </c>
      <c r="X112" s="869">
        <v>0.13899986790154262</v>
      </c>
      <c r="Y112" s="869">
        <v>6.7645998859169484E-2</v>
      </c>
      <c r="Z112" s="869">
        <v>0.15506401882647644</v>
      </c>
      <c r="AA112" s="869">
        <v>7.5643268503292421E-2</v>
      </c>
      <c r="AB112" s="872">
        <v>0.75687037920631794</v>
      </c>
      <c r="AC112" s="855" t="s">
        <v>217</v>
      </c>
      <c r="AD112" s="856">
        <v>0.68594951411576111</v>
      </c>
      <c r="AE112" s="856">
        <v>0.66306064376909668</v>
      </c>
      <c r="AF112" s="856">
        <v>1.092589636426484</v>
      </c>
      <c r="AG112" s="856">
        <v>0.54824261732869239</v>
      </c>
      <c r="AH112" s="856">
        <v>1.0985628540048511</v>
      </c>
      <c r="AI112" s="856">
        <v>0.49105583586439561</v>
      </c>
      <c r="AJ112" s="856">
        <v>1.0771326416708691</v>
      </c>
      <c r="AK112" s="856">
        <v>0.52871741552588558</v>
      </c>
      <c r="AL112" s="856">
        <v>1.0433614754324587</v>
      </c>
      <c r="AM112" s="887"/>
      <c r="AN112" s="851"/>
      <c r="AO112" s="852"/>
      <c r="AP112" s="852"/>
      <c r="AQ112" s="852"/>
      <c r="AR112" s="852"/>
      <c r="AS112" s="852"/>
    </row>
    <row r="113" spans="1:45" s="743" customFormat="1" x14ac:dyDescent="0.25">
      <c r="A113" s="917">
        <v>41766</v>
      </c>
      <c r="B113" s="917"/>
      <c r="C113" s="917"/>
      <c r="D113" s="529"/>
      <c r="E113" s="529"/>
      <c r="F113" s="529"/>
      <c r="G113" s="529"/>
      <c r="H113" s="529"/>
      <c r="I113" s="525"/>
      <c r="J113" s="531"/>
      <c r="K113" s="531"/>
      <c r="L113" s="529"/>
      <c r="M113" s="529"/>
      <c r="N113" s="527"/>
      <c r="R113" s="526"/>
      <c r="S113" s="534"/>
      <c r="T113" s="534"/>
      <c r="U113" s="534"/>
      <c r="V113" s="534"/>
      <c r="W113" s="534"/>
      <c r="X113" s="534"/>
      <c r="Y113" s="534"/>
      <c r="Z113" s="534"/>
      <c r="AA113" s="534"/>
      <c r="AB113" s="534"/>
      <c r="AC113" s="534"/>
      <c r="AD113" s="534"/>
      <c r="AE113" s="534"/>
      <c r="AF113" s="534"/>
      <c r="AG113" s="534"/>
      <c r="AH113" s="534"/>
      <c r="AI113" s="534"/>
    </row>
    <row r="114" spans="1:45" s="743" customFormat="1" x14ac:dyDescent="0.25">
      <c r="A114" s="918" t="s">
        <v>1</v>
      </c>
      <c r="B114" s="918"/>
      <c r="C114" s="885" t="s">
        <v>12</v>
      </c>
      <c r="D114" s="885" t="s">
        <v>12</v>
      </c>
      <c r="E114" s="885" t="s">
        <v>13</v>
      </c>
      <c r="F114" s="885" t="s">
        <v>13</v>
      </c>
      <c r="G114" s="885" t="s">
        <v>13</v>
      </c>
      <c r="H114" s="885" t="s">
        <v>13</v>
      </c>
      <c r="I114" s="885" t="s">
        <v>13</v>
      </c>
      <c r="J114" s="885" t="s">
        <v>13</v>
      </c>
      <c r="K114" s="885" t="s">
        <v>13</v>
      </c>
      <c r="L114" s="885" t="s">
        <v>13</v>
      </c>
      <c r="M114" s="832" t="s">
        <v>2</v>
      </c>
      <c r="N114" s="885" t="s">
        <v>2</v>
      </c>
      <c r="O114" s="885" t="s">
        <v>2</v>
      </c>
      <c r="P114" s="885" t="s">
        <v>2</v>
      </c>
      <c r="Q114" s="885" t="s">
        <v>2</v>
      </c>
      <c r="R114" s="885" t="s">
        <v>2</v>
      </c>
      <c r="S114" s="885" t="s">
        <v>2</v>
      </c>
      <c r="T114" s="833" t="s">
        <v>183</v>
      </c>
      <c r="U114" s="833" t="s">
        <v>183</v>
      </c>
      <c r="V114" s="833" t="s">
        <v>2</v>
      </c>
      <c r="W114" s="833" t="s">
        <v>13</v>
      </c>
      <c r="X114" s="833" t="s">
        <v>13</v>
      </c>
      <c r="Y114" s="833" t="s">
        <v>2</v>
      </c>
      <c r="Z114" s="833" t="s">
        <v>13</v>
      </c>
      <c r="AA114" s="833" t="s">
        <v>2</v>
      </c>
      <c r="AB114" s="834" t="s">
        <v>220</v>
      </c>
      <c r="AC114" s="835"/>
      <c r="AD114" s="836"/>
      <c r="AE114" s="836"/>
      <c r="AF114" s="836"/>
      <c r="AG114" s="836"/>
      <c r="AH114" s="836"/>
      <c r="AI114" s="836"/>
      <c r="AJ114" s="836"/>
      <c r="AK114" s="836"/>
      <c r="AL114" s="836"/>
      <c r="AM114" s="918" t="s">
        <v>1</v>
      </c>
      <c r="AN114" s="919"/>
      <c r="AO114" s="885" t="s">
        <v>12</v>
      </c>
      <c r="AP114" s="920" t="s">
        <v>13</v>
      </c>
      <c r="AQ114" s="921"/>
      <c r="AR114" s="920" t="s">
        <v>2</v>
      </c>
      <c r="AS114" s="921"/>
    </row>
    <row r="115" spans="1:45" s="743" customFormat="1" x14ac:dyDescent="0.25">
      <c r="A115" s="918" t="s">
        <v>0</v>
      </c>
      <c r="B115" s="918"/>
      <c r="C115" s="837" t="s">
        <v>99</v>
      </c>
      <c r="D115" s="838" t="s">
        <v>100</v>
      </c>
      <c r="E115" s="838" t="s">
        <v>101</v>
      </c>
      <c r="F115" s="837" t="s">
        <v>102</v>
      </c>
      <c r="G115" s="838" t="s">
        <v>97</v>
      </c>
      <c r="H115" s="837" t="s">
        <v>104</v>
      </c>
      <c r="I115" s="838" t="s">
        <v>103</v>
      </c>
      <c r="J115" s="838" t="s">
        <v>178</v>
      </c>
      <c r="K115" s="838" t="s">
        <v>200</v>
      </c>
      <c r="L115" s="837" t="s">
        <v>207</v>
      </c>
      <c r="M115" s="837" t="s">
        <v>105</v>
      </c>
      <c r="N115" s="837" t="s">
        <v>107</v>
      </c>
      <c r="O115" s="838" t="s">
        <v>98</v>
      </c>
      <c r="P115" s="838" t="s">
        <v>106</v>
      </c>
      <c r="Q115" s="838" t="s">
        <v>179</v>
      </c>
      <c r="R115" s="838" t="s">
        <v>199</v>
      </c>
      <c r="S115" s="837" t="s">
        <v>208</v>
      </c>
      <c r="T115" s="837" t="s">
        <v>182</v>
      </c>
      <c r="U115" s="837" t="s">
        <v>184</v>
      </c>
      <c r="V115" s="838" t="s">
        <v>222</v>
      </c>
      <c r="W115" s="838" t="s">
        <v>223</v>
      </c>
      <c r="X115" s="838" t="s">
        <v>256</v>
      </c>
      <c r="Y115" s="838" t="s">
        <v>257</v>
      </c>
      <c r="Z115" s="838" t="s">
        <v>267</v>
      </c>
      <c r="AA115" s="838" t="s">
        <v>268</v>
      </c>
      <c r="AB115" s="839"/>
      <c r="AC115" s="840"/>
      <c r="AD115" s="841" t="s">
        <v>258</v>
      </c>
      <c r="AE115" s="841" t="s">
        <v>259</v>
      </c>
      <c r="AF115" s="841" t="s">
        <v>260</v>
      </c>
      <c r="AG115" s="841" t="s">
        <v>261</v>
      </c>
      <c r="AH115" s="841" t="s">
        <v>262</v>
      </c>
      <c r="AI115" s="841" t="s">
        <v>263</v>
      </c>
      <c r="AJ115" s="841" t="s">
        <v>264</v>
      </c>
      <c r="AK115" s="841" t="s">
        <v>265</v>
      </c>
      <c r="AL115" s="841" t="s">
        <v>266</v>
      </c>
      <c r="AM115" s="922" t="s">
        <v>0</v>
      </c>
      <c r="AN115" s="919"/>
      <c r="AO115" s="837" t="s">
        <v>99</v>
      </c>
      <c r="AP115" s="837" t="s">
        <v>104</v>
      </c>
      <c r="AQ115" s="837" t="s">
        <v>207</v>
      </c>
      <c r="AR115" s="837" t="s">
        <v>107</v>
      </c>
      <c r="AS115" s="837" t="s">
        <v>208</v>
      </c>
    </row>
    <row r="116" spans="1:45" s="743" customFormat="1" ht="30" x14ac:dyDescent="0.25">
      <c r="A116" s="923" t="s">
        <v>9</v>
      </c>
      <c r="B116" s="842" t="s">
        <v>4</v>
      </c>
      <c r="C116" s="843">
        <v>250018</v>
      </c>
      <c r="D116" s="843">
        <v>150517</v>
      </c>
      <c r="E116" s="843">
        <v>150517</v>
      </c>
      <c r="F116" s="843">
        <v>181999</v>
      </c>
      <c r="G116" s="843">
        <v>165766</v>
      </c>
      <c r="H116" s="843">
        <v>389505</v>
      </c>
      <c r="I116" s="843">
        <v>171976</v>
      </c>
      <c r="J116" s="843">
        <v>166078</v>
      </c>
      <c r="K116" s="843">
        <v>124019</v>
      </c>
      <c r="L116" s="843">
        <v>224071</v>
      </c>
      <c r="M116" s="843">
        <v>193029</v>
      </c>
      <c r="N116" s="843">
        <v>438220</v>
      </c>
      <c r="O116" s="843">
        <v>83039</v>
      </c>
      <c r="P116" s="843">
        <v>276130</v>
      </c>
      <c r="Q116" s="843">
        <v>83039</v>
      </c>
      <c r="R116" s="843">
        <v>191618</v>
      </c>
      <c r="S116" s="843">
        <v>224071</v>
      </c>
      <c r="T116" s="843">
        <v>55151</v>
      </c>
      <c r="U116" s="843">
        <v>33091</v>
      </c>
      <c r="V116" s="843">
        <v>102197</v>
      </c>
      <c r="W116" s="843">
        <v>209497</v>
      </c>
      <c r="X116" s="843">
        <v>102197</v>
      </c>
      <c r="Y116" s="843">
        <v>209497</v>
      </c>
      <c r="Z116" s="843">
        <v>102197</v>
      </c>
      <c r="AA116" s="843">
        <v>209497</v>
      </c>
      <c r="AB116" s="843">
        <v>4486932</v>
      </c>
      <c r="AC116" s="844" t="s">
        <v>4</v>
      </c>
      <c r="AD116" s="845">
        <v>250018</v>
      </c>
      <c r="AE116" s="845">
        <v>150517</v>
      </c>
      <c r="AF116" s="845">
        <v>795575</v>
      </c>
      <c r="AG116" s="845">
        <v>1192245</v>
      </c>
      <c r="AH116" s="845">
        <v>855320</v>
      </c>
      <c r="AI116" s="845">
        <v>1155016</v>
      </c>
      <c r="AJ116" s="845">
        <v>88242</v>
      </c>
      <c r="AK116" s="845">
        <v>2497777</v>
      </c>
      <c r="AL116" s="873">
        <v>1989155</v>
      </c>
      <c r="AM116" s="878" t="s">
        <v>195</v>
      </c>
      <c r="AN116" s="875" t="s">
        <v>4</v>
      </c>
      <c r="AO116" s="843">
        <v>143393</v>
      </c>
      <c r="AP116" s="843">
        <v>132132</v>
      </c>
      <c r="AQ116" s="843">
        <v>83196.100000000006</v>
      </c>
      <c r="AR116" s="843">
        <v>132132.20000000001</v>
      </c>
      <c r="AS116" s="843">
        <v>83196.100000000006</v>
      </c>
    </row>
    <row r="117" spans="1:45" s="743" customFormat="1" x14ac:dyDescent="0.25">
      <c r="A117" s="923"/>
      <c r="B117" s="847" t="s">
        <v>5</v>
      </c>
      <c r="C117" s="583">
        <v>103894.9</v>
      </c>
      <c r="D117" s="583">
        <v>84092.9</v>
      </c>
      <c r="E117" s="583">
        <v>85434.8</v>
      </c>
      <c r="F117" s="583">
        <v>151140.79999999999</v>
      </c>
      <c r="G117" s="583">
        <v>111222.7</v>
      </c>
      <c r="H117" s="583">
        <v>210411.9</v>
      </c>
      <c r="I117" s="583">
        <v>125012.7</v>
      </c>
      <c r="J117" s="583">
        <v>47643.4</v>
      </c>
      <c r="K117" s="583">
        <v>81610.3</v>
      </c>
      <c r="L117" s="583">
        <v>52178.5</v>
      </c>
      <c r="M117" s="583">
        <v>159628.9</v>
      </c>
      <c r="N117" s="583">
        <v>208170.5</v>
      </c>
      <c r="O117" s="583">
        <v>56098.2</v>
      </c>
      <c r="P117" s="583">
        <v>231903</v>
      </c>
      <c r="Q117" s="583">
        <v>24640.1</v>
      </c>
      <c r="R117" s="583">
        <v>125723.1</v>
      </c>
      <c r="S117" s="583">
        <v>150134.9</v>
      </c>
      <c r="T117" s="583">
        <v>15990.4</v>
      </c>
      <c r="U117" s="583">
        <v>9456.4</v>
      </c>
      <c r="V117" s="583">
        <v>9517.4</v>
      </c>
      <c r="W117" s="583">
        <v>19034.599999999999</v>
      </c>
      <c r="X117" s="583">
        <v>1286.5999999999999</v>
      </c>
      <c r="Y117" s="583">
        <v>2562.4</v>
      </c>
      <c r="Z117" s="583">
        <v>3.1</v>
      </c>
      <c r="AA117" s="583">
        <v>6</v>
      </c>
      <c r="AB117" s="848">
        <v>2066798.5</v>
      </c>
      <c r="AC117" s="849" t="s">
        <v>5</v>
      </c>
      <c r="AD117" s="850">
        <v>103894.9</v>
      </c>
      <c r="AE117" s="850">
        <v>84092.9</v>
      </c>
      <c r="AF117" s="850">
        <v>413731.2</v>
      </c>
      <c r="AG117" s="845">
        <v>471248</v>
      </c>
      <c r="AH117" s="845">
        <v>517934</v>
      </c>
      <c r="AI117" s="845">
        <v>450450</v>
      </c>
      <c r="AJ117" s="845">
        <v>25447</v>
      </c>
      <c r="AK117" s="845">
        <v>1005791</v>
      </c>
      <c r="AL117" s="873">
        <v>1061007</v>
      </c>
      <c r="AM117" s="879"/>
      <c r="AN117" s="876" t="s">
        <v>5</v>
      </c>
      <c r="AO117" s="583">
        <v>51964.9</v>
      </c>
      <c r="AP117" s="583">
        <v>58542</v>
      </c>
      <c r="AQ117" s="583">
        <v>2519</v>
      </c>
      <c r="AR117" s="583">
        <v>70731</v>
      </c>
      <c r="AS117" s="583">
        <v>31444.9</v>
      </c>
    </row>
    <row r="118" spans="1:45" s="743" customFormat="1" x14ac:dyDescent="0.25">
      <c r="A118" s="923"/>
      <c r="B118" s="851" t="s">
        <v>3</v>
      </c>
      <c r="C118" s="852">
        <v>0.41549999999999998</v>
      </c>
      <c r="D118" s="852">
        <v>0.55869999999999997</v>
      </c>
      <c r="E118" s="852">
        <v>0.56759999999999999</v>
      </c>
      <c r="F118" s="853">
        <v>0.83040000000000003</v>
      </c>
      <c r="G118" s="852">
        <v>0.67100000000000004</v>
      </c>
      <c r="H118" s="852">
        <v>0.54020000000000001</v>
      </c>
      <c r="I118" s="852">
        <v>0.72689999999999999</v>
      </c>
      <c r="J118" s="852">
        <v>0.28689999999999999</v>
      </c>
      <c r="K118" s="852">
        <v>0.65800000000000003</v>
      </c>
      <c r="L118" s="852">
        <v>0.2329</v>
      </c>
      <c r="M118" s="853">
        <v>0.82699999999999996</v>
      </c>
      <c r="N118" s="852">
        <v>0.47499999999999998</v>
      </c>
      <c r="O118" s="852">
        <v>0.67559999999999998</v>
      </c>
      <c r="P118" s="852">
        <v>0.83979999999999999</v>
      </c>
      <c r="Q118" s="852">
        <v>0.29670000000000002</v>
      </c>
      <c r="R118" s="852">
        <v>0.65610000000000002</v>
      </c>
      <c r="S118" s="852">
        <v>0.67</v>
      </c>
      <c r="T118" s="852">
        <v>0.28989999999999999</v>
      </c>
      <c r="U118" s="852">
        <v>0.2858</v>
      </c>
      <c r="V118" s="852">
        <v>9.3100000000000002E-2</v>
      </c>
      <c r="W118" s="852">
        <v>9.0899999999999995E-2</v>
      </c>
      <c r="X118" s="852">
        <v>1.26E-2</v>
      </c>
      <c r="Y118" s="852">
        <v>1.2200000000000001E-2</v>
      </c>
      <c r="Z118" s="852">
        <v>0</v>
      </c>
      <c r="AA118" s="852">
        <v>0</v>
      </c>
      <c r="AB118" s="854">
        <v>0.46060000000000001</v>
      </c>
      <c r="AC118" s="855" t="s">
        <v>3</v>
      </c>
      <c r="AD118" s="856">
        <v>0.41549999999999998</v>
      </c>
      <c r="AE118" s="856">
        <v>0.55869999999999997</v>
      </c>
      <c r="AF118" s="856">
        <v>0.52</v>
      </c>
      <c r="AG118" s="856">
        <v>0.39529999999999998</v>
      </c>
      <c r="AH118" s="856">
        <v>0.60550000000000004</v>
      </c>
      <c r="AI118" s="856">
        <v>0.39</v>
      </c>
      <c r="AJ118" s="856">
        <v>0.28839999999999999</v>
      </c>
      <c r="AK118" s="856">
        <v>0.4027</v>
      </c>
      <c r="AL118" s="874">
        <v>0.53339999999999999</v>
      </c>
      <c r="AM118" s="879"/>
      <c r="AN118" s="877" t="s">
        <v>3</v>
      </c>
      <c r="AO118" s="852">
        <f>AO117/AO116</f>
        <v>0.36239495651810061</v>
      </c>
      <c r="AP118" s="852">
        <f>AP117/AP116</f>
        <v>0.44305694305694304</v>
      </c>
      <c r="AQ118" s="852">
        <f>AQ117/AQ116</f>
        <v>3.0277861582453984E-2</v>
      </c>
      <c r="AR118" s="852">
        <f>AR117/AR116</f>
        <v>0.53530479322981073</v>
      </c>
      <c r="AS118" s="852">
        <f>AS117/AS116</f>
        <v>0.37796122654787906</v>
      </c>
    </row>
    <row r="119" spans="1:45" s="743" customFormat="1" ht="30" x14ac:dyDescent="0.25">
      <c r="A119" s="916" t="s">
        <v>6</v>
      </c>
      <c r="B119" s="857" t="s">
        <v>7</v>
      </c>
      <c r="C119" s="843">
        <v>5741</v>
      </c>
      <c r="D119" s="843">
        <v>3653</v>
      </c>
      <c r="E119" s="843">
        <v>3650</v>
      </c>
      <c r="F119" s="843">
        <v>9450</v>
      </c>
      <c r="G119" s="843">
        <v>8432</v>
      </c>
      <c r="H119" s="843">
        <v>15703</v>
      </c>
      <c r="I119" s="843">
        <v>8405</v>
      </c>
      <c r="J119" s="843">
        <v>9599</v>
      </c>
      <c r="K119" s="843">
        <v>7072</v>
      </c>
      <c r="L119" s="843">
        <v>9423</v>
      </c>
      <c r="M119" s="843">
        <v>8889</v>
      </c>
      <c r="N119" s="843">
        <v>11924</v>
      </c>
      <c r="O119" s="843">
        <v>4357</v>
      </c>
      <c r="P119" s="843">
        <v>10857</v>
      </c>
      <c r="Q119" s="843">
        <v>4799</v>
      </c>
      <c r="R119" s="843">
        <v>9711</v>
      </c>
      <c r="S119" s="843">
        <v>11666</v>
      </c>
      <c r="T119" s="858">
        <v>2480</v>
      </c>
      <c r="U119" s="858">
        <v>1570</v>
      </c>
      <c r="V119" s="843">
        <v>3999</v>
      </c>
      <c r="W119" s="843">
        <v>7999</v>
      </c>
      <c r="X119" s="843">
        <v>3999</v>
      </c>
      <c r="Y119" s="843">
        <v>7999</v>
      </c>
      <c r="Z119" s="843">
        <v>3999</v>
      </c>
      <c r="AA119" s="843">
        <v>7999</v>
      </c>
      <c r="AB119" s="843">
        <v>183375</v>
      </c>
      <c r="AC119" s="859" t="s">
        <v>7</v>
      </c>
      <c r="AD119" s="845">
        <v>5741</v>
      </c>
      <c r="AE119" s="845">
        <v>3653</v>
      </c>
      <c r="AF119" s="845">
        <v>34576</v>
      </c>
      <c r="AG119" s="845">
        <v>53155</v>
      </c>
      <c r="AH119" s="845">
        <v>32479</v>
      </c>
      <c r="AI119" s="845">
        <v>49721</v>
      </c>
      <c r="AJ119" s="845">
        <v>4050</v>
      </c>
      <c r="AK119" s="845">
        <v>106529</v>
      </c>
      <c r="AL119" s="873">
        <v>76846</v>
      </c>
      <c r="AM119" s="883" t="s">
        <v>191</v>
      </c>
      <c r="AN119" s="882" t="s">
        <v>4</v>
      </c>
      <c r="AO119" s="860">
        <v>9191.7999999999993</v>
      </c>
      <c r="AP119" s="860">
        <v>13787.7</v>
      </c>
      <c r="AQ119" s="860">
        <v>8804.7999999999993</v>
      </c>
      <c r="AR119" s="860">
        <v>13787.7</v>
      </c>
      <c r="AS119" s="860">
        <v>8804.7999999999993</v>
      </c>
    </row>
    <row r="120" spans="1:45" s="743" customFormat="1" x14ac:dyDescent="0.25">
      <c r="A120" s="916"/>
      <c r="B120" s="842" t="s">
        <v>11</v>
      </c>
      <c r="C120" s="861">
        <v>193569</v>
      </c>
      <c r="D120" s="861">
        <v>123168</v>
      </c>
      <c r="E120" s="861">
        <v>123067</v>
      </c>
      <c r="F120" s="861">
        <v>318626</v>
      </c>
      <c r="G120" s="861">
        <v>284302</v>
      </c>
      <c r="H120" s="861">
        <v>529458</v>
      </c>
      <c r="I120" s="861">
        <v>283391</v>
      </c>
      <c r="J120" s="861">
        <v>323649</v>
      </c>
      <c r="K120" s="861">
        <v>238447</v>
      </c>
      <c r="L120" s="861">
        <v>317715</v>
      </c>
      <c r="M120" s="861">
        <v>299710</v>
      </c>
      <c r="N120" s="861">
        <v>402042</v>
      </c>
      <c r="O120" s="861">
        <v>146905</v>
      </c>
      <c r="P120" s="861">
        <v>366065</v>
      </c>
      <c r="Q120" s="861">
        <v>161808</v>
      </c>
      <c r="R120" s="861">
        <v>327426</v>
      </c>
      <c r="S120" s="861">
        <v>393343</v>
      </c>
      <c r="T120" s="861">
        <v>83618</v>
      </c>
      <c r="U120" s="861">
        <v>52936</v>
      </c>
      <c r="V120" s="861">
        <v>134834</v>
      </c>
      <c r="W120" s="861">
        <v>269702</v>
      </c>
      <c r="X120" s="861">
        <v>134834</v>
      </c>
      <c r="Y120" s="861">
        <v>269702</v>
      </c>
      <c r="Z120" s="861">
        <v>134834</v>
      </c>
      <c r="AA120" s="861">
        <v>269702</v>
      </c>
      <c r="AB120" s="862">
        <v>6182855</v>
      </c>
      <c r="AC120" s="844" t="s">
        <v>11</v>
      </c>
      <c r="AD120" s="863">
        <v>193569</v>
      </c>
      <c r="AE120" s="863">
        <v>123168</v>
      </c>
      <c r="AF120" s="863">
        <v>1165799</v>
      </c>
      <c r="AG120" s="863">
        <v>1792227</v>
      </c>
      <c r="AH120" s="863">
        <v>1095094</v>
      </c>
      <c r="AI120" s="863">
        <v>1676443</v>
      </c>
      <c r="AJ120" s="863">
        <v>136554</v>
      </c>
      <c r="AK120" s="863">
        <v>3591838</v>
      </c>
      <c r="AL120" s="881">
        <v>2591017</v>
      </c>
      <c r="AM120" s="879"/>
      <c r="AN120" s="876" t="s">
        <v>5</v>
      </c>
      <c r="AO120" s="583">
        <v>7975.5</v>
      </c>
      <c r="AP120" s="583">
        <v>13649</v>
      </c>
      <c r="AQ120" s="583">
        <v>1289.9000000000001</v>
      </c>
      <c r="AR120" s="583">
        <v>13642</v>
      </c>
      <c r="AS120" s="583">
        <v>5483.9</v>
      </c>
    </row>
    <row r="121" spans="1:45" s="743" customFormat="1" x14ac:dyDescent="0.25">
      <c r="A121" s="916"/>
      <c r="B121" s="842" t="s">
        <v>79</v>
      </c>
      <c r="C121" s="861">
        <f t="shared" ref="C121:AA121" si="53">C116-C117</f>
        <v>146123.1</v>
      </c>
      <c r="D121" s="861">
        <f t="shared" si="53"/>
        <v>66424.100000000006</v>
      </c>
      <c r="E121" s="861">
        <f t="shared" si="53"/>
        <v>65082.2</v>
      </c>
      <c r="F121" s="861">
        <f t="shared" si="53"/>
        <v>30858.200000000012</v>
      </c>
      <c r="G121" s="861">
        <f t="shared" si="53"/>
        <v>54543.3</v>
      </c>
      <c r="H121" s="861">
        <f t="shared" si="53"/>
        <v>179093.1</v>
      </c>
      <c r="I121" s="861">
        <f t="shared" si="53"/>
        <v>46963.3</v>
      </c>
      <c r="J121" s="861">
        <f t="shared" si="53"/>
        <v>118434.6</v>
      </c>
      <c r="K121" s="861">
        <f t="shared" si="53"/>
        <v>42408.7</v>
      </c>
      <c r="L121" s="861">
        <f t="shared" si="53"/>
        <v>171892.5</v>
      </c>
      <c r="M121" s="861">
        <f t="shared" si="53"/>
        <v>33400.100000000006</v>
      </c>
      <c r="N121" s="861">
        <f t="shared" si="53"/>
        <v>230049.5</v>
      </c>
      <c r="O121" s="861">
        <f t="shared" si="53"/>
        <v>26940.800000000003</v>
      </c>
      <c r="P121" s="861">
        <f t="shared" si="53"/>
        <v>44227</v>
      </c>
      <c r="Q121" s="861">
        <f t="shared" si="53"/>
        <v>58398.9</v>
      </c>
      <c r="R121" s="861">
        <f t="shared" si="53"/>
        <v>65894.899999999994</v>
      </c>
      <c r="S121" s="861">
        <f t="shared" si="53"/>
        <v>73936.100000000006</v>
      </c>
      <c r="T121" s="861">
        <f t="shared" si="53"/>
        <v>39160.6</v>
      </c>
      <c r="U121" s="861">
        <f t="shared" si="53"/>
        <v>23634.6</v>
      </c>
      <c r="V121" s="861">
        <f t="shared" si="53"/>
        <v>92679.6</v>
      </c>
      <c r="W121" s="861">
        <f t="shared" si="53"/>
        <v>190462.4</v>
      </c>
      <c r="X121" s="861">
        <f t="shared" si="53"/>
        <v>100910.39999999999</v>
      </c>
      <c r="Y121" s="861">
        <f t="shared" si="53"/>
        <v>206934.6</v>
      </c>
      <c r="Z121" s="861">
        <f t="shared" si="53"/>
        <v>102193.9</v>
      </c>
      <c r="AA121" s="861">
        <f t="shared" si="53"/>
        <v>209491</v>
      </c>
      <c r="AB121" s="862">
        <v>6837463</v>
      </c>
      <c r="AC121" s="844" t="s">
        <v>79</v>
      </c>
      <c r="AD121" s="863">
        <v>500037</v>
      </c>
      <c r="AE121" s="863">
        <v>301033</v>
      </c>
      <c r="AF121" s="863">
        <v>1591150</v>
      </c>
      <c r="AG121" s="863">
        <v>2384489</v>
      </c>
      <c r="AH121" s="863">
        <v>1710640</v>
      </c>
      <c r="AI121" s="863">
        <v>2310031</v>
      </c>
      <c r="AJ121" s="863">
        <v>176483</v>
      </c>
      <c r="AK121" s="863">
        <v>4995554</v>
      </c>
      <c r="AL121" s="881">
        <v>3978310</v>
      </c>
      <c r="AM121" s="880"/>
      <c r="AN121" s="877" t="s">
        <v>3</v>
      </c>
      <c r="AO121" s="852">
        <f>AO120/AO119</f>
        <v>0.86767553689157739</v>
      </c>
      <c r="AP121" s="852">
        <f>AP120/AP119</f>
        <v>0.98994030911609621</v>
      </c>
      <c r="AQ121" s="852">
        <f>AQ120/AQ119</f>
        <v>0.14649963656187537</v>
      </c>
      <c r="AR121" s="852">
        <f>AR120/AR119</f>
        <v>0.98943261022505558</v>
      </c>
      <c r="AS121" s="852">
        <f>AS120/AS119</f>
        <v>0.62283072869343992</v>
      </c>
    </row>
    <row r="122" spans="1:45" s="743" customFormat="1" ht="30" x14ac:dyDescent="0.25">
      <c r="A122" s="916"/>
      <c r="B122" s="847" t="s">
        <v>8</v>
      </c>
      <c r="C122" s="864">
        <v>5397</v>
      </c>
      <c r="D122" s="864">
        <v>2962</v>
      </c>
      <c r="E122" s="864">
        <v>2988</v>
      </c>
      <c r="F122" s="864">
        <v>7698</v>
      </c>
      <c r="G122" s="864">
        <v>3356</v>
      </c>
      <c r="H122" s="864">
        <v>13614</v>
      </c>
      <c r="I122" s="864">
        <v>7093</v>
      </c>
      <c r="J122" s="864">
        <v>1376</v>
      </c>
      <c r="K122" s="864">
        <v>5848</v>
      </c>
      <c r="L122" s="864">
        <v>5301</v>
      </c>
      <c r="M122" s="864">
        <v>7616</v>
      </c>
      <c r="N122" s="864">
        <v>10872</v>
      </c>
      <c r="O122" s="864">
        <v>3430</v>
      </c>
      <c r="P122" s="864">
        <v>8276</v>
      </c>
      <c r="Q122" s="864">
        <v>1824</v>
      </c>
      <c r="R122" s="864">
        <v>4451</v>
      </c>
      <c r="S122" s="864">
        <v>9411</v>
      </c>
      <c r="T122" s="598">
        <v>1716</v>
      </c>
      <c r="U122" s="598">
        <v>1103</v>
      </c>
      <c r="V122" s="864">
        <v>1194</v>
      </c>
      <c r="W122" s="864">
        <v>1194</v>
      </c>
      <c r="X122" s="864">
        <v>418</v>
      </c>
      <c r="Y122" s="864">
        <v>609</v>
      </c>
      <c r="Z122" s="864">
        <v>-1</v>
      </c>
      <c r="AA122" s="864">
        <v>-1</v>
      </c>
      <c r="AB122" s="843">
        <v>107745</v>
      </c>
      <c r="AC122" s="849" t="s">
        <v>8</v>
      </c>
      <c r="AD122" s="865">
        <v>5397</v>
      </c>
      <c r="AE122" s="865">
        <v>2962</v>
      </c>
      <c r="AF122" s="865">
        <v>26613</v>
      </c>
      <c r="AG122" s="845">
        <v>22272</v>
      </c>
      <c r="AH122" s="845">
        <v>27899</v>
      </c>
      <c r="AI122" s="845">
        <v>19783</v>
      </c>
      <c r="AJ122" s="845">
        <v>2819</v>
      </c>
      <c r="AK122" s="845">
        <v>45017</v>
      </c>
      <c r="AL122" s="845">
        <v>62728</v>
      </c>
      <c r="AM122" s="880" t="s">
        <v>192</v>
      </c>
      <c r="AN122" s="842" t="s">
        <v>4</v>
      </c>
      <c r="AO122" s="843">
        <v>97433.600000000006</v>
      </c>
      <c r="AP122" s="843">
        <v>243584.4</v>
      </c>
      <c r="AQ122" s="843">
        <v>132070.29999999999</v>
      </c>
      <c r="AR122" s="843">
        <v>292299.3</v>
      </c>
      <c r="AS122" s="843">
        <v>132070.39999999999</v>
      </c>
    </row>
    <row r="123" spans="1:45" s="743" customFormat="1" x14ac:dyDescent="0.25">
      <c r="A123" s="916"/>
      <c r="B123" s="842" t="s">
        <v>77</v>
      </c>
      <c r="C123" s="861">
        <v>181971</v>
      </c>
      <c r="D123" s="861">
        <v>99870</v>
      </c>
      <c r="E123" s="861">
        <v>100746</v>
      </c>
      <c r="F123" s="861">
        <v>259553</v>
      </c>
      <c r="G123" s="861">
        <v>113154</v>
      </c>
      <c r="H123" s="861">
        <v>459023</v>
      </c>
      <c r="I123" s="861">
        <v>239155</v>
      </c>
      <c r="J123" s="861">
        <v>46395</v>
      </c>
      <c r="K123" s="861">
        <v>197177</v>
      </c>
      <c r="L123" s="861">
        <v>178734</v>
      </c>
      <c r="M123" s="861">
        <v>256789</v>
      </c>
      <c r="N123" s="861">
        <v>366571</v>
      </c>
      <c r="O123" s="861">
        <v>115649</v>
      </c>
      <c r="P123" s="861">
        <v>190906</v>
      </c>
      <c r="Q123" s="861">
        <v>61500</v>
      </c>
      <c r="R123" s="861">
        <v>150074</v>
      </c>
      <c r="S123" s="861">
        <v>317311</v>
      </c>
      <c r="T123" s="866">
        <v>57858</v>
      </c>
      <c r="U123" s="866">
        <v>37190</v>
      </c>
      <c r="V123" s="866">
        <v>40258</v>
      </c>
      <c r="W123" s="866">
        <v>40258</v>
      </c>
      <c r="X123" s="866">
        <v>14094</v>
      </c>
      <c r="Y123" s="866">
        <v>20534</v>
      </c>
      <c r="Z123" s="866">
        <v>-34</v>
      </c>
      <c r="AA123" s="866">
        <v>-34</v>
      </c>
      <c r="AB123" s="867">
        <v>3544702</v>
      </c>
      <c r="AC123" s="844" t="s">
        <v>77</v>
      </c>
      <c r="AD123" s="868">
        <v>181971</v>
      </c>
      <c r="AE123" s="868">
        <v>99870</v>
      </c>
      <c r="AF123" s="868">
        <v>897311</v>
      </c>
      <c r="AG123" s="868">
        <v>750945</v>
      </c>
      <c r="AH123" s="868">
        <v>940671</v>
      </c>
      <c r="AI123" s="868">
        <v>667023</v>
      </c>
      <c r="AJ123" s="868">
        <v>95048</v>
      </c>
      <c r="AK123" s="868">
        <v>1517838</v>
      </c>
      <c r="AL123" s="868">
        <v>2115000</v>
      </c>
      <c r="AM123" s="884"/>
      <c r="AN123" s="847" t="s">
        <v>5</v>
      </c>
      <c r="AO123" s="583">
        <v>38973.199999999997</v>
      </c>
      <c r="AP123" s="583">
        <v>124350.5</v>
      </c>
      <c r="AQ123" s="583">
        <v>3817.1</v>
      </c>
      <c r="AR123" s="583">
        <v>109009</v>
      </c>
      <c r="AS123" s="583">
        <v>33401</v>
      </c>
    </row>
    <row r="124" spans="1:45" s="743" customFormat="1" x14ac:dyDescent="0.25">
      <c r="A124" s="916"/>
      <c r="B124" s="851" t="s">
        <v>218</v>
      </c>
      <c r="C124" s="852">
        <v>0.7278</v>
      </c>
      <c r="D124" s="852">
        <v>0.66349999999999998</v>
      </c>
      <c r="E124" s="869">
        <v>0.66930000000000001</v>
      </c>
      <c r="F124" s="869">
        <v>1.4260999999999999</v>
      </c>
      <c r="G124" s="869">
        <v>0.68259999999999998</v>
      </c>
      <c r="H124" s="869">
        <v>1.1785000000000001</v>
      </c>
      <c r="I124" s="869">
        <v>1.3906000000000001</v>
      </c>
      <c r="J124" s="869">
        <v>0.27939999999999998</v>
      </c>
      <c r="K124" s="869">
        <v>1.5899000000000001</v>
      </c>
      <c r="L124" s="869">
        <v>0.79769999999999996</v>
      </c>
      <c r="M124" s="869">
        <v>1.3303</v>
      </c>
      <c r="N124" s="869">
        <v>0.83650000000000002</v>
      </c>
      <c r="O124" s="869">
        <v>1.3927</v>
      </c>
      <c r="P124" s="869">
        <v>0.69140000000000001</v>
      </c>
      <c r="Q124" s="869">
        <v>0.74060000000000004</v>
      </c>
      <c r="R124" s="869">
        <v>0.78320000000000001</v>
      </c>
      <c r="S124" s="869">
        <v>1.4160999999999999</v>
      </c>
      <c r="T124" s="852">
        <v>1.0490999999999999</v>
      </c>
      <c r="U124" s="852">
        <v>1.1238999999999999</v>
      </c>
      <c r="V124" s="852">
        <v>0.39389999999999997</v>
      </c>
      <c r="W124" s="852">
        <v>0.19220000000000001</v>
      </c>
      <c r="X124" s="852">
        <v>0.13789999999999999</v>
      </c>
      <c r="Y124" s="852">
        <v>9.8000000000000004E-2</v>
      </c>
      <c r="Z124" s="852">
        <v>-2.9999999999999997E-4</v>
      </c>
      <c r="AA124" s="852">
        <v>-2.0000000000000001E-4</v>
      </c>
      <c r="AB124" s="854">
        <v>0.79</v>
      </c>
      <c r="AC124" s="855" t="s">
        <v>218</v>
      </c>
      <c r="AD124" s="856">
        <v>0.7278</v>
      </c>
      <c r="AE124" s="856">
        <v>0.66349999999999998</v>
      </c>
      <c r="AF124" s="856">
        <v>1.1278999999999999</v>
      </c>
      <c r="AG124" s="856">
        <v>0.62990000000000002</v>
      </c>
      <c r="AH124" s="856">
        <v>1.0998000000000001</v>
      </c>
      <c r="AI124" s="856">
        <v>0.57750000000000001</v>
      </c>
      <c r="AJ124" s="856">
        <v>1.0770999999999999</v>
      </c>
      <c r="AK124" s="856">
        <v>0.60770000000000002</v>
      </c>
      <c r="AL124" s="856">
        <v>1.0632999999999999</v>
      </c>
      <c r="AM124" s="884"/>
      <c r="AN124" s="851" t="s">
        <v>3</v>
      </c>
      <c r="AO124" s="852">
        <f>AO123/AO122</f>
        <v>0.39999753678402516</v>
      </c>
      <c r="AP124" s="852">
        <f>AP123/AP122</f>
        <v>0.51050272513346506</v>
      </c>
      <c r="AQ124" s="852">
        <f>AQ123/AQ122</f>
        <v>2.8902031720984961E-2</v>
      </c>
      <c r="AR124" s="852">
        <f>AR123/AR122</f>
        <v>0.37293623351133581</v>
      </c>
      <c r="AS124" s="852">
        <f>AS123/AS122</f>
        <v>0.25290299718937781</v>
      </c>
    </row>
    <row r="125" spans="1:45" s="743" customFormat="1" x14ac:dyDescent="0.25">
      <c r="A125" s="884"/>
      <c r="B125" s="851" t="s">
        <v>219</v>
      </c>
      <c r="C125" s="598">
        <v>171500</v>
      </c>
      <c r="D125" s="598">
        <v>99464.6</v>
      </c>
      <c r="E125" s="598">
        <v>100341</v>
      </c>
      <c r="F125" s="598">
        <v>241555</v>
      </c>
      <c r="G125" s="598">
        <v>110866</v>
      </c>
      <c r="H125" s="598">
        <v>443950</v>
      </c>
      <c r="I125" s="598">
        <v>164406</v>
      </c>
      <c r="J125" s="598">
        <v>46434.3</v>
      </c>
      <c r="K125" s="598">
        <v>138759</v>
      </c>
      <c r="L125" s="598">
        <v>179114</v>
      </c>
      <c r="M125" s="598">
        <v>252827</v>
      </c>
      <c r="N125" s="598">
        <v>366652</v>
      </c>
      <c r="O125" s="598">
        <v>115691</v>
      </c>
      <c r="P125" s="598">
        <v>160623</v>
      </c>
      <c r="Q125" s="598">
        <v>61550</v>
      </c>
      <c r="R125" s="598">
        <v>136851</v>
      </c>
      <c r="S125" s="598">
        <v>317481</v>
      </c>
      <c r="T125" s="598">
        <v>57858.1</v>
      </c>
      <c r="U125" s="598">
        <v>37189.699999999997</v>
      </c>
      <c r="V125" s="598">
        <v>40291.599999999999</v>
      </c>
      <c r="W125" s="598">
        <v>40291.599999999999</v>
      </c>
      <c r="X125" s="598">
        <v>9822.1299999999992</v>
      </c>
      <c r="Y125" s="598">
        <v>9788.41</v>
      </c>
      <c r="Z125" s="598">
        <v>0</v>
      </c>
      <c r="AA125" s="598">
        <v>0</v>
      </c>
      <c r="AB125" s="870">
        <v>3303306.44</v>
      </c>
      <c r="AC125" s="855" t="s">
        <v>219</v>
      </c>
      <c r="AD125" s="871">
        <v>171500</v>
      </c>
      <c r="AE125" s="871">
        <v>99464.6</v>
      </c>
      <c r="AF125" s="871">
        <v>864619</v>
      </c>
      <c r="AG125" s="845">
        <v>610920</v>
      </c>
      <c r="AH125" s="845">
        <v>936960</v>
      </c>
      <c r="AI125" s="845">
        <v>524795</v>
      </c>
      <c r="AJ125" s="845">
        <v>95048</v>
      </c>
      <c r="AK125" s="845">
        <v>1235180</v>
      </c>
      <c r="AL125" s="845">
        <v>2068127</v>
      </c>
      <c r="AM125" s="884" t="s">
        <v>220</v>
      </c>
      <c r="AN125" s="851" t="s">
        <v>3</v>
      </c>
      <c r="AO125" s="852">
        <f>(AO118+AO124)/2</f>
        <v>0.38119624665106289</v>
      </c>
      <c r="AP125" s="852">
        <f t="shared" ref="AP125:AS125" si="54">(AP118+AP124)/2</f>
        <v>0.47677983409520408</v>
      </c>
      <c r="AQ125" s="852">
        <f t="shared" si="54"/>
        <v>2.9589946651719472E-2</v>
      </c>
      <c r="AR125" s="852">
        <f t="shared" si="54"/>
        <v>0.45412051337057324</v>
      </c>
      <c r="AS125" s="852">
        <f t="shared" si="54"/>
        <v>0.31543211186862841</v>
      </c>
    </row>
    <row r="126" spans="1:45" s="743" customFormat="1" x14ac:dyDescent="0.25">
      <c r="A126" s="884"/>
      <c r="B126" s="851" t="s">
        <v>217</v>
      </c>
      <c r="C126" s="869">
        <v>0.68589999999999995</v>
      </c>
      <c r="D126" s="869">
        <v>0.66080000000000005</v>
      </c>
      <c r="E126" s="869">
        <v>0.66659999999999997</v>
      </c>
      <c r="F126" s="869">
        <v>1.3271999999999999</v>
      </c>
      <c r="G126" s="869">
        <v>0.66879999999999995</v>
      </c>
      <c r="H126" s="869">
        <v>1.1397999999999999</v>
      </c>
      <c r="I126" s="869">
        <v>0.95599999999999996</v>
      </c>
      <c r="J126" s="869">
        <v>0.27960000000000002</v>
      </c>
      <c r="K126" s="869">
        <v>1.1189</v>
      </c>
      <c r="L126" s="869">
        <v>0.7994</v>
      </c>
      <c r="M126" s="869">
        <v>1.3098000000000001</v>
      </c>
      <c r="N126" s="869">
        <v>0.8367</v>
      </c>
      <c r="O126" s="869">
        <v>1.3932</v>
      </c>
      <c r="P126" s="869">
        <v>0.58169999999999999</v>
      </c>
      <c r="Q126" s="869">
        <v>0.74119999999999997</v>
      </c>
      <c r="R126" s="869">
        <v>0.71419999999999995</v>
      </c>
      <c r="S126" s="869">
        <v>1.4169</v>
      </c>
      <c r="T126" s="869">
        <v>1.0490999999999999</v>
      </c>
      <c r="U126" s="869">
        <v>1.1238999999999999</v>
      </c>
      <c r="V126" s="869">
        <v>0.39429999999999998</v>
      </c>
      <c r="W126" s="869">
        <v>0.1923</v>
      </c>
      <c r="X126" s="869">
        <v>9.6100000000000005E-2</v>
      </c>
      <c r="Y126" s="869">
        <v>4.6699999999999998E-2</v>
      </c>
      <c r="Z126" s="869">
        <v>0</v>
      </c>
      <c r="AA126" s="869">
        <v>0</v>
      </c>
      <c r="AB126" s="872">
        <v>0.73619999999999997</v>
      </c>
      <c r="AC126" s="855" t="s">
        <v>217</v>
      </c>
      <c r="AD126" s="856">
        <v>0.68589999999999995</v>
      </c>
      <c r="AE126" s="856">
        <v>0.66080000000000005</v>
      </c>
      <c r="AF126" s="856">
        <v>1.0868</v>
      </c>
      <c r="AG126" s="856">
        <v>0.51239999999999997</v>
      </c>
      <c r="AH126" s="856">
        <v>1.0953999999999999</v>
      </c>
      <c r="AI126" s="856">
        <v>0.45440000000000003</v>
      </c>
      <c r="AJ126" s="856">
        <v>1.0770999999999999</v>
      </c>
      <c r="AK126" s="856">
        <v>0.4945</v>
      </c>
      <c r="AL126" s="856">
        <v>1.0397000000000001</v>
      </c>
      <c r="AM126" s="884"/>
      <c r="AN126" s="851"/>
      <c r="AO126" s="852"/>
      <c r="AP126" s="852"/>
      <c r="AQ126" s="852"/>
      <c r="AR126" s="852"/>
      <c r="AS126" s="852"/>
    </row>
    <row r="127" spans="1:45" s="743" customFormat="1" ht="15.75" thickBot="1" x14ac:dyDescent="0.3">
      <c r="A127" s="924">
        <v>41752</v>
      </c>
      <c r="B127" s="924"/>
      <c r="C127" s="924"/>
      <c r="D127" s="529"/>
      <c r="E127" s="529"/>
      <c r="F127" s="529"/>
      <c r="G127" s="529"/>
      <c r="H127" s="529"/>
      <c r="I127" s="525"/>
      <c r="J127" s="531"/>
      <c r="K127" s="531"/>
      <c r="L127" s="529"/>
      <c r="M127" s="529"/>
      <c r="N127" s="527"/>
      <c r="R127" s="526"/>
      <c r="S127" s="534"/>
      <c r="T127" s="534"/>
      <c r="U127" s="534"/>
      <c r="V127" s="534"/>
      <c r="W127" s="534"/>
      <c r="X127" s="534"/>
      <c r="Y127" s="534"/>
      <c r="Z127" s="534"/>
      <c r="AA127" s="534"/>
      <c r="AB127" s="534"/>
      <c r="AC127" s="534"/>
      <c r="AD127" s="534"/>
      <c r="AE127" s="534"/>
      <c r="AF127" s="534"/>
      <c r="AG127" s="534"/>
      <c r="AH127" s="534"/>
      <c r="AI127" s="534"/>
    </row>
    <row r="128" spans="1:45" s="743" customFormat="1" x14ac:dyDescent="0.25">
      <c r="A128" s="925" t="s">
        <v>1</v>
      </c>
      <c r="B128" s="926"/>
      <c r="C128" s="540" t="s">
        <v>12</v>
      </c>
      <c r="D128" s="539" t="s">
        <v>12</v>
      </c>
      <c r="E128" s="540" t="s">
        <v>13</v>
      </c>
      <c r="F128" s="530" t="s">
        <v>13</v>
      </c>
      <c r="G128" s="530" t="s">
        <v>13</v>
      </c>
      <c r="H128" s="530" t="s">
        <v>13</v>
      </c>
      <c r="I128" s="530" t="s">
        <v>13</v>
      </c>
      <c r="J128" s="536" t="s">
        <v>13</v>
      </c>
      <c r="K128" s="536" t="s">
        <v>13</v>
      </c>
      <c r="L128" s="539" t="s">
        <v>13</v>
      </c>
      <c r="M128" s="676" t="s">
        <v>2</v>
      </c>
      <c r="N128" s="530" t="s">
        <v>2</v>
      </c>
      <c r="O128" s="536" t="s">
        <v>2</v>
      </c>
      <c r="P128" s="530" t="s">
        <v>2</v>
      </c>
      <c r="Q128" s="536" t="s">
        <v>2</v>
      </c>
      <c r="R128" s="536" t="s">
        <v>2</v>
      </c>
      <c r="S128" s="539" t="s">
        <v>2</v>
      </c>
      <c r="T128" s="569" t="s">
        <v>183</v>
      </c>
      <c r="U128" s="693" t="s">
        <v>183</v>
      </c>
      <c r="V128" s="693" t="s">
        <v>2</v>
      </c>
      <c r="W128" s="693" t="s">
        <v>13</v>
      </c>
      <c r="X128" s="693" t="s">
        <v>13</v>
      </c>
      <c r="Y128" s="693" t="s">
        <v>2</v>
      </c>
      <c r="Z128" s="791" t="s">
        <v>220</v>
      </c>
      <c r="AA128" s="814"/>
      <c r="AB128" s="805"/>
      <c r="AC128" s="805"/>
      <c r="AD128" s="805"/>
      <c r="AE128" s="805"/>
      <c r="AF128" s="805"/>
      <c r="AG128" s="805"/>
      <c r="AH128" s="805"/>
      <c r="AI128" s="805"/>
      <c r="AJ128" s="805"/>
      <c r="AK128" s="927" t="s">
        <v>1</v>
      </c>
      <c r="AL128" s="928"/>
      <c r="AM128" s="815" t="s">
        <v>12</v>
      </c>
      <c r="AN128" s="929" t="s">
        <v>13</v>
      </c>
      <c r="AO128" s="930"/>
      <c r="AP128" s="929" t="s">
        <v>2</v>
      </c>
      <c r="AQ128" s="930"/>
    </row>
    <row r="129" spans="1:43" s="743" customFormat="1" ht="15.75" thickBot="1" x14ac:dyDescent="0.3">
      <c r="A129" s="931" t="s">
        <v>0</v>
      </c>
      <c r="B129" s="932"/>
      <c r="C129" s="617" t="s">
        <v>99</v>
      </c>
      <c r="D129" s="784" t="s">
        <v>100</v>
      </c>
      <c r="E129" s="785" t="s">
        <v>101</v>
      </c>
      <c r="F129" s="619" t="s">
        <v>102</v>
      </c>
      <c r="G129" s="786" t="s">
        <v>97</v>
      </c>
      <c r="H129" s="619" t="s">
        <v>104</v>
      </c>
      <c r="I129" s="786" t="s">
        <v>103</v>
      </c>
      <c r="J129" s="787" t="s">
        <v>178</v>
      </c>
      <c r="K129" s="787" t="s">
        <v>200</v>
      </c>
      <c r="L129" s="517" t="s">
        <v>207</v>
      </c>
      <c r="M129" s="617" t="s">
        <v>105</v>
      </c>
      <c r="N129" s="619" t="s">
        <v>107</v>
      </c>
      <c r="O129" s="788" t="s">
        <v>98</v>
      </c>
      <c r="P129" s="789" t="s">
        <v>106</v>
      </c>
      <c r="Q129" s="788" t="s">
        <v>179</v>
      </c>
      <c r="R129" s="788" t="s">
        <v>199</v>
      </c>
      <c r="S129" s="618" t="s">
        <v>208</v>
      </c>
      <c r="T129" s="621" t="s">
        <v>182</v>
      </c>
      <c r="U129" s="618" t="s">
        <v>184</v>
      </c>
      <c r="V129" s="784" t="s">
        <v>222</v>
      </c>
      <c r="W129" s="790" t="s">
        <v>223</v>
      </c>
      <c r="X129" s="790" t="s">
        <v>256</v>
      </c>
      <c r="Y129" s="790" t="s">
        <v>257</v>
      </c>
      <c r="Z129" s="792"/>
      <c r="AA129" s="825"/>
      <c r="AB129" s="817" t="s">
        <v>258</v>
      </c>
      <c r="AC129" s="817" t="s">
        <v>259</v>
      </c>
      <c r="AD129" s="817" t="s">
        <v>260</v>
      </c>
      <c r="AE129" s="817" t="s">
        <v>261</v>
      </c>
      <c r="AF129" s="817" t="s">
        <v>262</v>
      </c>
      <c r="AG129" s="817" t="s">
        <v>263</v>
      </c>
      <c r="AH129" s="817" t="s">
        <v>264</v>
      </c>
      <c r="AI129" s="817" t="s">
        <v>265</v>
      </c>
      <c r="AJ129" s="817" t="s">
        <v>266</v>
      </c>
      <c r="AK129" s="933" t="s">
        <v>0</v>
      </c>
      <c r="AL129" s="934"/>
      <c r="AM129" s="621" t="s">
        <v>99</v>
      </c>
      <c r="AN129" s="617" t="s">
        <v>104</v>
      </c>
      <c r="AO129" s="618" t="s">
        <v>207</v>
      </c>
      <c r="AP129" s="622" t="s">
        <v>107</v>
      </c>
      <c r="AQ129" s="623" t="s">
        <v>208</v>
      </c>
    </row>
    <row r="130" spans="1:43" s="743" customFormat="1" ht="30" x14ac:dyDescent="0.25">
      <c r="A130" s="935" t="s">
        <v>9</v>
      </c>
      <c r="B130" s="528" t="s">
        <v>4</v>
      </c>
      <c r="C130" s="541">
        <v>250018.4</v>
      </c>
      <c r="D130" s="688">
        <v>150516.70000000001</v>
      </c>
      <c r="E130" s="541">
        <v>150516.70000000001</v>
      </c>
      <c r="F130" s="533">
        <v>181998.8</v>
      </c>
      <c r="G130" s="533">
        <v>165765.70000000001</v>
      </c>
      <c r="H130" s="533">
        <v>389505</v>
      </c>
      <c r="I130" s="533">
        <v>171975.5</v>
      </c>
      <c r="J130" s="537">
        <v>166077.9</v>
      </c>
      <c r="K130" s="537">
        <v>124019.2</v>
      </c>
      <c r="L130" s="688">
        <v>224071.2</v>
      </c>
      <c r="M130" s="541">
        <v>193029.1</v>
      </c>
      <c r="N130" s="533">
        <v>438219.9</v>
      </c>
      <c r="O130" s="533">
        <v>83038.8</v>
      </c>
      <c r="P130" s="533">
        <v>276130.40000000002</v>
      </c>
      <c r="Q130" s="537">
        <v>83038.8</v>
      </c>
      <c r="R130" s="537">
        <v>191618.2</v>
      </c>
      <c r="S130" s="688">
        <v>224071.2</v>
      </c>
      <c r="T130" s="544">
        <v>55151</v>
      </c>
      <c r="U130" s="688">
        <v>33090.5</v>
      </c>
      <c r="V130" s="688">
        <v>102196.5</v>
      </c>
      <c r="W130" s="688">
        <v>209496.5</v>
      </c>
      <c r="X130" s="688">
        <v>102196.5</v>
      </c>
      <c r="Y130" s="688">
        <v>209496.5</v>
      </c>
      <c r="Z130" s="537">
        <v>4175238.9999999995</v>
      </c>
      <c r="AA130" s="826" t="s">
        <v>4</v>
      </c>
      <c r="AB130" s="818">
        <v>250018.4</v>
      </c>
      <c r="AC130" s="818">
        <v>150516.70000000001</v>
      </c>
      <c r="AD130" s="818">
        <v>795575</v>
      </c>
      <c r="AE130" s="818">
        <v>1090048</v>
      </c>
      <c r="AF130" s="818">
        <v>855320.2</v>
      </c>
      <c r="AG130" s="818">
        <v>945519.2</v>
      </c>
      <c r="AH130" s="818">
        <v>88241.5</v>
      </c>
      <c r="AI130" s="818">
        <v>2186083.9</v>
      </c>
      <c r="AJ130" s="818">
        <v>1989155.1</v>
      </c>
      <c r="AK130" s="801" t="s">
        <v>195</v>
      </c>
      <c r="AL130" s="524" t="s">
        <v>4</v>
      </c>
      <c r="AM130" s="544">
        <v>143393</v>
      </c>
      <c r="AN130" s="541">
        <v>132132</v>
      </c>
      <c r="AO130" s="688">
        <v>83196.100000000006</v>
      </c>
      <c r="AP130" s="552">
        <v>132132.20000000001</v>
      </c>
      <c r="AQ130" s="551">
        <v>83196.100000000006</v>
      </c>
    </row>
    <row r="131" spans="1:43" s="743" customFormat="1" x14ac:dyDescent="0.25">
      <c r="A131" s="936"/>
      <c r="B131" s="624" t="s">
        <v>5</v>
      </c>
      <c r="C131" s="625">
        <v>104855.9</v>
      </c>
      <c r="D131" s="626">
        <v>83914.8</v>
      </c>
      <c r="E131" s="625">
        <v>85256.8</v>
      </c>
      <c r="F131" s="627">
        <v>150784.9</v>
      </c>
      <c r="G131" s="627">
        <v>111474.2</v>
      </c>
      <c r="H131" s="627">
        <v>209128.4</v>
      </c>
      <c r="I131" s="627">
        <v>124817.2</v>
      </c>
      <c r="J131" s="628">
        <v>45734.6</v>
      </c>
      <c r="K131" s="628">
        <v>77761.2</v>
      </c>
      <c r="L131" s="626">
        <v>45040.4</v>
      </c>
      <c r="M131" s="625">
        <v>159248.29999999999</v>
      </c>
      <c r="N131" s="627">
        <v>206954.1</v>
      </c>
      <c r="O131" s="627">
        <v>56101.8</v>
      </c>
      <c r="P131" s="627">
        <v>230105</v>
      </c>
      <c r="Q131" s="628">
        <v>23685.599999999999</v>
      </c>
      <c r="R131" s="628">
        <v>119316.2</v>
      </c>
      <c r="S131" s="626">
        <v>144728.29999999999</v>
      </c>
      <c r="T131" s="629">
        <v>15990.4</v>
      </c>
      <c r="U131" s="626">
        <v>9456.4</v>
      </c>
      <c r="V131" s="626">
        <v>7724.2</v>
      </c>
      <c r="W131" s="695">
        <v>15448.1</v>
      </c>
      <c r="X131" s="695">
        <v>1279.4000000000001</v>
      </c>
      <c r="Y131" s="695">
        <v>2548.1</v>
      </c>
      <c r="Z131" s="793">
        <v>2031354.3</v>
      </c>
      <c r="AA131" s="827" t="s">
        <v>5</v>
      </c>
      <c r="AB131" s="819">
        <v>104855.9</v>
      </c>
      <c r="AC131" s="819">
        <v>83914.8</v>
      </c>
      <c r="AD131" s="819">
        <v>404953.7</v>
      </c>
      <c r="AE131" s="818">
        <v>461771.5</v>
      </c>
      <c r="AF131" s="818">
        <v>510930.7</v>
      </c>
      <c r="AG131" s="818">
        <v>439480.89999999997</v>
      </c>
      <c r="AH131" s="818">
        <v>25446.799999999999</v>
      </c>
      <c r="AI131" s="818">
        <v>985167.2</v>
      </c>
      <c r="AJ131" s="818">
        <v>1046187.1000000001</v>
      </c>
      <c r="AK131" s="802"/>
      <c r="AL131" s="630" t="s">
        <v>5</v>
      </c>
      <c r="AM131" s="629">
        <v>51964.9</v>
      </c>
      <c r="AN131" s="625">
        <v>58542</v>
      </c>
      <c r="AO131" s="626">
        <v>2519</v>
      </c>
      <c r="AP131" s="631">
        <v>70731</v>
      </c>
      <c r="AQ131" s="632">
        <v>31444.9</v>
      </c>
    </row>
    <row r="132" spans="1:43" s="743" customFormat="1" ht="15.75" thickBot="1" x14ac:dyDescent="0.3">
      <c r="A132" s="937"/>
      <c r="B132" s="504" t="s">
        <v>3</v>
      </c>
      <c r="C132" s="542">
        <v>0.41939273269487365</v>
      </c>
      <c r="D132" s="633">
        <v>0.55751155851809131</v>
      </c>
      <c r="E132" s="633">
        <v>0.56642751269460467</v>
      </c>
      <c r="F132" s="681">
        <v>0.8284939241357635</v>
      </c>
      <c r="G132" s="633">
        <v>0.67248049506019636</v>
      </c>
      <c r="H132" s="633">
        <v>0.53690812698168189</v>
      </c>
      <c r="I132" s="633">
        <v>0.72578477748283909</v>
      </c>
      <c r="J132" s="633">
        <v>0.2753804088322408</v>
      </c>
      <c r="K132" s="633">
        <v>0.62700936629167092</v>
      </c>
      <c r="L132" s="633">
        <v>0.20100932203692398</v>
      </c>
      <c r="M132" s="547">
        <v>0.82499633474952727</v>
      </c>
      <c r="N132" s="498">
        <v>0.472260844384292</v>
      </c>
      <c r="O132" s="506">
        <v>0.67560947412534866</v>
      </c>
      <c r="P132" s="498">
        <v>0.83332005458290714</v>
      </c>
      <c r="Q132" s="506">
        <v>0.28523533577074811</v>
      </c>
      <c r="R132" s="506">
        <v>0.6226767603494866</v>
      </c>
      <c r="S132" s="689">
        <v>0.6459031772043885</v>
      </c>
      <c r="T132" s="545">
        <v>0.28993853239288497</v>
      </c>
      <c r="U132" s="689">
        <v>0.28577386258896059</v>
      </c>
      <c r="V132" s="689">
        <v>7.5581844779420038E-2</v>
      </c>
      <c r="W132" s="689">
        <v>7.3739179413498557E-2</v>
      </c>
      <c r="X132" s="689">
        <v>1.2519019731595506E-2</v>
      </c>
      <c r="Y132" s="689">
        <v>1.2162971696424522E-2</v>
      </c>
      <c r="Z132" s="794">
        <v>0.48652407682530274</v>
      </c>
      <c r="AA132" s="828" t="s">
        <v>3</v>
      </c>
      <c r="AB132" s="820">
        <v>0.41939273269487365</v>
      </c>
      <c r="AC132" s="820">
        <v>0.55751155851809131</v>
      </c>
      <c r="AD132" s="820">
        <v>0.50900757313892464</v>
      </c>
      <c r="AE132" s="820">
        <v>0.42362492293917331</v>
      </c>
      <c r="AF132" s="820">
        <v>0.59735605449280871</v>
      </c>
      <c r="AG132" s="820">
        <v>0.46480378187983912</v>
      </c>
      <c r="AH132" s="820">
        <v>0.28837678416618029</v>
      </c>
      <c r="AI132" s="820">
        <v>0.45065388386969046</v>
      </c>
      <c r="AJ132" s="820">
        <v>0.52594546297571265</v>
      </c>
      <c r="AK132" s="803"/>
      <c r="AL132" s="634" t="s">
        <v>3</v>
      </c>
      <c r="AM132" s="635">
        <v>0.36239495651810061</v>
      </c>
      <c r="AN132" s="542">
        <v>0.44305694305694304</v>
      </c>
      <c r="AO132" s="689">
        <v>3.0277861582453984E-2</v>
      </c>
      <c r="AP132" s="636">
        <v>0.53530479322981073</v>
      </c>
      <c r="AQ132" s="633">
        <v>0.37796122654787906</v>
      </c>
    </row>
    <row r="133" spans="1:43" s="743" customFormat="1" ht="30" x14ac:dyDescent="0.25">
      <c r="A133" s="938" t="s">
        <v>6</v>
      </c>
      <c r="B133" s="553" t="s">
        <v>7</v>
      </c>
      <c r="C133" s="541">
        <v>5870</v>
      </c>
      <c r="D133" s="541">
        <v>3653</v>
      </c>
      <c r="E133" s="541">
        <v>3650</v>
      </c>
      <c r="F133" s="541">
        <v>9450</v>
      </c>
      <c r="G133" s="541">
        <v>8432</v>
      </c>
      <c r="H133" s="541">
        <v>15703</v>
      </c>
      <c r="I133" s="541">
        <v>8597</v>
      </c>
      <c r="J133" s="541">
        <v>9599</v>
      </c>
      <c r="K133" s="541">
        <v>7072</v>
      </c>
      <c r="L133" s="541">
        <v>9423</v>
      </c>
      <c r="M133" s="541">
        <v>8889</v>
      </c>
      <c r="N133" s="541">
        <v>11924</v>
      </c>
      <c r="O133" s="541">
        <v>4357</v>
      </c>
      <c r="P133" s="541">
        <v>11252</v>
      </c>
      <c r="Q133" s="541">
        <v>4799</v>
      </c>
      <c r="R133" s="541">
        <v>9711</v>
      </c>
      <c r="S133" s="541">
        <v>11685</v>
      </c>
      <c r="T133" s="558">
        <v>2480</v>
      </c>
      <c r="U133" s="692">
        <v>1570</v>
      </c>
      <c r="V133" s="541">
        <v>3999</v>
      </c>
      <c r="W133" s="541">
        <v>7999</v>
      </c>
      <c r="X133" s="541">
        <v>3999</v>
      </c>
      <c r="Y133" s="541">
        <v>7999</v>
      </c>
      <c r="Z133" s="544">
        <v>172112</v>
      </c>
      <c r="AA133" s="829" t="s">
        <v>7</v>
      </c>
      <c r="AB133" s="818">
        <v>5870</v>
      </c>
      <c r="AC133" s="818">
        <v>3653</v>
      </c>
      <c r="AD133" s="818">
        <v>34576</v>
      </c>
      <c r="AE133" s="818">
        <v>49348</v>
      </c>
      <c r="AF133" s="818">
        <v>32498</v>
      </c>
      <c r="AG133" s="818">
        <v>42117</v>
      </c>
      <c r="AH133" s="818">
        <v>4050</v>
      </c>
      <c r="AI133" s="818">
        <v>95118</v>
      </c>
      <c r="AJ133" s="818">
        <v>76994</v>
      </c>
      <c r="AK133" s="804" t="s">
        <v>191</v>
      </c>
      <c r="AL133" s="553" t="s">
        <v>4</v>
      </c>
      <c r="AM133" s="564">
        <v>9191.7999999999993</v>
      </c>
      <c r="AN133" s="565">
        <v>13787.7</v>
      </c>
      <c r="AO133" s="566">
        <v>8804.7999999999993</v>
      </c>
      <c r="AP133" s="567">
        <v>13787.7</v>
      </c>
      <c r="AQ133" s="568">
        <v>8804.7999999999993</v>
      </c>
    </row>
    <row r="134" spans="1:43" s="743" customFormat="1" x14ac:dyDescent="0.25">
      <c r="A134" s="939"/>
      <c r="B134" s="637" t="s">
        <v>11</v>
      </c>
      <c r="C134" s="644">
        <v>197918.78999999998</v>
      </c>
      <c r="D134" s="644">
        <v>123168.201</v>
      </c>
      <c r="E134" s="644">
        <v>123067.04999999999</v>
      </c>
      <c r="F134" s="644">
        <v>318625.64999999997</v>
      </c>
      <c r="G134" s="644">
        <v>284301.74400000001</v>
      </c>
      <c r="H134" s="644">
        <v>529458.05099999998</v>
      </c>
      <c r="I134" s="644">
        <v>289865.049</v>
      </c>
      <c r="J134" s="644">
        <v>323649.48300000001</v>
      </c>
      <c r="K134" s="644">
        <v>238446.62399999998</v>
      </c>
      <c r="L134" s="644">
        <v>317715.29099999997</v>
      </c>
      <c r="M134" s="644">
        <v>299710.413</v>
      </c>
      <c r="N134" s="641">
        <v>402041.50799999997</v>
      </c>
      <c r="O134" s="641">
        <v>146904.96899999998</v>
      </c>
      <c r="P134" s="642">
        <v>379383.68400000001</v>
      </c>
      <c r="Q134" s="640">
        <v>161807.883</v>
      </c>
      <c r="R134" s="643">
        <v>327425.78700000001</v>
      </c>
      <c r="S134" s="687">
        <v>393983.14499999996</v>
      </c>
      <c r="T134" s="638">
        <v>83618.16</v>
      </c>
      <c r="U134" s="642">
        <v>52935.689999999995</v>
      </c>
      <c r="V134" s="642">
        <v>134834.283</v>
      </c>
      <c r="W134" s="642">
        <v>269702.283</v>
      </c>
      <c r="X134" s="642">
        <v>134834.283</v>
      </c>
      <c r="Y134" s="642">
        <v>269702.283</v>
      </c>
      <c r="Z134" s="795">
        <v>5803100.3039999986</v>
      </c>
      <c r="AA134" s="826" t="s">
        <v>11</v>
      </c>
      <c r="AB134" s="821">
        <v>197918.78999999998</v>
      </c>
      <c r="AC134" s="821">
        <v>123168.201</v>
      </c>
      <c r="AD134" s="821">
        <v>1165798.9919999999</v>
      </c>
      <c r="AE134" s="821">
        <v>1663866.5159999998</v>
      </c>
      <c r="AF134" s="821">
        <v>1095735.0659999999</v>
      </c>
      <c r="AG134" s="821">
        <v>1420058.889</v>
      </c>
      <c r="AH134" s="821">
        <v>136553.85</v>
      </c>
      <c r="AI134" s="821">
        <v>3207093.6059999997</v>
      </c>
      <c r="AJ134" s="821">
        <v>2596006.6979999999</v>
      </c>
      <c r="AK134" s="802"/>
      <c r="AL134" s="624" t="s">
        <v>5</v>
      </c>
      <c r="AM134" s="629">
        <v>7975.5</v>
      </c>
      <c r="AN134" s="625">
        <v>13649</v>
      </c>
      <c r="AO134" s="626">
        <v>1289.9000000000001</v>
      </c>
      <c r="AP134" s="631">
        <v>13642</v>
      </c>
      <c r="AQ134" s="632">
        <v>5483.9</v>
      </c>
    </row>
    <row r="135" spans="1:43" s="743" customFormat="1" ht="15.75" thickBot="1" x14ac:dyDescent="0.3">
      <c r="A135" s="939"/>
      <c r="B135" s="637" t="s">
        <v>79</v>
      </c>
      <c r="C135" s="861">
        <f t="shared" ref="C135:Y135" si="55">C130-C131</f>
        <v>145162.5</v>
      </c>
      <c r="D135" s="861">
        <f t="shared" si="55"/>
        <v>66601.900000000009</v>
      </c>
      <c r="E135" s="861">
        <f t="shared" si="55"/>
        <v>65259.900000000009</v>
      </c>
      <c r="F135" s="861">
        <f t="shared" si="55"/>
        <v>31213.899999999994</v>
      </c>
      <c r="G135" s="861">
        <f t="shared" si="55"/>
        <v>54291.500000000015</v>
      </c>
      <c r="H135" s="861">
        <f t="shared" si="55"/>
        <v>180376.6</v>
      </c>
      <c r="I135" s="861">
        <f t="shared" si="55"/>
        <v>47158.3</v>
      </c>
      <c r="J135" s="861">
        <f t="shared" si="55"/>
        <v>120343.29999999999</v>
      </c>
      <c r="K135" s="861">
        <f t="shared" si="55"/>
        <v>46258</v>
      </c>
      <c r="L135" s="861">
        <f t="shared" si="55"/>
        <v>179030.80000000002</v>
      </c>
      <c r="M135" s="861">
        <f t="shared" si="55"/>
        <v>33780.800000000017</v>
      </c>
      <c r="N135" s="861">
        <f t="shared" si="55"/>
        <v>231265.80000000002</v>
      </c>
      <c r="O135" s="861">
        <f t="shared" si="55"/>
        <v>26937</v>
      </c>
      <c r="P135" s="861">
        <f t="shared" si="55"/>
        <v>46025.400000000023</v>
      </c>
      <c r="Q135" s="861">
        <f t="shared" si="55"/>
        <v>59353.200000000004</v>
      </c>
      <c r="R135" s="861">
        <f t="shared" si="55"/>
        <v>72302.000000000015</v>
      </c>
      <c r="S135" s="861">
        <f t="shared" si="55"/>
        <v>79342.900000000023</v>
      </c>
      <c r="T135" s="861">
        <f t="shared" si="55"/>
        <v>39160.6</v>
      </c>
      <c r="U135" s="861">
        <f t="shared" si="55"/>
        <v>23634.1</v>
      </c>
      <c r="V135" s="861">
        <f t="shared" si="55"/>
        <v>94472.3</v>
      </c>
      <c r="W135" s="861">
        <f t="shared" si="55"/>
        <v>194048.4</v>
      </c>
      <c r="X135" s="861">
        <f t="shared" si="55"/>
        <v>100917.1</v>
      </c>
      <c r="Y135" s="861">
        <f t="shared" si="55"/>
        <v>206948.4</v>
      </c>
      <c r="Z135" s="796">
        <v>6214077.4000000004</v>
      </c>
      <c r="AA135" s="826" t="s">
        <v>79</v>
      </c>
      <c r="AB135" s="821">
        <v>500036.8</v>
      </c>
      <c r="AC135" s="821">
        <v>301033.40000000002</v>
      </c>
      <c r="AD135" s="821">
        <v>1591150</v>
      </c>
      <c r="AE135" s="821">
        <v>2180096</v>
      </c>
      <c r="AF135" s="821">
        <v>1710640.4</v>
      </c>
      <c r="AG135" s="821">
        <v>1891038.4</v>
      </c>
      <c r="AH135" s="821">
        <v>176483</v>
      </c>
      <c r="AI135" s="821">
        <v>4372167.8</v>
      </c>
      <c r="AJ135" s="821">
        <v>3978310.2</v>
      </c>
      <c r="AK135" s="803"/>
      <c r="AL135" s="645" t="s">
        <v>3</v>
      </c>
      <c r="AM135" s="635">
        <v>0.86767553689157739</v>
      </c>
      <c r="AN135" s="646">
        <v>0.98994030911609621</v>
      </c>
      <c r="AO135" s="647">
        <v>0.14649963656187537</v>
      </c>
      <c r="AP135" s="648">
        <v>0.98943261022505558</v>
      </c>
      <c r="AQ135" s="649">
        <v>0.62283072869343992</v>
      </c>
    </row>
    <row r="136" spans="1:43" s="743" customFormat="1" ht="30" x14ac:dyDescent="0.25">
      <c r="A136" s="939"/>
      <c r="B136" s="624" t="s">
        <v>8</v>
      </c>
      <c r="C136" s="724">
        <v>5521</v>
      </c>
      <c r="D136" s="725">
        <v>2959</v>
      </c>
      <c r="E136" s="724">
        <v>2985</v>
      </c>
      <c r="F136" s="726">
        <v>7698</v>
      </c>
      <c r="G136" s="726">
        <v>3356</v>
      </c>
      <c r="H136" s="726">
        <v>13614</v>
      </c>
      <c r="I136" s="726">
        <v>7125</v>
      </c>
      <c r="J136" s="727">
        <v>1376</v>
      </c>
      <c r="K136" s="727">
        <v>4073</v>
      </c>
      <c r="L136" s="725">
        <v>4985</v>
      </c>
      <c r="M136" s="724">
        <v>7616</v>
      </c>
      <c r="N136" s="726">
        <v>10872</v>
      </c>
      <c r="O136" s="727">
        <v>3430</v>
      </c>
      <c r="P136" s="726">
        <v>8420</v>
      </c>
      <c r="Q136" s="727">
        <v>1824</v>
      </c>
      <c r="R136" s="727">
        <v>4436</v>
      </c>
      <c r="S136" s="725">
        <v>9227</v>
      </c>
      <c r="T136" s="654">
        <v>1716</v>
      </c>
      <c r="U136" s="686">
        <v>1103</v>
      </c>
      <c r="V136" s="725">
        <v>1177</v>
      </c>
      <c r="W136" s="725">
        <v>1177</v>
      </c>
      <c r="X136" s="725">
        <v>232</v>
      </c>
      <c r="Y136" s="725">
        <v>295</v>
      </c>
      <c r="Z136" s="797">
        <v>105217</v>
      </c>
      <c r="AA136" s="827" t="s">
        <v>8</v>
      </c>
      <c r="AB136" s="822">
        <v>5521</v>
      </c>
      <c r="AC136" s="822">
        <v>2959</v>
      </c>
      <c r="AD136" s="822">
        <v>26297</v>
      </c>
      <c r="AE136" s="818">
        <v>20324</v>
      </c>
      <c r="AF136" s="818">
        <v>27715</v>
      </c>
      <c r="AG136" s="818">
        <v>19582</v>
      </c>
      <c r="AH136" s="818">
        <v>2819</v>
      </c>
      <c r="AI136" s="818">
        <v>42865</v>
      </c>
      <c r="AJ136" s="818">
        <v>62352</v>
      </c>
      <c r="AK136" s="801" t="s">
        <v>192</v>
      </c>
      <c r="AL136" s="528" t="s">
        <v>4</v>
      </c>
      <c r="AM136" s="544">
        <v>97433.600000000006</v>
      </c>
      <c r="AN136" s="541">
        <v>243584.4</v>
      </c>
      <c r="AO136" s="688">
        <v>132070.29999999999</v>
      </c>
      <c r="AP136" s="552">
        <v>292299.3</v>
      </c>
      <c r="AQ136" s="551">
        <v>132070.39999999999</v>
      </c>
    </row>
    <row r="137" spans="1:43" s="743" customFormat="1" x14ac:dyDescent="0.25">
      <c r="A137" s="939"/>
      <c r="B137" s="655" t="s">
        <v>77</v>
      </c>
      <c r="C137" s="660">
        <v>186151.557</v>
      </c>
      <c r="D137" s="660">
        <v>99768.603000000003</v>
      </c>
      <c r="E137" s="660">
        <v>100645.245</v>
      </c>
      <c r="F137" s="660">
        <v>259553.46599999999</v>
      </c>
      <c r="G137" s="660">
        <v>113154.25199999999</v>
      </c>
      <c r="H137" s="660">
        <v>459023.23799999995</v>
      </c>
      <c r="I137" s="660">
        <v>240233.625</v>
      </c>
      <c r="J137" s="660">
        <v>46394.591999999997</v>
      </c>
      <c r="K137" s="660">
        <v>137329.34099999999</v>
      </c>
      <c r="L137" s="660">
        <v>168079.245</v>
      </c>
      <c r="M137" s="660">
        <v>256788.67199999999</v>
      </c>
      <c r="N137" s="657">
        <v>366571.22399999999</v>
      </c>
      <c r="O137" s="657">
        <v>115649.31</v>
      </c>
      <c r="P137" s="657">
        <v>195760.902</v>
      </c>
      <c r="Q137" s="658">
        <v>61499.807999999997</v>
      </c>
      <c r="R137" s="658">
        <v>149568.61199999999</v>
      </c>
      <c r="S137" s="659">
        <v>311106.75899999996</v>
      </c>
      <c r="T137" s="661">
        <v>57858.371999999996</v>
      </c>
      <c r="U137" s="691">
        <v>37189.850999999995</v>
      </c>
      <c r="V137" s="691">
        <v>39684.909</v>
      </c>
      <c r="W137" s="691">
        <v>39684.909</v>
      </c>
      <c r="X137" s="691">
        <v>7822.3440000000001</v>
      </c>
      <c r="Y137" s="691">
        <v>9946.5149999999994</v>
      </c>
      <c r="Z137" s="798">
        <v>3459465.3510000003</v>
      </c>
      <c r="AA137" s="826" t="s">
        <v>77</v>
      </c>
      <c r="AB137" s="823">
        <v>186151.557</v>
      </c>
      <c r="AC137" s="823">
        <v>99768.603000000003</v>
      </c>
      <c r="AD137" s="823">
        <v>886655.94900000002</v>
      </c>
      <c r="AE137" s="823">
        <v>685264.30799999996</v>
      </c>
      <c r="AF137" s="823">
        <v>934466.65499999991</v>
      </c>
      <c r="AG137" s="823">
        <v>660246.29399999999</v>
      </c>
      <c r="AH137" s="823">
        <v>95048.222999999998</v>
      </c>
      <c r="AI137" s="823">
        <v>1445279.2049999998</v>
      </c>
      <c r="AJ137" s="823">
        <v>2102322.3840000001</v>
      </c>
      <c r="AK137" s="802"/>
      <c r="AL137" s="624" t="s">
        <v>5</v>
      </c>
      <c r="AM137" s="629">
        <v>38973.199999999997</v>
      </c>
      <c r="AN137" s="625">
        <v>124350.5</v>
      </c>
      <c r="AO137" s="626">
        <v>3817.1</v>
      </c>
      <c r="AP137" s="631">
        <v>109009</v>
      </c>
      <c r="AQ137" s="632">
        <v>33401</v>
      </c>
    </row>
    <row r="138" spans="1:43" s="743" customFormat="1" ht="15.75" thickBot="1" x14ac:dyDescent="0.3">
      <c r="A138" s="940"/>
      <c r="B138" s="504" t="s">
        <v>218</v>
      </c>
      <c r="C138" s="542">
        <v>0.74455142901482452</v>
      </c>
      <c r="D138" s="689">
        <v>0.66284075454750202</v>
      </c>
      <c r="E138" s="690">
        <v>0.66866497205957864</v>
      </c>
      <c r="F138" s="690">
        <v>1.426127348092405</v>
      </c>
      <c r="G138" s="690">
        <v>0.68261559538553507</v>
      </c>
      <c r="H138" s="690">
        <v>1.1784784226133167</v>
      </c>
      <c r="I138" s="690">
        <v>1.3969060999968019</v>
      </c>
      <c r="J138" s="690">
        <v>0.27935439935114786</v>
      </c>
      <c r="K138" s="690">
        <v>1.1073232289838992</v>
      </c>
      <c r="L138" s="690">
        <v>0.75011534280175229</v>
      </c>
      <c r="M138" s="690">
        <v>1.3303106733647931</v>
      </c>
      <c r="N138" s="501">
        <v>0.83650063358601467</v>
      </c>
      <c r="O138" s="501">
        <v>1.3927141288168903</v>
      </c>
      <c r="P138" s="663">
        <v>0.70894368023223808</v>
      </c>
      <c r="Q138" s="520">
        <v>0.740615326811081</v>
      </c>
      <c r="R138" s="520">
        <v>0.78055535434525525</v>
      </c>
      <c r="S138" s="515">
        <v>1.3884281380204146</v>
      </c>
      <c r="T138" s="542">
        <v>1.0490901706224727</v>
      </c>
      <c r="U138" s="689">
        <v>1.1238830177845605</v>
      </c>
      <c r="V138" s="689">
        <v>0.38831964891165549</v>
      </c>
      <c r="W138" s="689">
        <v>0.18942993797032409</v>
      </c>
      <c r="X138" s="689">
        <v>7.6542190779527675E-2</v>
      </c>
      <c r="Y138" s="689">
        <v>4.7478191759766863E-2</v>
      </c>
      <c r="Z138" s="794">
        <v>0.82856702358835044</v>
      </c>
      <c r="AA138" s="828" t="s">
        <v>218</v>
      </c>
      <c r="AB138" s="820">
        <v>0.74455142901482452</v>
      </c>
      <c r="AC138" s="820">
        <v>0.66284075454750202</v>
      </c>
      <c r="AD138" s="820">
        <v>1.1144844282437232</v>
      </c>
      <c r="AE138" s="820">
        <v>0.6286551674788633</v>
      </c>
      <c r="AF138" s="820">
        <v>1.0925342988508864</v>
      </c>
      <c r="AG138" s="820">
        <v>0.69828967407536513</v>
      </c>
      <c r="AH138" s="820">
        <v>1.0771374353337149</v>
      </c>
      <c r="AI138" s="820">
        <v>0.66112705235146729</v>
      </c>
      <c r="AJ138" s="820">
        <v>1.0568921367670123</v>
      </c>
      <c r="AK138" s="803"/>
      <c r="AL138" s="504" t="s">
        <v>3</v>
      </c>
      <c r="AM138" s="545">
        <v>0.39999753678402516</v>
      </c>
      <c r="AN138" s="542">
        <v>0.51050272513346506</v>
      </c>
      <c r="AO138" s="689">
        <v>2.8902031720984961E-2</v>
      </c>
      <c r="AP138" s="636">
        <v>0.37293623351133581</v>
      </c>
      <c r="AQ138" s="633">
        <v>0.25290299718937781</v>
      </c>
    </row>
    <row r="139" spans="1:43" s="743" customFormat="1" ht="15.75" thickBot="1" x14ac:dyDescent="0.3">
      <c r="A139" s="612"/>
      <c r="B139" s="504" t="s">
        <v>219</v>
      </c>
      <c r="C139" s="650">
        <v>175680</v>
      </c>
      <c r="D139" s="650">
        <v>99363.4</v>
      </c>
      <c r="E139" s="650">
        <v>100240</v>
      </c>
      <c r="F139" s="650">
        <v>241555</v>
      </c>
      <c r="G139" s="650">
        <v>110866</v>
      </c>
      <c r="H139" s="650">
        <v>443949</v>
      </c>
      <c r="I139" s="650">
        <v>172778</v>
      </c>
      <c r="J139" s="650">
        <v>46434.3</v>
      </c>
      <c r="K139" s="650">
        <v>138254</v>
      </c>
      <c r="L139" s="650">
        <v>168456</v>
      </c>
      <c r="M139" s="650">
        <v>252827</v>
      </c>
      <c r="N139" s="650">
        <v>366652</v>
      </c>
      <c r="O139" s="650">
        <v>115690</v>
      </c>
      <c r="P139" s="650">
        <v>161173</v>
      </c>
      <c r="Q139" s="650">
        <v>61545.8</v>
      </c>
      <c r="R139" s="650">
        <v>136345</v>
      </c>
      <c r="S139" s="650">
        <v>310735</v>
      </c>
      <c r="T139" s="650">
        <v>57858.1</v>
      </c>
      <c r="U139" s="650">
        <v>37189.699999999997</v>
      </c>
      <c r="V139" s="650">
        <v>39718.400000000001</v>
      </c>
      <c r="W139" s="650">
        <v>39718.400000000001</v>
      </c>
      <c r="X139" s="650">
        <v>7866.56</v>
      </c>
      <c r="Y139" s="696">
        <v>7832.84</v>
      </c>
      <c r="Z139" s="799">
        <v>3292727.5</v>
      </c>
      <c r="AA139" s="828" t="s">
        <v>219</v>
      </c>
      <c r="AB139" s="824">
        <v>175680</v>
      </c>
      <c r="AC139" s="824">
        <v>99363.4</v>
      </c>
      <c r="AD139" s="824">
        <v>853960</v>
      </c>
      <c r="AE139" s="818">
        <v>616157.26000000013</v>
      </c>
      <c r="AF139" s="818">
        <v>930214</v>
      </c>
      <c r="AG139" s="818">
        <v>522305.04000000004</v>
      </c>
      <c r="AH139" s="818">
        <v>95047.799999999988</v>
      </c>
      <c r="AI139" s="818">
        <v>1237825.7000000002</v>
      </c>
      <c r="AJ139" s="818">
        <v>2054901.8</v>
      </c>
      <c r="AK139" s="803" t="s">
        <v>220</v>
      </c>
      <c r="AL139" s="504" t="s">
        <v>3</v>
      </c>
      <c r="AM139" s="545">
        <v>0.38119624665106289</v>
      </c>
      <c r="AN139" s="545">
        <v>0.47677983409520408</v>
      </c>
      <c r="AO139" s="545">
        <v>2.9589946651719472E-2</v>
      </c>
      <c r="AP139" s="545">
        <v>0.45412051337057324</v>
      </c>
      <c r="AQ139" s="545">
        <v>0.31543211186862841</v>
      </c>
    </row>
    <row r="140" spans="1:43" s="743" customFormat="1" ht="15.75" thickBot="1" x14ac:dyDescent="0.3">
      <c r="A140" s="612"/>
      <c r="B140" s="504" t="s">
        <v>217</v>
      </c>
      <c r="C140" s="690">
        <v>0.70266828361432598</v>
      </c>
      <c r="D140" s="690">
        <v>0.6601486745324604</v>
      </c>
      <c r="E140" s="690">
        <v>0.66597261300573285</v>
      </c>
      <c r="F140" s="690">
        <v>1.3272340257188511</v>
      </c>
      <c r="G140" s="690">
        <v>0.66881146099585131</v>
      </c>
      <c r="H140" s="690">
        <v>1.1397774097893481</v>
      </c>
      <c r="I140" s="690">
        <v>1.0046663623597547</v>
      </c>
      <c r="J140" s="690">
        <v>0.27959349196973232</v>
      </c>
      <c r="K140" s="690">
        <v>1.1147790019609867</v>
      </c>
      <c r="L140" s="690">
        <v>0.75179675031864868</v>
      </c>
      <c r="M140" s="690">
        <v>1.30978696994391</v>
      </c>
      <c r="N140" s="690">
        <v>0.83668496113480917</v>
      </c>
      <c r="O140" s="690">
        <v>1.3932041407149429</v>
      </c>
      <c r="P140" s="690">
        <v>0.58368437520823491</v>
      </c>
      <c r="Q140" s="690">
        <v>0.74116918837940815</v>
      </c>
      <c r="R140" s="690">
        <v>0.71154514550288017</v>
      </c>
      <c r="S140" s="690">
        <v>1.3867690269878503</v>
      </c>
      <c r="T140" s="690">
        <v>1.0490852387082736</v>
      </c>
      <c r="U140" s="690">
        <v>1.1238784545413336</v>
      </c>
      <c r="V140" s="690">
        <v>0.38864736072174683</v>
      </c>
      <c r="W140" s="690">
        <v>0.18958980221626615</v>
      </c>
      <c r="X140" s="690">
        <v>7.6974847475207081E-2</v>
      </c>
      <c r="Y140" s="690">
        <v>3.7388882391829935E-2</v>
      </c>
      <c r="Z140" s="800">
        <v>0.78863209986302585</v>
      </c>
      <c r="AA140" s="828" t="s">
        <v>217</v>
      </c>
      <c r="AB140" s="820">
        <v>0.70266828361432598</v>
      </c>
      <c r="AC140" s="820">
        <v>0.6601486745324604</v>
      </c>
      <c r="AD140" s="820">
        <v>1.0733871727995474</v>
      </c>
      <c r="AE140" s="820">
        <v>0.56525699785697525</v>
      </c>
      <c r="AF140" s="820">
        <v>1.087562295383647</v>
      </c>
      <c r="AG140" s="820">
        <v>0.55240024739846638</v>
      </c>
      <c r="AH140" s="820">
        <v>1.0771326416708691</v>
      </c>
      <c r="AI140" s="820">
        <v>0.56622973162192003</v>
      </c>
      <c r="AJ140" s="820">
        <v>1.0330525759404081</v>
      </c>
      <c r="AK140" s="803"/>
      <c r="AL140" s="504"/>
      <c r="AM140" s="545"/>
      <c r="AN140" s="542"/>
      <c r="AO140" s="689"/>
      <c r="AP140" s="636"/>
      <c r="AQ140" s="633"/>
    </row>
    <row r="141" spans="1:43" s="743" customFormat="1" ht="15.75" thickBot="1" x14ac:dyDescent="0.3">
      <c r="A141" s="924">
        <v>41745</v>
      </c>
      <c r="B141" s="924"/>
      <c r="C141" s="924"/>
      <c r="D141" s="529"/>
      <c r="E141" s="529"/>
      <c r="F141" s="529"/>
      <c r="G141" s="529"/>
      <c r="H141" s="529"/>
      <c r="I141" s="525"/>
      <c r="J141" s="531"/>
      <c r="K141" s="531"/>
      <c r="L141" s="529"/>
      <c r="M141" s="529"/>
      <c r="N141" s="527"/>
      <c r="R141" s="526"/>
      <c r="S141" s="534"/>
      <c r="T141" s="534"/>
      <c r="U141" s="534"/>
      <c r="V141" s="534"/>
      <c r="W141" s="534"/>
      <c r="X141" s="534"/>
      <c r="Y141" s="534"/>
      <c r="Z141" s="534"/>
      <c r="AA141" s="534" t="s">
        <v>258</v>
      </c>
      <c r="AB141" s="534" t="s">
        <v>259</v>
      </c>
      <c r="AC141" s="534" t="s">
        <v>260</v>
      </c>
      <c r="AD141" s="534" t="s">
        <v>261</v>
      </c>
      <c r="AE141" s="534" t="s">
        <v>262</v>
      </c>
      <c r="AF141" s="534" t="s">
        <v>263</v>
      </c>
    </row>
    <row r="142" spans="1:43" s="743" customFormat="1" x14ac:dyDescent="0.25">
      <c r="A142" s="925" t="s">
        <v>1</v>
      </c>
      <c r="B142" s="926"/>
      <c r="C142" s="540" t="s">
        <v>12</v>
      </c>
      <c r="D142" s="539" t="s">
        <v>12</v>
      </c>
      <c r="E142" s="540" t="s">
        <v>13</v>
      </c>
      <c r="F142" s="530" t="s">
        <v>13</v>
      </c>
      <c r="G142" s="530" t="s">
        <v>13</v>
      </c>
      <c r="H142" s="530" t="s">
        <v>13</v>
      </c>
      <c r="I142" s="530" t="s">
        <v>13</v>
      </c>
      <c r="J142" s="536" t="s">
        <v>13</v>
      </c>
      <c r="K142" s="536" t="s">
        <v>13</v>
      </c>
      <c r="L142" s="539" t="s">
        <v>13</v>
      </c>
      <c r="M142" s="676" t="s">
        <v>2</v>
      </c>
      <c r="N142" s="530" t="s">
        <v>2</v>
      </c>
      <c r="O142" s="536" t="s">
        <v>2</v>
      </c>
      <c r="P142" s="530" t="s">
        <v>2</v>
      </c>
      <c r="Q142" s="536" t="s">
        <v>2</v>
      </c>
      <c r="R142" s="536" t="s">
        <v>2</v>
      </c>
      <c r="S142" s="539" t="s">
        <v>2</v>
      </c>
      <c r="T142" s="569" t="s">
        <v>183</v>
      </c>
      <c r="U142" s="693" t="s">
        <v>183</v>
      </c>
      <c r="V142" s="693" t="s">
        <v>2</v>
      </c>
      <c r="W142" s="693" t="s">
        <v>13</v>
      </c>
      <c r="X142" s="693" t="s">
        <v>13</v>
      </c>
      <c r="Y142" s="693" t="s">
        <v>2</v>
      </c>
      <c r="Z142" s="745" t="s">
        <v>220</v>
      </c>
      <c r="AA142" s="805" t="s">
        <v>258</v>
      </c>
      <c r="AB142" s="805" t="s">
        <v>259</v>
      </c>
      <c r="AC142" s="805" t="s">
        <v>260</v>
      </c>
      <c r="AD142" s="805" t="s">
        <v>261</v>
      </c>
      <c r="AE142" s="805" t="s">
        <v>262</v>
      </c>
      <c r="AF142" s="805" t="s">
        <v>263</v>
      </c>
      <c r="AG142" s="805" t="s">
        <v>264</v>
      </c>
      <c r="AH142" s="805" t="s">
        <v>265</v>
      </c>
      <c r="AI142" s="805" t="s">
        <v>266</v>
      </c>
      <c r="AJ142" s="925" t="s">
        <v>1</v>
      </c>
      <c r="AK142" s="928"/>
      <c r="AL142" s="768" t="s">
        <v>12</v>
      </c>
      <c r="AM142" s="929" t="s">
        <v>13</v>
      </c>
      <c r="AN142" s="930"/>
      <c r="AO142" s="929" t="s">
        <v>2</v>
      </c>
      <c r="AP142" s="930"/>
    </row>
    <row r="143" spans="1:43" s="743" customFormat="1" ht="15.75" thickBot="1" x14ac:dyDescent="0.3">
      <c r="A143" s="931" t="s">
        <v>0</v>
      </c>
      <c r="B143" s="932"/>
      <c r="C143" s="617" t="s">
        <v>99</v>
      </c>
      <c r="D143" s="618" t="s">
        <v>100</v>
      </c>
      <c r="E143" s="617" t="s">
        <v>101</v>
      </c>
      <c r="F143" s="619" t="s">
        <v>102</v>
      </c>
      <c r="G143" s="619" t="s">
        <v>97</v>
      </c>
      <c r="H143" s="619" t="s">
        <v>104</v>
      </c>
      <c r="I143" s="619" t="s">
        <v>103</v>
      </c>
      <c r="J143" s="521" t="s">
        <v>178</v>
      </c>
      <c r="K143" s="521" t="s">
        <v>200</v>
      </c>
      <c r="L143" s="517" t="s">
        <v>207</v>
      </c>
      <c r="M143" s="617" t="s">
        <v>105</v>
      </c>
      <c r="N143" s="619" t="s">
        <v>107</v>
      </c>
      <c r="O143" s="620" t="s">
        <v>98</v>
      </c>
      <c r="P143" s="516" t="s">
        <v>106</v>
      </c>
      <c r="Q143" s="620" t="s">
        <v>179</v>
      </c>
      <c r="R143" s="620" t="s">
        <v>199</v>
      </c>
      <c r="S143" s="618" t="s">
        <v>208</v>
      </c>
      <c r="T143" s="621" t="s">
        <v>182</v>
      </c>
      <c r="U143" s="618" t="s">
        <v>184</v>
      </c>
      <c r="V143" s="618" t="s">
        <v>222</v>
      </c>
      <c r="W143" s="694" t="s">
        <v>223</v>
      </c>
      <c r="X143" s="694" t="s">
        <v>256</v>
      </c>
      <c r="Y143" s="694" t="s">
        <v>257</v>
      </c>
      <c r="Z143" s="746"/>
      <c r="AA143" s="806"/>
      <c r="AB143" s="806"/>
      <c r="AC143" s="806"/>
      <c r="AD143" s="806"/>
      <c r="AE143" s="806"/>
      <c r="AF143" s="806"/>
      <c r="AG143" s="806"/>
      <c r="AH143" s="806"/>
      <c r="AI143" s="806"/>
      <c r="AJ143" s="931" t="s">
        <v>0</v>
      </c>
      <c r="AK143" s="934"/>
      <c r="AL143" s="621" t="s">
        <v>99</v>
      </c>
      <c r="AM143" s="617" t="s">
        <v>104</v>
      </c>
      <c r="AN143" s="618" t="s">
        <v>207</v>
      </c>
      <c r="AO143" s="622" t="s">
        <v>107</v>
      </c>
      <c r="AP143" s="623" t="s">
        <v>208</v>
      </c>
    </row>
    <row r="144" spans="1:43" s="743" customFormat="1" ht="30" x14ac:dyDescent="0.25">
      <c r="A144" s="935" t="s">
        <v>9</v>
      </c>
      <c r="B144" s="528" t="s">
        <v>4</v>
      </c>
      <c r="C144" s="541">
        <v>250018.4</v>
      </c>
      <c r="D144" s="688">
        <v>150516.70000000001</v>
      </c>
      <c r="E144" s="541">
        <v>150516.70000000001</v>
      </c>
      <c r="F144" s="533">
        <v>181998.8</v>
      </c>
      <c r="G144" s="533">
        <v>165765.70000000001</v>
      </c>
      <c r="H144" s="533">
        <v>389505</v>
      </c>
      <c r="I144" s="533">
        <v>171975.5</v>
      </c>
      <c r="J144" s="537">
        <v>166077.9</v>
      </c>
      <c r="K144" s="537">
        <v>124019.2</v>
      </c>
      <c r="L144" s="688">
        <v>224071.2</v>
      </c>
      <c r="M144" s="541">
        <v>193029.1</v>
      </c>
      <c r="N144" s="533">
        <v>438219.9</v>
      </c>
      <c r="O144" s="533">
        <v>83038.8</v>
      </c>
      <c r="P144" s="533">
        <v>276130.40000000002</v>
      </c>
      <c r="Q144" s="537">
        <v>83038.8</v>
      </c>
      <c r="R144" s="537">
        <v>191618.2</v>
      </c>
      <c r="S144" s="688">
        <v>224071.2</v>
      </c>
      <c r="T144" s="544">
        <v>55151</v>
      </c>
      <c r="U144" s="688">
        <v>33090.5</v>
      </c>
      <c r="V144" s="688">
        <v>102196.5</v>
      </c>
      <c r="W144" s="688">
        <v>209496.5</v>
      </c>
      <c r="X144" s="688">
        <v>102196.5</v>
      </c>
      <c r="Y144" s="688">
        <v>209496.5</v>
      </c>
      <c r="Z144" s="688">
        <v>4175238.9999999995</v>
      </c>
      <c r="AA144" s="807">
        <f>C144</f>
        <v>250018.4</v>
      </c>
      <c r="AB144" s="807">
        <f>D144</f>
        <v>150516.70000000001</v>
      </c>
      <c r="AC144" s="807">
        <f>F144+H144+L144</f>
        <v>795575</v>
      </c>
      <c r="AD144" s="807">
        <f>E144+G144+I144+J144+K144+W144+X144</f>
        <v>1090048</v>
      </c>
      <c r="AE144" s="807">
        <f>M144+N144+S144</f>
        <v>855320.2</v>
      </c>
      <c r="AF144" s="807">
        <f>O144+P144+Q144+R144+V144+Y144</f>
        <v>945519.2</v>
      </c>
      <c r="AG144" s="807">
        <f>T144+U144</f>
        <v>88241.5</v>
      </c>
      <c r="AH144" s="807">
        <f>AB144+AD144+AF144</f>
        <v>2186083.9</v>
      </c>
      <c r="AI144" s="807">
        <f>AA144+AC144+AE144+AG144</f>
        <v>1989155.1</v>
      </c>
      <c r="AJ144" s="765" t="s">
        <v>195</v>
      </c>
      <c r="AK144" s="524" t="s">
        <v>4</v>
      </c>
      <c r="AL144" s="544">
        <v>143393</v>
      </c>
      <c r="AM144" s="541">
        <v>132132</v>
      </c>
      <c r="AN144" s="688">
        <v>83196.100000000006</v>
      </c>
      <c r="AO144" s="552">
        <v>132132.20000000001</v>
      </c>
      <c r="AP144" s="551">
        <v>83196.100000000006</v>
      </c>
    </row>
    <row r="145" spans="1:42" s="743" customFormat="1" x14ac:dyDescent="0.25">
      <c r="A145" s="936"/>
      <c r="B145" s="624" t="s">
        <v>5</v>
      </c>
      <c r="C145" s="625">
        <v>105533.2</v>
      </c>
      <c r="D145" s="626">
        <v>83884.5</v>
      </c>
      <c r="E145" s="625">
        <v>85226.6</v>
      </c>
      <c r="F145" s="627">
        <v>150532.4</v>
      </c>
      <c r="G145" s="627">
        <v>112621.2</v>
      </c>
      <c r="H145" s="627">
        <v>208254.5</v>
      </c>
      <c r="I145" s="627">
        <v>122490.4</v>
      </c>
      <c r="J145" s="628">
        <v>44692.1</v>
      </c>
      <c r="K145" s="628">
        <v>77104.399999999994</v>
      </c>
      <c r="L145" s="626">
        <v>42196.800000000003</v>
      </c>
      <c r="M145" s="625">
        <v>158788.29999999999</v>
      </c>
      <c r="N145" s="627">
        <v>206326</v>
      </c>
      <c r="O145" s="627">
        <v>57879.4</v>
      </c>
      <c r="P145" s="627">
        <v>225789.2</v>
      </c>
      <c r="Q145" s="628">
        <v>23164.400000000001</v>
      </c>
      <c r="R145" s="628">
        <v>118103.6</v>
      </c>
      <c r="S145" s="626">
        <v>142798.70000000001</v>
      </c>
      <c r="T145" s="629">
        <v>15990.4</v>
      </c>
      <c r="U145" s="626">
        <v>9456.4</v>
      </c>
      <c r="V145" s="626">
        <v>7171.7</v>
      </c>
      <c r="W145" s="695">
        <v>14343.3</v>
      </c>
      <c r="X145" s="695">
        <v>3.1</v>
      </c>
      <c r="Y145" s="695">
        <v>6</v>
      </c>
      <c r="Z145" s="747">
        <v>2012356.5999999999</v>
      </c>
      <c r="AA145" s="808">
        <f>C145</f>
        <v>105533.2</v>
      </c>
      <c r="AB145" s="808">
        <f>D145</f>
        <v>83884.5</v>
      </c>
      <c r="AC145" s="808">
        <f>H145+F145+L145</f>
        <v>400983.7</v>
      </c>
      <c r="AD145" s="807">
        <f>E145+G145+I145+J145+K145+W145+X145</f>
        <v>456481.09999999992</v>
      </c>
      <c r="AE145" s="807">
        <f>M145+N145+S145</f>
        <v>507913</v>
      </c>
      <c r="AF145" s="807">
        <f>O145+P145+Q145+R145+V145+Y145</f>
        <v>432114.3000000001</v>
      </c>
      <c r="AG145" s="807">
        <f>T145+U145</f>
        <v>25446.799999999999</v>
      </c>
      <c r="AH145" s="807">
        <f>AB145+AD145+AF145</f>
        <v>972479.89999999991</v>
      </c>
      <c r="AI145" s="807">
        <f>AA145+AC145+AE145+AG145</f>
        <v>1039876.7000000001</v>
      </c>
      <c r="AJ145" s="766"/>
      <c r="AK145" s="630" t="s">
        <v>5</v>
      </c>
      <c r="AL145" s="629">
        <v>51964.9</v>
      </c>
      <c r="AM145" s="625">
        <v>58542</v>
      </c>
      <c r="AN145" s="626">
        <v>2519</v>
      </c>
      <c r="AO145" s="631">
        <v>70731</v>
      </c>
      <c r="AP145" s="632">
        <v>31444.9</v>
      </c>
    </row>
    <row r="146" spans="1:42" s="743" customFormat="1" ht="15.75" thickBot="1" x14ac:dyDescent="0.3">
      <c r="A146" s="937"/>
      <c r="B146" s="504" t="s">
        <v>3</v>
      </c>
      <c r="C146" s="542">
        <v>0.42210173331242823</v>
      </c>
      <c r="D146" s="633">
        <v>0.55731025195210893</v>
      </c>
      <c r="E146" s="633">
        <v>0.56622687050672782</v>
      </c>
      <c r="F146" s="681">
        <v>0.8271065523508947</v>
      </c>
      <c r="G146" s="633">
        <v>0.67939989997930805</v>
      </c>
      <c r="H146" s="633">
        <v>0.53466451008331084</v>
      </c>
      <c r="I146" s="633">
        <v>0.71225494329134087</v>
      </c>
      <c r="J146" s="633">
        <v>0.26910323408472769</v>
      </c>
      <c r="K146" s="633">
        <v>0.62171341211683351</v>
      </c>
      <c r="L146" s="633">
        <v>0.18831871298051692</v>
      </c>
      <c r="M146" s="547">
        <v>0.82261327437158427</v>
      </c>
      <c r="N146" s="498">
        <v>0.47082754571392121</v>
      </c>
      <c r="O146" s="506">
        <v>0.69701633453277267</v>
      </c>
      <c r="P146" s="498">
        <v>0.81769048246770359</v>
      </c>
      <c r="Q146" s="506">
        <v>0.27895875181240576</v>
      </c>
      <c r="R146" s="506">
        <v>0.61634855144239953</v>
      </c>
      <c r="S146" s="689">
        <v>0.63729162873229583</v>
      </c>
      <c r="T146" s="545">
        <v>0.28993853239288497</v>
      </c>
      <c r="U146" s="689">
        <v>0.28577386258896059</v>
      </c>
      <c r="V146" s="689">
        <v>7.0175593097610969E-2</v>
      </c>
      <c r="W146" s="689">
        <v>6.8465582957233179E-2</v>
      </c>
      <c r="X146" s="689">
        <v>3.0333719843634569E-5</v>
      </c>
      <c r="Y146" s="689">
        <v>2.8640096612592574E-5</v>
      </c>
      <c r="Z146" s="748">
        <v>0.48197398999195018</v>
      </c>
      <c r="AA146" s="809">
        <f t="shared" ref="AA146:AI146" si="56">AA145/AA144</f>
        <v>0.42210173331242823</v>
      </c>
      <c r="AB146" s="809">
        <f t="shared" si="56"/>
        <v>0.55731025195210893</v>
      </c>
      <c r="AC146" s="809">
        <f t="shared" si="56"/>
        <v>0.50401747164000876</v>
      </c>
      <c r="AD146" s="809">
        <f t="shared" si="56"/>
        <v>0.41877155868365423</v>
      </c>
      <c r="AE146" s="809">
        <f t="shared" si="56"/>
        <v>0.593827902111981</v>
      </c>
      <c r="AF146" s="809">
        <f t="shared" si="56"/>
        <v>0.45701271851486475</v>
      </c>
      <c r="AG146" s="809">
        <f t="shared" si="56"/>
        <v>0.28837678416618029</v>
      </c>
      <c r="AH146" s="809">
        <f t="shared" si="56"/>
        <v>0.44485021823727805</v>
      </c>
      <c r="AI146" s="809">
        <f t="shared" si="56"/>
        <v>0.52277306078344521</v>
      </c>
      <c r="AJ146" s="767"/>
      <c r="AK146" s="634" t="s">
        <v>3</v>
      </c>
      <c r="AL146" s="635">
        <f>AL145/AL144</f>
        <v>0.36239495651810061</v>
      </c>
      <c r="AM146" s="542">
        <f>AM145/AM144</f>
        <v>0.44305694305694304</v>
      </c>
      <c r="AN146" s="689">
        <f>AN145/AN144</f>
        <v>3.0277861582453984E-2</v>
      </c>
      <c r="AO146" s="636">
        <f>AO145/AO144</f>
        <v>0.53530479322981073</v>
      </c>
      <c r="AP146" s="633">
        <f>AP145/AP144</f>
        <v>0.37796122654787906</v>
      </c>
    </row>
    <row r="147" spans="1:42" s="743" customFormat="1" ht="30" x14ac:dyDescent="0.25">
      <c r="A147" s="938" t="s">
        <v>6</v>
      </c>
      <c r="B147" s="553" t="s">
        <v>7</v>
      </c>
      <c r="C147" s="541">
        <v>5870</v>
      </c>
      <c r="D147" s="541">
        <v>3653</v>
      </c>
      <c r="E147" s="541">
        <v>3650</v>
      </c>
      <c r="F147" s="541">
        <v>9450</v>
      </c>
      <c r="G147" s="541">
        <v>8432</v>
      </c>
      <c r="H147" s="541">
        <v>15703</v>
      </c>
      <c r="I147" s="541">
        <v>8597</v>
      </c>
      <c r="J147" s="541">
        <v>9599</v>
      </c>
      <c r="K147" s="541">
        <v>7078</v>
      </c>
      <c r="L147" s="541">
        <v>9423</v>
      </c>
      <c r="M147" s="541">
        <v>8889</v>
      </c>
      <c r="N147" s="541">
        <v>11924</v>
      </c>
      <c r="O147" s="541">
        <v>4357</v>
      </c>
      <c r="P147" s="541">
        <v>11252</v>
      </c>
      <c r="Q147" s="541">
        <v>4799</v>
      </c>
      <c r="R147" s="541">
        <v>9717</v>
      </c>
      <c r="S147" s="541">
        <v>11685</v>
      </c>
      <c r="T147" s="558">
        <v>2480</v>
      </c>
      <c r="U147" s="692">
        <v>1570</v>
      </c>
      <c r="V147" s="541">
        <v>3999</v>
      </c>
      <c r="W147" s="541">
        <v>7999</v>
      </c>
      <c r="X147" s="541">
        <v>3999</v>
      </c>
      <c r="Y147" s="541">
        <v>7999</v>
      </c>
      <c r="Z147" s="541">
        <v>172124</v>
      </c>
      <c r="AA147" s="807">
        <f>C147</f>
        <v>5870</v>
      </c>
      <c r="AB147" s="807">
        <f>D147</f>
        <v>3653</v>
      </c>
      <c r="AC147" s="807">
        <f>F147+H147+L147</f>
        <v>34576</v>
      </c>
      <c r="AD147" s="807">
        <f>E147+G147+I147+J147+K147+W147+X147</f>
        <v>49354</v>
      </c>
      <c r="AE147" s="807">
        <f>M147+N147+S147</f>
        <v>32498</v>
      </c>
      <c r="AF147" s="807">
        <f>O147+P147+Q147+R147+V147+Y147</f>
        <v>42123</v>
      </c>
      <c r="AG147" s="807">
        <f>T147+U147</f>
        <v>4050</v>
      </c>
      <c r="AH147" s="807">
        <f>AB147+AD147+AF147</f>
        <v>95130</v>
      </c>
      <c r="AI147" s="807">
        <f>AA147+AC147+AE147+AG147</f>
        <v>76994</v>
      </c>
      <c r="AJ147" s="562" t="s">
        <v>191</v>
      </c>
      <c r="AK147" s="553" t="s">
        <v>4</v>
      </c>
      <c r="AL147" s="564">
        <v>9191.7999999999993</v>
      </c>
      <c r="AM147" s="565">
        <v>13787.7</v>
      </c>
      <c r="AN147" s="566">
        <v>8804.7999999999993</v>
      </c>
      <c r="AO147" s="567">
        <v>13787.7</v>
      </c>
      <c r="AP147" s="568">
        <v>8804.7999999999993</v>
      </c>
    </row>
    <row r="148" spans="1:42" s="743" customFormat="1" x14ac:dyDescent="0.25">
      <c r="A148" s="939"/>
      <c r="B148" s="637" t="s">
        <v>11</v>
      </c>
      <c r="C148" s="644">
        <v>197918.78999999998</v>
      </c>
      <c r="D148" s="644">
        <v>123168.201</v>
      </c>
      <c r="E148" s="644">
        <v>123067.04999999999</v>
      </c>
      <c r="F148" s="644">
        <v>318625.64999999997</v>
      </c>
      <c r="G148" s="644">
        <v>284301.74400000001</v>
      </c>
      <c r="H148" s="644">
        <v>529458.05099999998</v>
      </c>
      <c r="I148" s="644">
        <v>289865.049</v>
      </c>
      <c r="J148" s="644">
        <v>323649.48300000001</v>
      </c>
      <c r="K148" s="644">
        <v>238648.92599999998</v>
      </c>
      <c r="L148" s="644">
        <v>317715.29099999997</v>
      </c>
      <c r="M148" s="644">
        <v>299710.413</v>
      </c>
      <c r="N148" s="641">
        <v>402041.50799999997</v>
      </c>
      <c r="O148" s="641">
        <v>146904.96899999998</v>
      </c>
      <c r="P148" s="642">
        <v>379383.68400000001</v>
      </c>
      <c r="Q148" s="640">
        <v>161807.883</v>
      </c>
      <c r="R148" s="643">
        <v>327628.08899999998</v>
      </c>
      <c r="S148" s="687">
        <v>393983.14499999996</v>
      </c>
      <c r="T148" s="638">
        <v>83618.16</v>
      </c>
      <c r="U148" s="642">
        <v>52935.689999999995</v>
      </c>
      <c r="V148" s="642">
        <v>134834.283</v>
      </c>
      <c r="W148" s="642">
        <v>269702.283</v>
      </c>
      <c r="X148" s="642">
        <v>134834.283</v>
      </c>
      <c r="Y148" s="642">
        <v>269702.283</v>
      </c>
      <c r="Z148" s="749">
        <v>5803504.9079999989</v>
      </c>
      <c r="AA148" s="810">
        <f t="shared" ref="AA148:AI148" si="57">AA147*33.717</f>
        <v>197918.78999999998</v>
      </c>
      <c r="AB148" s="810">
        <f t="shared" si="57"/>
        <v>123168.201</v>
      </c>
      <c r="AC148" s="810">
        <f t="shared" si="57"/>
        <v>1165798.9919999999</v>
      </c>
      <c r="AD148" s="810">
        <f t="shared" si="57"/>
        <v>1664068.818</v>
      </c>
      <c r="AE148" s="810">
        <f t="shared" si="57"/>
        <v>1095735.0659999999</v>
      </c>
      <c r="AF148" s="810">
        <f t="shared" si="57"/>
        <v>1420261.1909999999</v>
      </c>
      <c r="AG148" s="810">
        <f t="shared" si="57"/>
        <v>136553.85</v>
      </c>
      <c r="AH148" s="810">
        <f t="shared" si="57"/>
        <v>3207498.21</v>
      </c>
      <c r="AI148" s="810">
        <f t="shared" si="57"/>
        <v>2596006.6979999999</v>
      </c>
      <c r="AJ148" s="766"/>
      <c r="AK148" s="624" t="s">
        <v>5</v>
      </c>
      <c r="AL148" s="629">
        <v>7975.5</v>
      </c>
      <c r="AM148" s="625">
        <v>13649</v>
      </c>
      <c r="AN148" s="626">
        <v>1289.9000000000001</v>
      </c>
      <c r="AO148" s="631">
        <v>13642</v>
      </c>
      <c r="AP148" s="632">
        <v>5483.9</v>
      </c>
    </row>
    <row r="149" spans="1:42" s="743" customFormat="1" ht="15.75" thickBot="1" x14ac:dyDescent="0.3">
      <c r="A149" s="939"/>
      <c r="B149" s="637" t="s">
        <v>79</v>
      </c>
      <c r="C149" s="861">
        <f t="shared" ref="C149:Y149" si="58">C144-C145</f>
        <v>144485.20000000001</v>
      </c>
      <c r="D149" s="861">
        <f t="shared" si="58"/>
        <v>66632.200000000012</v>
      </c>
      <c r="E149" s="861">
        <f t="shared" si="58"/>
        <v>65290.100000000006</v>
      </c>
      <c r="F149" s="861">
        <f t="shared" si="58"/>
        <v>31466.399999999994</v>
      </c>
      <c r="G149" s="861">
        <f t="shared" si="58"/>
        <v>53144.500000000015</v>
      </c>
      <c r="H149" s="861">
        <f t="shared" si="58"/>
        <v>181250.5</v>
      </c>
      <c r="I149" s="861">
        <f t="shared" si="58"/>
        <v>49485.100000000006</v>
      </c>
      <c r="J149" s="861">
        <f t="shared" si="58"/>
        <v>121385.79999999999</v>
      </c>
      <c r="K149" s="861">
        <f t="shared" si="58"/>
        <v>46914.8</v>
      </c>
      <c r="L149" s="861">
        <f t="shared" si="58"/>
        <v>181874.40000000002</v>
      </c>
      <c r="M149" s="861">
        <f t="shared" si="58"/>
        <v>34240.800000000017</v>
      </c>
      <c r="N149" s="861">
        <f t="shared" si="58"/>
        <v>231893.90000000002</v>
      </c>
      <c r="O149" s="861">
        <f t="shared" si="58"/>
        <v>25159.4</v>
      </c>
      <c r="P149" s="861">
        <f t="shared" si="58"/>
        <v>50341.200000000012</v>
      </c>
      <c r="Q149" s="861">
        <f t="shared" si="58"/>
        <v>59874.400000000001</v>
      </c>
      <c r="R149" s="861">
        <f t="shared" si="58"/>
        <v>73514.600000000006</v>
      </c>
      <c r="S149" s="861">
        <f t="shared" si="58"/>
        <v>81272.5</v>
      </c>
      <c r="T149" s="861">
        <f t="shared" si="58"/>
        <v>39160.6</v>
      </c>
      <c r="U149" s="861">
        <f t="shared" si="58"/>
        <v>23634.1</v>
      </c>
      <c r="V149" s="861">
        <f t="shared" si="58"/>
        <v>95024.8</v>
      </c>
      <c r="W149" s="861">
        <f t="shared" si="58"/>
        <v>195153.2</v>
      </c>
      <c r="X149" s="861">
        <f t="shared" si="58"/>
        <v>102193.4</v>
      </c>
      <c r="Y149" s="861">
        <f t="shared" si="58"/>
        <v>209490.5</v>
      </c>
      <c r="Z149" s="750">
        <v>6214077.4000000004</v>
      </c>
      <c r="AA149" s="810">
        <f t="shared" ref="AA149:AI149" si="59">2*AA144</f>
        <v>500036.8</v>
      </c>
      <c r="AB149" s="810">
        <f t="shared" si="59"/>
        <v>301033.40000000002</v>
      </c>
      <c r="AC149" s="810">
        <f t="shared" si="59"/>
        <v>1591150</v>
      </c>
      <c r="AD149" s="810">
        <f t="shared" si="59"/>
        <v>2180096</v>
      </c>
      <c r="AE149" s="810">
        <f t="shared" si="59"/>
        <v>1710640.4</v>
      </c>
      <c r="AF149" s="810">
        <f t="shared" si="59"/>
        <v>1891038.4</v>
      </c>
      <c r="AG149" s="810">
        <f t="shared" si="59"/>
        <v>176483</v>
      </c>
      <c r="AH149" s="810">
        <f t="shared" si="59"/>
        <v>4372167.8</v>
      </c>
      <c r="AI149" s="810">
        <f t="shared" si="59"/>
        <v>3978310.2</v>
      </c>
      <c r="AJ149" s="767"/>
      <c r="AK149" s="645" t="s">
        <v>3</v>
      </c>
      <c r="AL149" s="635">
        <f>AL148/AL147</f>
        <v>0.86767553689157739</v>
      </c>
      <c r="AM149" s="646">
        <f>AM148/AM147</f>
        <v>0.98994030911609621</v>
      </c>
      <c r="AN149" s="647">
        <f>AN148/AN147</f>
        <v>0.14649963656187537</v>
      </c>
      <c r="AO149" s="648">
        <f>AO148/AO147</f>
        <v>0.98943261022505558</v>
      </c>
      <c r="AP149" s="649">
        <f>AP148/AP147</f>
        <v>0.62283072869343992</v>
      </c>
    </row>
    <row r="150" spans="1:42" s="743" customFormat="1" ht="30" x14ac:dyDescent="0.25">
      <c r="A150" s="939"/>
      <c r="B150" s="624" t="s">
        <v>8</v>
      </c>
      <c r="C150" s="724">
        <v>5520</v>
      </c>
      <c r="D150" s="725">
        <v>2939</v>
      </c>
      <c r="E150" s="724">
        <v>2965</v>
      </c>
      <c r="F150" s="726">
        <v>7698</v>
      </c>
      <c r="G150" s="726">
        <v>3432</v>
      </c>
      <c r="H150" s="726">
        <v>13618</v>
      </c>
      <c r="I150" s="726">
        <v>7124</v>
      </c>
      <c r="J150" s="727">
        <v>1376</v>
      </c>
      <c r="K150" s="727">
        <v>4062</v>
      </c>
      <c r="L150" s="725">
        <v>4951</v>
      </c>
      <c r="M150" s="724">
        <v>7616</v>
      </c>
      <c r="N150" s="726">
        <v>10878</v>
      </c>
      <c r="O150" s="727">
        <v>3460</v>
      </c>
      <c r="P150" s="726">
        <v>8588</v>
      </c>
      <c r="Q150" s="727">
        <v>1824</v>
      </c>
      <c r="R150" s="727">
        <v>4421</v>
      </c>
      <c r="S150" s="725">
        <v>9196</v>
      </c>
      <c r="T150" s="654">
        <v>1716</v>
      </c>
      <c r="U150" s="686">
        <v>1103</v>
      </c>
      <c r="V150" s="725">
        <v>1177</v>
      </c>
      <c r="W150" s="725">
        <v>1177</v>
      </c>
      <c r="X150" s="725">
        <v>-1</v>
      </c>
      <c r="Y150" s="725">
        <v>-1</v>
      </c>
      <c r="Z150" s="751">
        <v>104839</v>
      </c>
      <c r="AA150" s="811">
        <f>C150</f>
        <v>5520</v>
      </c>
      <c r="AB150" s="811">
        <f>D150</f>
        <v>2939</v>
      </c>
      <c r="AC150" s="811">
        <f>F150+H150+L150</f>
        <v>26267</v>
      </c>
      <c r="AD150" s="807">
        <f>E150+G150+I150+J150+K150+W150+X150</f>
        <v>20135</v>
      </c>
      <c r="AE150" s="807">
        <f>M150+N150+S150</f>
        <v>27690</v>
      </c>
      <c r="AF150" s="807">
        <f>O150+P150+Q150+R150+V150+Y150</f>
        <v>19469</v>
      </c>
      <c r="AG150" s="807">
        <f>T150+U150</f>
        <v>2819</v>
      </c>
      <c r="AH150" s="807">
        <f>AB150+AD150+AF150</f>
        <v>42543</v>
      </c>
      <c r="AI150" s="807">
        <f>AA150+AC150+AE150+AG150</f>
        <v>62296</v>
      </c>
      <c r="AJ150" s="765" t="s">
        <v>192</v>
      </c>
      <c r="AK150" s="528" t="s">
        <v>4</v>
      </c>
      <c r="AL150" s="544">
        <v>97433.600000000006</v>
      </c>
      <c r="AM150" s="541">
        <v>243584.4</v>
      </c>
      <c r="AN150" s="688">
        <v>132070.29999999999</v>
      </c>
      <c r="AO150" s="552">
        <v>292299.3</v>
      </c>
      <c r="AP150" s="551">
        <v>132070.39999999999</v>
      </c>
    </row>
    <row r="151" spans="1:42" s="743" customFormat="1" x14ac:dyDescent="0.25">
      <c r="A151" s="939"/>
      <c r="B151" s="655" t="s">
        <v>77</v>
      </c>
      <c r="C151" s="660">
        <v>186117.84</v>
      </c>
      <c r="D151" s="660">
        <v>99094.262999999992</v>
      </c>
      <c r="E151" s="660">
        <v>99970.904999999999</v>
      </c>
      <c r="F151" s="660">
        <v>259553.46599999999</v>
      </c>
      <c r="G151" s="660">
        <v>115716.74399999999</v>
      </c>
      <c r="H151" s="660">
        <v>459158.10599999997</v>
      </c>
      <c r="I151" s="660">
        <v>240199.908</v>
      </c>
      <c r="J151" s="660">
        <v>46394.591999999997</v>
      </c>
      <c r="K151" s="660">
        <v>136958.454</v>
      </c>
      <c r="L151" s="660">
        <v>166932.867</v>
      </c>
      <c r="M151" s="660">
        <v>256788.67199999999</v>
      </c>
      <c r="N151" s="657">
        <v>366773.52600000001</v>
      </c>
      <c r="O151" s="657">
        <v>116660.81999999999</v>
      </c>
      <c r="P151" s="657">
        <v>201425.35799999995</v>
      </c>
      <c r="Q151" s="658">
        <v>61499.807999999997</v>
      </c>
      <c r="R151" s="658">
        <v>149062.85699999999</v>
      </c>
      <c r="S151" s="659">
        <v>310061.53200000001</v>
      </c>
      <c r="T151" s="661">
        <v>57858.371999999996</v>
      </c>
      <c r="U151" s="691">
        <v>37189.850999999995</v>
      </c>
      <c r="V151" s="691">
        <v>39684.909</v>
      </c>
      <c r="W151" s="691">
        <v>39684.909</v>
      </c>
      <c r="X151" s="691">
        <v>-33.716999999999999</v>
      </c>
      <c r="Y151" s="691">
        <v>-33.716999999999999</v>
      </c>
      <c r="Z151" s="752">
        <v>3446720.3249999993</v>
      </c>
      <c r="AA151" s="812">
        <f t="shared" ref="AA151:AI151" si="60">AA150*33.717</f>
        <v>186117.84</v>
      </c>
      <c r="AB151" s="812">
        <f t="shared" si="60"/>
        <v>99094.262999999992</v>
      </c>
      <c r="AC151" s="812">
        <f t="shared" si="60"/>
        <v>885644.43900000001</v>
      </c>
      <c r="AD151" s="812">
        <f t="shared" si="60"/>
        <v>678891.79499999993</v>
      </c>
      <c r="AE151" s="812">
        <f t="shared" si="60"/>
        <v>933623.73</v>
      </c>
      <c r="AF151" s="812">
        <f t="shared" si="60"/>
        <v>656436.27299999993</v>
      </c>
      <c r="AG151" s="812">
        <f t="shared" si="60"/>
        <v>95048.222999999998</v>
      </c>
      <c r="AH151" s="812">
        <f t="shared" si="60"/>
        <v>1434422.331</v>
      </c>
      <c r="AI151" s="812">
        <f t="shared" si="60"/>
        <v>2100434.2319999998</v>
      </c>
      <c r="AJ151" s="766"/>
      <c r="AK151" s="624" t="s">
        <v>5</v>
      </c>
      <c r="AL151" s="629">
        <v>38973.199999999997</v>
      </c>
      <c r="AM151" s="625">
        <v>124350.5</v>
      </c>
      <c r="AN151" s="626">
        <v>3817.1</v>
      </c>
      <c r="AO151" s="631">
        <v>109009</v>
      </c>
      <c r="AP151" s="632">
        <v>33401</v>
      </c>
    </row>
    <row r="152" spans="1:42" s="743" customFormat="1" ht="15.75" thickBot="1" x14ac:dyDescent="0.3">
      <c r="A152" s="940"/>
      <c r="B152" s="504" t="s">
        <v>218</v>
      </c>
      <c r="C152" s="542">
        <v>0.74441657094037883</v>
      </c>
      <c r="D152" s="689">
        <v>0.65836058723051982</v>
      </c>
      <c r="E152" s="690">
        <v>0.66418480474259656</v>
      </c>
      <c r="F152" s="690">
        <v>1.426127348092405</v>
      </c>
      <c r="G152" s="690">
        <v>0.698074113040273</v>
      </c>
      <c r="H152" s="690">
        <v>1.1788246774752569</v>
      </c>
      <c r="I152" s="690">
        <v>1.396710043000311</v>
      </c>
      <c r="J152" s="690">
        <v>0.27935439935114786</v>
      </c>
      <c r="K152" s="690">
        <v>1.1043326678449787</v>
      </c>
      <c r="L152" s="690">
        <v>0.74499921007251257</v>
      </c>
      <c r="M152" s="690">
        <v>1.3303106733647931</v>
      </c>
      <c r="N152" s="501">
        <v>0.83696227852728733</v>
      </c>
      <c r="O152" s="501">
        <v>1.4048953019552304</v>
      </c>
      <c r="P152" s="663">
        <v>0.72945737955690471</v>
      </c>
      <c r="Q152" s="520">
        <v>0.740615326811081</v>
      </c>
      <c r="R152" s="520">
        <v>0.77791596518493533</v>
      </c>
      <c r="S152" s="515">
        <v>1.3837634287672846</v>
      </c>
      <c r="T152" s="542">
        <v>1.0490901706224727</v>
      </c>
      <c r="U152" s="689">
        <v>1.1238830177845605</v>
      </c>
      <c r="V152" s="689">
        <v>0.38831964891165549</v>
      </c>
      <c r="W152" s="689">
        <v>0.18942993797032409</v>
      </c>
      <c r="X152" s="689">
        <v>-3.2992323611865374E-4</v>
      </c>
      <c r="Y152" s="689">
        <v>-1.6094302291446395E-4</v>
      </c>
      <c r="Z152" s="748">
        <v>0.82551449749343686</v>
      </c>
      <c r="AA152" s="809">
        <f t="shared" ref="AA152:AI152" si="61">AA151/AA144</f>
        <v>0.74441657094037883</v>
      </c>
      <c r="AB152" s="809">
        <f t="shared" si="61"/>
        <v>0.65836058723051982</v>
      </c>
      <c r="AC152" s="809">
        <f t="shared" si="61"/>
        <v>1.1132130082016152</v>
      </c>
      <c r="AD152" s="809">
        <f t="shared" si="61"/>
        <v>0.62280908271929303</v>
      </c>
      <c r="AE152" s="809">
        <f t="shared" si="61"/>
        <v>1.0915487907335757</v>
      </c>
      <c r="AF152" s="809">
        <f t="shared" si="61"/>
        <v>0.69426011973104296</v>
      </c>
      <c r="AG152" s="809">
        <f t="shared" si="61"/>
        <v>1.0771374353337149</v>
      </c>
      <c r="AH152" s="809">
        <f t="shared" si="61"/>
        <v>0.65616069493032725</v>
      </c>
      <c r="AI152" s="809">
        <f t="shared" si="61"/>
        <v>1.0559429136521328</v>
      </c>
      <c r="AJ152" s="767"/>
      <c r="AK152" s="504" t="s">
        <v>3</v>
      </c>
      <c r="AL152" s="545">
        <f>AL151/AL150</f>
        <v>0.39999753678402516</v>
      </c>
      <c r="AM152" s="542">
        <f>AM151/AM150</f>
        <v>0.51050272513346506</v>
      </c>
      <c r="AN152" s="689">
        <f>AN151/AN150</f>
        <v>2.8902031720984961E-2</v>
      </c>
      <c r="AO152" s="636">
        <f>AO151/AO150</f>
        <v>0.37293623351133581</v>
      </c>
      <c r="AP152" s="633">
        <f>AP151/AP150</f>
        <v>0.25290299718937781</v>
      </c>
    </row>
    <row r="153" spans="1:42" s="743" customFormat="1" ht="15.75" thickBot="1" x14ac:dyDescent="0.3">
      <c r="A153" s="612"/>
      <c r="B153" s="504" t="s">
        <v>219</v>
      </c>
      <c r="C153" s="650">
        <v>175107</v>
      </c>
      <c r="D153" s="650">
        <v>98689.1</v>
      </c>
      <c r="E153" s="650">
        <v>99565.7</v>
      </c>
      <c r="F153" s="650">
        <v>241555</v>
      </c>
      <c r="G153" s="650">
        <v>113429</v>
      </c>
      <c r="H153" s="650">
        <v>444084</v>
      </c>
      <c r="I153" s="650">
        <v>172745</v>
      </c>
      <c r="J153" s="650">
        <v>46434.3</v>
      </c>
      <c r="K153" s="650">
        <v>137883</v>
      </c>
      <c r="L153" s="650">
        <v>167040</v>
      </c>
      <c r="M153" s="650">
        <v>252827</v>
      </c>
      <c r="N153" s="650">
        <v>366854</v>
      </c>
      <c r="O153" s="650">
        <v>116701</v>
      </c>
      <c r="P153" s="650">
        <v>168995</v>
      </c>
      <c r="Q153" s="650">
        <v>61545.8</v>
      </c>
      <c r="R153" s="650">
        <v>135975</v>
      </c>
      <c r="S153" s="650">
        <v>309682</v>
      </c>
      <c r="T153" s="650">
        <v>57858.1</v>
      </c>
      <c r="U153" s="650">
        <v>37189.699999999997</v>
      </c>
      <c r="V153" s="650">
        <v>39718.400000000001</v>
      </c>
      <c r="W153" s="650">
        <v>39718.400000000001</v>
      </c>
      <c r="X153" s="650">
        <v>0</v>
      </c>
      <c r="Y153" s="696">
        <v>0</v>
      </c>
      <c r="Z153" s="753">
        <v>3283596.5</v>
      </c>
      <c r="AA153" s="813">
        <f>C153</f>
        <v>175107</v>
      </c>
      <c r="AB153" s="813">
        <f>D153</f>
        <v>98689.1</v>
      </c>
      <c r="AC153" s="813">
        <f>F153+H153+L153</f>
        <v>852679</v>
      </c>
      <c r="AD153" s="807">
        <f>E153+G153+I153+J153+K153+W153+X153</f>
        <v>609775.4</v>
      </c>
      <c r="AE153" s="807">
        <f>M153+N153+S153</f>
        <v>929363</v>
      </c>
      <c r="AF153" s="807">
        <f>O153+P153+Q153+R153+V153+Y153</f>
        <v>522935.2</v>
      </c>
      <c r="AG153" s="807">
        <f>T153+U153</f>
        <v>95047.799999999988</v>
      </c>
      <c r="AH153" s="807">
        <f>AB153+AD153+AF153</f>
        <v>1231399.7</v>
      </c>
      <c r="AI153" s="807">
        <f>AA153+AC153+AE153+AG153</f>
        <v>2052196.8</v>
      </c>
      <c r="AJ153" s="767" t="s">
        <v>220</v>
      </c>
      <c r="AK153" s="504" t="s">
        <v>3</v>
      </c>
      <c r="AL153" s="545">
        <f>(AL146+AL152)/2</f>
        <v>0.38119624665106289</v>
      </c>
      <c r="AM153" s="545">
        <f t="shared" ref="AM153:AP153" si="62">(AM146+AM152)/2</f>
        <v>0.47677983409520408</v>
      </c>
      <c r="AN153" s="545">
        <f t="shared" si="62"/>
        <v>2.9589946651719472E-2</v>
      </c>
      <c r="AO153" s="545">
        <f t="shared" si="62"/>
        <v>0.45412051337057324</v>
      </c>
      <c r="AP153" s="545">
        <f t="shared" si="62"/>
        <v>0.31543211186862841</v>
      </c>
    </row>
    <row r="154" spans="1:42" s="743" customFormat="1" ht="15.75" thickBot="1" x14ac:dyDescent="0.3">
      <c r="A154" s="612"/>
      <c r="B154" s="504" t="s">
        <v>217</v>
      </c>
      <c r="C154" s="690">
        <v>0.7003764522931113</v>
      </c>
      <c r="D154" s="690">
        <v>0.65566877296672066</v>
      </c>
      <c r="E154" s="690">
        <v>0.661492711439993</v>
      </c>
      <c r="F154" s="690">
        <v>1.3272340257188511</v>
      </c>
      <c r="G154" s="690">
        <v>0.68427304321702254</v>
      </c>
      <c r="H154" s="690">
        <v>1.1401240035429583</v>
      </c>
      <c r="I154" s="690">
        <v>1.0044744745617835</v>
      </c>
      <c r="J154" s="690">
        <v>0.27959349196973232</v>
      </c>
      <c r="K154" s="690">
        <v>1.1117875296728248</v>
      </c>
      <c r="L154" s="690">
        <v>0.74547733041997366</v>
      </c>
      <c r="M154" s="690">
        <v>1.30978696994391</v>
      </c>
      <c r="N154" s="690">
        <v>0.83714591692435691</v>
      </c>
      <c r="O154" s="690">
        <v>1.4053791721460329</v>
      </c>
      <c r="P154" s="690">
        <v>0.61201157134455308</v>
      </c>
      <c r="Q154" s="690">
        <v>0.74116918837940815</v>
      </c>
      <c r="R154" s="690">
        <v>0.70961422244859829</v>
      </c>
      <c r="S154" s="690">
        <v>1.3820696278682847</v>
      </c>
      <c r="T154" s="690">
        <v>1.0490852387082736</v>
      </c>
      <c r="U154" s="690">
        <v>1.1238784545413336</v>
      </c>
      <c r="V154" s="690">
        <v>0.38864736072174683</v>
      </c>
      <c r="W154" s="690">
        <v>0.18958980221626615</v>
      </c>
      <c r="X154" s="690">
        <v>0</v>
      </c>
      <c r="Y154" s="690">
        <v>0</v>
      </c>
      <c r="Z154" s="754">
        <v>0.78644515918729452</v>
      </c>
      <c r="AA154" s="809">
        <f t="shared" ref="AA154:AI154" si="63">AA153/AA144</f>
        <v>0.7003764522931113</v>
      </c>
      <c r="AB154" s="809">
        <f t="shared" si="63"/>
        <v>0.65566877296672066</v>
      </c>
      <c r="AC154" s="809">
        <f t="shared" si="63"/>
        <v>1.071777016623197</v>
      </c>
      <c r="AD154" s="809">
        <f t="shared" si="63"/>
        <v>0.55940233824565522</v>
      </c>
      <c r="AE154" s="809">
        <f t="shared" si="63"/>
        <v>1.0865673463575396</v>
      </c>
      <c r="AF154" s="809">
        <f t="shared" si="63"/>
        <v>0.55306671720680023</v>
      </c>
      <c r="AG154" s="809">
        <f t="shared" si="63"/>
        <v>1.0771326416708691</v>
      </c>
      <c r="AH154" s="809">
        <f t="shared" si="63"/>
        <v>0.56329022870531187</v>
      </c>
      <c r="AI154" s="809">
        <f t="shared" si="63"/>
        <v>1.0316927020924613</v>
      </c>
      <c r="AJ154" s="767"/>
      <c r="AK154" s="504"/>
      <c r="AL154" s="545"/>
      <c r="AM154" s="542"/>
      <c r="AN154" s="689"/>
      <c r="AO154" s="636"/>
      <c r="AP154" s="633"/>
    </row>
    <row r="155" spans="1:42" s="743" customFormat="1" ht="15.75" thickBot="1" x14ac:dyDescent="0.3">
      <c r="A155" s="924">
        <v>41739</v>
      </c>
      <c r="B155" s="924"/>
      <c r="C155" s="924"/>
      <c r="D155" s="529"/>
      <c r="E155" s="529"/>
      <c r="F155" s="529"/>
      <c r="G155" s="529"/>
      <c r="H155" s="529"/>
      <c r="I155" s="525"/>
      <c r="J155" s="531"/>
      <c r="K155" s="531"/>
      <c r="L155" s="529"/>
      <c r="M155" s="529"/>
      <c r="N155" s="527"/>
      <c r="R155" s="526"/>
      <c r="S155" s="534"/>
      <c r="T155" s="534"/>
      <c r="U155" s="534"/>
      <c r="V155" s="534"/>
      <c r="W155" s="534"/>
      <c r="X155" s="534"/>
      <c r="Y155" s="534"/>
      <c r="Z155" s="534"/>
      <c r="AA155" s="941"/>
      <c r="AB155" s="942"/>
    </row>
    <row r="156" spans="1:42" s="743" customFormat="1" x14ac:dyDescent="0.25">
      <c r="A156" s="925" t="s">
        <v>1</v>
      </c>
      <c r="B156" s="926"/>
      <c r="C156" s="540" t="s">
        <v>12</v>
      </c>
      <c r="D156" s="539" t="s">
        <v>12</v>
      </c>
      <c r="E156" s="540" t="s">
        <v>13</v>
      </c>
      <c r="F156" s="530" t="s">
        <v>13</v>
      </c>
      <c r="G156" s="530" t="s">
        <v>13</v>
      </c>
      <c r="H156" s="530" t="s">
        <v>13</v>
      </c>
      <c r="I156" s="530" t="s">
        <v>13</v>
      </c>
      <c r="J156" s="536" t="s">
        <v>13</v>
      </c>
      <c r="K156" s="536" t="s">
        <v>13</v>
      </c>
      <c r="L156" s="539" t="s">
        <v>13</v>
      </c>
      <c r="M156" s="676" t="s">
        <v>2</v>
      </c>
      <c r="N156" s="530" t="s">
        <v>2</v>
      </c>
      <c r="O156" s="536" t="s">
        <v>2</v>
      </c>
      <c r="P156" s="530" t="s">
        <v>2</v>
      </c>
      <c r="Q156" s="536" t="s">
        <v>2</v>
      </c>
      <c r="R156" s="536" t="s">
        <v>2</v>
      </c>
      <c r="S156" s="539" t="s">
        <v>2</v>
      </c>
      <c r="T156" s="569" t="s">
        <v>183</v>
      </c>
      <c r="U156" s="693" t="s">
        <v>183</v>
      </c>
      <c r="V156" s="693" t="s">
        <v>2</v>
      </c>
      <c r="W156" s="693" t="s">
        <v>13</v>
      </c>
      <c r="X156" s="745" t="s">
        <v>220</v>
      </c>
      <c r="Y156" s="534"/>
      <c r="Z156" s="534"/>
      <c r="AA156" s="534"/>
      <c r="AB156" s="925" t="s">
        <v>1</v>
      </c>
      <c r="AC156" s="928"/>
      <c r="AD156" s="763" t="s">
        <v>12</v>
      </c>
      <c r="AE156" s="929" t="s">
        <v>13</v>
      </c>
      <c r="AF156" s="930"/>
      <c r="AG156" s="929" t="s">
        <v>2</v>
      </c>
      <c r="AH156" s="943"/>
      <c r="AI156" s="943"/>
      <c r="AJ156" s="930"/>
    </row>
    <row r="157" spans="1:42" s="743" customFormat="1" ht="15.75" thickBot="1" x14ac:dyDescent="0.3">
      <c r="A157" s="931" t="s">
        <v>0</v>
      </c>
      <c r="B157" s="932"/>
      <c r="C157" s="617" t="s">
        <v>99</v>
      </c>
      <c r="D157" s="618" t="s">
        <v>100</v>
      </c>
      <c r="E157" s="617" t="s">
        <v>101</v>
      </c>
      <c r="F157" s="619" t="s">
        <v>102</v>
      </c>
      <c r="G157" s="619" t="s">
        <v>97</v>
      </c>
      <c r="H157" s="619" t="s">
        <v>104</v>
      </c>
      <c r="I157" s="619" t="s">
        <v>103</v>
      </c>
      <c r="J157" s="521" t="s">
        <v>178</v>
      </c>
      <c r="K157" s="521" t="s">
        <v>200</v>
      </c>
      <c r="L157" s="517" t="s">
        <v>207</v>
      </c>
      <c r="M157" s="617" t="s">
        <v>105</v>
      </c>
      <c r="N157" s="619" t="s">
        <v>107</v>
      </c>
      <c r="O157" s="620" t="s">
        <v>98</v>
      </c>
      <c r="P157" s="516" t="s">
        <v>106</v>
      </c>
      <c r="Q157" s="620" t="s">
        <v>179</v>
      </c>
      <c r="R157" s="620" t="s">
        <v>199</v>
      </c>
      <c r="S157" s="618" t="s">
        <v>208</v>
      </c>
      <c r="T157" s="621" t="s">
        <v>182</v>
      </c>
      <c r="U157" s="618" t="s">
        <v>184</v>
      </c>
      <c r="V157" s="618" t="s">
        <v>222</v>
      </c>
      <c r="W157" s="694" t="s">
        <v>223</v>
      </c>
      <c r="X157" s="746"/>
      <c r="Y157" s="526"/>
      <c r="Z157" s="526"/>
      <c r="AA157" s="526"/>
      <c r="AB157" s="931" t="s">
        <v>0</v>
      </c>
      <c r="AC157" s="934"/>
      <c r="AD157" s="621" t="s">
        <v>99</v>
      </c>
      <c r="AE157" s="617" t="s">
        <v>104</v>
      </c>
      <c r="AF157" s="618" t="s">
        <v>207</v>
      </c>
      <c r="AG157" s="622" t="s">
        <v>107</v>
      </c>
      <c r="AH157" s="772"/>
      <c r="AI157" s="772"/>
      <c r="AJ157" s="623" t="s">
        <v>208</v>
      </c>
    </row>
    <row r="158" spans="1:42" s="743" customFormat="1" ht="30" x14ac:dyDescent="0.25">
      <c r="A158" s="935" t="s">
        <v>9</v>
      </c>
      <c r="B158" s="528" t="s">
        <v>4</v>
      </c>
      <c r="C158" s="541">
        <v>250018.4</v>
      </c>
      <c r="D158" s="688">
        <v>150516.70000000001</v>
      </c>
      <c r="E158" s="541">
        <v>150516.70000000001</v>
      </c>
      <c r="F158" s="533">
        <v>181998.8</v>
      </c>
      <c r="G158" s="533">
        <v>165765.70000000001</v>
      </c>
      <c r="H158" s="533">
        <v>389505</v>
      </c>
      <c r="I158" s="533">
        <v>171975.5</v>
      </c>
      <c r="J158" s="537">
        <v>166077.9</v>
      </c>
      <c r="K158" s="537">
        <v>124019.2</v>
      </c>
      <c r="L158" s="688">
        <v>224071.2</v>
      </c>
      <c r="M158" s="541">
        <v>193029.1</v>
      </c>
      <c r="N158" s="533">
        <v>438219.9</v>
      </c>
      <c r="O158" s="533">
        <v>83038.8</v>
      </c>
      <c r="P158" s="533">
        <v>276130.40000000002</v>
      </c>
      <c r="Q158" s="537">
        <v>83038.8</v>
      </c>
      <c r="R158" s="537">
        <v>191618.2</v>
      </c>
      <c r="S158" s="688">
        <v>224071.2</v>
      </c>
      <c r="T158" s="544">
        <v>55151</v>
      </c>
      <c r="U158" s="688">
        <v>33090.5</v>
      </c>
      <c r="V158" s="688">
        <v>102196.5</v>
      </c>
      <c r="W158" s="688">
        <v>209496.5</v>
      </c>
      <c r="X158" s="688">
        <v>3863545.9999999995</v>
      </c>
      <c r="Y158" s="534"/>
      <c r="Z158" s="534"/>
      <c r="AA158" s="534"/>
      <c r="AB158" s="760" t="s">
        <v>195</v>
      </c>
      <c r="AC158" s="524" t="s">
        <v>4</v>
      </c>
      <c r="AD158" s="544">
        <v>143393</v>
      </c>
      <c r="AE158" s="541">
        <v>132132</v>
      </c>
      <c r="AF158" s="688">
        <v>83196.100000000006</v>
      </c>
      <c r="AG158" s="552">
        <v>132132.20000000001</v>
      </c>
      <c r="AH158" s="773"/>
      <c r="AI158" s="773"/>
      <c r="AJ158" s="551">
        <v>83196.100000000006</v>
      </c>
    </row>
    <row r="159" spans="1:42" s="743" customFormat="1" x14ac:dyDescent="0.25">
      <c r="A159" s="936"/>
      <c r="B159" s="624" t="s">
        <v>5</v>
      </c>
      <c r="C159" s="625">
        <v>105445.4</v>
      </c>
      <c r="D159" s="626">
        <v>83799.8</v>
      </c>
      <c r="E159" s="625">
        <v>85141.8</v>
      </c>
      <c r="F159" s="627">
        <v>150398.1</v>
      </c>
      <c r="G159" s="627">
        <v>115242.6</v>
      </c>
      <c r="H159" s="627">
        <v>206602.8</v>
      </c>
      <c r="I159" s="627">
        <v>121371.9</v>
      </c>
      <c r="J159" s="628">
        <v>44621.7</v>
      </c>
      <c r="K159" s="628">
        <v>76806.899999999994</v>
      </c>
      <c r="L159" s="626">
        <v>35207.1</v>
      </c>
      <c r="M159" s="625">
        <v>158495.6</v>
      </c>
      <c r="N159" s="627">
        <v>204879.8</v>
      </c>
      <c r="O159" s="627">
        <v>59188.7</v>
      </c>
      <c r="P159" s="627">
        <v>223585.2</v>
      </c>
      <c r="Q159" s="628">
        <v>23119.1</v>
      </c>
      <c r="R159" s="628">
        <v>117999.1</v>
      </c>
      <c r="S159" s="626">
        <v>140029.4</v>
      </c>
      <c r="T159" s="629">
        <v>14096.1</v>
      </c>
      <c r="U159" s="626">
        <v>7319.5</v>
      </c>
      <c r="V159" s="626">
        <v>7140.3</v>
      </c>
      <c r="W159" s="695">
        <v>14280.5</v>
      </c>
      <c r="X159" s="747">
        <v>1994771.4000000001</v>
      </c>
      <c r="Y159" s="534"/>
      <c r="Z159" s="534"/>
      <c r="AA159" s="534"/>
      <c r="AB159" s="761"/>
      <c r="AC159" s="630" t="s">
        <v>5</v>
      </c>
      <c r="AD159" s="629">
        <v>51964.9</v>
      </c>
      <c r="AE159" s="625">
        <v>58542</v>
      </c>
      <c r="AF159" s="626">
        <v>2519</v>
      </c>
      <c r="AG159" s="631">
        <v>70731</v>
      </c>
      <c r="AH159" s="774"/>
      <c r="AI159" s="774"/>
      <c r="AJ159" s="632">
        <v>31444.9</v>
      </c>
    </row>
    <row r="160" spans="1:42" s="743" customFormat="1" ht="15.75" thickBot="1" x14ac:dyDescent="0.3">
      <c r="A160" s="937"/>
      <c r="B160" s="504" t="s">
        <v>3</v>
      </c>
      <c r="C160" s="542">
        <v>0.42175055915884591</v>
      </c>
      <c r="D160" s="633">
        <v>0.5567475236967061</v>
      </c>
      <c r="E160" s="633">
        <v>0.56566347787321936</v>
      </c>
      <c r="F160" s="681">
        <v>0.82636863539759609</v>
      </c>
      <c r="G160" s="633">
        <v>0.69521378668807843</v>
      </c>
      <c r="H160" s="633">
        <v>0.53042399969191667</v>
      </c>
      <c r="I160" s="633">
        <v>0.70575110989646783</v>
      </c>
      <c r="J160" s="633">
        <v>0.26867933662455989</v>
      </c>
      <c r="K160" s="633">
        <v>0.61931458999896782</v>
      </c>
      <c r="L160" s="633">
        <v>0.15712461039169692</v>
      </c>
      <c r="M160" s="547">
        <v>0.82109692269196721</v>
      </c>
      <c r="N160" s="498">
        <v>0.46752737609588241</v>
      </c>
      <c r="O160" s="506">
        <v>0.71278366257701209</v>
      </c>
      <c r="P160" s="498">
        <v>0.80970874630247158</v>
      </c>
      <c r="Q160" s="506">
        <v>0.27841322369783761</v>
      </c>
      <c r="R160" s="506">
        <v>0.6158031961473388</v>
      </c>
      <c r="S160" s="689">
        <v>0.62493261070588269</v>
      </c>
      <c r="T160" s="545">
        <v>0.25559101376221649</v>
      </c>
      <c r="U160" s="689">
        <v>0.22119641588975689</v>
      </c>
      <c r="V160" s="689">
        <v>6.9868341870807704E-2</v>
      </c>
      <c r="W160" s="689">
        <v>6.8165816612688043E-2</v>
      </c>
      <c r="X160" s="748">
        <v>0.51630584960034132</v>
      </c>
      <c r="Y160" s="534"/>
      <c r="Z160" s="534"/>
      <c r="AA160" s="534"/>
      <c r="AB160" s="762"/>
      <c r="AC160" s="634" t="s">
        <v>3</v>
      </c>
      <c r="AD160" s="635">
        <f>AD159/AD158</f>
        <v>0.36239495651810061</v>
      </c>
      <c r="AE160" s="542">
        <f>AE159/AE158</f>
        <v>0.44305694305694304</v>
      </c>
      <c r="AF160" s="689">
        <f>AF159/AF158</f>
        <v>3.0277861582453984E-2</v>
      </c>
      <c r="AG160" s="636">
        <f>AG159/AG158</f>
        <v>0.53530479322981073</v>
      </c>
      <c r="AH160" s="775"/>
      <c r="AI160" s="775"/>
      <c r="AJ160" s="633">
        <f>AJ159/AJ158</f>
        <v>0.37796122654787906</v>
      </c>
    </row>
    <row r="161" spans="1:36" s="743" customFormat="1" ht="30" x14ac:dyDescent="0.25">
      <c r="A161" s="938" t="s">
        <v>6</v>
      </c>
      <c r="B161" s="553" t="s">
        <v>7</v>
      </c>
      <c r="C161" s="541">
        <v>5870</v>
      </c>
      <c r="D161" s="541">
        <v>3653</v>
      </c>
      <c r="E161" s="541">
        <v>3650</v>
      </c>
      <c r="F161" s="541">
        <v>9450</v>
      </c>
      <c r="G161" s="541">
        <v>8040</v>
      </c>
      <c r="H161" s="541">
        <v>15703</v>
      </c>
      <c r="I161" s="541">
        <v>8597</v>
      </c>
      <c r="J161" s="541">
        <v>9599</v>
      </c>
      <c r="K161" s="541">
        <v>6118</v>
      </c>
      <c r="L161" s="541">
        <v>9423</v>
      </c>
      <c r="M161" s="541">
        <v>8889</v>
      </c>
      <c r="N161" s="541">
        <v>11924</v>
      </c>
      <c r="O161" s="541">
        <v>4187</v>
      </c>
      <c r="P161" s="541">
        <v>11252</v>
      </c>
      <c r="Q161" s="541">
        <v>4799</v>
      </c>
      <c r="R161" s="541">
        <v>9237</v>
      </c>
      <c r="S161" s="541">
        <v>11685</v>
      </c>
      <c r="T161" s="558">
        <v>2480</v>
      </c>
      <c r="U161" s="692">
        <v>1570</v>
      </c>
      <c r="V161" s="541">
        <v>3999</v>
      </c>
      <c r="W161" s="541">
        <v>7999</v>
      </c>
      <c r="X161" s="541">
        <v>158124</v>
      </c>
      <c r="Y161" s="559" t="s">
        <v>198</v>
      </c>
      <c r="Z161" s="561"/>
      <c r="AA161" s="561"/>
      <c r="AB161" s="562" t="s">
        <v>191</v>
      </c>
      <c r="AC161" s="553" t="s">
        <v>4</v>
      </c>
      <c r="AD161" s="564">
        <v>9191.7999999999993</v>
      </c>
      <c r="AE161" s="565">
        <v>13787.7</v>
      </c>
      <c r="AF161" s="566">
        <v>8804.7999999999993</v>
      </c>
      <c r="AG161" s="567">
        <v>13787.7</v>
      </c>
      <c r="AH161" s="776"/>
      <c r="AI161" s="776"/>
      <c r="AJ161" s="568">
        <v>8804.7999999999993</v>
      </c>
    </row>
    <row r="162" spans="1:36" s="743" customFormat="1" x14ac:dyDescent="0.25">
      <c r="A162" s="939"/>
      <c r="B162" s="637" t="s">
        <v>11</v>
      </c>
      <c r="C162" s="644">
        <v>197918.78999999998</v>
      </c>
      <c r="D162" s="644">
        <v>123168.201</v>
      </c>
      <c r="E162" s="644">
        <v>123067.04999999999</v>
      </c>
      <c r="F162" s="644">
        <v>318625.64999999997</v>
      </c>
      <c r="G162" s="644">
        <v>271084.68</v>
      </c>
      <c r="H162" s="644">
        <v>529458.05099999998</v>
      </c>
      <c r="I162" s="644">
        <v>289865.049</v>
      </c>
      <c r="J162" s="644">
        <v>323649.48300000001</v>
      </c>
      <c r="K162" s="644">
        <v>206280.606</v>
      </c>
      <c r="L162" s="644">
        <v>317715.29099999997</v>
      </c>
      <c r="M162" s="644">
        <v>299710.413</v>
      </c>
      <c r="N162" s="641">
        <v>402041.50799999997</v>
      </c>
      <c r="O162" s="641">
        <v>141173.079</v>
      </c>
      <c r="P162" s="642">
        <v>379383.68400000001</v>
      </c>
      <c r="Q162" s="640">
        <v>161807.883</v>
      </c>
      <c r="R162" s="643">
        <v>311443.929</v>
      </c>
      <c r="S162" s="687">
        <v>393983.14499999996</v>
      </c>
      <c r="T162" s="638">
        <v>83618.16</v>
      </c>
      <c r="U162" s="642">
        <v>52935.689999999995</v>
      </c>
      <c r="V162" s="642">
        <v>134834.283</v>
      </c>
      <c r="W162" s="642">
        <v>269702.283</v>
      </c>
      <c r="X162" s="749">
        <v>5331466.9079999989</v>
      </c>
      <c r="Y162" s="534"/>
      <c r="Z162" s="534"/>
      <c r="AA162" s="534"/>
      <c r="AB162" s="761"/>
      <c r="AC162" s="624" t="s">
        <v>5</v>
      </c>
      <c r="AD162" s="629">
        <v>7975.5</v>
      </c>
      <c r="AE162" s="625">
        <v>13649</v>
      </c>
      <c r="AF162" s="626">
        <v>1289.9000000000001</v>
      </c>
      <c r="AG162" s="631">
        <v>13642</v>
      </c>
      <c r="AH162" s="774"/>
      <c r="AI162" s="774"/>
      <c r="AJ162" s="632">
        <v>5483.9</v>
      </c>
    </row>
    <row r="163" spans="1:36" s="743" customFormat="1" ht="15.75" thickBot="1" x14ac:dyDescent="0.3">
      <c r="A163" s="939"/>
      <c r="B163" s="637" t="s">
        <v>79</v>
      </c>
      <c r="C163" s="861">
        <f t="shared" ref="C163:W163" si="64">C158-C159</f>
        <v>144573</v>
      </c>
      <c r="D163" s="861">
        <f t="shared" si="64"/>
        <v>66716.900000000009</v>
      </c>
      <c r="E163" s="861">
        <f t="shared" si="64"/>
        <v>65374.900000000009</v>
      </c>
      <c r="F163" s="861">
        <f t="shared" si="64"/>
        <v>31600.699999999983</v>
      </c>
      <c r="G163" s="861">
        <f t="shared" si="64"/>
        <v>50523.100000000006</v>
      </c>
      <c r="H163" s="861">
        <f t="shared" si="64"/>
        <v>182902.2</v>
      </c>
      <c r="I163" s="861">
        <f t="shared" si="64"/>
        <v>50603.600000000006</v>
      </c>
      <c r="J163" s="861">
        <f t="shared" si="64"/>
        <v>121456.2</v>
      </c>
      <c r="K163" s="861">
        <f t="shared" si="64"/>
        <v>47212.3</v>
      </c>
      <c r="L163" s="861">
        <f t="shared" si="64"/>
        <v>188864.1</v>
      </c>
      <c r="M163" s="861">
        <f t="shared" si="64"/>
        <v>34533.5</v>
      </c>
      <c r="N163" s="861">
        <f t="shared" si="64"/>
        <v>233340.10000000003</v>
      </c>
      <c r="O163" s="861">
        <f t="shared" si="64"/>
        <v>23850.100000000006</v>
      </c>
      <c r="P163" s="861">
        <f t="shared" si="64"/>
        <v>52545.200000000012</v>
      </c>
      <c r="Q163" s="861">
        <f t="shared" si="64"/>
        <v>59919.700000000004</v>
      </c>
      <c r="R163" s="861">
        <f t="shared" si="64"/>
        <v>73619.100000000006</v>
      </c>
      <c r="S163" s="861">
        <f t="shared" si="64"/>
        <v>84041.800000000017</v>
      </c>
      <c r="T163" s="861">
        <f t="shared" si="64"/>
        <v>41054.9</v>
      </c>
      <c r="U163" s="861">
        <f t="shared" si="64"/>
        <v>25771</v>
      </c>
      <c r="V163" s="861">
        <f t="shared" si="64"/>
        <v>95056.2</v>
      </c>
      <c r="W163" s="861">
        <f t="shared" si="64"/>
        <v>195216</v>
      </c>
      <c r="X163" s="750">
        <v>5590691.4000000004</v>
      </c>
      <c r="Y163" s="534"/>
      <c r="Z163" s="534"/>
      <c r="AA163" s="534"/>
      <c r="AB163" s="762"/>
      <c r="AC163" s="645" t="s">
        <v>3</v>
      </c>
      <c r="AD163" s="635">
        <f>AD162/AD161</f>
        <v>0.86767553689157739</v>
      </c>
      <c r="AE163" s="646">
        <f>AE162/AE161</f>
        <v>0.98994030911609621</v>
      </c>
      <c r="AF163" s="647">
        <f>AF162/AF161</f>
        <v>0.14649963656187537</v>
      </c>
      <c r="AG163" s="648">
        <f>AG162/AG161</f>
        <v>0.98943261022505558</v>
      </c>
      <c r="AH163" s="777"/>
      <c r="AI163" s="777"/>
      <c r="AJ163" s="649">
        <f>AJ162/AJ161</f>
        <v>0.62283072869343992</v>
      </c>
    </row>
    <row r="164" spans="1:36" s="743" customFormat="1" ht="30" x14ac:dyDescent="0.25">
      <c r="A164" s="939"/>
      <c r="B164" s="624" t="s">
        <v>8</v>
      </c>
      <c r="C164" s="724">
        <v>5519</v>
      </c>
      <c r="D164" s="725">
        <v>2939</v>
      </c>
      <c r="E164" s="724">
        <v>2965</v>
      </c>
      <c r="F164" s="726">
        <v>7700</v>
      </c>
      <c r="G164" s="726">
        <v>3502</v>
      </c>
      <c r="H164" s="726">
        <v>13618</v>
      </c>
      <c r="I164" s="726">
        <v>7123</v>
      </c>
      <c r="J164" s="727">
        <v>1376</v>
      </c>
      <c r="K164" s="727">
        <v>3775</v>
      </c>
      <c r="L164" s="725">
        <v>4939</v>
      </c>
      <c r="M164" s="724">
        <v>7616</v>
      </c>
      <c r="N164" s="726">
        <v>10878</v>
      </c>
      <c r="O164" s="727">
        <v>3643</v>
      </c>
      <c r="P164" s="726">
        <v>8587</v>
      </c>
      <c r="Q164" s="727">
        <v>1824</v>
      </c>
      <c r="R164" s="727">
        <v>4134</v>
      </c>
      <c r="S164" s="725">
        <v>9196</v>
      </c>
      <c r="T164" s="654">
        <v>1689</v>
      </c>
      <c r="U164" s="686">
        <v>1087</v>
      </c>
      <c r="V164" s="725">
        <v>1177</v>
      </c>
      <c r="W164" s="725">
        <v>1177</v>
      </c>
      <c r="X164" s="751">
        <v>104464</v>
      </c>
      <c r="Y164" s="534"/>
      <c r="Z164" s="534"/>
      <c r="AA164" s="534"/>
      <c r="AB164" s="760" t="s">
        <v>192</v>
      </c>
      <c r="AC164" s="528" t="s">
        <v>4</v>
      </c>
      <c r="AD164" s="544">
        <v>97433.600000000006</v>
      </c>
      <c r="AE164" s="541">
        <v>243584.4</v>
      </c>
      <c r="AF164" s="688">
        <v>132070.29999999999</v>
      </c>
      <c r="AG164" s="552">
        <v>292299.3</v>
      </c>
      <c r="AH164" s="773"/>
      <c r="AI164" s="773"/>
      <c r="AJ164" s="551">
        <v>132070.39999999999</v>
      </c>
    </row>
    <row r="165" spans="1:36" s="743" customFormat="1" x14ac:dyDescent="0.25">
      <c r="A165" s="939"/>
      <c r="B165" s="655" t="s">
        <v>77</v>
      </c>
      <c r="C165" s="660">
        <v>186084.12299999999</v>
      </c>
      <c r="D165" s="660">
        <v>99094.262999999992</v>
      </c>
      <c r="E165" s="660">
        <v>99970.904999999999</v>
      </c>
      <c r="F165" s="660">
        <v>259620.9</v>
      </c>
      <c r="G165" s="660">
        <v>118076.93399999999</v>
      </c>
      <c r="H165" s="660">
        <v>459158.10599999997</v>
      </c>
      <c r="I165" s="660">
        <v>240166.19099999999</v>
      </c>
      <c r="J165" s="660">
        <v>46394.591999999997</v>
      </c>
      <c r="K165" s="660">
        <v>127281.67499999999</v>
      </c>
      <c r="L165" s="660">
        <v>166528.26300000001</v>
      </c>
      <c r="M165" s="660">
        <v>256788.67199999999</v>
      </c>
      <c r="N165" s="657">
        <v>366773.52600000001</v>
      </c>
      <c r="O165" s="657">
        <v>122831.031</v>
      </c>
      <c r="P165" s="657">
        <v>201391.641</v>
      </c>
      <c r="Q165" s="658">
        <v>61499.807999999997</v>
      </c>
      <c r="R165" s="658">
        <v>139386.07800000001</v>
      </c>
      <c r="S165" s="659">
        <v>310061.53200000001</v>
      </c>
      <c r="T165" s="661">
        <v>56948.012999999999</v>
      </c>
      <c r="U165" s="691">
        <v>36650.379000000001</v>
      </c>
      <c r="V165" s="691">
        <v>39684.909</v>
      </c>
      <c r="W165" s="691">
        <v>39684.909</v>
      </c>
      <c r="X165" s="752">
        <v>3434076.45</v>
      </c>
      <c r="Y165" s="534"/>
      <c r="Z165" s="534"/>
      <c r="AA165" s="534"/>
      <c r="AB165" s="761"/>
      <c r="AC165" s="624" t="s">
        <v>5</v>
      </c>
      <c r="AD165" s="629">
        <v>38973.199999999997</v>
      </c>
      <c r="AE165" s="625">
        <v>124350.5</v>
      </c>
      <c r="AF165" s="626">
        <v>3817.1</v>
      </c>
      <c r="AG165" s="631">
        <v>109009</v>
      </c>
      <c r="AH165" s="774"/>
      <c r="AI165" s="774"/>
      <c r="AJ165" s="632">
        <v>33401</v>
      </c>
    </row>
    <row r="166" spans="1:36" s="743" customFormat="1" ht="15.75" thickBot="1" x14ac:dyDescent="0.3">
      <c r="A166" s="940"/>
      <c r="B166" s="504" t="s">
        <v>218</v>
      </c>
      <c r="C166" s="542">
        <v>0.74428171286593303</v>
      </c>
      <c r="D166" s="689">
        <v>0.65836058723051982</v>
      </c>
      <c r="E166" s="690">
        <v>0.66418480474259656</v>
      </c>
      <c r="F166" s="690">
        <v>1.4264978670189035</v>
      </c>
      <c r="G166" s="690">
        <v>0.7123122214064791</v>
      </c>
      <c r="H166" s="690">
        <v>1.1788246774752569</v>
      </c>
      <c r="I166" s="690">
        <v>1.3965139860038203</v>
      </c>
      <c r="J166" s="690">
        <v>0.27935439935114786</v>
      </c>
      <c r="K166" s="690">
        <v>1.0263062090386004</v>
      </c>
      <c r="L166" s="690">
        <v>0.74319351616807516</v>
      </c>
      <c r="M166" s="690">
        <v>1.3303106733647931</v>
      </c>
      <c r="N166" s="501">
        <v>0.83696227852728733</v>
      </c>
      <c r="O166" s="501">
        <v>1.4792004580991054</v>
      </c>
      <c r="P166" s="663">
        <v>0.72933527420378197</v>
      </c>
      <c r="Q166" s="520">
        <v>0.740615326811081</v>
      </c>
      <c r="R166" s="520">
        <v>0.72741565258414909</v>
      </c>
      <c r="S166" s="515">
        <v>1.3837634287672846</v>
      </c>
      <c r="T166" s="542">
        <v>1.0325835070986926</v>
      </c>
      <c r="U166" s="689">
        <v>1.107580090962663</v>
      </c>
      <c r="V166" s="689">
        <v>0.38831964891165549</v>
      </c>
      <c r="W166" s="689">
        <v>0.18942993797032409</v>
      </c>
      <c r="X166" s="748">
        <v>0.88884057547134177</v>
      </c>
      <c r="Y166" s="534"/>
      <c r="Z166" s="534"/>
      <c r="AA166" s="534"/>
      <c r="AB166" s="762"/>
      <c r="AC166" s="504" t="s">
        <v>3</v>
      </c>
      <c r="AD166" s="545">
        <f>AD165/AD164</f>
        <v>0.39999753678402516</v>
      </c>
      <c r="AE166" s="542">
        <f>AE165/AE164</f>
        <v>0.51050272513346506</v>
      </c>
      <c r="AF166" s="689">
        <f>AF165/AF164</f>
        <v>2.8902031720984961E-2</v>
      </c>
      <c r="AG166" s="636">
        <f>AG165/AG164</f>
        <v>0.37293623351133581</v>
      </c>
      <c r="AH166" s="775"/>
      <c r="AI166" s="775"/>
      <c r="AJ166" s="633">
        <f>AJ165/AJ164</f>
        <v>0.25290299718937781</v>
      </c>
    </row>
    <row r="167" spans="1:36" s="743" customFormat="1" ht="15.75" thickBot="1" x14ac:dyDescent="0.3">
      <c r="A167" s="612"/>
      <c r="B167" s="504" t="s">
        <v>219</v>
      </c>
      <c r="C167" s="650">
        <v>172106</v>
      </c>
      <c r="D167" s="650">
        <v>98689.1</v>
      </c>
      <c r="E167" s="650">
        <v>99565.7</v>
      </c>
      <c r="F167" s="650">
        <v>241623</v>
      </c>
      <c r="G167" s="650">
        <v>115789</v>
      </c>
      <c r="H167" s="650">
        <v>444084</v>
      </c>
      <c r="I167" s="650">
        <v>172711</v>
      </c>
      <c r="J167" s="650">
        <v>46434.3</v>
      </c>
      <c r="K167" s="650">
        <v>128206</v>
      </c>
      <c r="L167" s="650">
        <v>166635</v>
      </c>
      <c r="M167" s="650">
        <v>252827</v>
      </c>
      <c r="N167" s="650">
        <v>366854</v>
      </c>
      <c r="O167" s="650">
        <v>122881</v>
      </c>
      <c r="P167" s="650">
        <v>168962</v>
      </c>
      <c r="Q167" s="650">
        <v>61545.8</v>
      </c>
      <c r="R167" s="650">
        <v>126298</v>
      </c>
      <c r="S167" s="650">
        <v>309682</v>
      </c>
      <c r="T167" s="650">
        <v>56947.7</v>
      </c>
      <c r="U167" s="650">
        <v>36650.300000000003</v>
      </c>
      <c r="V167" s="650">
        <v>39718.400000000001</v>
      </c>
      <c r="W167" s="650">
        <v>39718.400000000001</v>
      </c>
      <c r="X167" s="753">
        <v>3267927.6999999997</v>
      </c>
      <c r="Y167" s="534"/>
      <c r="Z167" s="534"/>
      <c r="AA167" s="534"/>
      <c r="AB167" s="762" t="s">
        <v>220</v>
      </c>
      <c r="AC167" s="504" t="s">
        <v>3</v>
      </c>
      <c r="AD167" s="545">
        <f>(AD160+AD166)/2</f>
        <v>0.38119624665106289</v>
      </c>
      <c r="AE167" s="545">
        <f t="shared" ref="AE167:AJ167" si="65">(AE160+AE166)/2</f>
        <v>0.47677983409520408</v>
      </c>
      <c r="AF167" s="545">
        <f t="shared" si="65"/>
        <v>2.9589946651719472E-2</v>
      </c>
      <c r="AG167" s="545">
        <f t="shared" si="65"/>
        <v>0.45412051337057324</v>
      </c>
      <c r="AH167" s="545"/>
      <c r="AI167" s="545"/>
      <c r="AJ167" s="545">
        <f t="shared" si="65"/>
        <v>0.31543211186862841</v>
      </c>
    </row>
    <row r="168" spans="1:36" s="743" customFormat="1" ht="15.75" thickBot="1" x14ac:dyDescent="0.3">
      <c r="A168" s="612"/>
      <c r="B168" s="504" t="s">
        <v>217</v>
      </c>
      <c r="C168" s="690">
        <v>0.68837333572249082</v>
      </c>
      <c r="D168" s="690">
        <v>0.65566877296672066</v>
      </c>
      <c r="E168" s="690">
        <v>0.661492711439993</v>
      </c>
      <c r="F168" s="690">
        <v>1.3276076545559643</v>
      </c>
      <c r="G168" s="690">
        <v>0.6985100053871216</v>
      </c>
      <c r="H168" s="690">
        <v>1.1401240035429583</v>
      </c>
      <c r="I168" s="690">
        <v>1.0042767719820556</v>
      </c>
      <c r="J168" s="690">
        <v>0.27959349196973232</v>
      </c>
      <c r="K168" s="690">
        <v>1.0337592888843019</v>
      </c>
      <c r="L168" s="690">
        <v>0.74366986922014067</v>
      </c>
      <c r="M168" s="690">
        <v>1.30978696994391</v>
      </c>
      <c r="N168" s="690">
        <v>0.83714591692435691</v>
      </c>
      <c r="O168" s="690">
        <v>1.4798022129414201</v>
      </c>
      <c r="P168" s="690">
        <v>0.61189206259071793</v>
      </c>
      <c r="Q168" s="690">
        <v>0.74116918837940815</v>
      </c>
      <c r="R168" s="690">
        <v>0.6591127565126903</v>
      </c>
      <c r="S168" s="690">
        <v>1.3820696278682847</v>
      </c>
      <c r="T168" s="690">
        <v>1.032577831770956</v>
      </c>
      <c r="U168" s="690">
        <v>1.1075777035705112</v>
      </c>
      <c r="V168" s="690">
        <v>0.38864736072174683</v>
      </c>
      <c r="W168" s="690">
        <v>0.18958980221626615</v>
      </c>
      <c r="X168" s="754">
        <v>0.8458363637963674</v>
      </c>
      <c r="Y168" s="534"/>
      <c r="Z168" s="534"/>
      <c r="AA168" s="534"/>
      <c r="AB168" s="762"/>
      <c r="AC168" s="504"/>
      <c r="AD168" s="545"/>
      <c r="AE168" s="542"/>
      <c r="AF168" s="689"/>
      <c r="AG168" s="636"/>
      <c r="AH168" s="775"/>
      <c r="AI168" s="775"/>
      <c r="AJ168" s="633"/>
    </row>
    <row r="169" spans="1:36" s="743" customFormat="1" ht="15.75" thickBot="1" x14ac:dyDescent="0.3">
      <c r="A169" s="924">
        <v>41732</v>
      </c>
      <c r="B169" s="924"/>
      <c r="C169" s="924"/>
      <c r="D169" s="529"/>
      <c r="E169" s="529"/>
      <c r="F169" s="529"/>
      <c r="G169" s="529"/>
      <c r="H169" s="529"/>
      <c r="I169" s="525"/>
      <c r="J169" s="531"/>
      <c r="K169" s="531"/>
      <c r="L169" s="529"/>
      <c r="M169" s="529"/>
      <c r="N169" s="527"/>
      <c r="R169" s="526"/>
      <c r="S169" s="534"/>
      <c r="T169" s="534"/>
      <c r="U169" s="534"/>
      <c r="V169" s="534"/>
      <c r="W169" s="534"/>
      <c r="X169" s="534"/>
      <c r="Y169" s="534"/>
      <c r="Z169" s="534"/>
      <c r="AA169" s="941"/>
      <c r="AB169" s="942"/>
    </row>
    <row r="170" spans="1:36" s="743" customFormat="1" x14ac:dyDescent="0.25">
      <c r="A170" s="925" t="s">
        <v>1</v>
      </c>
      <c r="B170" s="926"/>
      <c r="C170" s="540" t="s">
        <v>12</v>
      </c>
      <c r="D170" s="539" t="s">
        <v>12</v>
      </c>
      <c r="E170" s="540" t="s">
        <v>13</v>
      </c>
      <c r="F170" s="530" t="s">
        <v>13</v>
      </c>
      <c r="G170" s="530" t="s">
        <v>13</v>
      </c>
      <c r="H170" s="530" t="s">
        <v>13</v>
      </c>
      <c r="I170" s="530" t="s">
        <v>13</v>
      </c>
      <c r="J170" s="536" t="s">
        <v>13</v>
      </c>
      <c r="K170" s="536" t="s">
        <v>13</v>
      </c>
      <c r="L170" s="539" t="s">
        <v>13</v>
      </c>
      <c r="M170" s="676" t="s">
        <v>2</v>
      </c>
      <c r="N170" s="530" t="s">
        <v>2</v>
      </c>
      <c r="O170" s="536" t="s">
        <v>2</v>
      </c>
      <c r="P170" s="530" t="s">
        <v>2</v>
      </c>
      <c r="Q170" s="536" t="s">
        <v>2</v>
      </c>
      <c r="R170" s="536" t="s">
        <v>2</v>
      </c>
      <c r="S170" s="539" t="s">
        <v>2</v>
      </c>
      <c r="T170" s="569" t="s">
        <v>183</v>
      </c>
      <c r="U170" s="693" t="s">
        <v>183</v>
      </c>
      <c r="V170" s="693" t="s">
        <v>2</v>
      </c>
      <c r="W170" s="693" t="s">
        <v>13</v>
      </c>
      <c r="X170" s="745" t="s">
        <v>220</v>
      </c>
      <c r="Y170" s="534"/>
      <c r="Z170" s="534"/>
      <c r="AA170" s="534"/>
      <c r="AB170" s="925" t="s">
        <v>1</v>
      </c>
      <c r="AC170" s="928"/>
      <c r="AD170" s="758" t="s">
        <v>12</v>
      </c>
      <c r="AE170" s="929" t="s">
        <v>13</v>
      </c>
      <c r="AF170" s="930"/>
      <c r="AG170" s="929" t="s">
        <v>2</v>
      </c>
      <c r="AH170" s="943"/>
      <c r="AI170" s="943"/>
      <c r="AJ170" s="930"/>
    </row>
    <row r="171" spans="1:36" s="743" customFormat="1" ht="15.75" thickBot="1" x14ac:dyDescent="0.3">
      <c r="A171" s="931" t="s">
        <v>0</v>
      </c>
      <c r="B171" s="932"/>
      <c r="C171" s="617" t="s">
        <v>99</v>
      </c>
      <c r="D171" s="618" t="s">
        <v>100</v>
      </c>
      <c r="E171" s="617" t="s">
        <v>101</v>
      </c>
      <c r="F171" s="619" t="s">
        <v>102</v>
      </c>
      <c r="G171" s="619" t="s">
        <v>97</v>
      </c>
      <c r="H171" s="619" t="s">
        <v>104</v>
      </c>
      <c r="I171" s="619" t="s">
        <v>103</v>
      </c>
      <c r="J171" s="521" t="s">
        <v>178</v>
      </c>
      <c r="K171" s="521" t="s">
        <v>200</v>
      </c>
      <c r="L171" s="517" t="s">
        <v>207</v>
      </c>
      <c r="M171" s="617" t="s">
        <v>105</v>
      </c>
      <c r="N171" s="619" t="s">
        <v>107</v>
      </c>
      <c r="O171" s="620" t="s">
        <v>98</v>
      </c>
      <c r="P171" s="516" t="s">
        <v>106</v>
      </c>
      <c r="Q171" s="620" t="s">
        <v>179</v>
      </c>
      <c r="R171" s="620" t="s">
        <v>199</v>
      </c>
      <c r="S171" s="618" t="s">
        <v>208</v>
      </c>
      <c r="T171" s="621" t="s">
        <v>182</v>
      </c>
      <c r="U171" s="618" t="s">
        <v>184</v>
      </c>
      <c r="V171" s="618" t="s">
        <v>222</v>
      </c>
      <c r="W171" s="694" t="s">
        <v>223</v>
      </c>
      <c r="X171" s="746"/>
      <c r="Y171" s="526"/>
      <c r="Z171" s="526"/>
      <c r="AA171" s="526"/>
      <c r="AB171" s="931" t="s">
        <v>0</v>
      </c>
      <c r="AC171" s="934"/>
      <c r="AD171" s="621" t="s">
        <v>99</v>
      </c>
      <c r="AE171" s="617" t="s">
        <v>104</v>
      </c>
      <c r="AF171" s="618" t="s">
        <v>207</v>
      </c>
      <c r="AG171" s="622" t="s">
        <v>107</v>
      </c>
      <c r="AH171" s="772"/>
      <c r="AI171" s="772"/>
      <c r="AJ171" s="623" t="s">
        <v>208</v>
      </c>
    </row>
    <row r="172" spans="1:36" s="743" customFormat="1" ht="30" x14ac:dyDescent="0.25">
      <c r="A172" s="935" t="s">
        <v>9</v>
      </c>
      <c r="B172" s="528" t="s">
        <v>4</v>
      </c>
      <c r="C172" s="541">
        <v>250018.4</v>
      </c>
      <c r="D172" s="688">
        <v>150516.70000000001</v>
      </c>
      <c r="E172" s="541">
        <v>150516.70000000001</v>
      </c>
      <c r="F172" s="533">
        <v>181998.8</v>
      </c>
      <c r="G172" s="533">
        <v>165765.70000000001</v>
      </c>
      <c r="H172" s="533">
        <v>389505</v>
      </c>
      <c r="I172" s="533">
        <v>171975.5</v>
      </c>
      <c r="J172" s="537">
        <v>166077.9</v>
      </c>
      <c r="K172" s="537">
        <v>124019.2</v>
      </c>
      <c r="L172" s="688">
        <v>224071.2</v>
      </c>
      <c r="M172" s="541">
        <v>193029.1</v>
      </c>
      <c r="N172" s="533">
        <v>438219.9</v>
      </c>
      <c r="O172" s="533">
        <v>83038.8</v>
      </c>
      <c r="P172" s="533">
        <v>276130.40000000002</v>
      </c>
      <c r="Q172" s="537">
        <v>83038.8</v>
      </c>
      <c r="R172" s="537">
        <v>191618.2</v>
      </c>
      <c r="S172" s="688">
        <v>224071.2</v>
      </c>
      <c r="T172" s="544">
        <v>55151</v>
      </c>
      <c r="U172" s="688">
        <v>33090.5</v>
      </c>
      <c r="V172" s="688">
        <v>102196.5</v>
      </c>
      <c r="W172" s="688">
        <v>209496.5</v>
      </c>
      <c r="X172" s="688">
        <v>3863545.9999999995</v>
      </c>
      <c r="Y172" s="534"/>
      <c r="Z172" s="534"/>
      <c r="AA172" s="534"/>
      <c r="AB172" s="755" t="s">
        <v>195</v>
      </c>
      <c r="AC172" s="524" t="s">
        <v>4</v>
      </c>
      <c r="AD172" s="544">
        <v>143393</v>
      </c>
      <c r="AE172" s="541">
        <v>132132</v>
      </c>
      <c r="AF172" s="688">
        <v>83196.100000000006</v>
      </c>
      <c r="AG172" s="552">
        <v>132132.20000000001</v>
      </c>
      <c r="AH172" s="773"/>
      <c r="AI172" s="773"/>
      <c r="AJ172" s="551">
        <v>83196.100000000006</v>
      </c>
    </row>
    <row r="173" spans="1:36" s="743" customFormat="1" x14ac:dyDescent="0.25">
      <c r="A173" s="936"/>
      <c r="B173" s="624" t="s">
        <v>5</v>
      </c>
      <c r="C173" s="625">
        <v>104554.5</v>
      </c>
      <c r="D173" s="626">
        <v>83342.5</v>
      </c>
      <c r="E173" s="625">
        <v>84690.3</v>
      </c>
      <c r="F173" s="627">
        <v>150208</v>
      </c>
      <c r="G173" s="627">
        <v>114998.7</v>
      </c>
      <c r="H173" s="627">
        <v>206118.3</v>
      </c>
      <c r="I173" s="627">
        <v>120881.8</v>
      </c>
      <c r="J173" s="628">
        <v>43282.1</v>
      </c>
      <c r="K173" s="628">
        <v>76101.7</v>
      </c>
      <c r="L173" s="626">
        <v>31987.3</v>
      </c>
      <c r="M173" s="625">
        <v>158372.70000000001</v>
      </c>
      <c r="N173" s="627">
        <v>203738.6</v>
      </c>
      <c r="O173" s="627">
        <v>59573.2</v>
      </c>
      <c r="P173" s="627">
        <v>222884.7</v>
      </c>
      <c r="Q173" s="628">
        <v>22448.799999999999</v>
      </c>
      <c r="R173" s="628">
        <v>115813</v>
      </c>
      <c r="S173" s="626">
        <v>125273.7</v>
      </c>
      <c r="T173" s="629">
        <v>14096.1</v>
      </c>
      <c r="U173" s="626">
        <v>7319.5</v>
      </c>
      <c r="V173" s="626">
        <v>7136</v>
      </c>
      <c r="W173" s="695">
        <v>14271.9</v>
      </c>
      <c r="X173" s="747">
        <v>1967093.4000000001</v>
      </c>
      <c r="Y173" s="534"/>
      <c r="Z173" s="534"/>
      <c r="AA173" s="534"/>
      <c r="AB173" s="756"/>
      <c r="AC173" s="630" t="s">
        <v>5</v>
      </c>
      <c r="AD173" s="629">
        <v>51964.9</v>
      </c>
      <c r="AE173" s="625">
        <v>58542</v>
      </c>
      <c r="AF173" s="626">
        <v>2519</v>
      </c>
      <c r="AG173" s="631">
        <v>70731</v>
      </c>
      <c r="AH173" s="774"/>
      <c r="AI173" s="774"/>
      <c r="AJ173" s="632">
        <v>31444.9</v>
      </c>
    </row>
    <row r="174" spans="1:36" s="743" customFormat="1" ht="15.75" thickBot="1" x14ac:dyDescent="0.3">
      <c r="A174" s="937"/>
      <c r="B174" s="504" t="s">
        <v>3</v>
      </c>
      <c r="C174" s="542">
        <v>0.41818722142050346</v>
      </c>
      <c r="D174" s="633">
        <v>0.55370932262001493</v>
      </c>
      <c r="E174" s="633">
        <v>0.56266381072665028</v>
      </c>
      <c r="F174" s="681">
        <v>0.82532412301619573</v>
      </c>
      <c r="G174" s="633">
        <v>0.69374243284346515</v>
      </c>
      <c r="H174" s="633">
        <v>0.52918011322062619</v>
      </c>
      <c r="I174" s="633">
        <v>0.70290128535750729</v>
      </c>
      <c r="J174" s="633">
        <v>0.26061324233988992</v>
      </c>
      <c r="K174" s="633">
        <v>0.61362837367117351</v>
      </c>
      <c r="L174" s="633">
        <v>0.14275507070966728</v>
      </c>
      <c r="M174" s="547">
        <v>0.82046023112577326</v>
      </c>
      <c r="N174" s="498">
        <v>0.46492320408087356</v>
      </c>
      <c r="O174" s="506">
        <v>0.7174140281410617</v>
      </c>
      <c r="P174" s="498">
        <v>0.8071719013915164</v>
      </c>
      <c r="Q174" s="506">
        <v>0.27034109356108227</v>
      </c>
      <c r="R174" s="506">
        <v>0.60439457212310732</v>
      </c>
      <c r="S174" s="689">
        <v>0.55907988175187173</v>
      </c>
      <c r="T174" s="545">
        <v>0.25559101376221649</v>
      </c>
      <c r="U174" s="689">
        <v>0.22119641588975689</v>
      </c>
      <c r="V174" s="689">
        <v>6.9826266065863313E-2</v>
      </c>
      <c r="W174" s="689">
        <v>6.8124765807543328E-2</v>
      </c>
      <c r="X174" s="748">
        <v>0.50914196440264992</v>
      </c>
      <c r="Y174" s="534"/>
      <c r="Z174" s="534"/>
      <c r="AA174" s="534"/>
      <c r="AB174" s="757"/>
      <c r="AC174" s="634" t="s">
        <v>3</v>
      </c>
      <c r="AD174" s="635">
        <f>AD173/AD172</f>
        <v>0.36239495651810061</v>
      </c>
      <c r="AE174" s="542">
        <f>AE173/AE172</f>
        <v>0.44305694305694304</v>
      </c>
      <c r="AF174" s="689">
        <f>AF173/AF172</f>
        <v>3.0277861582453984E-2</v>
      </c>
      <c r="AG174" s="636">
        <f>AG173/AG172</f>
        <v>0.53530479322981073</v>
      </c>
      <c r="AH174" s="775"/>
      <c r="AI174" s="775"/>
      <c r="AJ174" s="633">
        <f>AJ173/AJ172</f>
        <v>0.37796122654787906</v>
      </c>
    </row>
    <row r="175" spans="1:36" s="743" customFormat="1" ht="30" x14ac:dyDescent="0.25">
      <c r="A175" s="938" t="s">
        <v>6</v>
      </c>
      <c r="B175" s="553" t="s">
        <v>7</v>
      </c>
      <c r="C175" s="541">
        <v>5862</v>
      </c>
      <c r="D175" s="541">
        <v>3653</v>
      </c>
      <c r="E175" s="541">
        <v>3650</v>
      </c>
      <c r="F175" s="541">
        <v>9450</v>
      </c>
      <c r="G175" s="541">
        <v>8081</v>
      </c>
      <c r="H175" s="541">
        <v>15703</v>
      </c>
      <c r="I175" s="541">
        <v>8597</v>
      </c>
      <c r="J175" s="541">
        <v>9599</v>
      </c>
      <c r="K175" s="541">
        <v>6153</v>
      </c>
      <c r="L175" s="541">
        <v>9423</v>
      </c>
      <c r="M175" s="541">
        <v>8889</v>
      </c>
      <c r="N175" s="541">
        <v>11924</v>
      </c>
      <c r="O175" s="541">
        <v>4233</v>
      </c>
      <c r="P175" s="541">
        <v>11252</v>
      </c>
      <c r="Q175" s="541">
        <v>4799</v>
      </c>
      <c r="R175" s="541">
        <v>9272</v>
      </c>
      <c r="S175" s="541">
        <v>11685</v>
      </c>
      <c r="T175" s="558">
        <v>2480</v>
      </c>
      <c r="U175" s="692">
        <v>1570</v>
      </c>
      <c r="V175" s="541">
        <v>3999</v>
      </c>
      <c r="W175" s="541">
        <v>7999</v>
      </c>
      <c r="X175" s="541">
        <v>158273</v>
      </c>
      <c r="Y175" s="559" t="s">
        <v>198</v>
      </c>
      <c r="Z175" s="561"/>
      <c r="AA175" s="561"/>
      <c r="AB175" s="562" t="s">
        <v>191</v>
      </c>
      <c r="AC175" s="553" t="s">
        <v>4</v>
      </c>
      <c r="AD175" s="564">
        <v>9191.7999999999993</v>
      </c>
      <c r="AE175" s="565">
        <v>13787.7</v>
      </c>
      <c r="AF175" s="566">
        <v>8804.7999999999993</v>
      </c>
      <c r="AG175" s="567">
        <v>13787.7</v>
      </c>
      <c r="AH175" s="776"/>
      <c r="AI175" s="776"/>
      <c r="AJ175" s="568">
        <v>8804.7999999999993</v>
      </c>
    </row>
    <row r="176" spans="1:36" s="743" customFormat="1" x14ac:dyDescent="0.25">
      <c r="A176" s="939"/>
      <c r="B176" s="637" t="s">
        <v>11</v>
      </c>
      <c r="C176" s="644">
        <v>197649.054</v>
      </c>
      <c r="D176" s="644">
        <v>123168.201</v>
      </c>
      <c r="E176" s="644">
        <v>123067.04999999999</v>
      </c>
      <c r="F176" s="644">
        <v>318625.64999999997</v>
      </c>
      <c r="G176" s="644">
        <v>272467.07699999999</v>
      </c>
      <c r="H176" s="644">
        <v>529458.05099999998</v>
      </c>
      <c r="I176" s="644">
        <v>289865.049</v>
      </c>
      <c r="J176" s="644">
        <v>323649.48300000001</v>
      </c>
      <c r="K176" s="644">
        <v>207460.701</v>
      </c>
      <c r="L176" s="644">
        <v>317715.29099999997</v>
      </c>
      <c r="M176" s="644">
        <v>299710.413</v>
      </c>
      <c r="N176" s="641">
        <v>402041.50799999997</v>
      </c>
      <c r="O176" s="641">
        <v>142724.06099999999</v>
      </c>
      <c r="P176" s="642">
        <v>379383.68400000001</v>
      </c>
      <c r="Q176" s="640">
        <v>161807.883</v>
      </c>
      <c r="R176" s="643">
        <v>312624.02399999998</v>
      </c>
      <c r="S176" s="687">
        <v>393983.14499999996</v>
      </c>
      <c r="T176" s="638">
        <v>83618.16</v>
      </c>
      <c r="U176" s="642">
        <v>52935.689999999995</v>
      </c>
      <c r="V176" s="642">
        <v>134834.283</v>
      </c>
      <c r="W176" s="642">
        <v>269702.283</v>
      </c>
      <c r="X176" s="749">
        <v>5336490.7409999995</v>
      </c>
      <c r="Y176" s="534"/>
      <c r="Z176" s="534"/>
      <c r="AA176" s="534"/>
      <c r="AB176" s="756"/>
      <c r="AC176" s="624" t="s">
        <v>5</v>
      </c>
      <c r="AD176" s="629">
        <v>7975.5</v>
      </c>
      <c r="AE176" s="625">
        <v>13649</v>
      </c>
      <c r="AF176" s="626">
        <v>1289.9000000000001</v>
      </c>
      <c r="AG176" s="631">
        <v>13642</v>
      </c>
      <c r="AH176" s="774"/>
      <c r="AI176" s="774"/>
      <c r="AJ176" s="632">
        <v>5483.9</v>
      </c>
    </row>
    <row r="177" spans="1:36" s="743" customFormat="1" ht="15.75" thickBot="1" x14ac:dyDescent="0.3">
      <c r="A177" s="939"/>
      <c r="B177" s="637" t="s">
        <v>79</v>
      </c>
      <c r="C177" s="861">
        <f t="shared" ref="C177:W177" si="66">C172-C173</f>
        <v>145463.9</v>
      </c>
      <c r="D177" s="861">
        <f t="shared" si="66"/>
        <v>67174.200000000012</v>
      </c>
      <c r="E177" s="861">
        <f t="shared" si="66"/>
        <v>65826.400000000009</v>
      </c>
      <c r="F177" s="861">
        <f t="shared" si="66"/>
        <v>31790.799999999988</v>
      </c>
      <c r="G177" s="861">
        <f t="shared" si="66"/>
        <v>50767.000000000015</v>
      </c>
      <c r="H177" s="861">
        <f t="shared" si="66"/>
        <v>183386.7</v>
      </c>
      <c r="I177" s="861">
        <f t="shared" si="66"/>
        <v>51093.7</v>
      </c>
      <c r="J177" s="861">
        <f t="shared" si="66"/>
        <v>122795.79999999999</v>
      </c>
      <c r="K177" s="861">
        <f t="shared" si="66"/>
        <v>47917.5</v>
      </c>
      <c r="L177" s="861">
        <f t="shared" si="66"/>
        <v>192083.90000000002</v>
      </c>
      <c r="M177" s="861">
        <f t="shared" si="66"/>
        <v>34656.399999999994</v>
      </c>
      <c r="N177" s="861">
        <f t="shared" si="66"/>
        <v>234481.30000000002</v>
      </c>
      <c r="O177" s="861">
        <f t="shared" si="66"/>
        <v>23465.600000000006</v>
      </c>
      <c r="P177" s="861">
        <f t="shared" si="66"/>
        <v>53245.700000000012</v>
      </c>
      <c r="Q177" s="861">
        <f t="shared" si="66"/>
        <v>60590</v>
      </c>
      <c r="R177" s="861">
        <f t="shared" si="66"/>
        <v>75805.200000000012</v>
      </c>
      <c r="S177" s="861">
        <f t="shared" si="66"/>
        <v>98797.500000000015</v>
      </c>
      <c r="T177" s="861">
        <f t="shared" si="66"/>
        <v>41054.9</v>
      </c>
      <c r="U177" s="861">
        <f t="shared" si="66"/>
        <v>25771</v>
      </c>
      <c r="V177" s="861">
        <f t="shared" si="66"/>
        <v>95060.5</v>
      </c>
      <c r="W177" s="861">
        <f t="shared" si="66"/>
        <v>195224.6</v>
      </c>
      <c r="X177" s="750">
        <v>5590691.4000000004</v>
      </c>
      <c r="Y177" s="534"/>
      <c r="Z177" s="534"/>
      <c r="AA177" s="534"/>
      <c r="AB177" s="757"/>
      <c r="AC177" s="645" t="s">
        <v>3</v>
      </c>
      <c r="AD177" s="635">
        <f>AD176/AD175</f>
        <v>0.86767553689157739</v>
      </c>
      <c r="AE177" s="646">
        <f>AE176/AE175</f>
        <v>0.98994030911609621</v>
      </c>
      <c r="AF177" s="647">
        <f>AF176/AF175</f>
        <v>0.14649963656187537</v>
      </c>
      <c r="AG177" s="648">
        <f>AG176/AG175</f>
        <v>0.98943261022505558</v>
      </c>
      <c r="AH177" s="777"/>
      <c r="AI177" s="777"/>
      <c r="AJ177" s="649">
        <f>AJ176/AJ175</f>
        <v>0.62283072869343992</v>
      </c>
    </row>
    <row r="178" spans="1:36" s="743" customFormat="1" ht="30" x14ac:dyDescent="0.25">
      <c r="A178" s="939"/>
      <c r="B178" s="624" t="s">
        <v>8</v>
      </c>
      <c r="C178" s="724">
        <v>5511</v>
      </c>
      <c r="D178" s="725">
        <v>2939</v>
      </c>
      <c r="E178" s="724">
        <v>2965</v>
      </c>
      <c r="F178" s="726">
        <v>7700</v>
      </c>
      <c r="G178" s="726">
        <v>3502</v>
      </c>
      <c r="H178" s="726">
        <v>13618</v>
      </c>
      <c r="I178" s="726">
        <v>7111</v>
      </c>
      <c r="J178" s="727">
        <v>1370</v>
      </c>
      <c r="K178" s="727">
        <v>3764</v>
      </c>
      <c r="L178" s="725">
        <v>4874</v>
      </c>
      <c r="M178" s="724">
        <v>7616</v>
      </c>
      <c r="N178" s="726">
        <v>10878</v>
      </c>
      <c r="O178" s="727">
        <v>3643</v>
      </c>
      <c r="P178" s="726">
        <v>8575</v>
      </c>
      <c r="Q178" s="727">
        <v>1818</v>
      </c>
      <c r="R178" s="727">
        <v>4098</v>
      </c>
      <c r="S178" s="725">
        <v>8674</v>
      </c>
      <c r="T178" s="654">
        <v>1689</v>
      </c>
      <c r="U178" s="686">
        <v>1087</v>
      </c>
      <c r="V178" s="725">
        <v>1162</v>
      </c>
      <c r="W178" s="725">
        <v>1162</v>
      </c>
      <c r="X178" s="751">
        <v>103756</v>
      </c>
      <c r="Y178" s="534"/>
      <c r="Z178" s="534"/>
      <c r="AA178" s="534"/>
      <c r="AB178" s="755" t="s">
        <v>192</v>
      </c>
      <c r="AC178" s="528" t="s">
        <v>4</v>
      </c>
      <c r="AD178" s="544">
        <v>97433.600000000006</v>
      </c>
      <c r="AE178" s="541">
        <v>243584.4</v>
      </c>
      <c r="AF178" s="688">
        <v>132070.29999999999</v>
      </c>
      <c r="AG178" s="552">
        <v>292299.3</v>
      </c>
      <c r="AH178" s="773"/>
      <c r="AI178" s="773"/>
      <c r="AJ178" s="551">
        <v>132070.39999999999</v>
      </c>
    </row>
    <row r="179" spans="1:36" s="743" customFormat="1" x14ac:dyDescent="0.25">
      <c r="A179" s="939"/>
      <c r="B179" s="655" t="s">
        <v>77</v>
      </c>
      <c r="C179" s="660">
        <v>185814.38699999999</v>
      </c>
      <c r="D179" s="660">
        <v>99094.262999999992</v>
      </c>
      <c r="E179" s="660">
        <v>99970.904999999999</v>
      </c>
      <c r="F179" s="660">
        <v>259620.9</v>
      </c>
      <c r="G179" s="660">
        <v>118076.93399999999</v>
      </c>
      <c r="H179" s="660">
        <v>459158.10599999997</v>
      </c>
      <c r="I179" s="660">
        <v>239761.587</v>
      </c>
      <c r="J179" s="660">
        <v>46192.29</v>
      </c>
      <c r="K179" s="660">
        <v>126910.788</v>
      </c>
      <c r="L179" s="660">
        <v>164336.658</v>
      </c>
      <c r="M179" s="660">
        <v>256788.67199999999</v>
      </c>
      <c r="N179" s="657">
        <v>366773.52600000001</v>
      </c>
      <c r="O179" s="657">
        <v>122831.031</v>
      </c>
      <c r="P179" s="657">
        <v>200987.03699999995</v>
      </c>
      <c r="Q179" s="658">
        <v>61297.506000000001</v>
      </c>
      <c r="R179" s="658">
        <v>138172.266</v>
      </c>
      <c r="S179" s="659">
        <v>292461.25799999997</v>
      </c>
      <c r="T179" s="661">
        <v>56948.012999999999</v>
      </c>
      <c r="U179" s="691">
        <v>36650.379000000001</v>
      </c>
      <c r="V179" s="691">
        <v>39179.153999999995</v>
      </c>
      <c r="W179" s="691">
        <v>39179.153999999995</v>
      </c>
      <c r="X179" s="752">
        <v>3410204.8139999998</v>
      </c>
      <c r="Y179" s="534"/>
      <c r="Z179" s="534"/>
      <c r="AA179" s="534"/>
      <c r="AB179" s="756"/>
      <c r="AC179" s="624" t="s">
        <v>5</v>
      </c>
      <c r="AD179" s="629">
        <v>38973.199999999997</v>
      </c>
      <c r="AE179" s="625">
        <v>124350.5</v>
      </c>
      <c r="AF179" s="626">
        <v>3817.1</v>
      </c>
      <c r="AG179" s="631">
        <v>109009</v>
      </c>
      <c r="AH179" s="774"/>
      <c r="AI179" s="774"/>
      <c r="AJ179" s="632">
        <v>33401</v>
      </c>
    </row>
    <row r="180" spans="1:36" s="743" customFormat="1" ht="15.75" thickBot="1" x14ac:dyDescent="0.3">
      <c r="A180" s="940"/>
      <c r="B180" s="504" t="s">
        <v>218</v>
      </c>
      <c r="C180" s="542">
        <v>0.74320284827036731</v>
      </c>
      <c r="D180" s="689">
        <v>0.65836058723051982</v>
      </c>
      <c r="E180" s="690">
        <v>0.66418480474259656</v>
      </c>
      <c r="F180" s="690">
        <v>1.4264978670189035</v>
      </c>
      <c r="G180" s="690">
        <v>0.7123122214064791</v>
      </c>
      <c r="H180" s="690">
        <v>1.1788246774752569</v>
      </c>
      <c r="I180" s="690">
        <v>1.3941613020459309</v>
      </c>
      <c r="J180" s="690">
        <v>0.27813628423769809</v>
      </c>
      <c r="K180" s="690">
        <v>1.0233156478996801</v>
      </c>
      <c r="L180" s="690">
        <v>0.73341267418570522</v>
      </c>
      <c r="M180" s="690">
        <v>1.3303106733647931</v>
      </c>
      <c r="N180" s="501">
        <v>0.83696227852728733</v>
      </c>
      <c r="O180" s="501">
        <v>1.4792004580991054</v>
      </c>
      <c r="P180" s="663">
        <v>0.72787000996630558</v>
      </c>
      <c r="Q180" s="520">
        <v>0.73817909218341304</v>
      </c>
      <c r="R180" s="520">
        <v>0.7210811185993814</v>
      </c>
      <c r="S180" s="515">
        <v>1.3052157439242524</v>
      </c>
      <c r="T180" s="542">
        <v>1.0325835070986926</v>
      </c>
      <c r="U180" s="689">
        <v>1.107580090962663</v>
      </c>
      <c r="V180" s="689">
        <v>0.38337080036987564</v>
      </c>
      <c r="W180" s="689">
        <v>0.18701579262660711</v>
      </c>
      <c r="X180" s="748">
        <v>0.88266188988043626</v>
      </c>
      <c r="Y180" s="534"/>
      <c r="Z180" s="534"/>
      <c r="AA180" s="534"/>
      <c r="AB180" s="757"/>
      <c r="AC180" s="504" t="s">
        <v>3</v>
      </c>
      <c r="AD180" s="545">
        <f>AD179/AD178</f>
        <v>0.39999753678402516</v>
      </c>
      <c r="AE180" s="542">
        <f>AE179/AE178</f>
        <v>0.51050272513346506</v>
      </c>
      <c r="AF180" s="689">
        <f>AF179/AF178</f>
        <v>2.8902031720984961E-2</v>
      </c>
      <c r="AG180" s="636">
        <f>AG179/AG178</f>
        <v>0.37293623351133581</v>
      </c>
      <c r="AH180" s="775"/>
      <c r="AI180" s="775"/>
      <c r="AJ180" s="633">
        <f>AJ179/AJ178</f>
        <v>0.25290299718937781</v>
      </c>
    </row>
    <row r="181" spans="1:36" s="743" customFormat="1" ht="15.75" thickBot="1" x14ac:dyDescent="0.3">
      <c r="A181" s="612"/>
      <c r="B181" s="504" t="s">
        <v>219</v>
      </c>
      <c r="C181" s="650">
        <v>172106</v>
      </c>
      <c r="D181" s="650">
        <v>98689.1</v>
      </c>
      <c r="E181" s="650">
        <v>99565.7</v>
      </c>
      <c r="F181" s="650">
        <v>241623</v>
      </c>
      <c r="G181" s="650">
        <v>115789</v>
      </c>
      <c r="H181" s="650">
        <v>444084</v>
      </c>
      <c r="I181" s="650">
        <v>172296</v>
      </c>
      <c r="J181" s="650">
        <v>46232</v>
      </c>
      <c r="K181" s="650">
        <v>126991</v>
      </c>
      <c r="L181" s="650">
        <v>164441</v>
      </c>
      <c r="M181" s="650">
        <v>252825</v>
      </c>
      <c r="N181" s="650">
        <v>366847</v>
      </c>
      <c r="O181" s="650">
        <v>122881</v>
      </c>
      <c r="P181" s="650">
        <v>168553</v>
      </c>
      <c r="Q181" s="650">
        <v>61343.5</v>
      </c>
      <c r="R181" s="650">
        <v>125083</v>
      </c>
      <c r="S181" s="650">
        <v>292622</v>
      </c>
      <c r="T181" s="650">
        <v>56947.7</v>
      </c>
      <c r="U181" s="650">
        <v>36650.300000000003</v>
      </c>
      <c r="V181" s="650">
        <v>39212.6</v>
      </c>
      <c r="W181" s="650">
        <v>39212.6</v>
      </c>
      <c r="X181" s="753">
        <v>3243994.5</v>
      </c>
      <c r="Y181" s="534"/>
      <c r="Z181" s="534"/>
      <c r="AA181" s="534"/>
      <c r="AB181" s="757" t="s">
        <v>220</v>
      </c>
      <c r="AC181" s="504" t="s">
        <v>3</v>
      </c>
      <c r="AD181" s="545">
        <f>(AD174+AD180)/2</f>
        <v>0.38119624665106289</v>
      </c>
      <c r="AE181" s="545">
        <f t="shared" ref="AE181:AJ181" si="67">(AE174+AE180)/2</f>
        <v>0.47677983409520408</v>
      </c>
      <c r="AF181" s="545">
        <f t="shared" si="67"/>
        <v>2.9589946651719472E-2</v>
      </c>
      <c r="AG181" s="545">
        <f t="shared" si="67"/>
        <v>0.45412051337057324</v>
      </c>
      <c r="AH181" s="545"/>
      <c r="AI181" s="545"/>
      <c r="AJ181" s="545">
        <f t="shared" si="67"/>
        <v>0.31543211186862841</v>
      </c>
    </row>
    <row r="182" spans="1:36" s="743" customFormat="1" ht="15.75" thickBot="1" x14ac:dyDescent="0.3">
      <c r="A182" s="612"/>
      <c r="B182" s="504" t="s">
        <v>217</v>
      </c>
      <c r="C182" s="690">
        <v>0.68837333572249082</v>
      </c>
      <c r="D182" s="690">
        <v>0.65566877296672066</v>
      </c>
      <c r="E182" s="690">
        <v>0.661492711439993</v>
      </c>
      <c r="F182" s="690">
        <v>1.3276076545559643</v>
      </c>
      <c r="G182" s="690">
        <v>0.6985100053871216</v>
      </c>
      <c r="H182" s="690">
        <v>1.1401240035429583</v>
      </c>
      <c r="I182" s="690">
        <v>1.0018636375530234</v>
      </c>
      <c r="J182" s="690">
        <v>0.27837538889882402</v>
      </c>
      <c r="K182" s="690">
        <v>1.0239624187222625</v>
      </c>
      <c r="L182" s="690">
        <v>0.73387833867092245</v>
      </c>
      <c r="M182" s="690">
        <v>1.3097766088118319</v>
      </c>
      <c r="N182" s="690">
        <v>0.83712994320887746</v>
      </c>
      <c r="O182" s="690">
        <v>1.4798022129414201</v>
      </c>
      <c r="P182" s="690">
        <v>0.61041087833863994</v>
      </c>
      <c r="Q182" s="690">
        <v>0.73873297783686664</v>
      </c>
      <c r="R182" s="690">
        <v>0.65277202269930512</v>
      </c>
      <c r="S182" s="690">
        <v>1.3059331141172983</v>
      </c>
      <c r="T182" s="690">
        <v>1.032577831770956</v>
      </c>
      <c r="U182" s="690">
        <v>1.1075777035705112</v>
      </c>
      <c r="V182" s="690">
        <v>0.38369807185177573</v>
      </c>
      <c r="W182" s="690">
        <v>0.18717544207182457</v>
      </c>
      <c r="X182" s="754">
        <v>0.83964174362101562</v>
      </c>
      <c r="Y182" s="534"/>
      <c r="Z182" s="534"/>
      <c r="AA182" s="534"/>
      <c r="AB182" s="757"/>
      <c r="AC182" s="504"/>
      <c r="AD182" s="545"/>
      <c r="AE182" s="542"/>
      <c r="AF182" s="689"/>
      <c r="AG182" s="636"/>
      <c r="AH182" s="775"/>
      <c r="AI182" s="775"/>
      <c r="AJ182" s="633"/>
    </row>
    <row r="183" spans="1:36" s="743" customFormat="1" ht="15.75" thickBot="1" x14ac:dyDescent="0.3">
      <c r="A183" s="924">
        <v>41725</v>
      </c>
      <c r="B183" s="924"/>
      <c r="C183" s="924"/>
      <c r="D183" s="529"/>
      <c r="E183" s="529"/>
      <c r="F183" s="529"/>
      <c r="G183" s="529"/>
      <c r="H183" s="529"/>
      <c r="I183" s="525"/>
      <c r="J183" s="531"/>
      <c r="K183" s="531"/>
      <c r="L183" s="529"/>
      <c r="M183" s="529"/>
      <c r="N183" s="527"/>
      <c r="R183" s="526"/>
      <c r="S183" s="534"/>
      <c r="T183" s="534"/>
      <c r="U183" s="534"/>
      <c r="V183" s="534"/>
      <c r="W183" s="534"/>
      <c r="X183" s="534"/>
      <c r="Y183" s="534"/>
      <c r="Z183" s="534"/>
      <c r="AA183" s="941"/>
      <c r="AB183" s="942"/>
    </row>
    <row r="184" spans="1:36" s="743" customFormat="1" x14ac:dyDescent="0.25">
      <c r="A184" s="925" t="s">
        <v>1</v>
      </c>
      <c r="B184" s="926"/>
      <c r="C184" s="540" t="s">
        <v>12</v>
      </c>
      <c r="D184" s="539" t="s">
        <v>12</v>
      </c>
      <c r="E184" s="540" t="s">
        <v>13</v>
      </c>
      <c r="F184" s="530" t="s">
        <v>13</v>
      </c>
      <c r="G184" s="530" t="s">
        <v>13</v>
      </c>
      <c r="H184" s="530" t="s">
        <v>13</v>
      </c>
      <c r="I184" s="530" t="s">
        <v>13</v>
      </c>
      <c r="J184" s="536" t="s">
        <v>13</v>
      </c>
      <c r="K184" s="536" t="s">
        <v>13</v>
      </c>
      <c r="L184" s="539" t="s">
        <v>13</v>
      </c>
      <c r="M184" s="676" t="s">
        <v>2</v>
      </c>
      <c r="N184" s="530" t="s">
        <v>2</v>
      </c>
      <c r="O184" s="536" t="s">
        <v>2</v>
      </c>
      <c r="P184" s="530" t="s">
        <v>2</v>
      </c>
      <c r="Q184" s="536" t="s">
        <v>2</v>
      </c>
      <c r="R184" s="536" t="s">
        <v>2</v>
      </c>
      <c r="S184" s="539" t="s">
        <v>2</v>
      </c>
      <c r="T184" s="569" t="s">
        <v>183</v>
      </c>
      <c r="U184" s="693" t="s">
        <v>183</v>
      </c>
      <c r="V184" s="693" t="s">
        <v>2</v>
      </c>
      <c r="W184" s="693" t="s">
        <v>13</v>
      </c>
      <c r="X184" s="745" t="s">
        <v>220</v>
      </c>
      <c r="Y184" s="534"/>
      <c r="Z184" s="534"/>
      <c r="AA184" s="534"/>
      <c r="AB184" s="925" t="s">
        <v>1</v>
      </c>
      <c r="AC184" s="928"/>
      <c r="AD184" s="741" t="s">
        <v>12</v>
      </c>
      <c r="AE184" s="929" t="s">
        <v>13</v>
      </c>
      <c r="AF184" s="930"/>
      <c r="AG184" s="929" t="s">
        <v>2</v>
      </c>
      <c r="AH184" s="943"/>
      <c r="AI184" s="943"/>
      <c r="AJ184" s="930"/>
    </row>
    <row r="185" spans="1:36" s="743" customFormat="1" ht="15.75" thickBot="1" x14ac:dyDescent="0.3">
      <c r="A185" s="931" t="s">
        <v>0</v>
      </c>
      <c r="B185" s="932"/>
      <c r="C185" s="617" t="s">
        <v>99</v>
      </c>
      <c r="D185" s="618" t="s">
        <v>100</v>
      </c>
      <c r="E185" s="617" t="s">
        <v>101</v>
      </c>
      <c r="F185" s="619" t="s">
        <v>102</v>
      </c>
      <c r="G185" s="619" t="s">
        <v>97</v>
      </c>
      <c r="H185" s="619" t="s">
        <v>104</v>
      </c>
      <c r="I185" s="619" t="s">
        <v>103</v>
      </c>
      <c r="J185" s="521" t="s">
        <v>178</v>
      </c>
      <c r="K185" s="521" t="s">
        <v>200</v>
      </c>
      <c r="L185" s="517" t="s">
        <v>207</v>
      </c>
      <c r="M185" s="617" t="s">
        <v>105</v>
      </c>
      <c r="N185" s="619" t="s">
        <v>107</v>
      </c>
      <c r="O185" s="620" t="s">
        <v>98</v>
      </c>
      <c r="P185" s="516" t="s">
        <v>106</v>
      </c>
      <c r="Q185" s="620" t="s">
        <v>179</v>
      </c>
      <c r="R185" s="620" t="s">
        <v>199</v>
      </c>
      <c r="S185" s="618" t="s">
        <v>208</v>
      </c>
      <c r="T185" s="621" t="s">
        <v>182</v>
      </c>
      <c r="U185" s="618" t="s">
        <v>184</v>
      </c>
      <c r="V185" s="618" t="s">
        <v>222</v>
      </c>
      <c r="W185" s="694" t="s">
        <v>223</v>
      </c>
      <c r="X185" s="746"/>
      <c r="Y185" s="526"/>
      <c r="Z185" s="526"/>
      <c r="AA185" s="526"/>
      <c r="AB185" s="931" t="s">
        <v>0</v>
      </c>
      <c r="AC185" s="934"/>
      <c r="AD185" s="621" t="s">
        <v>99</v>
      </c>
      <c r="AE185" s="617" t="s">
        <v>104</v>
      </c>
      <c r="AF185" s="618" t="s">
        <v>207</v>
      </c>
      <c r="AG185" s="622" t="s">
        <v>107</v>
      </c>
      <c r="AH185" s="772"/>
      <c r="AI185" s="772"/>
      <c r="AJ185" s="623" t="s">
        <v>208</v>
      </c>
    </row>
    <row r="186" spans="1:36" s="743" customFormat="1" ht="30" x14ac:dyDescent="0.25">
      <c r="A186" s="935" t="s">
        <v>9</v>
      </c>
      <c r="B186" s="528" t="s">
        <v>4</v>
      </c>
      <c r="C186" s="541">
        <v>250018.4</v>
      </c>
      <c r="D186" s="688">
        <v>150516.70000000001</v>
      </c>
      <c r="E186" s="541">
        <v>150516.70000000001</v>
      </c>
      <c r="F186" s="533">
        <v>181998.8</v>
      </c>
      <c r="G186" s="533">
        <v>165765.70000000001</v>
      </c>
      <c r="H186" s="533">
        <v>389505</v>
      </c>
      <c r="I186" s="533">
        <v>171975.5</v>
      </c>
      <c r="J186" s="537">
        <v>166077.9</v>
      </c>
      <c r="K186" s="537">
        <v>124019.2</v>
      </c>
      <c r="L186" s="688">
        <v>224071.2</v>
      </c>
      <c r="M186" s="541">
        <v>193029.1</v>
      </c>
      <c r="N186" s="533">
        <v>438219.9</v>
      </c>
      <c r="O186" s="533">
        <v>83038.8</v>
      </c>
      <c r="P186" s="533">
        <v>276130.40000000002</v>
      </c>
      <c r="Q186" s="537">
        <v>83038.8</v>
      </c>
      <c r="R186" s="537">
        <v>191618.2</v>
      </c>
      <c r="S186" s="688">
        <v>224071.2</v>
      </c>
      <c r="T186" s="544">
        <v>55151</v>
      </c>
      <c r="U186" s="688">
        <v>33090.5</v>
      </c>
      <c r="V186" s="688">
        <v>102196.5</v>
      </c>
      <c r="W186" s="688">
        <v>209496.5</v>
      </c>
      <c r="X186" s="688">
        <v>3863545.9999999995</v>
      </c>
      <c r="Y186" s="534"/>
      <c r="Z186" s="534"/>
      <c r="AA186" s="534"/>
      <c r="AB186" s="738" t="s">
        <v>195</v>
      </c>
      <c r="AC186" s="524" t="s">
        <v>4</v>
      </c>
      <c r="AD186" s="544">
        <v>143393</v>
      </c>
      <c r="AE186" s="541">
        <v>132132</v>
      </c>
      <c r="AF186" s="688">
        <v>83196.100000000006</v>
      </c>
      <c r="AG186" s="552">
        <v>132132.20000000001</v>
      </c>
      <c r="AH186" s="773"/>
      <c r="AI186" s="773"/>
      <c r="AJ186" s="551">
        <v>83196.100000000006</v>
      </c>
    </row>
    <row r="187" spans="1:36" s="743" customFormat="1" x14ac:dyDescent="0.25">
      <c r="A187" s="936"/>
      <c r="B187" s="624" t="s">
        <v>5</v>
      </c>
      <c r="C187" s="625">
        <v>104030.39999999999</v>
      </c>
      <c r="D187" s="626">
        <v>83245.100000000006</v>
      </c>
      <c r="E187" s="625">
        <v>84587.1</v>
      </c>
      <c r="F187" s="627">
        <v>149960.4</v>
      </c>
      <c r="G187" s="627">
        <v>114560.6</v>
      </c>
      <c r="H187" s="627">
        <v>205570</v>
      </c>
      <c r="I187" s="627">
        <v>119982.39999999999</v>
      </c>
      <c r="J187" s="628">
        <v>43116.3</v>
      </c>
      <c r="K187" s="628">
        <v>75573</v>
      </c>
      <c r="L187" s="626">
        <v>31573.9</v>
      </c>
      <c r="M187" s="625">
        <v>158238.5</v>
      </c>
      <c r="N187" s="627">
        <v>203452.9</v>
      </c>
      <c r="O187" s="627">
        <v>59359</v>
      </c>
      <c r="P187" s="627">
        <v>221100.9</v>
      </c>
      <c r="Q187" s="628">
        <v>22316.2</v>
      </c>
      <c r="R187" s="628">
        <v>115526.3</v>
      </c>
      <c r="S187" s="626">
        <v>120033.2</v>
      </c>
      <c r="T187" s="629">
        <v>14096.1</v>
      </c>
      <c r="U187" s="626">
        <v>7319.5</v>
      </c>
      <c r="V187" s="626">
        <v>6278.7</v>
      </c>
      <c r="W187" s="695">
        <v>12557.3</v>
      </c>
      <c r="X187" s="747">
        <v>1952477.8</v>
      </c>
      <c r="Y187" s="534"/>
      <c r="Z187" s="534"/>
      <c r="AA187" s="534"/>
      <c r="AB187" s="739"/>
      <c r="AC187" s="630" t="s">
        <v>5</v>
      </c>
      <c r="AD187" s="629">
        <v>51964.9</v>
      </c>
      <c r="AE187" s="625">
        <v>58542</v>
      </c>
      <c r="AF187" s="626">
        <v>2519</v>
      </c>
      <c r="AG187" s="631">
        <v>70731</v>
      </c>
      <c r="AH187" s="774"/>
      <c r="AI187" s="774"/>
      <c r="AJ187" s="632">
        <v>31444.9</v>
      </c>
    </row>
    <row r="188" spans="1:36" s="743" customFormat="1" ht="15.75" thickBot="1" x14ac:dyDescent="0.3">
      <c r="A188" s="937"/>
      <c r="B188" s="504" t="s">
        <v>3</v>
      </c>
      <c r="C188" s="542">
        <v>0.41609097570418818</v>
      </c>
      <c r="D188" s="633">
        <v>0.55306221834520686</v>
      </c>
      <c r="E188" s="633">
        <v>0.56197817252172022</v>
      </c>
      <c r="F188" s="681">
        <v>0.82396367448576591</v>
      </c>
      <c r="G188" s="633">
        <v>0.69109954592536327</v>
      </c>
      <c r="H188" s="633">
        <v>0.52777242910874056</v>
      </c>
      <c r="I188" s="633">
        <v>0.69767147064552792</v>
      </c>
      <c r="J188" s="633">
        <v>0.25961491565102884</v>
      </c>
      <c r="K188" s="633">
        <v>0.60936532407885236</v>
      </c>
      <c r="L188" s="633">
        <v>0.14091012142568968</v>
      </c>
      <c r="M188" s="547">
        <v>0.81976499916333856</v>
      </c>
      <c r="N188" s="498">
        <v>0.46427124829337962</v>
      </c>
      <c r="O188" s="506">
        <v>0.7148345110960177</v>
      </c>
      <c r="P188" s="498">
        <v>0.80071191002511843</v>
      </c>
      <c r="Q188" s="506">
        <v>0.26874424967605504</v>
      </c>
      <c r="R188" s="506">
        <v>0.60289836769158667</v>
      </c>
      <c r="S188" s="689">
        <v>0.5356922263994659</v>
      </c>
      <c r="T188" s="545">
        <v>0.25559101376221649</v>
      </c>
      <c r="U188" s="689">
        <v>0.22119641588975689</v>
      </c>
      <c r="V188" s="689">
        <v>6.1437524768460761E-2</v>
      </c>
      <c r="W188" s="689">
        <v>5.9940380865551451E-2</v>
      </c>
      <c r="X188" s="748">
        <v>0.50535901474966272</v>
      </c>
      <c r="Y188" s="534"/>
      <c r="Z188" s="534"/>
      <c r="AA188" s="534"/>
      <c r="AB188" s="740"/>
      <c r="AC188" s="634" t="s">
        <v>3</v>
      </c>
      <c r="AD188" s="635">
        <f>AD187/AD186</f>
        <v>0.36239495651810061</v>
      </c>
      <c r="AE188" s="542">
        <f>AE187/AE186</f>
        <v>0.44305694305694304</v>
      </c>
      <c r="AF188" s="689">
        <f>AF187/AF186</f>
        <v>3.0277861582453984E-2</v>
      </c>
      <c r="AG188" s="636">
        <f>AG187/AG186</f>
        <v>0.53530479322981073</v>
      </c>
      <c r="AH188" s="775"/>
      <c r="AI188" s="775"/>
      <c r="AJ188" s="633">
        <f>AJ187/AJ186</f>
        <v>0.37796122654787906</v>
      </c>
    </row>
    <row r="189" spans="1:36" s="743" customFormat="1" ht="30" x14ac:dyDescent="0.25">
      <c r="A189" s="938" t="s">
        <v>6</v>
      </c>
      <c r="B189" s="553" t="s">
        <v>7</v>
      </c>
      <c r="C189" s="541">
        <v>5862</v>
      </c>
      <c r="D189" s="541">
        <v>3653</v>
      </c>
      <c r="E189" s="541">
        <v>3650</v>
      </c>
      <c r="F189" s="541">
        <v>9450</v>
      </c>
      <c r="G189" s="541">
        <v>8081</v>
      </c>
      <c r="H189" s="541">
        <v>15703</v>
      </c>
      <c r="I189" s="541">
        <v>8597</v>
      </c>
      <c r="J189" s="541">
        <v>9599</v>
      </c>
      <c r="K189" s="541">
        <v>6153</v>
      </c>
      <c r="L189" s="541">
        <v>9423</v>
      </c>
      <c r="M189" s="541">
        <v>8889</v>
      </c>
      <c r="N189" s="541">
        <v>11924</v>
      </c>
      <c r="O189" s="541">
        <v>4233</v>
      </c>
      <c r="P189" s="541">
        <v>11252</v>
      </c>
      <c r="Q189" s="541">
        <v>4799</v>
      </c>
      <c r="R189" s="541">
        <v>9272</v>
      </c>
      <c r="S189" s="541">
        <v>11205</v>
      </c>
      <c r="T189" s="558">
        <v>2480</v>
      </c>
      <c r="U189" s="692">
        <v>1570</v>
      </c>
      <c r="V189" s="541">
        <v>3999</v>
      </c>
      <c r="W189" s="541">
        <v>7999</v>
      </c>
      <c r="X189" s="541">
        <v>157793</v>
      </c>
      <c r="Y189" s="559" t="s">
        <v>198</v>
      </c>
      <c r="Z189" s="561"/>
      <c r="AA189" s="561"/>
      <c r="AB189" s="562" t="s">
        <v>191</v>
      </c>
      <c r="AC189" s="553" t="s">
        <v>4</v>
      </c>
      <c r="AD189" s="564">
        <v>9191.7999999999993</v>
      </c>
      <c r="AE189" s="565">
        <v>13787.7</v>
      </c>
      <c r="AF189" s="566">
        <v>8804.7999999999993</v>
      </c>
      <c r="AG189" s="567">
        <v>13787.7</v>
      </c>
      <c r="AH189" s="776"/>
      <c r="AI189" s="776"/>
      <c r="AJ189" s="568">
        <v>8804.7999999999993</v>
      </c>
    </row>
    <row r="190" spans="1:36" s="743" customFormat="1" x14ac:dyDescent="0.25">
      <c r="A190" s="939"/>
      <c r="B190" s="637" t="s">
        <v>11</v>
      </c>
      <c r="C190" s="644">
        <v>197649.054</v>
      </c>
      <c r="D190" s="644">
        <v>123168.201</v>
      </c>
      <c r="E190" s="644">
        <v>123067.04999999999</v>
      </c>
      <c r="F190" s="644">
        <v>318625.64999999997</v>
      </c>
      <c r="G190" s="644">
        <v>272467.07699999999</v>
      </c>
      <c r="H190" s="644">
        <v>529458.05099999998</v>
      </c>
      <c r="I190" s="644">
        <v>289865.049</v>
      </c>
      <c r="J190" s="644">
        <v>323649.48300000001</v>
      </c>
      <c r="K190" s="644">
        <v>207460.701</v>
      </c>
      <c r="L190" s="644">
        <v>317715.29099999997</v>
      </c>
      <c r="M190" s="644">
        <v>299710.413</v>
      </c>
      <c r="N190" s="641">
        <v>402041.50799999997</v>
      </c>
      <c r="O190" s="641">
        <v>142724.06099999999</v>
      </c>
      <c r="P190" s="642">
        <v>379383.68400000001</v>
      </c>
      <c r="Q190" s="640">
        <v>161807.883</v>
      </c>
      <c r="R190" s="643">
        <v>312624.02399999998</v>
      </c>
      <c r="S190" s="687">
        <v>377798.98499999999</v>
      </c>
      <c r="T190" s="638">
        <v>83618.16</v>
      </c>
      <c r="U190" s="642">
        <v>52935.689999999995</v>
      </c>
      <c r="V190" s="642">
        <v>134834.283</v>
      </c>
      <c r="W190" s="642">
        <v>269702.283</v>
      </c>
      <c r="X190" s="749">
        <v>5320306.5810000002</v>
      </c>
      <c r="Y190" s="534"/>
      <c r="Z190" s="534"/>
      <c r="AA190" s="534"/>
      <c r="AB190" s="739"/>
      <c r="AC190" s="624" t="s">
        <v>5</v>
      </c>
      <c r="AD190" s="629">
        <v>7975.5</v>
      </c>
      <c r="AE190" s="625">
        <v>13649</v>
      </c>
      <c r="AF190" s="626">
        <v>1289.9000000000001</v>
      </c>
      <c r="AG190" s="631">
        <v>13642</v>
      </c>
      <c r="AH190" s="774"/>
      <c r="AI190" s="774"/>
      <c r="AJ190" s="632">
        <v>5483.9</v>
      </c>
    </row>
    <row r="191" spans="1:36" s="743" customFormat="1" ht="15.75" thickBot="1" x14ac:dyDescent="0.3">
      <c r="A191" s="939"/>
      <c r="B191" s="637" t="s">
        <v>79</v>
      </c>
      <c r="C191" s="861">
        <f t="shared" ref="C191:W191" si="68">C186-C187</f>
        <v>145988</v>
      </c>
      <c r="D191" s="861">
        <f t="shared" si="68"/>
        <v>67271.600000000006</v>
      </c>
      <c r="E191" s="861">
        <f t="shared" si="68"/>
        <v>65929.600000000006</v>
      </c>
      <c r="F191" s="861">
        <f t="shared" si="68"/>
        <v>32038.399999999994</v>
      </c>
      <c r="G191" s="861">
        <f t="shared" si="68"/>
        <v>51205.100000000006</v>
      </c>
      <c r="H191" s="861">
        <f t="shared" si="68"/>
        <v>183935</v>
      </c>
      <c r="I191" s="861">
        <f t="shared" si="68"/>
        <v>51993.100000000006</v>
      </c>
      <c r="J191" s="861">
        <f t="shared" si="68"/>
        <v>122961.59999999999</v>
      </c>
      <c r="K191" s="861">
        <f t="shared" si="68"/>
        <v>48446.2</v>
      </c>
      <c r="L191" s="861">
        <f t="shared" si="68"/>
        <v>192497.30000000002</v>
      </c>
      <c r="M191" s="861">
        <f t="shared" si="68"/>
        <v>34790.600000000006</v>
      </c>
      <c r="N191" s="861">
        <f t="shared" si="68"/>
        <v>234767.00000000003</v>
      </c>
      <c r="O191" s="861">
        <f t="shared" si="68"/>
        <v>23679.800000000003</v>
      </c>
      <c r="P191" s="861">
        <f t="shared" si="68"/>
        <v>55029.500000000029</v>
      </c>
      <c r="Q191" s="861">
        <f t="shared" si="68"/>
        <v>60722.600000000006</v>
      </c>
      <c r="R191" s="861">
        <f t="shared" si="68"/>
        <v>76091.900000000009</v>
      </c>
      <c r="S191" s="861">
        <f t="shared" si="68"/>
        <v>104038.00000000001</v>
      </c>
      <c r="T191" s="861">
        <f t="shared" si="68"/>
        <v>41054.9</v>
      </c>
      <c r="U191" s="861">
        <f t="shared" si="68"/>
        <v>25771</v>
      </c>
      <c r="V191" s="861">
        <f t="shared" si="68"/>
        <v>95917.8</v>
      </c>
      <c r="W191" s="861">
        <f t="shared" si="68"/>
        <v>196939.2</v>
      </c>
      <c r="X191" s="750">
        <v>5590691.4000000004</v>
      </c>
      <c r="Y191" s="534"/>
      <c r="Z191" s="534"/>
      <c r="AA191" s="534"/>
      <c r="AB191" s="740"/>
      <c r="AC191" s="645" t="s">
        <v>3</v>
      </c>
      <c r="AD191" s="635">
        <f>AD190/AD189</f>
        <v>0.86767553689157739</v>
      </c>
      <c r="AE191" s="646">
        <f>AE190/AE189</f>
        <v>0.98994030911609621</v>
      </c>
      <c r="AF191" s="647">
        <f>AF190/AF189</f>
        <v>0.14649963656187537</v>
      </c>
      <c r="AG191" s="648">
        <f>AG190/AG189</f>
        <v>0.98943261022505558</v>
      </c>
      <c r="AH191" s="777"/>
      <c r="AI191" s="777"/>
      <c r="AJ191" s="649">
        <f>AJ190/AJ189</f>
        <v>0.62283072869343992</v>
      </c>
    </row>
    <row r="192" spans="1:36" s="743" customFormat="1" ht="30" x14ac:dyDescent="0.25">
      <c r="A192" s="939"/>
      <c r="B192" s="624" t="s">
        <v>8</v>
      </c>
      <c r="C192" s="724">
        <v>5511</v>
      </c>
      <c r="D192" s="725">
        <v>2939</v>
      </c>
      <c r="E192" s="724">
        <v>2965</v>
      </c>
      <c r="F192" s="726">
        <v>7700</v>
      </c>
      <c r="G192" s="726">
        <v>3502</v>
      </c>
      <c r="H192" s="726">
        <v>13618</v>
      </c>
      <c r="I192" s="726">
        <v>7111</v>
      </c>
      <c r="J192" s="727">
        <v>1370</v>
      </c>
      <c r="K192" s="727">
        <v>3764</v>
      </c>
      <c r="L192" s="725">
        <v>4874</v>
      </c>
      <c r="M192" s="724">
        <v>7616</v>
      </c>
      <c r="N192" s="726">
        <v>10878</v>
      </c>
      <c r="O192" s="727">
        <v>3643</v>
      </c>
      <c r="P192" s="726">
        <v>8575</v>
      </c>
      <c r="Q192" s="727">
        <v>1818</v>
      </c>
      <c r="R192" s="727">
        <v>4098</v>
      </c>
      <c r="S192" s="725">
        <v>8674</v>
      </c>
      <c r="T192" s="654">
        <v>1689</v>
      </c>
      <c r="U192" s="686">
        <v>1087</v>
      </c>
      <c r="V192" s="725">
        <v>1162</v>
      </c>
      <c r="W192" s="725">
        <v>1162</v>
      </c>
      <c r="X192" s="751">
        <v>103756</v>
      </c>
      <c r="Y192" s="534"/>
      <c r="Z192" s="534"/>
      <c r="AA192" s="534"/>
      <c r="AB192" s="738" t="s">
        <v>192</v>
      </c>
      <c r="AC192" s="528" t="s">
        <v>4</v>
      </c>
      <c r="AD192" s="544">
        <v>97433.600000000006</v>
      </c>
      <c r="AE192" s="541">
        <v>243584.4</v>
      </c>
      <c r="AF192" s="688">
        <v>132070.29999999999</v>
      </c>
      <c r="AG192" s="552">
        <v>292299.3</v>
      </c>
      <c r="AH192" s="773"/>
      <c r="AI192" s="773"/>
      <c r="AJ192" s="551">
        <v>132070.39999999999</v>
      </c>
    </row>
    <row r="193" spans="1:36" s="743" customFormat="1" x14ac:dyDescent="0.25">
      <c r="A193" s="939"/>
      <c r="B193" s="655" t="s">
        <v>77</v>
      </c>
      <c r="C193" s="660">
        <v>185814.38699999999</v>
      </c>
      <c r="D193" s="660">
        <v>99094.262999999992</v>
      </c>
      <c r="E193" s="660">
        <v>99970.904999999999</v>
      </c>
      <c r="F193" s="660">
        <v>259620.9</v>
      </c>
      <c r="G193" s="660">
        <v>118076.93399999999</v>
      </c>
      <c r="H193" s="660">
        <v>459158.10599999997</v>
      </c>
      <c r="I193" s="660">
        <v>239761.587</v>
      </c>
      <c r="J193" s="660">
        <v>46192.29</v>
      </c>
      <c r="K193" s="660">
        <v>126910.788</v>
      </c>
      <c r="L193" s="660">
        <v>164336.658</v>
      </c>
      <c r="M193" s="660">
        <v>256788.67199999999</v>
      </c>
      <c r="N193" s="657">
        <v>366773.52600000001</v>
      </c>
      <c r="O193" s="657">
        <v>122831.031</v>
      </c>
      <c r="P193" s="657">
        <v>200987.03699999995</v>
      </c>
      <c r="Q193" s="658">
        <v>61297.506000000001</v>
      </c>
      <c r="R193" s="658">
        <v>138172.266</v>
      </c>
      <c r="S193" s="659">
        <v>292461.25799999997</v>
      </c>
      <c r="T193" s="661">
        <v>56948.012999999999</v>
      </c>
      <c r="U193" s="691">
        <v>36650.379000000001</v>
      </c>
      <c r="V193" s="691">
        <v>39179.153999999995</v>
      </c>
      <c r="W193" s="691">
        <v>39179.153999999995</v>
      </c>
      <c r="X193" s="752">
        <v>3410204.8139999998</v>
      </c>
      <c r="Y193" s="534"/>
      <c r="Z193" s="534"/>
      <c r="AA193" s="534"/>
      <c r="AB193" s="739"/>
      <c r="AC193" s="624" t="s">
        <v>5</v>
      </c>
      <c r="AD193" s="629">
        <v>38973.199999999997</v>
      </c>
      <c r="AE193" s="625">
        <v>124350.5</v>
      </c>
      <c r="AF193" s="626">
        <v>3817.1</v>
      </c>
      <c r="AG193" s="631">
        <v>109009</v>
      </c>
      <c r="AH193" s="774"/>
      <c r="AI193" s="774"/>
      <c r="AJ193" s="632">
        <v>33401</v>
      </c>
    </row>
    <row r="194" spans="1:36" s="743" customFormat="1" ht="15.75" thickBot="1" x14ac:dyDescent="0.3">
      <c r="A194" s="940"/>
      <c r="B194" s="504" t="s">
        <v>218</v>
      </c>
      <c r="C194" s="542">
        <v>0.74320284827036731</v>
      </c>
      <c r="D194" s="689">
        <v>0.65836058723051982</v>
      </c>
      <c r="E194" s="690">
        <v>0.66418480474259656</v>
      </c>
      <c r="F194" s="690">
        <v>1.4264978670189035</v>
      </c>
      <c r="G194" s="690">
        <v>0.7123122214064791</v>
      </c>
      <c r="H194" s="690">
        <v>1.1788246774752569</v>
      </c>
      <c r="I194" s="690">
        <v>1.3941613020459309</v>
      </c>
      <c r="J194" s="690">
        <v>0.27813628423769809</v>
      </c>
      <c r="K194" s="690">
        <v>1.0233156478996801</v>
      </c>
      <c r="L194" s="690">
        <v>0.73341267418570522</v>
      </c>
      <c r="M194" s="690">
        <v>1.3303106733647931</v>
      </c>
      <c r="N194" s="501">
        <v>0.83696227852728733</v>
      </c>
      <c r="O194" s="501">
        <v>1.4792004580991054</v>
      </c>
      <c r="P194" s="663">
        <v>0.72787000996630558</v>
      </c>
      <c r="Q194" s="520">
        <v>0.73817909218341304</v>
      </c>
      <c r="R194" s="520">
        <v>0.7210811185993814</v>
      </c>
      <c r="S194" s="515">
        <v>1.3052157439242524</v>
      </c>
      <c r="T194" s="542">
        <v>1.0325835070986926</v>
      </c>
      <c r="U194" s="689">
        <v>1.107580090962663</v>
      </c>
      <c r="V194" s="689">
        <v>0.38337080036987564</v>
      </c>
      <c r="W194" s="689">
        <v>0.18701579262660711</v>
      </c>
      <c r="X194" s="748">
        <v>0.88266188988043626</v>
      </c>
      <c r="Y194" s="534"/>
      <c r="Z194" s="534"/>
      <c r="AA194" s="534"/>
      <c r="AB194" s="740"/>
      <c r="AC194" s="504" t="s">
        <v>3</v>
      </c>
      <c r="AD194" s="545">
        <f>AD193/AD192</f>
        <v>0.39999753678402516</v>
      </c>
      <c r="AE194" s="542">
        <f>AE193/AE192</f>
        <v>0.51050272513346506</v>
      </c>
      <c r="AF194" s="689">
        <f>AF193/AF192</f>
        <v>2.8902031720984961E-2</v>
      </c>
      <c r="AG194" s="636">
        <f>AG193/AG192</f>
        <v>0.37293623351133581</v>
      </c>
      <c r="AH194" s="775"/>
      <c r="AI194" s="775"/>
      <c r="AJ194" s="633">
        <f>AJ193/AJ192</f>
        <v>0.25290299718937781</v>
      </c>
    </row>
    <row r="195" spans="1:36" s="743" customFormat="1" ht="15.75" thickBot="1" x14ac:dyDescent="0.3">
      <c r="A195" s="612"/>
      <c r="B195" s="504" t="s">
        <v>219</v>
      </c>
      <c r="C195" s="650">
        <v>172106</v>
      </c>
      <c r="D195" s="650">
        <v>98689.1</v>
      </c>
      <c r="E195" s="650">
        <v>99565.7</v>
      </c>
      <c r="F195" s="650">
        <v>241623</v>
      </c>
      <c r="G195" s="650">
        <v>115789</v>
      </c>
      <c r="H195" s="650">
        <v>444084</v>
      </c>
      <c r="I195" s="650">
        <v>172296</v>
      </c>
      <c r="J195" s="650">
        <v>46232</v>
      </c>
      <c r="K195" s="650">
        <v>126991</v>
      </c>
      <c r="L195" s="650">
        <v>164441</v>
      </c>
      <c r="M195" s="650">
        <v>252825</v>
      </c>
      <c r="N195" s="650">
        <v>366847</v>
      </c>
      <c r="O195" s="650">
        <v>122881</v>
      </c>
      <c r="P195" s="650">
        <v>168553</v>
      </c>
      <c r="Q195" s="650">
        <v>61343.5</v>
      </c>
      <c r="R195" s="650">
        <v>125083</v>
      </c>
      <c r="S195" s="650">
        <v>292622</v>
      </c>
      <c r="T195" s="650">
        <v>56947.7</v>
      </c>
      <c r="U195" s="650">
        <v>36650.300000000003</v>
      </c>
      <c r="V195" s="650">
        <v>39212.6</v>
      </c>
      <c r="W195" s="650">
        <v>39212.6</v>
      </c>
      <c r="X195" s="753">
        <v>3243994.5</v>
      </c>
      <c r="Y195" s="534"/>
      <c r="Z195" s="534"/>
      <c r="AA195" s="534"/>
      <c r="AB195" s="740" t="s">
        <v>220</v>
      </c>
      <c r="AC195" s="504" t="s">
        <v>3</v>
      </c>
      <c r="AD195" s="545">
        <f>(AD188+AD194)/2</f>
        <v>0.38119624665106289</v>
      </c>
      <c r="AE195" s="545">
        <f t="shared" ref="AE195:AJ195" si="69">(AE188+AE194)/2</f>
        <v>0.47677983409520408</v>
      </c>
      <c r="AF195" s="545">
        <f t="shared" si="69"/>
        <v>2.9589946651719472E-2</v>
      </c>
      <c r="AG195" s="545">
        <f t="shared" si="69"/>
        <v>0.45412051337057324</v>
      </c>
      <c r="AH195" s="545"/>
      <c r="AI195" s="545"/>
      <c r="AJ195" s="545">
        <f t="shared" si="69"/>
        <v>0.31543211186862841</v>
      </c>
    </row>
    <row r="196" spans="1:36" s="743" customFormat="1" ht="15.75" thickBot="1" x14ac:dyDescent="0.3">
      <c r="A196" s="612"/>
      <c r="B196" s="504" t="s">
        <v>217</v>
      </c>
      <c r="C196" s="690">
        <v>0.68837333572249082</v>
      </c>
      <c r="D196" s="690">
        <v>0.65566877296672066</v>
      </c>
      <c r="E196" s="690">
        <v>0.661492711439993</v>
      </c>
      <c r="F196" s="690">
        <v>1.3276076545559643</v>
      </c>
      <c r="G196" s="690">
        <v>0.6985100053871216</v>
      </c>
      <c r="H196" s="690">
        <v>1.1401240035429583</v>
      </c>
      <c r="I196" s="690">
        <v>1.0018636375530234</v>
      </c>
      <c r="J196" s="690">
        <v>0.27837538889882402</v>
      </c>
      <c r="K196" s="690">
        <v>1.0239624187222625</v>
      </c>
      <c r="L196" s="690">
        <v>0.73387833867092245</v>
      </c>
      <c r="M196" s="690">
        <v>1.3097766088118319</v>
      </c>
      <c r="N196" s="690">
        <v>0.83712994320887746</v>
      </c>
      <c r="O196" s="690">
        <v>1.4798022129414201</v>
      </c>
      <c r="P196" s="690">
        <v>0.61041087833863994</v>
      </c>
      <c r="Q196" s="690">
        <v>0.73873297783686664</v>
      </c>
      <c r="R196" s="690">
        <v>0.65277202269930512</v>
      </c>
      <c r="S196" s="690">
        <v>1.3059331141172983</v>
      </c>
      <c r="T196" s="690">
        <v>1.032577831770956</v>
      </c>
      <c r="U196" s="690">
        <v>1.1075777035705112</v>
      </c>
      <c r="V196" s="690">
        <v>0.38369807185177573</v>
      </c>
      <c r="W196" s="690">
        <v>0.18717544207182457</v>
      </c>
      <c r="X196" s="754">
        <v>0.83964174362101562</v>
      </c>
      <c r="Y196" s="534"/>
      <c r="Z196" s="534"/>
      <c r="AA196" s="534"/>
      <c r="AB196" s="740"/>
      <c r="AC196" s="504"/>
      <c r="AD196" s="545"/>
      <c r="AE196" s="542"/>
      <c r="AF196" s="689"/>
      <c r="AG196" s="636"/>
      <c r="AH196" s="775"/>
      <c r="AI196" s="775"/>
      <c r="AJ196" s="633"/>
    </row>
    <row r="197" spans="1:36" s="591" customFormat="1" ht="15.75" thickBot="1" x14ac:dyDescent="0.3">
      <c r="A197" s="924">
        <v>41709</v>
      </c>
      <c r="B197" s="924"/>
      <c r="C197" s="924"/>
      <c r="D197" s="529"/>
      <c r="E197" s="529"/>
      <c r="F197" s="529"/>
      <c r="G197" s="529"/>
      <c r="H197" s="529"/>
      <c r="I197" s="525"/>
      <c r="J197" s="531"/>
      <c r="K197" s="531"/>
      <c r="L197" s="529"/>
      <c r="M197" s="529"/>
      <c r="N197" s="527"/>
      <c r="R197" s="526"/>
      <c r="S197" s="534"/>
      <c r="T197" s="534"/>
      <c r="U197" s="534"/>
      <c r="V197" s="534"/>
      <c r="W197" s="534"/>
      <c r="X197" s="534"/>
      <c r="Y197" s="534"/>
      <c r="Z197" s="534"/>
      <c r="AA197" s="941"/>
      <c r="AB197" s="942"/>
      <c r="AH197" s="743"/>
      <c r="AI197" s="743"/>
    </row>
    <row r="198" spans="1:36" s="591" customFormat="1" x14ac:dyDescent="0.25">
      <c r="A198" s="925" t="s">
        <v>1</v>
      </c>
      <c r="B198" s="926"/>
      <c r="C198" s="540" t="s">
        <v>12</v>
      </c>
      <c r="D198" s="539" t="s">
        <v>12</v>
      </c>
      <c r="E198" s="540" t="s">
        <v>13</v>
      </c>
      <c r="F198" s="530" t="s">
        <v>13</v>
      </c>
      <c r="G198" s="530" t="s">
        <v>13</v>
      </c>
      <c r="H198" s="530" t="s">
        <v>13</v>
      </c>
      <c r="I198" s="530" t="s">
        <v>13</v>
      </c>
      <c r="J198" s="536" t="s">
        <v>13</v>
      </c>
      <c r="K198" s="536" t="s">
        <v>13</v>
      </c>
      <c r="L198" s="539" t="s">
        <v>13</v>
      </c>
      <c r="M198" s="676" t="s">
        <v>2</v>
      </c>
      <c r="N198" s="530" t="s">
        <v>2</v>
      </c>
      <c r="O198" s="536" t="s">
        <v>2</v>
      </c>
      <c r="P198" s="530" t="s">
        <v>2</v>
      </c>
      <c r="Q198" s="536" t="s">
        <v>2</v>
      </c>
      <c r="R198" s="536" t="s">
        <v>2</v>
      </c>
      <c r="S198" s="539" t="s">
        <v>2</v>
      </c>
      <c r="T198" s="569" t="s">
        <v>183</v>
      </c>
      <c r="U198" s="693" t="s">
        <v>183</v>
      </c>
      <c r="V198" s="693" t="s">
        <v>2</v>
      </c>
      <c r="W198" s="693" t="s">
        <v>13</v>
      </c>
      <c r="X198" s="534"/>
      <c r="Y198" s="534"/>
      <c r="Z198" s="534"/>
      <c r="AA198" s="534"/>
      <c r="AB198" s="925" t="s">
        <v>1</v>
      </c>
      <c r="AC198" s="928"/>
      <c r="AD198" s="736" t="s">
        <v>12</v>
      </c>
      <c r="AE198" s="929" t="s">
        <v>13</v>
      </c>
      <c r="AF198" s="930"/>
      <c r="AG198" s="929" t="s">
        <v>2</v>
      </c>
      <c r="AH198" s="943"/>
      <c r="AI198" s="943"/>
      <c r="AJ198" s="930"/>
    </row>
    <row r="199" spans="1:36" s="591" customFormat="1" ht="15.75" thickBot="1" x14ac:dyDescent="0.3">
      <c r="A199" s="931" t="s">
        <v>0</v>
      </c>
      <c r="B199" s="932"/>
      <c r="C199" s="617" t="s">
        <v>99</v>
      </c>
      <c r="D199" s="618" t="s">
        <v>100</v>
      </c>
      <c r="E199" s="617" t="s">
        <v>101</v>
      </c>
      <c r="F199" s="619" t="s">
        <v>102</v>
      </c>
      <c r="G199" s="619" t="s">
        <v>97</v>
      </c>
      <c r="H199" s="619" t="s">
        <v>104</v>
      </c>
      <c r="I199" s="619" t="s">
        <v>103</v>
      </c>
      <c r="J199" s="521" t="s">
        <v>178</v>
      </c>
      <c r="K199" s="521" t="s">
        <v>200</v>
      </c>
      <c r="L199" s="517" t="s">
        <v>207</v>
      </c>
      <c r="M199" s="617" t="s">
        <v>105</v>
      </c>
      <c r="N199" s="619" t="s">
        <v>107</v>
      </c>
      <c r="O199" s="620" t="s">
        <v>98</v>
      </c>
      <c r="P199" s="516" t="s">
        <v>106</v>
      </c>
      <c r="Q199" s="620" t="s">
        <v>179</v>
      </c>
      <c r="R199" s="620" t="s">
        <v>199</v>
      </c>
      <c r="S199" s="618" t="s">
        <v>208</v>
      </c>
      <c r="T199" s="621" t="s">
        <v>182</v>
      </c>
      <c r="U199" s="618" t="s">
        <v>184</v>
      </c>
      <c r="V199" s="618" t="s">
        <v>222</v>
      </c>
      <c r="W199" s="694" t="s">
        <v>223</v>
      </c>
      <c r="X199" s="526"/>
      <c r="Y199" s="526"/>
      <c r="Z199" s="526"/>
      <c r="AA199" s="526"/>
      <c r="AB199" s="931" t="s">
        <v>0</v>
      </c>
      <c r="AC199" s="934"/>
      <c r="AD199" s="621" t="s">
        <v>99</v>
      </c>
      <c r="AE199" s="617" t="s">
        <v>104</v>
      </c>
      <c r="AF199" s="618" t="s">
        <v>207</v>
      </c>
      <c r="AG199" s="622" t="s">
        <v>107</v>
      </c>
      <c r="AH199" s="772"/>
      <c r="AI199" s="772"/>
      <c r="AJ199" s="623" t="s">
        <v>208</v>
      </c>
    </row>
    <row r="200" spans="1:36" s="591" customFormat="1" ht="30" x14ac:dyDescent="0.25">
      <c r="A200" s="935" t="s">
        <v>9</v>
      </c>
      <c r="B200" s="528" t="s">
        <v>4</v>
      </c>
      <c r="C200" s="541">
        <v>250018.4</v>
      </c>
      <c r="D200" s="688">
        <v>150516.70000000001</v>
      </c>
      <c r="E200" s="541">
        <v>150516.70000000001</v>
      </c>
      <c r="F200" s="533">
        <v>181998.8</v>
      </c>
      <c r="G200" s="533">
        <v>165765.70000000001</v>
      </c>
      <c r="H200" s="533">
        <v>389505</v>
      </c>
      <c r="I200" s="533">
        <v>171975.5</v>
      </c>
      <c r="J200" s="537">
        <v>166077.9</v>
      </c>
      <c r="K200" s="537">
        <v>124019.2</v>
      </c>
      <c r="L200" s="688">
        <v>224071.2</v>
      </c>
      <c r="M200" s="541">
        <v>193029.1</v>
      </c>
      <c r="N200" s="533">
        <v>438219.9</v>
      </c>
      <c r="O200" s="533">
        <v>83038.8</v>
      </c>
      <c r="P200" s="533">
        <v>276130.40000000002</v>
      </c>
      <c r="Q200" s="537">
        <v>83038.8</v>
      </c>
      <c r="R200" s="537">
        <v>191618.2</v>
      </c>
      <c r="S200" s="688">
        <v>224071.2</v>
      </c>
      <c r="T200" s="544">
        <v>55151</v>
      </c>
      <c r="U200" s="688">
        <v>33090.5</v>
      </c>
      <c r="V200" s="688">
        <v>102196.5</v>
      </c>
      <c r="W200" s="688">
        <v>209496.5</v>
      </c>
      <c r="X200" s="534"/>
      <c r="Y200" s="534"/>
      <c r="Z200" s="534"/>
      <c r="AA200" s="534"/>
      <c r="AB200" s="733" t="s">
        <v>195</v>
      </c>
      <c r="AC200" s="524" t="s">
        <v>4</v>
      </c>
      <c r="AD200" s="544">
        <v>143393</v>
      </c>
      <c r="AE200" s="541">
        <v>132132</v>
      </c>
      <c r="AF200" s="688">
        <v>83196.100000000006</v>
      </c>
      <c r="AG200" s="552">
        <v>132132.20000000001</v>
      </c>
      <c r="AH200" s="773"/>
      <c r="AI200" s="773"/>
      <c r="AJ200" s="551">
        <v>83196.100000000006</v>
      </c>
    </row>
    <row r="201" spans="1:36" s="591" customFormat="1" x14ac:dyDescent="0.25">
      <c r="A201" s="936"/>
      <c r="B201" s="624" t="s">
        <v>5</v>
      </c>
      <c r="C201" s="625">
        <v>101294.7</v>
      </c>
      <c r="D201" s="626">
        <v>83109.899999999994</v>
      </c>
      <c r="E201" s="625">
        <v>84452.1</v>
      </c>
      <c r="F201" s="627">
        <v>147064.5</v>
      </c>
      <c r="G201" s="627">
        <v>114561.1</v>
      </c>
      <c r="H201" s="627">
        <v>203106.1</v>
      </c>
      <c r="I201" s="627">
        <v>118454.8</v>
      </c>
      <c r="J201" s="628">
        <v>40823.699999999997</v>
      </c>
      <c r="K201" s="628">
        <v>65413.4</v>
      </c>
      <c r="L201" s="626">
        <v>25780.6</v>
      </c>
      <c r="M201" s="625">
        <v>156405.1</v>
      </c>
      <c r="N201" s="627">
        <v>201986.9</v>
      </c>
      <c r="O201" s="627">
        <v>59151</v>
      </c>
      <c r="P201" s="627">
        <v>218368.2</v>
      </c>
      <c r="Q201" s="628">
        <v>21165.5</v>
      </c>
      <c r="R201" s="628">
        <v>107476.6</v>
      </c>
      <c r="S201" s="626">
        <v>115637.1</v>
      </c>
      <c r="T201" s="629">
        <v>14096.1</v>
      </c>
      <c r="U201" s="626">
        <v>7319.5</v>
      </c>
      <c r="V201" s="626">
        <v>3210.9</v>
      </c>
      <c r="W201" s="695">
        <v>6421.6</v>
      </c>
      <c r="X201" s="534"/>
      <c r="Y201" s="534"/>
      <c r="Z201" s="534"/>
      <c r="AA201" s="534"/>
      <c r="AB201" s="734"/>
      <c r="AC201" s="630" t="s">
        <v>5</v>
      </c>
      <c r="AD201" s="629">
        <v>51964.9</v>
      </c>
      <c r="AE201" s="625">
        <v>58542</v>
      </c>
      <c r="AF201" s="626">
        <v>2519</v>
      </c>
      <c r="AG201" s="631">
        <v>70731</v>
      </c>
      <c r="AH201" s="774"/>
      <c r="AI201" s="774"/>
      <c r="AJ201" s="632">
        <v>31444.9</v>
      </c>
    </row>
    <row r="202" spans="1:36" s="591" customFormat="1" ht="15.75" thickBot="1" x14ac:dyDescent="0.3">
      <c r="A202" s="937"/>
      <c r="B202" s="504" t="s">
        <v>3</v>
      </c>
      <c r="C202" s="542">
        <v>0.4051489810349958</v>
      </c>
      <c r="D202" s="633">
        <v>0.55216397914649995</v>
      </c>
      <c r="E202" s="633">
        <v>0.56108126207922437</v>
      </c>
      <c r="F202" s="681">
        <v>0.80805203111229307</v>
      </c>
      <c r="G202" s="633">
        <v>0.69110256223090782</v>
      </c>
      <c r="H202" s="633">
        <v>0.52144670800118098</v>
      </c>
      <c r="I202" s="633">
        <v>0.6887888100339874</v>
      </c>
      <c r="J202" s="633">
        <v>0.245810550350167</v>
      </c>
      <c r="K202" s="633">
        <v>0.52744575033543195</v>
      </c>
      <c r="L202" s="633">
        <v>0.11505539310719091</v>
      </c>
      <c r="M202" s="547">
        <v>0.81026694938742394</v>
      </c>
      <c r="N202" s="498">
        <v>0.46092589588012772</v>
      </c>
      <c r="O202" s="506">
        <v>0.71232965794303382</v>
      </c>
      <c r="P202" s="498">
        <v>0.79081549876435187</v>
      </c>
      <c r="Q202" s="506">
        <v>0.25488687216096573</v>
      </c>
      <c r="R202" s="506">
        <v>0.56088931009684884</v>
      </c>
      <c r="S202" s="689">
        <v>0.51607301607703271</v>
      </c>
      <c r="T202" s="545">
        <v>0.25559101376221649</v>
      </c>
      <c r="U202" s="689">
        <v>0.22119641588975689</v>
      </c>
      <c r="V202" s="689">
        <v>3.14188842083633E-2</v>
      </c>
      <c r="W202" s="689">
        <v>3.0652540734570747E-2</v>
      </c>
      <c r="X202" s="534"/>
      <c r="Y202" s="534"/>
      <c r="Z202" s="534"/>
      <c r="AA202" s="534"/>
      <c r="AB202" s="735"/>
      <c r="AC202" s="634" t="s">
        <v>3</v>
      </c>
      <c r="AD202" s="635">
        <f>AD201/AD200</f>
        <v>0.36239495651810061</v>
      </c>
      <c r="AE202" s="542">
        <f>AE201/AE200</f>
        <v>0.44305694305694304</v>
      </c>
      <c r="AF202" s="689">
        <f>AF201/AF200</f>
        <v>3.0277861582453984E-2</v>
      </c>
      <c r="AG202" s="636">
        <f>AG201/AG200</f>
        <v>0.53530479322981073</v>
      </c>
      <c r="AH202" s="775"/>
      <c r="AI202" s="775"/>
      <c r="AJ202" s="633">
        <f>AJ201/AJ200</f>
        <v>0.37796122654787906</v>
      </c>
    </row>
    <row r="203" spans="1:36" s="591" customFormat="1" ht="30" x14ac:dyDescent="0.25">
      <c r="A203" s="938" t="s">
        <v>6</v>
      </c>
      <c r="B203" s="553" t="s">
        <v>7</v>
      </c>
      <c r="C203" s="541">
        <v>5862</v>
      </c>
      <c r="D203" s="541">
        <v>3653</v>
      </c>
      <c r="E203" s="541">
        <v>3650</v>
      </c>
      <c r="F203" s="541">
        <v>9457</v>
      </c>
      <c r="G203" s="541">
        <v>8135</v>
      </c>
      <c r="H203" s="541">
        <v>15703</v>
      </c>
      <c r="I203" s="541">
        <v>8597</v>
      </c>
      <c r="J203" s="541">
        <v>9599</v>
      </c>
      <c r="K203" s="541">
        <v>6153</v>
      </c>
      <c r="L203" s="541">
        <v>9423</v>
      </c>
      <c r="M203" s="541">
        <v>8901</v>
      </c>
      <c r="N203" s="541">
        <v>11924</v>
      </c>
      <c r="O203" s="541">
        <v>4265</v>
      </c>
      <c r="P203" s="541">
        <v>11252</v>
      </c>
      <c r="Q203" s="541">
        <v>4799</v>
      </c>
      <c r="R203" s="541">
        <v>9272</v>
      </c>
      <c r="S203" s="541">
        <v>11205</v>
      </c>
      <c r="T203" s="558">
        <v>2480</v>
      </c>
      <c r="U203" s="692">
        <v>1570</v>
      </c>
      <c r="V203" s="541">
        <v>3999</v>
      </c>
      <c r="W203" s="541">
        <v>7999</v>
      </c>
      <c r="X203" s="559" t="s">
        <v>198</v>
      </c>
      <c r="Y203" s="561"/>
      <c r="Z203" s="561"/>
      <c r="AA203" s="561"/>
      <c r="AB203" s="562" t="s">
        <v>191</v>
      </c>
      <c r="AC203" s="553" t="s">
        <v>4</v>
      </c>
      <c r="AD203" s="564">
        <v>9191.7999999999993</v>
      </c>
      <c r="AE203" s="565">
        <v>13787.7</v>
      </c>
      <c r="AF203" s="566">
        <v>8804.7999999999993</v>
      </c>
      <c r="AG203" s="567">
        <v>13787.7</v>
      </c>
      <c r="AH203" s="776"/>
      <c r="AI203" s="776"/>
      <c r="AJ203" s="568">
        <v>8804.7999999999993</v>
      </c>
    </row>
    <row r="204" spans="1:36" s="591" customFormat="1" x14ac:dyDescent="0.25">
      <c r="A204" s="939"/>
      <c r="B204" s="637" t="s">
        <v>11</v>
      </c>
      <c r="C204" s="644">
        <v>197649.054</v>
      </c>
      <c r="D204" s="644">
        <v>123168.201</v>
      </c>
      <c r="E204" s="644">
        <v>123067.04999999999</v>
      </c>
      <c r="F204" s="644">
        <v>318861.66899999999</v>
      </c>
      <c r="G204" s="644">
        <v>274287.79499999998</v>
      </c>
      <c r="H204" s="644">
        <v>529458.05099999998</v>
      </c>
      <c r="I204" s="644">
        <v>289865.049</v>
      </c>
      <c r="J204" s="644">
        <v>323649.48300000001</v>
      </c>
      <c r="K204" s="644">
        <v>207460.701</v>
      </c>
      <c r="L204" s="644">
        <v>317715.29099999997</v>
      </c>
      <c r="M204" s="644">
        <v>300115.01699999999</v>
      </c>
      <c r="N204" s="641">
        <v>402041.50799999997</v>
      </c>
      <c r="O204" s="641">
        <v>143803.005</v>
      </c>
      <c r="P204" s="642">
        <v>379383.68400000001</v>
      </c>
      <c r="Q204" s="640">
        <v>161807.883</v>
      </c>
      <c r="R204" s="643">
        <v>312624.02399999998</v>
      </c>
      <c r="S204" s="687">
        <v>377798.98499999999</v>
      </c>
      <c r="T204" s="638">
        <v>83618.16</v>
      </c>
      <c r="U204" s="642">
        <v>52935.689999999995</v>
      </c>
      <c r="V204" s="642">
        <v>134834.283</v>
      </c>
      <c r="W204" s="642">
        <v>269702.283</v>
      </c>
      <c r="X204" s="534"/>
      <c r="Y204" s="534"/>
      <c r="Z204" s="534"/>
      <c r="AA204" s="534"/>
      <c r="AB204" s="734"/>
      <c r="AC204" s="624" t="s">
        <v>5</v>
      </c>
      <c r="AD204" s="629">
        <v>7975.5</v>
      </c>
      <c r="AE204" s="625">
        <v>13649</v>
      </c>
      <c r="AF204" s="626">
        <v>1289.9000000000001</v>
      </c>
      <c r="AG204" s="631">
        <v>13642</v>
      </c>
      <c r="AH204" s="774"/>
      <c r="AI204" s="774"/>
      <c r="AJ204" s="632">
        <v>5483.9</v>
      </c>
    </row>
    <row r="205" spans="1:36" s="591" customFormat="1" ht="15.75" thickBot="1" x14ac:dyDescent="0.3">
      <c r="A205" s="939"/>
      <c r="B205" s="637" t="s">
        <v>79</v>
      </c>
      <c r="C205" s="861">
        <f t="shared" ref="C205:W205" si="70">C200-C201</f>
        <v>148723.70000000001</v>
      </c>
      <c r="D205" s="861">
        <f t="shared" si="70"/>
        <v>67406.800000000017</v>
      </c>
      <c r="E205" s="861">
        <f t="shared" si="70"/>
        <v>66064.600000000006</v>
      </c>
      <c r="F205" s="861">
        <f t="shared" si="70"/>
        <v>34934.299999999988</v>
      </c>
      <c r="G205" s="861">
        <f t="shared" si="70"/>
        <v>51204.600000000006</v>
      </c>
      <c r="H205" s="861">
        <f t="shared" si="70"/>
        <v>186398.9</v>
      </c>
      <c r="I205" s="861">
        <f t="shared" si="70"/>
        <v>53520.7</v>
      </c>
      <c r="J205" s="861">
        <f t="shared" si="70"/>
        <v>125254.2</v>
      </c>
      <c r="K205" s="861">
        <f t="shared" si="70"/>
        <v>58605.799999999996</v>
      </c>
      <c r="L205" s="861">
        <f t="shared" si="70"/>
        <v>198290.6</v>
      </c>
      <c r="M205" s="861">
        <f t="shared" si="70"/>
        <v>36624</v>
      </c>
      <c r="N205" s="861">
        <f t="shared" si="70"/>
        <v>236233.00000000003</v>
      </c>
      <c r="O205" s="861">
        <f t="shared" si="70"/>
        <v>23887.800000000003</v>
      </c>
      <c r="P205" s="861">
        <f t="shared" si="70"/>
        <v>57762.200000000012</v>
      </c>
      <c r="Q205" s="861">
        <f t="shared" si="70"/>
        <v>61873.3</v>
      </c>
      <c r="R205" s="861">
        <f t="shared" si="70"/>
        <v>84141.6</v>
      </c>
      <c r="S205" s="861">
        <f t="shared" si="70"/>
        <v>108434.1</v>
      </c>
      <c r="T205" s="861">
        <f t="shared" si="70"/>
        <v>41054.9</v>
      </c>
      <c r="U205" s="861">
        <f t="shared" si="70"/>
        <v>25771</v>
      </c>
      <c r="V205" s="861">
        <f t="shared" si="70"/>
        <v>98985.600000000006</v>
      </c>
      <c r="W205" s="861">
        <f t="shared" si="70"/>
        <v>203074.9</v>
      </c>
      <c r="X205" s="534"/>
      <c r="Y205" s="534"/>
      <c r="Z205" s="534"/>
      <c r="AA205" s="534"/>
      <c r="AB205" s="735"/>
      <c r="AC205" s="645" t="s">
        <v>3</v>
      </c>
      <c r="AD205" s="635">
        <f>AD204/AD203</f>
        <v>0.86767553689157739</v>
      </c>
      <c r="AE205" s="646">
        <f>AE204/AE203</f>
        <v>0.98994030911609621</v>
      </c>
      <c r="AF205" s="647">
        <f>AF204/AF203</f>
        <v>0.14649963656187537</v>
      </c>
      <c r="AG205" s="648">
        <f>AG204/AG203</f>
        <v>0.98943261022505558</v>
      </c>
      <c r="AH205" s="777"/>
      <c r="AI205" s="777"/>
      <c r="AJ205" s="649">
        <f>AJ204/AJ203</f>
        <v>0.62283072869343992</v>
      </c>
    </row>
    <row r="206" spans="1:36" s="591" customFormat="1" ht="30" x14ac:dyDescent="0.25">
      <c r="A206" s="939"/>
      <c r="B206" s="624" t="s">
        <v>8</v>
      </c>
      <c r="C206" s="724">
        <v>5541</v>
      </c>
      <c r="D206" s="725">
        <v>2939</v>
      </c>
      <c r="E206" s="724">
        <v>2965</v>
      </c>
      <c r="F206" s="726">
        <v>7748</v>
      </c>
      <c r="G206" s="726">
        <v>3530</v>
      </c>
      <c r="H206" s="726">
        <v>13618</v>
      </c>
      <c r="I206" s="726">
        <v>7097</v>
      </c>
      <c r="J206" s="727">
        <v>1315</v>
      </c>
      <c r="K206" s="727">
        <v>3737</v>
      </c>
      <c r="L206" s="725">
        <v>4818</v>
      </c>
      <c r="M206" s="724">
        <v>7616</v>
      </c>
      <c r="N206" s="726">
        <v>10872</v>
      </c>
      <c r="O206" s="727">
        <v>3677</v>
      </c>
      <c r="P206" s="726">
        <v>8561</v>
      </c>
      <c r="Q206" s="727">
        <v>1763</v>
      </c>
      <c r="R206" s="727">
        <v>4096</v>
      </c>
      <c r="S206" s="725">
        <v>8584</v>
      </c>
      <c r="T206" s="654">
        <v>1689</v>
      </c>
      <c r="U206" s="686">
        <v>1087</v>
      </c>
      <c r="V206" s="725">
        <v>753</v>
      </c>
      <c r="W206" s="725">
        <v>753</v>
      </c>
      <c r="X206" s="526"/>
      <c r="Y206" s="534"/>
      <c r="Z206" s="534"/>
      <c r="AA206" s="534"/>
      <c r="AB206" s="733" t="s">
        <v>192</v>
      </c>
      <c r="AC206" s="528" t="s">
        <v>4</v>
      </c>
      <c r="AD206" s="544">
        <v>97433.600000000006</v>
      </c>
      <c r="AE206" s="541">
        <v>243584.4</v>
      </c>
      <c r="AF206" s="688">
        <v>132070.29999999999</v>
      </c>
      <c r="AG206" s="552">
        <v>292299.3</v>
      </c>
      <c r="AH206" s="773"/>
      <c r="AI206" s="773"/>
      <c r="AJ206" s="551">
        <v>132070.39999999999</v>
      </c>
    </row>
    <row r="207" spans="1:36" s="591" customFormat="1" x14ac:dyDescent="0.25">
      <c r="A207" s="939"/>
      <c r="B207" s="655" t="s">
        <v>77</v>
      </c>
      <c r="C207" s="660">
        <v>186825.897</v>
      </c>
      <c r="D207" s="660">
        <v>99094.262999999992</v>
      </c>
      <c r="E207" s="660">
        <v>99970.904999999999</v>
      </c>
      <c r="F207" s="660">
        <v>261239.31599999999</v>
      </c>
      <c r="G207" s="660">
        <v>119021.01</v>
      </c>
      <c r="H207" s="660">
        <v>459158.10599999997</v>
      </c>
      <c r="I207" s="660">
        <v>239289.549</v>
      </c>
      <c r="J207" s="660">
        <v>44337.854999999996</v>
      </c>
      <c r="K207" s="660">
        <v>126000.42899999999</v>
      </c>
      <c r="L207" s="660">
        <v>162448.50599999999</v>
      </c>
      <c r="M207" s="660">
        <v>256788.67199999999</v>
      </c>
      <c r="N207" s="657">
        <v>366571.22399999999</v>
      </c>
      <c r="O207" s="657">
        <v>123977.409</v>
      </c>
      <c r="P207" s="657">
        <v>200514.99899999995</v>
      </c>
      <c r="Q207" s="658">
        <v>59443.070999999996</v>
      </c>
      <c r="R207" s="658">
        <v>138104.83199999999</v>
      </c>
      <c r="S207" s="659">
        <v>289426.728</v>
      </c>
      <c r="T207" s="661">
        <v>56948.012999999999</v>
      </c>
      <c r="U207" s="691">
        <v>36650.379000000001</v>
      </c>
      <c r="V207" s="691">
        <v>25388.900999999998</v>
      </c>
      <c r="W207" s="691">
        <v>25388.900999999998</v>
      </c>
      <c r="X207" s="532">
        <f>344240-H207</f>
        <v>-114918.10599999997</v>
      </c>
      <c r="Y207" s="534"/>
      <c r="Z207" s="534"/>
      <c r="AA207" s="534"/>
      <c r="AB207" s="734"/>
      <c r="AC207" s="624" t="s">
        <v>5</v>
      </c>
      <c r="AD207" s="629">
        <v>38973.199999999997</v>
      </c>
      <c r="AE207" s="625">
        <v>124350.5</v>
      </c>
      <c r="AF207" s="626">
        <v>3817.1</v>
      </c>
      <c r="AG207" s="631">
        <v>109009</v>
      </c>
      <c r="AH207" s="774"/>
      <c r="AI207" s="774"/>
      <c r="AJ207" s="632">
        <v>33401</v>
      </c>
    </row>
    <row r="208" spans="1:36" s="591" customFormat="1" ht="15.75" thickBot="1" x14ac:dyDescent="0.3">
      <c r="A208" s="940"/>
      <c r="B208" s="504" t="s">
        <v>218</v>
      </c>
      <c r="C208" s="542">
        <v>0.74724859050373893</v>
      </c>
      <c r="D208" s="689">
        <v>0.65836058723051982</v>
      </c>
      <c r="E208" s="690">
        <v>0.66418480474259656</v>
      </c>
      <c r="F208" s="690">
        <v>1.4353903212548655</v>
      </c>
      <c r="G208" s="690">
        <v>0.71800746475296151</v>
      </c>
      <c r="H208" s="690">
        <v>1.1788246774752569</v>
      </c>
      <c r="I208" s="690">
        <v>1.3914165040950601</v>
      </c>
      <c r="J208" s="690">
        <v>0.26697022903107515</v>
      </c>
      <c r="K208" s="690">
        <v>1.0159751796496026</v>
      </c>
      <c r="L208" s="690">
        <v>0.72498610263166341</v>
      </c>
      <c r="M208" s="690">
        <v>1.3303106733647931</v>
      </c>
      <c r="N208" s="501">
        <v>0.83650063358601467</v>
      </c>
      <c r="O208" s="501">
        <v>1.4930057876558909</v>
      </c>
      <c r="P208" s="663">
        <v>0.72616053502258326</v>
      </c>
      <c r="Q208" s="520">
        <v>0.71584694142978933</v>
      </c>
      <c r="R208" s="520">
        <v>0.72072920004467211</v>
      </c>
      <c r="S208" s="515">
        <v>1.2916730396409712</v>
      </c>
      <c r="T208" s="542">
        <v>1.0325835070986926</v>
      </c>
      <c r="U208" s="689">
        <v>1.107580090962663</v>
      </c>
      <c r="V208" s="689">
        <v>0.24843219679734627</v>
      </c>
      <c r="W208" s="689">
        <v>0.12119009625459136</v>
      </c>
      <c r="X208" s="534"/>
      <c r="Y208" s="534"/>
      <c r="Z208" s="534"/>
      <c r="AA208" s="534"/>
      <c r="AB208" s="735"/>
      <c r="AC208" s="504" t="s">
        <v>3</v>
      </c>
      <c r="AD208" s="545">
        <f>AD207/AD206</f>
        <v>0.39999753678402516</v>
      </c>
      <c r="AE208" s="542">
        <f>AE207/AE206</f>
        <v>0.51050272513346506</v>
      </c>
      <c r="AF208" s="689">
        <f>AF207/AF206</f>
        <v>2.8902031720984961E-2</v>
      </c>
      <c r="AG208" s="636">
        <f>AG207/AG206</f>
        <v>0.37293623351133581</v>
      </c>
      <c r="AH208" s="775"/>
      <c r="AI208" s="775"/>
      <c r="AJ208" s="633">
        <f>AJ207/AJ206</f>
        <v>0.25290299718937781</v>
      </c>
    </row>
    <row r="209" spans="1:36" s="591" customFormat="1" ht="15.75" thickBot="1" x14ac:dyDescent="0.3">
      <c r="A209" s="612"/>
      <c r="B209" s="504" t="s">
        <v>219</v>
      </c>
      <c r="C209" s="650">
        <v>173118</v>
      </c>
      <c r="D209" s="650">
        <v>98689.1</v>
      </c>
      <c r="E209" s="650">
        <v>99565.7</v>
      </c>
      <c r="F209" s="650">
        <v>243240</v>
      </c>
      <c r="G209" s="650">
        <v>116733</v>
      </c>
      <c r="H209" s="650">
        <v>444084</v>
      </c>
      <c r="I209" s="650">
        <v>171824</v>
      </c>
      <c r="J209" s="650">
        <v>44377.599999999999</v>
      </c>
      <c r="K209" s="650">
        <v>126081</v>
      </c>
      <c r="L209" s="650">
        <v>162553</v>
      </c>
      <c r="M209" s="650">
        <v>252825</v>
      </c>
      <c r="N209" s="650">
        <v>366642</v>
      </c>
      <c r="O209" s="650">
        <v>124027</v>
      </c>
      <c r="P209" s="650">
        <v>168081</v>
      </c>
      <c r="Q209" s="650">
        <v>59489.1</v>
      </c>
      <c r="R209" s="650">
        <v>125016</v>
      </c>
      <c r="S209" s="650">
        <v>289585</v>
      </c>
      <c r="T209" s="650">
        <v>56947.7</v>
      </c>
      <c r="U209" s="650">
        <v>36650.300000000003</v>
      </c>
      <c r="V209" s="650">
        <v>25422.5</v>
      </c>
      <c r="W209" s="650">
        <v>25422.5</v>
      </c>
      <c r="X209" s="534"/>
      <c r="Y209" s="534"/>
      <c r="Z209" s="534"/>
      <c r="AA209" s="534"/>
      <c r="AB209" s="735" t="s">
        <v>220</v>
      </c>
      <c r="AC209" s="504" t="s">
        <v>3</v>
      </c>
      <c r="AD209" s="545">
        <f>(AD202+AD208)/2</f>
        <v>0.38119624665106289</v>
      </c>
      <c r="AE209" s="545">
        <f t="shared" ref="AE209:AJ209" si="71">(AE202+AE208)/2</f>
        <v>0.47677983409520408</v>
      </c>
      <c r="AF209" s="545">
        <f t="shared" si="71"/>
        <v>2.9589946651719472E-2</v>
      </c>
      <c r="AG209" s="545">
        <f t="shared" si="71"/>
        <v>0.45412051337057324</v>
      </c>
      <c r="AH209" s="545"/>
      <c r="AI209" s="545"/>
      <c r="AJ209" s="545">
        <f t="shared" si="71"/>
        <v>0.31543211186862841</v>
      </c>
    </row>
    <row r="210" spans="1:36" s="591" customFormat="1" ht="15.75" thickBot="1" x14ac:dyDescent="0.3">
      <c r="A210" s="612"/>
      <c r="B210" s="504" t="s">
        <v>217</v>
      </c>
      <c r="C210" s="690">
        <v>0.69242103781161712</v>
      </c>
      <c r="D210" s="690">
        <v>0.65566877296672066</v>
      </c>
      <c r="E210" s="690">
        <v>0.661492711439993</v>
      </c>
      <c r="F210" s="690">
        <v>1.3364923285208474</v>
      </c>
      <c r="G210" s="690">
        <v>0.70420479025516125</v>
      </c>
      <c r="H210" s="690">
        <v>1.1401240035429583</v>
      </c>
      <c r="I210" s="690">
        <v>0.99911906056385935</v>
      </c>
      <c r="J210" s="690">
        <v>0.26720954443667699</v>
      </c>
      <c r="K210" s="690">
        <v>1.0166248451852617</v>
      </c>
      <c r="L210" s="690">
        <v>0.72545244547268906</v>
      </c>
      <c r="M210" s="690">
        <v>1.3097766088118319</v>
      </c>
      <c r="N210" s="690">
        <v>0.83666214154126728</v>
      </c>
      <c r="O210" s="690">
        <v>1.4936029904093027</v>
      </c>
      <c r="P210" s="690">
        <v>0.60870154101105844</v>
      </c>
      <c r="Q210" s="690">
        <v>0.71640124857295617</v>
      </c>
      <c r="R210" s="690">
        <v>0.65242236906515139</v>
      </c>
      <c r="S210" s="690">
        <v>1.2923793865521316</v>
      </c>
      <c r="T210" s="690">
        <v>1.032577831770956</v>
      </c>
      <c r="U210" s="690">
        <v>1.1075777035705112</v>
      </c>
      <c r="V210" s="690">
        <v>0.24876096539509671</v>
      </c>
      <c r="W210" s="690">
        <v>0.12135047602227245</v>
      </c>
      <c r="X210" s="534"/>
      <c r="Y210" s="534"/>
      <c r="Z210" s="534"/>
      <c r="AA210" s="534"/>
      <c r="AB210" s="735"/>
      <c r="AC210" s="504"/>
      <c r="AD210" s="545"/>
      <c r="AE210" s="542"/>
      <c r="AF210" s="689"/>
      <c r="AG210" s="636"/>
      <c r="AH210" s="775"/>
      <c r="AI210" s="775"/>
      <c r="AJ210" s="633"/>
    </row>
    <row r="211" spans="1:36" s="591" customFormat="1" ht="15.75" thickBot="1" x14ac:dyDescent="0.3">
      <c r="A211" s="924">
        <v>41704</v>
      </c>
      <c r="B211" s="924"/>
      <c r="C211" s="924"/>
      <c r="D211" s="529"/>
      <c r="E211" s="529"/>
      <c r="F211" s="529"/>
      <c r="G211" s="529"/>
      <c r="H211" s="529"/>
      <c r="I211" s="525"/>
      <c r="J211" s="531"/>
      <c r="K211" s="531"/>
      <c r="L211" s="529"/>
      <c r="M211" s="529"/>
      <c r="N211" s="527"/>
      <c r="R211" s="526"/>
      <c r="S211" s="534"/>
      <c r="T211" s="534"/>
      <c r="U211" s="534"/>
      <c r="V211" s="534"/>
      <c r="W211" s="534"/>
      <c r="X211" s="534"/>
      <c r="Y211" s="534"/>
      <c r="Z211" s="534"/>
      <c r="AA211" s="941"/>
      <c r="AB211" s="942"/>
      <c r="AH211" s="743"/>
      <c r="AI211" s="743"/>
    </row>
    <row r="212" spans="1:36" s="591" customFormat="1" x14ac:dyDescent="0.25">
      <c r="A212" s="925" t="s">
        <v>1</v>
      </c>
      <c r="B212" s="926"/>
      <c r="C212" s="540" t="s">
        <v>12</v>
      </c>
      <c r="D212" s="539" t="s">
        <v>12</v>
      </c>
      <c r="E212" s="540" t="s">
        <v>13</v>
      </c>
      <c r="F212" s="530" t="s">
        <v>13</v>
      </c>
      <c r="G212" s="530" t="s">
        <v>13</v>
      </c>
      <c r="H212" s="530" t="s">
        <v>13</v>
      </c>
      <c r="I212" s="530" t="s">
        <v>13</v>
      </c>
      <c r="J212" s="536" t="s">
        <v>13</v>
      </c>
      <c r="K212" s="536" t="s">
        <v>13</v>
      </c>
      <c r="L212" s="539" t="s">
        <v>13</v>
      </c>
      <c r="M212" s="676" t="s">
        <v>2</v>
      </c>
      <c r="N212" s="530" t="s">
        <v>2</v>
      </c>
      <c r="O212" s="536" t="s">
        <v>2</v>
      </c>
      <c r="P212" s="530" t="s">
        <v>2</v>
      </c>
      <c r="Q212" s="536" t="s">
        <v>2</v>
      </c>
      <c r="R212" s="536" t="s">
        <v>2</v>
      </c>
      <c r="S212" s="539" t="s">
        <v>2</v>
      </c>
      <c r="T212" s="569" t="s">
        <v>183</v>
      </c>
      <c r="U212" s="693" t="s">
        <v>183</v>
      </c>
      <c r="V212" s="693" t="s">
        <v>2</v>
      </c>
      <c r="W212" s="693" t="s">
        <v>13</v>
      </c>
      <c r="X212" s="534"/>
      <c r="Y212" s="534"/>
      <c r="Z212" s="534"/>
      <c r="AA212" s="534"/>
      <c r="AB212" s="925" t="s">
        <v>1</v>
      </c>
      <c r="AC212" s="928"/>
      <c r="AD212" s="731" t="s">
        <v>12</v>
      </c>
      <c r="AE212" s="929" t="s">
        <v>13</v>
      </c>
      <c r="AF212" s="930"/>
      <c r="AG212" s="929" t="s">
        <v>2</v>
      </c>
      <c r="AH212" s="943"/>
      <c r="AI212" s="943"/>
      <c r="AJ212" s="930"/>
    </row>
    <row r="213" spans="1:36" s="591" customFormat="1" ht="15.75" thickBot="1" x14ac:dyDescent="0.3">
      <c r="A213" s="931" t="s">
        <v>0</v>
      </c>
      <c r="B213" s="932"/>
      <c r="C213" s="617" t="s">
        <v>99</v>
      </c>
      <c r="D213" s="618" t="s">
        <v>100</v>
      </c>
      <c r="E213" s="617" t="s">
        <v>101</v>
      </c>
      <c r="F213" s="619" t="s">
        <v>102</v>
      </c>
      <c r="G213" s="619" t="s">
        <v>97</v>
      </c>
      <c r="H213" s="619" t="s">
        <v>104</v>
      </c>
      <c r="I213" s="619" t="s">
        <v>103</v>
      </c>
      <c r="J213" s="521" t="s">
        <v>178</v>
      </c>
      <c r="K213" s="521" t="s">
        <v>200</v>
      </c>
      <c r="L213" s="517" t="s">
        <v>207</v>
      </c>
      <c r="M213" s="617" t="s">
        <v>105</v>
      </c>
      <c r="N213" s="619" t="s">
        <v>107</v>
      </c>
      <c r="O213" s="620" t="s">
        <v>98</v>
      </c>
      <c r="P213" s="516" t="s">
        <v>106</v>
      </c>
      <c r="Q213" s="620" t="s">
        <v>179</v>
      </c>
      <c r="R213" s="620" t="s">
        <v>199</v>
      </c>
      <c r="S213" s="618" t="s">
        <v>208</v>
      </c>
      <c r="T213" s="621" t="s">
        <v>182</v>
      </c>
      <c r="U213" s="618" t="s">
        <v>184</v>
      </c>
      <c r="V213" s="618" t="s">
        <v>222</v>
      </c>
      <c r="W213" s="694" t="s">
        <v>223</v>
      </c>
      <c r="X213" s="526"/>
      <c r="Y213" s="526"/>
      <c r="Z213" s="526"/>
      <c r="AA213" s="526"/>
      <c r="AB213" s="931" t="s">
        <v>0</v>
      </c>
      <c r="AC213" s="934"/>
      <c r="AD213" s="621" t="s">
        <v>99</v>
      </c>
      <c r="AE213" s="617" t="s">
        <v>104</v>
      </c>
      <c r="AF213" s="618" t="s">
        <v>207</v>
      </c>
      <c r="AG213" s="622" t="s">
        <v>107</v>
      </c>
      <c r="AH213" s="772"/>
      <c r="AI213" s="772"/>
      <c r="AJ213" s="623" t="s">
        <v>208</v>
      </c>
    </row>
    <row r="214" spans="1:36" s="591" customFormat="1" ht="30" x14ac:dyDescent="0.25">
      <c r="A214" s="935" t="s">
        <v>9</v>
      </c>
      <c r="B214" s="528" t="s">
        <v>4</v>
      </c>
      <c r="C214" s="541">
        <v>250018.4</v>
      </c>
      <c r="D214" s="688">
        <v>150516.70000000001</v>
      </c>
      <c r="E214" s="541">
        <v>150516.70000000001</v>
      </c>
      <c r="F214" s="533">
        <v>181998.8</v>
      </c>
      <c r="G214" s="533">
        <v>165765.70000000001</v>
      </c>
      <c r="H214" s="533">
        <v>389505</v>
      </c>
      <c r="I214" s="533">
        <v>171975.5</v>
      </c>
      <c r="J214" s="537">
        <v>166077.9</v>
      </c>
      <c r="K214" s="537">
        <v>124019.2</v>
      </c>
      <c r="L214" s="688">
        <v>224071.2</v>
      </c>
      <c r="M214" s="541">
        <v>193029.1</v>
      </c>
      <c r="N214" s="533">
        <v>438219.9</v>
      </c>
      <c r="O214" s="533">
        <v>83038.8</v>
      </c>
      <c r="P214" s="533">
        <v>276130.40000000002</v>
      </c>
      <c r="Q214" s="537">
        <v>83038.8</v>
      </c>
      <c r="R214" s="537">
        <v>191618.2</v>
      </c>
      <c r="S214" s="688">
        <v>224071.2</v>
      </c>
      <c r="T214" s="544">
        <v>55151</v>
      </c>
      <c r="U214" s="688">
        <v>33090.5</v>
      </c>
      <c r="V214" s="688">
        <v>102196.5</v>
      </c>
      <c r="W214" s="688">
        <v>209496.5</v>
      </c>
      <c r="X214" s="534"/>
      <c r="Y214" s="534"/>
      <c r="Z214" s="534"/>
      <c r="AA214" s="534"/>
      <c r="AB214" s="728" t="s">
        <v>195</v>
      </c>
      <c r="AC214" s="524" t="s">
        <v>4</v>
      </c>
      <c r="AD214" s="544">
        <v>143393</v>
      </c>
      <c r="AE214" s="541">
        <v>132132</v>
      </c>
      <c r="AF214" s="688">
        <v>83196.100000000006</v>
      </c>
      <c r="AG214" s="552">
        <v>132132.20000000001</v>
      </c>
      <c r="AH214" s="773"/>
      <c r="AI214" s="773"/>
      <c r="AJ214" s="551">
        <v>83196.100000000006</v>
      </c>
    </row>
    <row r="215" spans="1:36" s="591" customFormat="1" x14ac:dyDescent="0.25">
      <c r="A215" s="936"/>
      <c r="B215" s="624" t="s">
        <v>5</v>
      </c>
      <c r="C215" s="625">
        <v>100720.3</v>
      </c>
      <c r="D215" s="626">
        <v>82751</v>
      </c>
      <c r="E215" s="625">
        <v>84093</v>
      </c>
      <c r="F215" s="627">
        <v>156841.70000000001</v>
      </c>
      <c r="G215" s="627">
        <v>114258</v>
      </c>
      <c r="H215" s="627">
        <v>202555.7</v>
      </c>
      <c r="I215" s="627">
        <v>118282.6</v>
      </c>
      <c r="J215" s="628">
        <v>38819.199999999997</v>
      </c>
      <c r="K215" s="628">
        <v>65227</v>
      </c>
      <c r="L215" s="626">
        <v>24265.8</v>
      </c>
      <c r="M215" s="625">
        <v>168770.5</v>
      </c>
      <c r="N215" s="627">
        <v>200418</v>
      </c>
      <c r="O215" s="627">
        <v>58983.9</v>
      </c>
      <c r="P215" s="627">
        <v>218019.9</v>
      </c>
      <c r="Q215" s="628">
        <v>20157.900000000001</v>
      </c>
      <c r="R215" s="628">
        <v>107103</v>
      </c>
      <c r="S215" s="626">
        <v>112067.8</v>
      </c>
      <c r="T215" s="629">
        <v>14096.1</v>
      </c>
      <c r="U215" s="626">
        <v>7319.5</v>
      </c>
      <c r="V215" s="626">
        <v>3199.7</v>
      </c>
      <c r="W215" s="695">
        <v>6399.3</v>
      </c>
      <c r="X215" s="534"/>
      <c r="Y215" s="534"/>
      <c r="Z215" s="534"/>
      <c r="AA215" s="534"/>
      <c r="AB215" s="729"/>
      <c r="AC215" s="630" t="s">
        <v>5</v>
      </c>
      <c r="AD215" s="629">
        <v>51964.9</v>
      </c>
      <c r="AE215" s="625">
        <v>58542</v>
      </c>
      <c r="AF215" s="626">
        <v>2519</v>
      </c>
      <c r="AG215" s="631">
        <v>70731</v>
      </c>
      <c r="AH215" s="774"/>
      <c r="AI215" s="774"/>
      <c r="AJ215" s="632">
        <v>31444.9</v>
      </c>
    </row>
    <row r="216" spans="1:36" s="591" customFormat="1" ht="15.75" thickBot="1" x14ac:dyDescent="0.3">
      <c r="A216" s="937"/>
      <c r="B216" s="504" t="s">
        <v>3</v>
      </c>
      <c r="C216" s="542">
        <v>0.40285155012591073</v>
      </c>
      <c r="D216" s="633">
        <v>0.54977952612567238</v>
      </c>
      <c r="E216" s="633">
        <v>0.55869548030218574</v>
      </c>
      <c r="F216" s="681">
        <v>0.86177326443910629</v>
      </c>
      <c r="G216" s="633">
        <v>0.6892740778098243</v>
      </c>
      <c r="H216" s="633">
        <v>0.52003363243090595</v>
      </c>
      <c r="I216" s="633">
        <v>0.6877875046154831</v>
      </c>
      <c r="J216" s="633">
        <v>0.23374091314979295</v>
      </c>
      <c r="K216" s="633">
        <v>0.52594275725049022</v>
      </c>
      <c r="L216" s="633">
        <v>0.10829504193309983</v>
      </c>
      <c r="M216" s="547">
        <v>0.87432672068615558</v>
      </c>
      <c r="N216" s="498">
        <v>0.45734572984932903</v>
      </c>
      <c r="O216" s="506">
        <v>0.71031734562638182</v>
      </c>
      <c r="P216" s="498">
        <v>0.78955413818978271</v>
      </c>
      <c r="Q216" s="506">
        <v>0.24275278544487638</v>
      </c>
      <c r="R216" s="506">
        <v>0.55893959968311979</v>
      </c>
      <c r="S216" s="689">
        <v>0.50014370432255462</v>
      </c>
      <c r="T216" s="545">
        <v>0.25559101376221649</v>
      </c>
      <c r="U216" s="689">
        <v>0.22119641588975689</v>
      </c>
      <c r="V216" s="689">
        <v>3.1309291414089523E-2</v>
      </c>
      <c r="W216" s="689">
        <v>3.0546095042160611E-2</v>
      </c>
      <c r="X216" s="534"/>
      <c r="Y216" s="534"/>
      <c r="Z216" s="534"/>
      <c r="AA216" s="534"/>
      <c r="AB216" s="730"/>
      <c r="AC216" s="634" t="s">
        <v>3</v>
      </c>
      <c r="AD216" s="635">
        <f>AD215/AD214</f>
        <v>0.36239495651810061</v>
      </c>
      <c r="AE216" s="542">
        <f>AE215/AE214</f>
        <v>0.44305694305694304</v>
      </c>
      <c r="AF216" s="689">
        <f>AF215/AF214</f>
        <v>3.0277861582453984E-2</v>
      </c>
      <c r="AG216" s="636">
        <f>AG215/AG214</f>
        <v>0.53530479322981073</v>
      </c>
      <c r="AH216" s="775"/>
      <c r="AI216" s="775"/>
      <c r="AJ216" s="633">
        <f>AJ215/AJ214</f>
        <v>0.37796122654787906</v>
      </c>
    </row>
    <row r="217" spans="1:36" s="591" customFormat="1" ht="30" x14ac:dyDescent="0.25">
      <c r="A217" s="938" t="s">
        <v>6</v>
      </c>
      <c r="B217" s="553" t="s">
        <v>7</v>
      </c>
      <c r="C217" s="541">
        <v>5870</v>
      </c>
      <c r="D217" s="541">
        <v>3653</v>
      </c>
      <c r="E217" s="541">
        <v>3650</v>
      </c>
      <c r="F217" s="541">
        <v>9457</v>
      </c>
      <c r="G217" s="541">
        <v>8135</v>
      </c>
      <c r="H217" s="541">
        <v>15703</v>
      </c>
      <c r="I217" s="541">
        <v>8597</v>
      </c>
      <c r="J217" s="541">
        <v>9599</v>
      </c>
      <c r="K217" s="541">
        <v>6153</v>
      </c>
      <c r="L217" s="541">
        <v>9423</v>
      </c>
      <c r="M217" s="541">
        <v>8901</v>
      </c>
      <c r="N217" s="541">
        <v>11924</v>
      </c>
      <c r="O217" s="541">
        <v>4265</v>
      </c>
      <c r="P217" s="541">
        <v>11252</v>
      </c>
      <c r="Q217" s="541">
        <v>4799</v>
      </c>
      <c r="R217" s="541">
        <v>9272</v>
      </c>
      <c r="S217" s="541">
        <v>11205</v>
      </c>
      <c r="T217" s="558">
        <v>2480</v>
      </c>
      <c r="U217" s="692">
        <v>1570</v>
      </c>
      <c r="V217" s="541">
        <v>3999</v>
      </c>
      <c r="W217" s="541">
        <v>7999</v>
      </c>
      <c r="X217" s="559" t="s">
        <v>198</v>
      </c>
      <c r="Y217" s="561"/>
      <c r="Z217" s="561"/>
      <c r="AA217" s="561"/>
      <c r="AB217" s="562" t="s">
        <v>191</v>
      </c>
      <c r="AC217" s="553" t="s">
        <v>4</v>
      </c>
      <c r="AD217" s="564">
        <v>9191.7999999999993</v>
      </c>
      <c r="AE217" s="565">
        <v>13787.7</v>
      </c>
      <c r="AF217" s="566">
        <v>8804.7999999999993</v>
      </c>
      <c r="AG217" s="567">
        <v>13787.7</v>
      </c>
      <c r="AH217" s="776"/>
      <c r="AI217" s="776"/>
      <c r="AJ217" s="568">
        <v>8804.7999999999993</v>
      </c>
    </row>
    <row r="218" spans="1:36" s="591" customFormat="1" x14ac:dyDescent="0.25">
      <c r="A218" s="939"/>
      <c r="B218" s="637" t="s">
        <v>11</v>
      </c>
      <c r="C218" s="644">
        <v>197918.78999999998</v>
      </c>
      <c r="D218" s="644">
        <v>123168.201</v>
      </c>
      <c r="E218" s="644">
        <v>123067.04999999999</v>
      </c>
      <c r="F218" s="644">
        <v>318861.66899999999</v>
      </c>
      <c r="G218" s="644">
        <v>274287.79499999998</v>
      </c>
      <c r="H218" s="644">
        <v>529458.05099999998</v>
      </c>
      <c r="I218" s="644">
        <v>289865.049</v>
      </c>
      <c r="J218" s="644">
        <v>323649.48300000001</v>
      </c>
      <c r="K218" s="644">
        <v>207460.701</v>
      </c>
      <c r="L218" s="644">
        <v>317715.29099999997</v>
      </c>
      <c r="M218" s="644">
        <v>300115.01699999999</v>
      </c>
      <c r="N218" s="641">
        <v>402041.50799999997</v>
      </c>
      <c r="O218" s="641">
        <v>143803.005</v>
      </c>
      <c r="P218" s="642">
        <v>379383.68400000001</v>
      </c>
      <c r="Q218" s="640">
        <v>161807.883</v>
      </c>
      <c r="R218" s="643">
        <v>312624.02399999998</v>
      </c>
      <c r="S218" s="687">
        <v>377798.98499999999</v>
      </c>
      <c r="T218" s="638">
        <v>83618.16</v>
      </c>
      <c r="U218" s="642">
        <v>52935.689999999995</v>
      </c>
      <c r="V218" s="642">
        <v>134834.283</v>
      </c>
      <c r="W218" s="642">
        <v>269702.283</v>
      </c>
      <c r="X218" s="534"/>
      <c r="Y218" s="534"/>
      <c r="Z218" s="534"/>
      <c r="AA218" s="534"/>
      <c r="AB218" s="729"/>
      <c r="AC218" s="624" t="s">
        <v>5</v>
      </c>
      <c r="AD218" s="629">
        <v>7975.5</v>
      </c>
      <c r="AE218" s="625">
        <v>13649</v>
      </c>
      <c r="AF218" s="626">
        <v>1289.9000000000001</v>
      </c>
      <c r="AG218" s="631">
        <v>13642</v>
      </c>
      <c r="AH218" s="774"/>
      <c r="AI218" s="774"/>
      <c r="AJ218" s="632">
        <v>5483.9</v>
      </c>
    </row>
    <row r="219" spans="1:36" s="591" customFormat="1" ht="15.75" thickBot="1" x14ac:dyDescent="0.3">
      <c r="A219" s="939"/>
      <c r="B219" s="637" t="s">
        <v>79</v>
      </c>
      <c r="C219" s="861">
        <f t="shared" ref="C219:W219" si="72">C214-C215</f>
        <v>149298.09999999998</v>
      </c>
      <c r="D219" s="861">
        <f t="shared" si="72"/>
        <v>67765.700000000012</v>
      </c>
      <c r="E219" s="861">
        <f t="shared" si="72"/>
        <v>66423.700000000012</v>
      </c>
      <c r="F219" s="861">
        <f t="shared" si="72"/>
        <v>25157.099999999977</v>
      </c>
      <c r="G219" s="861">
        <f t="shared" si="72"/>
        <v>51507.700000000012</v>
      </c>
      <c r="H219" s="861">
        <f t="shared" si="72"/>
        <v>186949.3</v>
      </c>
      <c r="I219" s="861">
        <f t="shared" si="72"/>
        <v>53692.899999999994</v>
      </c>
      <c r="J219" s="861">
        <f t="shared" si="72"/>
        <v>127258.7</v>
      </c>
      <c r="K219" s="861">
        <f t="shared" si="72"/>
        <v>58792.2</v>
      </c>
      <c r="L219" s="861">
        <f t="shared" si="72"/>
        <v>199805.40000000002</v>
      </c>
      <c r="M219" s="861">
        <f t="shared" si="72"/>
        <v>24258.600000000006</v>
      </c>
      <c r="N219" s="861">
        <f t="shared" si="72"/>
        <v>237801.90000000002</v>
      </c>
      <c r="O219" s="861">
        <f t="shared" si="72"/>
        <v>24054.9</v>
      </c>
      <c r="P219" s="861">
        <f t="shared" si="72"/>
        <v>58110.500000000029</v>
      </c>
      <c r="Q219" s="861">
        <f t="shared" si="72"/>
        <v>62880.9</v>
      </c>
      <c r="R219" s="861">
        <f t="shared" si="72"/>
        <v>84515.200000000012</v>
      </c>
      <c r="S219" s="861">
        <f t="shared" si="72"/>
        <v>112003.40000000001</v>
      </c>
      <c r="T219" s="861">
        <f t="shared" si="72"/>
        <v>41054.9</v>
      </c>
      <c r="U219" s="861">
        <f t="shared" si="72"/>
        <v>25771</v>
      </c>
      <c r="V219" s="861">
        <f t="shared" si="72"/>
        <v>98996.800000000003</v>
      </c>
      <c r="W219" s="861">
        <f t="shared" si="72"/>
        <v>203097.2</v>
      </c>
      <c r="X219" s="534"/>
      <c r="Y219" s="534"/>
      <c r="Z219" s="534"/>
      <c r="AA219" s="534"/>
      <c r="AB219" s="730"/>
      <c r="AC219" s="645" t="s">
        <v>3</v>
      </c>
      <c r="AD219" s="635">
        <f>AD218/AD217</f>
        <v>0.86767553689157739</v>
      </c>
      <c r="AE219" s="646">
        <f>AE218/AE217</f>
        <v>0.98994030911609621</v>
      </c>
      <c r="AF219" s="647">
        <f>AF218/AF217</f>
        <v>0.14649963656187537</v>
      </c>
      <c r="AG219" s="648">
        <f>AG218/AG217</f>
        <v>0.98943261022505558</v>
      </c>
      <c r="AH219" s="777"/>
      <c r="AI219" s="777"/>
      <c r="AJ219" s="649">
        <f>AJ218/AJ217</f>
        <v>0.62283072869343992</v>
      </c>
    </row>
    <row r="220" spans="1:36" s="591" customFormat="1" ht="30" x14ac:dyDescent="0.25">
      <c r="A220" s="939"/>
      <c r="B220" s="624" t="s">
        <v>8</v>
      </c>
      <c r="C220" s="724">
        <v>5615</v>
      </c>
      <c r="D220" s="725">
        <v>2939</v>
      </c>
      <c r="E220" s="724">
        <v>2965</v>
      </c>
      <c r="F220" s="726">
        <v>8096</v>
      </c>
      <c r="G220" s="726">
        <v>3588</v>
      </c>
      <c r="H220" s="726">
        <v>13618</v>
      </c>
      <c r="I220" s="726">
        <v>7097</v>
      </c>
      <c r="J220" s="727">
        <v>1289</v>
      </c>
      <c r="K220" s="727">
        <v>3722</v>
      </c>
      <c r="L220" s="725">
        <v>4730</v>
      </c>
      <c r="M220" s="724">
        <v>8078</v>
      </c>
      <c r="N220" s="726">
        <v>10872</v>
      </c>
      <c r="O220" s="727">
        <v>3715</v>
      </c>
      <c r="P220" s="726">
        <v>8561</v>
      </c>
      <c r="Q220" s="727">
        <v>1737</v>
      </c>
      <c r="R220" s="727">
        <v>4081</v>
      </c>
      <c r="S220" s="725">
        <v>7726</v>
      </c>
      <c r="T220" s="654">
        <v>1689</v>
      </c>
      <c r="U220" s="686">
        <v>1087</v>
      </c>
      <c r="V220" s="725">
        <v>650</v>
      </c>
      <c r="W220" s="725">
        <v>650</v>
      </c>
      <c r="X220" s="526"/>
      <c r="Y220" s="534"/>
      <c r="Z220" s="534"/>
      <c r="AA220" s="534"/>
      <c r="AB220" s="728" t="s">
        <v>192</v>
      </c>
      <c r="AC220" s="528" t="s">
        <v>4</v>
      </c>
      <c r="AD220" s="544">
        <v>97433.600000000006</v>
      </c>
      <c r="AE220" s="541">
        <v>243584.4</v>
      </c>
      <c r="AF220" s="688">
        <v>132070.29999999999</v>
      </c>
      <c r="AG220" s="552">
        <v>292299.3</v>
      </c>
      <c r="AH220" s="773"/>
      <c r="AI220" s="773"/>
      <c r="AJ220" s="551">
        <v>132070.39999999999</v>
      </c>
    </row>
    <row r="221" spans="1:36" s="591" customFormat="1" x14ac:dyDescent="0.25">
      <c r="A221" s="939"/>
      <c r="B221" s="655" t="s">
        <v>77</v>
      </c>
      <c r="C221" s="660">
        <v>189320.95499999999</v>
      </c>
      <c r="D221" s="660">
        <v>99094.262999999992</v>
      </c>
      <c r="E221" s="660">
        <v>99970.904999999999</v>
      </c>
      <c r="F221" s="660">
        <v>272972.83199999999</v>
      </c>
      <c r="G221" s="660">
        <v>120976.59599999999</v>
      </c>
      <c r="H221" s="660">
        <v>459158.10599999997</v>
      </c>
      <c r="I221" s="660">
        <v>239289.549</v>
      </c>
      <c r="J221" s="660">
        <v>43461.212999999996</v>
      </c>
      <c r="K221" s="660">
        <v>125494.674</v>
      </c>
      <c r="L221" s="660">
        <v>159481.41</v>
      </c>
      <c r="M221" s="660">
        <v>272365.92599999998</v>
      </c>
      <c r="N221" s="657">
        <v>366571.22399999999</v>
      </c>
      <c r="O221" s="657">
        <v>125258.655</v>
      </c>
      <c r="P221" s="657">
        <v>200514.99899999995</v>
      </c>
      <c r="Q221" s="658">
        <v>58566.428999999996</v>
      </c>
      <c r="R221" s="658">
        <v>137599.07699999999</v>
      </c>
      <c r="S221" s="659">
        <v>260497.54199999999</v>
      </c>
      <c r="T221" s="661">
        <v>56948.012999999999</v>
      </c>
      <c r="U221" s="691">
        <v>36650.379000000001</v>
      </c>
      <c r="V221" s="691">
        <v>21916.05</v>
      </c>
      <c r="W221" s="691">
        <v>21916.05</v>
      </c>
      <c r="X221" s="532">
        <f>344240-H221</f>
        <v>-114918.10599999997</v>
      </c>
      <c r="Y221" s="534"/>
      <c r="Z221" s="534"/>
      <c r="AA221" s="534"/>
      <c r="AB221" s="729"/>
      <c r="AC221" s="624" t="s">
        <v>5</v>
      </c>
      <c r="AD221" s="629">
        <v>38973.199999999997</v>
      </c>
      <c r="AE221" s="625">
        <v>124350.5</v>
      </c>
      <c r="AF221" s="626">
        <v>3817.1</v>
      </c>
      <c r="AG221" s="631">
        <v>109009</v>
      </c>
      <c r="AH221" s="774"/>
      <c r="AI221" s="774"/>
      <c r="AJ221" s="632">
        <v>33401</v>
      </c>
    </row>
    <row r="222" spans="1:36" s="591" customFormat="1" ht="15.75" thickBot="1" x14ac:dyDescent="0.3">
      <c r="A222" s="940"/>
      <c r="B222" s="504" t="s">
        <v>218</v>
      </c>
      <c r="C222" s="542">
        <v>0.75722808801272223</v>
      </c>
      <c r="D222" s="689">
        <v>0.65836058723051982</v>
      </c>
      <c r="E222" s="690">
        <v>0.66418480474259656</v>
      </c>
      <c r="F222" s="690">
        <v>1.4998606144655899</v>
      </c>
      <c r="G222" s="690">
        <v>0.72980475454210358</v>
      </c>
      <c r="H222" s="690">
        <v>1.1788246774752569</v>
      </c>
      <c r="I222" s="690">
        <v>1.3914165040950601</v>
      </c>
      <c r="J222" s="690">
        <v>0.26169173020612613</v>
      </c>
      <c r="K222" s="690">
        <v>1.011897141732893</v>
      </c>
      <c r="L222" s="690">
        <v>0.71174434733245506</v>
      </c>
      <c r="M222" s="690">
        <v>1.4110096664181719</v>
      </c>
      <c r="N222" s="501">
        <v>0.83650063358601467</v>
      </c>
      <c r="O222" s="501">
        <v>1.5084352736311217</v>
      </c>
      <c r="P222" s="663">
        <v>0.72616053502258326</v>
      </c>
      <c r="Q222" s="520">
        <v>0.7052899247098946</v>
      </c>
      <c r="R222" s="520">
        <v>0.7180898108843522</v>
      </c>
      <c r="S222" s="515">
        <v>1.1625659254736886</v>
      </c>
      <c r="T222" s="542">
        <v>1.0325835070986926</v>
      </c>
      <c r="U222" s="689">
        <v>1.107580090962663</v>
      </c>
      <c r="V222" s="689">
        <v>0.21445010347712495</v>
      </c>
      <c r="W222" s="689">
        <v>0.10461296489440157</v>
      </c>
      <c r="X222" s="534"/>
      <c r="Y222" s="534"/>
      <c r="Z222" s="534"/>
      <c r="AA222" s="534"/>
      <c r="AB222" s="730"/>
      <c r="AC222" s="504" t="s">
        <v>3</v>
      </c>
      <c r="AD222" s="545">
        <f>AD221/AD220</f>
        <v>0.39999753678402516</v>
      </c>
      <c r="AE222" s="542">
        <f>AE221/AE220</f>
        <v>0.51050272513346506</v>
      </c>
      <c r="AF222" s="689">
        <f>AF221/AF220</f>
        <v>2.8902031720984961E-2</v>
      </c>
      <c r="AG222" s="636">
        <f>AG221/AG220</f>
        <v>0.37293623351133581</v>
      </c>
      <c r="AH222" s="775"/>
      <c r="AI222" s="775"/>
      <c r="AJ222" s="633">
        <f>AJ221/AJ220</f>
        <v>0.25290299718937781</v>
      </c>
    </row>
    <row r="223" spans="1:36" s="591" customFormat="1" ht="15.75" thickBot="1" x14ac:dyDescent="0.3">
      <c r="A223" s="612"/>
      <c r="B223" s="504" t="s">
        <v>219</v>
      </c>
      <c r="C223" s="650">
        <v>171297</v>
      </c>
      <c r="D223" s="650">
        <v>98689.1</v>
      </c>
      <c r="E223" s="650">
        <v>99565.7</v>
      </c>
      <c r="F223" s="650">
        <v>254974</v>
      </c>
      <c r="G223" s="650">
        <v>118688</v>
      </c>
      <c r="H223" s="650">
        <v>444084</v>
      </c>
      <c r="I223" s="650">
        <v>171824</v>
      </c>
      <c r="J223" s="650">
        <v>43497.8</v>
      </c>
      <c r="K223" s="650">
        <v>125575</v>
      </c>
      <c r="L223" s="650">
        <v>159585</v>
      </c>
      <c r="M223" s="650">
        <v>268409</v>
      </c>
      <c r="N223" s="650">
        <v>366641</v>
      </c>
      <c r="O223" s="650">
        <v>125308</v>
      </c>
      <c r="P223" s="650">
        <v>168081</v>
      </c>
      <c r="Q223" s="650">
        <v>58609.3</v>
      </c>
      <c r="R223" s="650">
        <v>124510</v>
      </c>
      <c r="S223" s="650">
        <v>260656</v>
      </c>
      <c r="T223" s="650">
        <v>56947.7</v>
      </c>
      <c r="U223" s="650">
        <v>36650.300000000003</v>
      </c>
      <c r="V223" s="650">
        <v>21949.599999999999</v>
      </c>
      <c r="W223" s="650">
        <v>21949.599999999999</v>
      </c>
      <c r="X223" s="534"/>
      <c r="Y223" s="534"/>
      <c r="Z223" s="534"/>
      <c r="AA223" s="534"/>
      <c r="AB223" s="730" t="s">
        <v>220</v>
      </c>
      <c r="AC223" s="504" t="s">
        <v>3</v>
      </c>
      <c r="AD223" s="545">
        <f>(AD216+AD222)/2</f>
        <v>0.38119624665106289</v>
      </c>
      <c r="AE223" s="545">
        <f t="shared" ref="AE223:AJ223" si="73">(AE216+AE222)/2</f>
        <v>0.47677983409520408</v>
      </c>
      <c r="AF223" s="545">
        <f t="shared" si="73"/>
        <v>2.9589946651719472E-2</v>
      </c>
      <c r="AG223" s="545">
        <f t="shared" si="73"/>
        <v>0.45412051337057324</v>
      </c>
      <c r="AH223" s="545"/>
      <c r="AI223" s="545"/>
      <c r="AJ223" s="545">
        <f t="shared" si="73"/>
        <v>0.31543211186862841</v>
      </c>
    </row>
    <row r="224" spans="1:36" s="591" customFormat="1" ht="15.75" thickBot="1" x14ac:dyDescent="0.3">
      <c r="A224" s="612"/>
      <c r="B224" s="504" t="s">
        <v>217</v>
      </c>
      <c r="C224" s="690">
        <v>0.68513757387456287</v>
      </c>
      <c r="D224" s="690">
        <v>0.65566877296672066</v>
      </c>
      <c r="E224" s="690">
        <v>0.661492711439993</v>
      </c>
      <c r="F224" s="690">
        <v>1.4009652810897655</v>
      </c>
      <c r="G224" s="690">
        <v>0.71599854493420523</v>
      </c>
      <c r="H224" s="690">
        <v>1.1401240035429583</v>
      </c>
      <c r="I224" s="690">
        <v>0.99911906056385935</v>
      </c>
      <c r="J224" s="690">
        <v>0.26191203043872785</v>
      </c>
      <c r="K224" s="690">
        <v>1.0125448317679844</v>
      </c>
      <c r="L224" s="690">
        <v>0.71220665574156783</v>
      </c>
      <c r="M224" s="690">
        <v>1.39051054996371</v>
      </c>
      <c r="N224" s="690">
        <v>0.83665985958191302</v>
      </c>
      <c r="O224" s="690">
        <v>1.5090295139139775</v>
      </c>
      <c r="P224" s="690">
        <v>0.60870154101105844</v>
      </c>
      <c r="Q224" s="690">
        <v>0.70580620143836381</v>
      </c>
      <c r="R224" s="690">
        <v>0.64978170132064694</v>
      </c>
      <c r="S224" s="690">
        <v>1.1632731024781409</v>
      </c>
      <c r="T224" s="690">
        <v>1.032577831770956</v>
      </c>
      <c r="U224" s="690">
        <v>1.1075777035705112</v>
      </c>
      <c r="V224" s="690">
        <v>0.21477839260640041</v>
      </c>
      <c r="W224" s="690">
        <v>0.10477311076796032</v>
      </c>
      <c r="X224" s="534"/>
      <c r="Y224" s="534"/>
      <c r="Z224" s="534"/>
      <c r="AA224" s="534"/>
      <c r="AB224" s="730"/>
      <c r="AC224" s="504"/>
      <c r="AD224" s="545"/>
      <c r="AE224" s="542"/>
      <c r="AF224" s="689"/>
      <c r="AG224" s="636"/>
      <c r="AH224" s="775"/>
      <c r="AI224" s="775"/>
      <c r="AJ224" s="633"/>
    </row>
    <row r="225" spans="1:36" s="591" customFormat="1" ht="15.75" thickBot="1" x14ac:dyDescent="0.3">
      <c r="A225" s="924">
        <v>41703</v>
      </c>
      <c r="B225" s="924"/>
      <c r="C225" s="924"/>
      <c r="D225" s="529"/>
      <c r="E225" s="529"/>
      <c r="F225" s="529"/>
      <c r="G225" s="529"/>
      <c r="H225" s="529"/>
      <c r="I225" s="525"/>
      <c r="J225" s="531"/>
      <c r="K225" s="531"/>
      <c r="L225" s="529"/>
      <c r="M225" s="529"/>
      <c r="N225" s="527"/>
      <c r="R225" s="526"/>
      <c r="S225" s="534"/>
      <c r="T225" s="534"/>
      <c r="U225" s="534"/>
      <c r="V225" s="534"/>
      <c r="W225" s="534"/>
      <c r="X225" s="534"/>
      <c r="Y225" s="534"/>
      <c r="Z225" s="534"/>
      <c r="AA225" s="941"/>
      <c r="AB225" s="942"/>
      <c r="AH225" s="743"/>
      <c r="AI225" s="743"/>
    </row>
    <row r="226" spans="1:36" s="591" customFormat="1" x14ac:dyDescent="0.25">
      <c r="A226" s="925" t="s">
        <v>1</v>
      </c>
      <c r="B226" s="926"/>
      <c r="C226" s="540" t="s">
        <v>12</v>
      </c>
      <c r="D226" s="539" t="s">
        <v>12</v>
      </c>
      <c r="E226" s="540" t="s">
        <v>13</v>
      </c>
      <c r="F226" s="530" t="s">
        <v>13</v>
      </c>
      <c r="G226" s="530" t="s">
        <v>13</v>
      </c>
      <c r="H226" s="530" t="s">
        <v>13</v>
      </c>
      <c r="I226" s="530" t="s">
        <v>13</v>
      </c>
      <c r="J226" s="536" t="s">
        <v>13</v>
      </c>
      <c r="K226" s="536" t="s">
        <v>13</v>
      </c>
      <c r="L226" s="539" t="s">
        <v>13</v>
      </c>
      <c r="M226" s="676" t="s">
        <v>2</v>
      </c>
      <c r="N226" s="530" t="s">
        <v>2</v>
      </c>
      <c r="O226" s="536" t="s">
        <v>2</v>
      </c>
      <c r="P226" s="530" t="s">
        <v>2</v>
      </c>
      <c r="Q226" s="536" t="s">
        <v>2</v>
      </c>
      <c r="R226" s="536" t="s">
        <v>2</v>
      </c>
      <c r="S226" s="539" t="s">
        <v>2</v>
      </c>
      <c r="T226" s="569" t="s">
        <v>183</v>
      </c>
      <c r="U226" s="693" t="s">
        <v>183</v>
      </c>
      <c r="V226" s="693" t="s">
        <v>2</v>
      </c>
      <c r="W226" s="693" t="s">
        <v>13</v>
      </c>
      <c r="X226" s="534"/>
      <c r="Y226" s="534"/>
      <c r="Z226" s="534"/>
      <c r="AA226" s="534"/>
      <c r="AB226" s="925" t="s">
        <v>1</v>
      </c>
      <c r="AC226" s="928"/>
      <c r="AD226" s="722" t="s">
        <v>12</v>
      </c>
      <c r="AE226" s="929" t="s">
        <v>13</v>
      </c>
      <c r="AF226" s="930"/>
      <c r="AG226" s="929" t="s">
        <v>2</v>
      </c>
      <c r="AH226" s="943"/>
      <c r="AI226" s="943"/>
      <c r="AJ226" s="930"/>
    </row>
    <row r="227" spans="1:36" s="591" customFormat="1" ht="15.75" thickBot="1" x14ac:dyDescent="0.3">
      <c r="A227" s="931" t="s">
        <v>0</v>
      </c>
      <c r="B227" s="932"/>
      <c r="C227" s="617" t="s">
        <v>99</v>
      </c>
      <c r="D227" s="618" t="s">
        <v>100</v>
      </c>
      <c r="E227" s="617" t="s">
        <v>101</v>
      </c>
      <c r="F227" s="619" t="s">
        <v>102</v>
      </c>
      <c r="G227" s="619" t="s">
        <v>97</v>
      </c>
      <c r="H227" s="619" t="s">
        <v>104</v>
      </c>
      <c r="I227" s="619" t="s">
        <v>103</v>
      </c>
      <c r="J227" s="521" t="s">
        <v>178</v>
      </c>
      <c r="K227" s="521" t="s">
        <v>200</v>
      </c>
      <c r="L227" s="517" t="s">
        <v>207</v>
      </c>
      <c r="M227" s="617" t="s">
        <v>105</v>
      </c>
      <c r="N227" s="619" t="s">
        <v>107</v>
      </c>
      <c r="O227" s="620" t="s">
        <v>98</v>
      </c>
      <c r="P227" s="516" t="s">
        <v>106</v>
      </c>
      <c r="Q227" s="620" t="s">
        <v>179</v>
      </c>
      <c r="R227" s="620" t="s">
        <v>199</v>
      </c>
      <c r="S227" s="618" t="s">
        <v>208</v>
      </c>
      <c r="T227" s="621" t="s">
        <v>182</v>
      </c>
      <c r="U227" s="618" t="s">
        <v>184</v>
      </c>
      <c r="V227" s="618" t="s">
        <v>222</v>
      </c>
      <c r="W227" s="694" t="s">
        <v>223</v>
      </c>
      <c r="X227" s="526"/>
      <c r="Y227" s="526"/>
      <c r="Z227" s="526"/>
      <c r="AA227" s="526"/>
      <c r="AB227" s="931" t="s">
        <v>0</v>
      </c>
      <c r="AC227" s="934"/>
      <c r="AD227" s="621" t="s">
        <v>99</v>
      </c>
      <c r="AE227" s="617" t="s">
        <v>104</v>
      </c>
      <c r="AF227" s="618" t="s">
        <v>207</v>
      </c>
      <c r="AG227" s="622" t="s">
        <v>107</v>
      </c>
      <c r="AH227" s="772"/>
      <c r="AI227" s="772"/>
      <c r="AJ227" s="623" t="s">
        <v>208</v>
      </c>
    </row>
    <row r="228" spans="1:36" s="591" customFormat="1" ht="30" x14ac:dyDescent="0.25">
      <c r="A228" s="935" t="s">
        <v>9</v>
      </c>
      <c r="B228" s="528" t="s">
        <v>4</v>
      </c>
      <c r="C228" s="541">
        <v>250018.4</v>
      </c>
      <c r="D228" s="688">
        <v>150516.70000000001</v>
      </c>
      <c r="E228" s="541">
        <v>150516.70000000001</v>
      </c>
      <c r="F228" s="533">
        <v>181998.8</v>
      </c>
      <c r="G228" s="533">
        <v>165765.70000000001</v>
      </c>
      <c r="H228" s="533">
        <v>389505</v>
      </c>
      <c r="I228" s="533">
        <v>171975.5</v>
      </c>
      <c r="J228" s="537">
        <v>166077.9</v>
      </c>
      <c r="K228" s="537">
        <v>124019.2</v>
      </c>
      <c r="L228" s="688">
        <v>224071.2</v>
      </c>
      <c r="M228" s="541">
        <v>193029.1</v>
      </c>
      <c r="N228" s="533">
        <v>438219.9</v>
      </c>
      <c r="O228" s="533">
        <v>83038.8</v>
      </c>
      <c r="P228" s="533">
        <v>276130.40000000002</v>
      </c>
      <c r="Q228" s="537">
        <v>83038.8</v>
      </c>
      <c r="R228" s="537">
        <v>191618.2</v>
      </c>
      <c r="S228" s="688">
        <v>224071.2</v>
      </c>
      <c r="T228" s="544">
        <v>55151</v>
      </c>
      <c r="U228" s="688">
        <v>33090.5</v>
      </c>
      <c r="V228" s="688">
        <v>102196.5</v>
      </c>
      <c r="W228" s="688">
        <v>209496.5</v>
      </c>
      <c r="X228" s="534"/>
      <c r="Y228" s="534"/>
      <c r="Z228" s="534"/>
      <c r="AA228" s="534"/>
      <c r="AB228" s="719" t="s">
        <v>195</v>
      </c>
      <c r="AC228" s="524" t="s">
        <v>4</v>
      </c>
      <c r="AD228" s="544">
        <v>143393</v>
      </c>
      <c r="AE228" s="541">
        <v>132132</v>
      </c>
      <c r="AF228" s="688">
        <v>83196.100000000006</v>
      </c>
      <c r="AG228" s="552">
        <v>132132.20000000001</v>
      </c>
      <c r="AH228" s="773"/>
      <c r="AI228" s="773"/>
      <c r="AJ228" s="551">
        <v>83196.100000000006</v>
      </c>
    </row>
    <row r="229" spans="1:36" s="591" customFormat="1" x14ac:dyDescent="0.25">
      <c r="A229" s="936"/>
      <c r="B229" s="624" t="s">
        <v>5</v>
      </c>
      <c r="C229" s="625">
        <v>100685.8</v>
      </c>
      <c r="D229" s="626">
        <v>82749.8</v>
      </c>
      <c r="E229" s="625">
        <v>84091.9</v>
      </c>
      <c r="F229" s="627">
        <v>156807.79999999999</v>
      </c>
      <c r="G229" s="627">
        <v>114026.7</v>
      </c>
      <c r="H229" s="627">
        <v>202358.5</v>
      </c>
      <c r="I229" s="627">
        <v>118100.8</v>
      </c>
      <c r="J229" s="628">
        <v>38779.4</v>
      </c>
      <c r="K229" s="628">
        <v>65218.400000000001</v>
      </c>
      <c r="L229" s="626">
        <v>23481.1</v>
      </c>
      <c r="M229" s="625">
        <v>168659.20000000001</v>
      </c>
      <c r="N229" s="627">
        <v>200243.20000000001</v>
      </c>
      <c r="O229" s="627">
        <v>58869.2</v>
      </c>
      <c r="P229" s="627">
        <v>217671.1</v>
      </c>
      <c r="Q229" s="628">
        <v>20138.2</v>
      </c>
      <c r="R229" s="628">
        <v>107094.39999999999</v>
      </c>
      <c r="S229" s="626">
        <v>108541.3</v>
      </c>
      <c r="T229" s="629">
        <v>14096.1</v>
      </c>
      <c r="U229" s="626">
        <v>7319.5</v>
      </c>
      <c r="V229" s="626">
        <v>3198.7</v>
      </c>
      <c r="W229" s="695">
        <v>6397.3</v>
      </c>
      <c r="X229" s="534"/>
      <c r="Y229" s="534"/>
      <c r="Z229" s="534"/>
      <c r="AA229" s="534"/>
      <c r="AB229" s="720"/>
      <c r="AC229" s="630" t="s">
        <v>5</v>
      </c>
      <c r="AD229" s="629">
        <v>51964.9</v>
      </c>
      <c r="AE229" s="625">
        <v>58542</v>
      </c>
      <c r="AF229" s="626">
        <v>2519</v>
      </c>
      <c r="AG229" s="631">
        <v>70731</v>
      </c>
      <c r="AH229" s="774"/>
      <c r="AI229" s="774"/>
      <c r="AJ229" s="632">
        <v>31444.9</v>
      </c>
    </row>
    <row r="230" spans="1:36" s="591" customFormat="1" ht="15.75" thickBot="1" x14ac:dyDescent="0.3">
      <c r="A230" s="937"/>
      <c r="B230" s="504" t="s">
        <v>3</v>
      </c>
      <c r="C230" s="542">
        <v>0.40271356028196326</v>
      </c>
      <c r="D230" s="633">
        <v>0.54977155358840579</v>
      </c>
      <c r="E230" s="633">
        <v>0.55868817214302458</v>
      </c>
      <c r="F230" s="681">
        <v>0.86158699947472184</v>
      </c>
      <c r="G230" s="633">
        <v>0.68787873486493278</v>
      </c>
      <c r="H230" s="633">
        <v>0.51952734881452101</v>
      </c>
      <c r="I230" s="633">
        <v>0.68673037729211428</v>
      </c>
      <c r="J230" s="633">
        <v>0.2335012665743004</v>
      </c>
      <c r="K230" s="633">
        <v>0.52587341314893177</v>
      </c>
      <c r="L230" s="633">
        <v>0.10479303007258406</v>
      </c>
      <c r="M230" s="547">
        <v>0.87375012368601424</v>
      </c>
      <c r="N230" s="498">
        <v>0.45694684335421554</v>
      </c>
      <c r="O230" s="506">
        <v>0.70893606362327</v>
      </c>
      <c r="P230" s="498">
        <v>0.78829096687651912</v>
      </c>
      <c r="Q230" s="506">
        <v>0.24251554694913702</v>
      </c>
      <c r="R230" s="506">
        <v>0.55889471876888519</v>
      </c>
      <c r="S230" s="689">
        <v>0.48440540328252807</v>
      </c>
      <c r="T230" s="545">
        <v>0.25559101376221649</v>
      </c>
      <c r="U230" s="689">
        <v>0.22119641588975689</v>
      </c>
      <c r="V230" s="689">
        <v>3.1299506343172218E-2</v>
      </c>
      <c r="W230" s="689">
        <v>3.0536548343289744E-2</v>
      </c>
      <c r="X230" s="534"/>
      <c r="Y230" s="534"/>
      <c r="Z230" s="534"/>
      <c r="AA230" s="534"/>
      <c r="AB230" s="721"/>
      <c r="AC230" s="634" t="s">
        <v>3</v>
      </c>
      <c r="AD230" s="635">
        <f>AD229/AD228</f>
        <v>0.36239495651810061</v>
      </c>
      <c r="AE230" s="542">
        <f>AE229/AE228</f>
        <v>0.44305694305694304</v>
      </c>
      <c r="AF230" s="689">
        <f>AF229/AF228</f>
        <v>3.0277861582453984E-2</v>
      </c>
      <c r="AG230" s="636">
        <f>AG229/AG228</f>
        <v>0.53530479322981073</v>
      </c>
      <c r="AH230" s="775"/>
      <c r="AI230" s="775"/>
      <c r="AJ230" s="633">
        <f>AJ229/AJ228</f>
        <v>0.37796122654787906</v>
      </c>
    </row>
    <row r="231" spans="1:36" s="591" customFormat="1" ht="30" x14ac:dyDescent="0.25">
      <c r="A231" s="938" t="s">
        <v>6</v>
      </c>
      <c r="B231" s="553" t="s">
        <v>7</v>
      </c>
      <c r="C231" s="541">
        <v>5870</v>
      </c>
      <c r="D231" s="541">
        <v>3653</v>
      </c>
      <c r="E231" s="541">
        <v>3650</v>
      </c>
      <c r="F231" s="541">
        <v>9457</v>
      </c>
      <c r="G231" s="541">
        <v>8135</v>
      </c>
      <c r="H231" s="541">
        <v>15703</v>
      </c>
      <c r="I231" s="541">
        <v>8597</v>
      </c>
      <c r="J231" s="541">
        <v>9599</v>
      </c>
      <c r="K231" s="541">
        <v>6153</v>
      </c>
      <c r="L231" s="541">
        <v>8399</v>
      </c>
      <c r="M231" s="541">
        <v>8901</v>
      </c>
      <c r="N231" s="541">
        <v>11924</v>
      </c>
      <c r="O231" s="541">
        <v>4265</v>
      </c>
      <c r="P231" s="541">
        <v>11252</v>
      </c>
      <c r="Q231" s="541">
        <v>4799</v>
      </c>
      <c r="R231" s="541">
        <v>9272</v>
      </c>
      <c r="S231" s="541">
        <v>11205</v>
      </c>
      <c r="T231" s="558">
        <v>2480</v>
      </c>
      <c r="U231" s="692">
        <v>1570</v>
      </c>
      <c r="V231" s="541">
        <v>3999</v>
      </c>
      <c r="W231" s="541">
        <v>7999</v>
      </c>
      <c r="X231" s="559" t="s">
        <v>198</v>
      </c>
      <c r="Y231" s="561"/>
      <c r="Z231" s="561"/>
      <c r="AA231" s="561"/>
      <c r="AB231" s="562" t="s">
        <v>191</v>
      </c>
      <c r="AC231" s="553" t="s">
        <v>4</v>
      </c>
      <c r="AD231" s="564">
        <v>9191.7999999999993</v>
      </c>
      <c r="AE231" s="565">
        <v>13787.7</v>
      </c>
      <c r="AF231" s="566">
        <v>8804.7999999999993</v>
      </c>
      <c r="AG231" s="567">
        <v>13787.7</v>
      </c>
      <c r="AH231" s="776"/>
      <c r="AI231" s="776"/>
      <c r="AJ231" s="568">
        <v>8804.7999999999993</v>
      </c>
    </row>
    <row r="232" spans="1:36" s="591" customFormat="1" x14ac:dyDescent="0.25">
      <c r="A232" s="939"/>
      <c r="B232" s="637" t="s">
        <v>11</v>
      </c>
      <c r="C232" s="644">
        <v>197918.78999999998</v>
      </c>
      <c r="D232" s="644">
        <v>123168.201</v>
      </c>
      <c r="E232" s="644">
        <v>123067.04999999999</v>
      </c>
      <c r="F232" s="644">
        <v>318861.66899999999</v>
      </c>
      <c r="G232" s="644">
        <v>274287.79499999998</v>
      </c>
      <c r="H232" s="644">
        <v>529458.05099999998</v>
      </c>
      <c r="I232" s="644">
        <v>289865.049</v>
      </c>
      <c r="J232" s="644">
        <v>323649.48300000001</v>
      </c>
      <c r="K232" s="644">
        <v>207460.701</v>
      </c>
      <c r="L232" s="644">
        <v>283189.08299999998</v>
      </c>
      <c r="M232" s="644">
        <v>300115.01699999999</v>
      </c>
      <c r="N232" s="641">
        <v>402041.50799999997</v>
      </c>
      <c r="O232" s="641">
        <v>143803.005</v>
      </c>
      <c r="P232" s="642">
        <v>379383.68400000001</v>
      </c>
      <c r="Q232" s="640">
        <v>161807.883</v>
      </c>
      <c r="R232" s="643">
        <v>312624.02399999998</v>
      </c>
      <c r="S232" s="687">
        <v>377798.98499999999</v>
      </c>
      <c r="T232" s="638">
        <v>83618.16</v>
      </c>
      <c r="U232" s="642">
        <v>52935.689999999995</v>
      </c>
      <c r="V232" s="642">
        <v>134834.283</v>
      </c>
      <c r="W232" s="642">
        <v>269702.283</v>
      </c>
      <c r="X232" s="534"/>
      <c r="Y232" s="534"/>
      <c r="Z232" s="534"/>
      <c r="AA232" s="534"/>
      <c r="AB232" s="720"/>
      <c r="AC232" s="624" t="s">
        <v>5</v>
      </c>
      <c r="AD232" s="629">
        <v>7975.5</v>
      </c>
      <c r="AE232" s="625">
        <v>13649</v>
      </c>
      <c r="AF232" s="626">
        <v>1289.9000000000001</v>
      </c>
      <c r="AG232" s="631">
        <v>13642</v>
      </c>
      <c r="AH232" s="774"/>
      <c r="AI232" s="774"/>
      <c r="AJ232" s="632">
        <v>5483.9</v>
      </c>
    </row>
    <row r="233" spans="1:36" s="591" customFormat="1" ht="15.75" thickBot="1" x14ac:dyDescent="0.3">
      <c r="A233" s="939"/>
      <c r="B233" s="637" t="s">
        <v>79</v>
      </c>
      <c r="C233" s="861">
        <f t="shared" ref="C233:W233" si="74">C228-C229</f>
        <v>149332.59999999998</v>
      </c>
      <c r="D233" s="861">
        <f t="shared" si="74"/>
        <v>67766.900000000009</v>
      </c>
      <c r="E233" s="861">
        <f t="shared" si="74"/>
        <v>66424.800000000017</v>
      </c>
      <c r="F233" s="861">
        <f t="shared" si="74"/>
        <v>25191</v>
      </c>
      <c r="G233" s="861">
        <f t="shared" si="74"/>
        <v>51739.000000000015</v>
      </c>
      <c r="H233" s="861">
        <f t="shared" si="74"/>
        <v>187146.5</v>
      </c>
      <c r="I233" s="861">
        <f t="shared" si="74"/>
        <v>53874.7</v>
      </c>
      <c r="J233" s="861">
        <f t="shared" si="74"/>
        <v>127298.5</v>
      </c>
      <c r="K233" s="861">
        <f t="shared" si="74"/>
        <v>58800.799999999996</v>
      </c>
      <c r="L233" s="861">
        <f t="shared" si="74"/>
        <v>200590.1</v>
      </c>
      <c r="M233" s="861">
        <f t="shared" si="74"/>
        <v>24369.899999999994</v>
      </c>
      <c r="N233" s="861">
        <f t="shared" si="74"/>
        <v>237976.7</v>
      </c>
      <c r="O233" s="861">
        <f t="shared" si="74"/>
        <v>24169.600000000006</v>
      </c>
      <c r="P233" s="861">
        <f t="shared" si="74"/>
        <v>58459.300000000017</v>
      </c>
      <c r="Q233" s="861">
        <f t="shared" si="74"/>
        <v>62900.600000000006</v>
      </c>
      <c r="R233" s="861">
        <f t="shared" si="74"/>
        <v>84523.800000000017</v>
      </c>
      <c r="S233" s="861">
        <f t="shared" si="74"/>
        <v>115529.90000000001</v>
      </c>
      <c r="T233" s="861">
        <f t="shared" si="74"/>
        <v>41054.9</v>
      </c>
      <c r="U233" s="861">
        <f t="shared" si="74"/>
        <v>25771</v>
      </c>
      <c r="V233" s="861">
        <f t="shared" si="74"/>
        <v>98997.8</v>
      </c>
      <c r="W233" s="861">
        <f t="shared" si="74"/>
        <v>203099.2</v>
      </c>
      <c r="X233" s="534"/>
      <c r="Y233" s="534"/>
      <c r="Z233" s="534"/>
      <c r="AA233" s="534"/>
      <c r="AB233" s="721"/>
      <c r="AC233" s="645" t="s">
        <v>3</v>
      </c>
      <c r="AD233" s="635">
        <f>AD232/AD231</f>
        <v>0.86767553689157739</v>
      </c>
      <c r="AE233" s="646">
        <f>AE232/AE231</f>
        <v>0.98994030911609621</v>
      </c>
      <c r="AF233" s="647">
        <f>AF232/AF231</f>
        <v>0.14649963656187537</v>
      </c>
      <c r="AG233" s="648">
        <f>AG232/AG231</f>
        <v>0.98943261022505558</v>
      </c>
      <c r="AH233" s="777"/>
      <c r="AI233" s="777"/>
      <c r="AJ233" s="649">
        <f>AJ232/AJ231</f>
        <v>0.62283072869343992</v>
      </c>
    </row>
    <row r="234" spans="1:36" s="591" customFormat="1" ht="30" x14ac:dyDescent="0.25">
      <c r="A234" s="939"/>
      <c r="B234" s="624" t="s">
        <v>8</v>
      </c>
      <c r="C234" s="724">
        <v>5615</v>
      </c>
      <c r="D234" s="725">
        <v>2939</v>
      </c>
      <c r="E234" s="724">
        <v>2965</v>
      </c>
      <c r="F234" s="726">
        <v>8096</v>
      </c>
      <c r="G234" s="726">
        <v>3588</v>
      </c>
      <c r="H234" s="726">
        <v>13618</v>
      </c>
      <c r="I234" s="726">
        <v>7082</v>
      </c>
      <c r="J234" s="727">
        <v>1289</v>
      </c>
      <c r="K234" s="727">
        <v>3719</v>
      </c>
      <c r="L234" s="725">
        <v>4071</v>
      </c>
      <c r="M234" s="724">
        <v>8078</v>
      </c>
      <c r="N234" s="726">
        <v>10872</v>
      </c>
      <c r="O234" s="727">
        <v>3715</v>
      </c>
      <c r="P234" s="726">
        <v>8546</v>
      </c>
      <c r="Q234" s="727">
        <v>1737</v>
      </c>
      <c r="R234" s="727">
        <v>4078</v>
      </c>
      <c r="S234" s="725">
        <v>7721</v>
      </c>
      <c r="T234" s="654">
        <v>1689</v>
      </c>
      <c r="U234" s="686">
        <v>1087</v>
      </c>
      <c r="V234" s="725">
        <v>640</v>
      </c>
      <c r="W234" s="725">
        <v>640</v>
      </c>
      <c r="X234" s="526"/>
      <c r="Y234" s="534"/>
      <c r="Z234" s="534"/>
      <c r="AA234" s="534"/>
      <c r="AB234" s="719" t="s">
        <v>192</v>
      </c>
      <c r="AC234" s="528" t="s">
        <v>4</v>
      </c>
      <c r="AD234" s="544">
        <v>97433.600000000006</v>
      </c>
      <c r="AE234" s="541">
        <v>243584.4</v>
      </c>
      <c r="AF234" s="688">
        <v>132070.29999999999</v>
      </c>
      <c r="AG234" s="552">
        <v>292299.3</v>
      </c>
      <c r="AH234" s="773"/>
      <c r="AI234" s="773"/>
      <c r="AJ234" s="551">
        <v>132070.39999999999</v>
      </c>
    </row>
    <row r="235" spans="1:36" s="591" customFormat="1" x14ac:dyDescent="0.25">
      <c r="A235" s="939"/>
      <c r="B235" s="655" t="s">
        <v>77</v>
      </c>
      <c r="C235" s="660">
        <v>189320.95499999999</v>
      </c>
      <c r="D235" s="660">
        <v>99094.262999999992</v>
      </c>
      <c r="E235" s="660">
        <v>99970.904999999999</v>
      </c>
      <c r="F235" s="660">
        <v>272972.83199999999</v>
      </c>
      <c r="G235" s="660">
        <v>120976.59599999999</v>
      </c>
      <c r="H235" s="660">
        <v>459158.10599999997</v>
      </c>
      <c r="I235" s="660">
        <v>238783.79399999999</v>
      </c>
      <c r="J235" s="660">
        <v>43461.212999999996</v>
      </c>
      <c r="K235" s="660">
        <v>125393.523</v>
      </c>
      <c r="L235" s="660">
        <v>137261.90700000001</v>
      </c>
      <c r="M235" s="660">
        <v>272365.92599999998</v>
      </c>
      <c r="N235" s="657">
        <v>366571.22399999999</v>
      </c>
      <c r="O235" s="657">
        <v>125258.655</v>
      </c>
      <c r="P235" s="657">
        <v>200009.24400000001</v>
      </c>
      <c r="Q235" s="658">
        <v>58566.428999999996</v>
      </c>
      <c r="R235" s="658">
        <v>137497.92600000001</v>
      </c>
      <c r="S235" s="659">
        <v>260328.95699999999</v>
      </c>
      <c r="T235" s="661">
        <v>56948.012999999999</v>
      </c>
      <c r="U235" s="691">
        <v>36650.379000000001</v>
      </c>
      <c r="V235" s="691">
        <v>21578.879999999997</v>
      </c>
      <c r="W235" s="691">
        <v>21578.879999999997</v>
      </c>
      <c r="X235" s="532">
        <f>344240-H235</f>
        <v>-114918.10599999997</v>
      </c>
      <c r="Y235" s="534"/>
      <c r="Z235" s="534"/>
      <c r="AA235" s="534"/>
      <c r="AB235" s="720"/>
      <c r="AC235" s="624" t="s">
        <v>5</v>
      </c>
      <c r="AD235" s="629">
        <v>38973.199999999997</v>
      </c>
      <c r="AE235" s="625">
        <v>124350.5</v>
      </c>
      <c r="AF235" s="626">
        <v>3817.1</v>
      </c>
      <c r="AG235" s="631">
        <v>109009</v>
      </c>
      <c r="AH235" s="774"/>
      <c r="AI235" s="774"/>
      <c r="AJ235" s="632">
        <v>33401</v>
      </c>
    </row>
    <row r="236" spans="1:36" s="591" customFormat="1" ht="15.75" thickBot="1" x14ac:dyDescent="0.3">
      <c r="A236" s="940"/>
      <c r="B236" s="504" t="s">
        <v>218</v>
      </c>
      <c r="C236" s="542">
        <v>0.75722808801272223</v>
      </c>
      <c r="D236" s="689">
        <v>0.65836058723051982</v>
      </c>
      <c r="E236" s="690">
        <v>0.66418480474259656</v>
      </c>
      <c r="F236" s="690">
        <v>1.4998606144655899</v>
      </c>
      <c r="G236" s="690">
        <v>0.72980475454210358</v>
      </c>
      <c r="H236" s="690">
        <v>1.1788246774752569</v>
      </c>
      <c r="I236" s="690">
        <v>1.3884756491476984</v>
      </c>
      <c r="J236" s="690">
        <v>0.26169173020612613</v>
      </c>
      <c r="K236" s="690">
        <v>1.0110815341495512</v>
      </c>
      <c r="L236" s="690">
        <v>0.612581657080428</v>
      </c>
      <c r="M236" s="690">
        <v>1.4110096664181719</v>
      </c>
      <c r="N236" s="501">
        <v>0.83650063358601467</v>
      </c>
      <c r="O236" s="501">
        <v>1.5084352736311217</v>
      </c>
      <c r="P236" s="663">
        <v>0.72432895472573822</v>
      </c>
      <c r="Q236" s="520">
        <v>0.7052899247098946</v>
      </c>
      <c r="R236" s="520">
        <v>0.71756193305228833</v>
      </c>
      <c r="S236" s="515">
        <v>1.1618135530135063</v>
      </c>
      <c r="T236" s="542">
        <v>1.0325835070986926</v>
      </c>
      <c r="U236" s="689">
        <v>1.107580090962663</v>
      </c>
      <c r="V236" s="689">
        <v>0.21115087111593839</v>
      </c>
      <c r="W236" s="689">
        <v>0.10300353466525693</v>
      </c>
      <c r="X236" s="534"/>
      <c r="Y236" s="534"/>
      <c r="Z236" s="534"/>
      <c r="AA236" s="534"/>
      <c r="AB236" s="721"/>
      <c r="AC236" s="504" t="s">
        <v>3</v>
      </c>
      <c r="AD236" s="545">
        <f>AD235/AD234</f>
        <v>0.39999753678402516</v>
      </c>
      <c r="AE236" s="542">
        <f>AE235/AE234</f>
        <v>0.51050272513346506</v>
      </c>
      <c r="AF236" s="689">
        <f>AF235/AF234</f>
        <v>2.8902031720984961E-2</v>
      </c>
      <c r="AG236" s="636">
        <f>AG235/AG234</f>
        <v>0.37293623351133581</v>
      </c>
      <c r="AH236" s="775"/>
      <c r="AI236" s="775"/>
      <c r="AJ236" s="633">
        <f>AJ235/AJ234</f>
        <v>0.25290299718937781</v>
      </c>
    </row>
    <row r="237" spans="1:36" s="591" customFormat="1" ht="15.75" thickBot="1" x14ac:dyDescent="0.3">
      <c r="A237" s="612"/>
      <c r="B237" s="504" t="s">
        <v>219</v>
      </c>
      <c r="C237" s="650">
        <v>171297</v>
      </c>
      <c r="D237" s="650">
        <v>98689.1</v>
      </c>
      <c r="E237" s="650">
        <v>99565.7</v>
      </c>
      <c r="F237" s="650">
        <v>254974</v>
      </c>
      <c r="G237" s="650">
        <v>118688</v>
      </c>
      <c r="H237" s="650">
        <v>444084</v>
      </c>
      <c r="I237" s="650">
        <v>171318</v>
      </c>
      <c r="J237" s="650">
        <v>43497.8</v>
      </c>
      <c r="K237" s="650">
        <v>125474</v>
      </c>
      <c r="L237" s="650">
        <v>137359</v>
      </c>
      <c r="M237" s="650">
        <v>268409</v>
      </c>
      <c r="N237" s="650">
        <v>366641</v>
      </c>
      <c r="O237" s="650">
        <v>125308</v>
      </c>
      <c r="P237" s="650">
        <v>167575</v>
      </c>
      <c r="Q237" s="650">
        <v>58609.3</v>
      </c>
      <c r="R237" s="650">
        <v>124409</v>
      </c>
      <c r="S237" s="650">
        <v>260487</v>
      </c>
      <c r="T237" s="650">
        <v>56947.7</v>
      </c>
      <c r="U237" s="650">
        <v>36650.300000000003</v>
      </c>
      <c r="V237" s="650">
        <v>21612.5</v>
      </c>
      <c r="W237" s="650">
        <v>21612.5</v>
      </c>
      <c r="X237" s="534"/>
      <c r="Y237" s="534"/>
      <c r="Z237" s="534"/>
      <c r="AA237" s="534"/>
      <c r="AB237" s="721" t="s">
        <v>220</v>
      </c>
      <c r="AC237" s="504" t="s">
        <v>3</v>
      </c>
      <c r="AD237" s="545">
        <f>(AD230+AD236)/2</f>
        <v>0.38119624665106289</v>
      </c>
      <c r="AE237" s="545">
        <f t="shared" ref="AE237:AJ237" si="75">(AE230+AE236)/2</f>
        <v>0.47677983409520408</v>
      </c>
      <c r="AF237" s="545">
        <f t="shared" si="75"/>
        <v>2.9589946651719472E-2</v>
      </c>
      <c r="AG237" s="545">
        <f t="shared" si="75"/>
        <v>0.45412051337057324</v>
      </c>
      <c r="AH237" s="545"/>
      <c r="AI237" s="545"/>
      <c r="AJ237" s="545">
        <f t="shared" si="75"/>
        <v>0.31543211186862841</v>
      </c>
    </row>
    <row r="238" spans="1:36" s="591" customFormat="1" ht="15.75" thickBot="1" x14ac:dyDescent="0.3">
      <c r="A238" s="612"/>
      <c r="B238" s="504" t="s">
        <v>217</v>
      </c>
      <c r="C238" s="690">
        <v>0.68513757387456287</v>
      </c>
      <c r="D238" s="690">
        <v>0.65566877296672066</v>
      </c>
      <c r="E238" s="690">
        <v>0.661492711439993</v>
      </c>
      <c r="F238" s="690">
        <v>1.4009652810897655</v>
      </c>
      <c r="G238" s="690">
        <v>0.71599854493420523</v>
      </c>
      <c r="H238" s="690">
        <v>1.1401240035429583</v>
      </c>
      <c r="I238" s="690">
        <v>0.99617678099496731</v>
      </c>
      <c r="J238" s="690">
        <v>0.26191203043872785</v>
      </c>
      <c r="K238" s="690">
        <v>1.0117304417380535</v>
      </c>
      <c r="L238" s="690">
        <v>0.61301497024160179</v>
      </c>
      <c r="M238" s="690">
        <v>1.39051054996371</v>
      </c>
      <c r="N238" s="690">
        <v>0.83665985958191302</v>
      </c>
      <c r="O238" s="690">
        <v>1.5090295139139775</v>
      </c>
      <c r="P238" s="690">
        <v>0.60686907345225294</v>
      </c>
      <c r="Q238" s="690">
        <v>0.70580620143836381</v>
      </c>
      <c r="R238" s="690">
        <v>0.6492546115139376</v>
      </c>
      <c r="S238" s="690">
        <v>1.1625188779280871</v>
      </c>
      <c r="T238" s="690">
        <v>1.032577831770956</v>
      </c>
      <c r="U238" s="690">
        <v>1.1075777035705112</v>
      </c>
      <c r="V238" s="690">
        <v>0.2114798452001781</v>
      </c>
      <c r="W238" s="690">
        <v>0.10316401467327617</v>
      </c>
      <c r="X238" s="534"/>
      <c r="Y238" s="534"/>
      <c r="Z238" s="534"/>
      <c r="AA238" s="534"/>
      <c r="AB238" s="721"/>
      <c r="AC238" s="504"/>
      <c r="AD238" s="545"/>
      <c r="AE238" s="542"/>
      <c r="AF238" s="689"/>
      <c r="AG238" s="636"/>
      <c r="AH238" s="775"/>
      <c r="AI238" s="775"/>
      <c r="AJ238" s="633"/>
    </row>
    <row r="239" spans="1:36" s="591" customFormat="1" ht="15.75" thickBot="1" x14ac:dyDescent="0.3">
      <c r="A239" s="924">
        <v>41702</v>
      </c>
      <c r="B239" s="924"/>
      <c r="C239" s="924"/>
      <c r="D239" s="529"/>
      <c r="E239" s="529"/>
      <c r="F239" s="529"/>
      <c r="G239" s="529"/>
      <c r="H239" s="529"/>
      <c r="I239" s="525"/>
      <c r="J239" s="531"/>
      <c r="K239" s="531"/>
      <c r="L239" s="529"/>
      <c r="M239" s="529"/>
      <c r="N239" s="527"/>
      <c r="R239" s="526"/>
      <c r="S239" s="534"/>
      <c r="T239" s="534"/>
      <c r="U239" s="534"/>
      <c r="V239" s="534"/>
      <c r="W239" s="534"/>
      <c r="X239" s="534"/>
      <c r="Y239" s="534"/>
      <c r="Z239" s="534"/>
      <c r="AA239" s="941"/>
      <c r="AB239" s="942"/>
      <c r="AH239" s="743"/>
      <c r="AI239" s="743"/>
    </row>
    <row r="240" spans="1:36" s="591" customFormat="1" x14ac:dyDescent="0.25">
      <c r="A240" s="925" t="s">
        <v>1</v>
      </c>
      <c r="B240" s="926"/>
      <c r="C240" s="540" t="s">
        <v>12</v>
      </c>
      <c r="D240" s="539" t="s">
        <v>12</v>
      </c>
      <c r="E240" s="540" t="s">
        <v>13</v>
      </c>
      <c r="F240" s="530" t="s">
        <v>13</v>
      </c>
      <c r="G240" s="530" t="s">
        <v>13</v>
      </c>
      <c r="H240" s="530" t="s">
        <v>13</v>
      </c>
      <c r="I240" s="530" t="s">
        <v>13</v>
      </c>
      <c r="J240" s="536" t="s">
        <v>13</v>
      </c>
      <c r="K240" s="536" t="s">
        <v>13</v>
      </c>
      <c r="L240" s="539" t="s">
        <v>13</v>
      </c>
      <c r="M240" s="676" t="s">
        <v>2</v>
      </c>
      <c r="N240" s="530" t="s">
        <v>2</v>
      </c>
      <c r="O240" s="536" t="s">
        <v>2</v>
      </c>
      <c r="P240" s="530" t="s">
        <v>2</v>
      </c>
      <c r="Q240" s="536" t="s">
        <v>2</v>
      </c>
      <c r="R240" s="536" t="s">
        <v>2</v>
      </c>
      <c r="S240" s="539" t="s">
        <v>2</v>
      </c>
      <c r="T240" s="569" t="s">
        <v>183</v>
      </c>
      <c r="U240" s="693" t="s">
        <v>183</v>
      </c>
      <c r="V240" s="693" t="s">
        <v>2</v>
      </c>
      <c r="W240" s="693" t="s">
        <v>13</v>
      </c>
      <c r="X240" s="534"/>
      <c r="Y240" s="534"/>
      <c r="Z240" s="534"/>
      <c r="AA240" s="534"/>
      <c r="AB240" s="925" t="s">
        <v>1</v>
      </c>
      <c r="AC240" s="928"/>
      <c r="AD240" s="685" t="s">
        <v>12</v>
      </c>
      <c r="AE240" s="929" t="s">
        <v>13</v>
      </c>
      <c r="AF240" s="930"/>
      <c r="AG240" s="929" t="s">
        <v>2</v>
      </c>
      <c r="AH240" s="943"/>
      <c r="AI240" s="943"/>
      <c r="AJ240" s="930"/>
    </row>
    <row r="241" spans="1:36" s="591" customFormat="1" ht="15.75" thickBot="1" x14ac:dyDescent="0.3">
      <c r="A241" s="931" t="s">
        <v>0</v>
      </c>
      <c r="B241" s="932"/>
      <c r="C241" s="617" t="s">
        <v>99</v>
      </c>
      <c r="D241" s="618" t="s">
        <v>100</v>
      </c>
      <c r="E241" s="617" t="s">
        <v>101</v>
      </c>
      <c r="F241" s="619" t="s">
        <v>102</v>
      </c>
      <c r="G241" s="619" t="s">
        <v>97</v>
      </c>
      <c r="H241" s="619" t="s">
        <v>104</v>
      </c>
      <c r="I241" s="619" t="s">
        <v>103</v>
      </c>
      <c r="J241" s="521" t="s">
        <v>178</v>
      </c>
      <c r="K241" s="521" t="s">
        <v>200</v>
      </c>
      <c r="L241" s="517" t="s">
        <v>207</v>
      </c>
      <c r="M241" s="617" t="s">
        <v>105</v>
      </c>
      <c r="N241" s="619" t="s">
        <v>107</v>
      </c>
      <c r="O241" s="620" t="s">
        <v>98</v>
      </c>
      <c r="P241" s="516" t="s">
        <v>106</v>
      </c>
      <c r="Q241" s="620" t="s">
        <v>179</v>
      </c>
      <c r="R241" s="620" t="s">
        <v>199</v>
      </c>
      <c r="S241" s="618" t="s">
        <v>208</v>
      </c>
      <c r="T241" s="621" t="s">
        <v>182</v>
      </c>
      <c r="U241" s="618" t="s">
        <v>184</v>
      </c>
      <c r="V241" s="618" t="s">
        <v>222</v>
      </c>
      <c r="W241" s="694" t="s">
        <v>223</v>
      </c>
      <c r="X241" s="526"/>
      <c r="Y241" s="526"/>
      <c r="Z241" s="526"/>
      <c r="AA241" s="526"/>
      <c r="AB241" s="931" t="s">
        <v>0</v>
      </c>
      <c r="AC241" s="934"/>
      <c r="AD241" s="621" t="s">
        <v>99</v>
      </c>
      <c r="AE241" s="617" t="s">
        <v>104</v>
      </c>
      <c r="AF241" s="618" t="s">
        <v>207</v>
      </c>
      <c r="AG241" s="622" t="s">
        <v>107</v>
      </c>
      <c r="AH241" s="772"/>
      <c r="AI241" s="772"/>
      <c r="AJ241" s="623" t="s">
        <v>208</v>
      </c>
    </row>
    <row r="242" spans="1:36" s="591" customFormat="1" ht="30" x14ac:dyDescent="0.25">
      <c r="A242" s="935" t="s">
        <v>9</v>
      </c>
      <c r="B242" s="528" t="s">
        <v>4</v>
      </c>
      <c r="C242" s="541">
        <v>250018.4</v>
      </c>
      <c r="D242" s="688">
        <v>150516.70000000001</v>
      </c>
      <c r="E242" s="541">
        <v>150516.70000000001</v>
      </c>
      <c r="F242" s="533">
        <v>181998.8</v>
      </c>
      <c r="G242" s="533">
        <v>165453.5</v>
      </c>
      <c r="H242" s="533">
        <v>389505</v>
      </c>
      <c r="I242" s="533">
        <v>170968.6</v>
      </c>
      <c r="J242" s="537">
        <v>165453.5</v>
      </c>
      <c r="K242" s="537">
        <v>121382.6</v>
      </c>
      <c r="L242" s="688">
        <v>224071.2</v>
      </c>
      <c r="M242" s="541">
        <v>193029.1</v>
      </c>
      <c r="N242" s="533">
        <v>438219.9</v>
      </c>
      <c r="O242" s="533">
        <v>82726.600000000006</v>
      </c>
      <c r="P242" s="533">
        <v>275755</v>
      </c>
      <c r="Q242" s="537">
        <v>82726.600000000006</v>
      </c>
      <c r="R242" s="537">
        <v>188981.6</v>
      </c>
      <c r="S242" s="688">
        <v>224071.2</v>
      </c>
      <c r="T242" s="544">
        <v>55151</v>
      </c>
      <c r="U242" s="688">
        <v>33090.5</v>
      </c>
      <c r="V242" s="688">
        <v>100325</v>
      </c>
      <c r="W242" s="688">
        <v>207625</v>
      </c>
      <c r="X242" s="534"/>
      <c r="Y242" s="534"/>
      <c r="Z242" s="534"/>
      <c r="AA242" s="534"/>
      <c r="AB242" s="682" t="s">
        <v>195</v>
      </c>
      <c r="AC242" s="524" t="s">
        <v>4</v>
      </c>
      <c r="AD242" s="544">
        <v>143393</v>
      </c>
      <c r="AE242" s="541">
        <v>132132</v>
      </c>
      <c r="AF242" s="688">
        <v>83196.100000000006</v>
      </c>
      <c r="AG242" s="552">
        <v>132132.20000000001</v>
      </c>
      <c r="AH242" s="773"/>
      <c r="AI242" s="773"/>
      <c r="AJ242" s="551">
        <v>83196.100000000006</v>
      </c>
    </row>
    <row r="243" spans="1:36" s="591" customFormat="1" x14ac:dyDescent="0.25">
      <c r="A243" s="936"/>
      <c r="B243" s="624" t="s">
        <v>5</v>
      </c>
      <c r="C243" s="625">
        <v>100688.7</v>
      </c>
      <c r="D243" s="626">
        <v>82749.8</v>
      </c>
      <c r="E243" s="625">
        <v>84091.9</v>
      </c>
      <c r="F243" s="627">
        <v>156807.79999999999</v>
      </c>
      <c r="G243" s="627">
        <v>114026.7</v>
      </c>
      <c r="H243" s="627">
        <v>202363.7</v>
      </c>
      <c r="I243" s="627">
        <v>118100.8</v>
      </c>
      <c r="J243" s="628">
        <v>38779.4</v>
      </c>
      <c r="K243" s="628">
        <v>65218.400000000001</v>
      </c>
      <c r="L243" s="626">
        <v>23499.1</v>
      </c>
      <c r="M243" s="625">
        <v>168659.20000000001</v>
      </c>
      <c r="N243" s="627">
        <v>200247</v>
      </c>
      <c r="O243" s="627">
        <v>58869.2</v>
      </c>
      <c r="P243" s="627">
        <v>217671.1</v>
      </c>
      <c r="Q243" s="628">
        <v>20138.2</v>
      </c>
      <c r="R243" s="628">
        <v>107094.39999999999</v>
      </c>
      <c r="S243" s="626">
        <v>108573.6</v>
      </c>
      <c r="T243" s="629">
        <v>14096.1</v>
      </c>
      <c r="U243" s="626">
        <v>7319.5</v>
      </c>
      <c r="V243" s="626">
        <v>3198.7</v>
      </c>
      <c r="W243" s="695">
        <v>6397.3</v>
      </c>
      <c r="X243" s="534"/>
      <c r="Y243" s="534"/>
      <c r="Z243" s="534"/>
      <c r="AA243" s="534"/>
      <c r="AB243" s="683"/>
      <c r="AC243" s="630" t="s">
        <v>5</v>
      </c>
      <c r="AD243" s="629">
        <v>51964.9</v>
      </c>
      <c r="AE243" s="625">
        <v>58542</v>
      </c>
      <c r="AF243" s="626">
        <v>2519</v>
      </c>
      <c r="AG243" s="631">
        <v>70731</v>
      </c>
      <c r="AH243" s="774"/>
      <c r="AI243" s="774"/>
      <c r="AJ243" s="632">
        <v>31444.9</v>
      </c>
    </row>
    <row r="244" spans="1:36" s="591" customFormat="1" ht="15.75" thickBot="1" x14ac:dyDescent="0.3">
      <c r="A244" s="937"/>
      <c r="B244" s="504" t="s">
        <v>3</v>
      </c>
      <c r="C244" s="542">
        <f t="shared" ref="C244:L244" si="76">C243/C242</f>
        <v>0.40272515942826609</v>
      </c>
      <c r="D244" s="633">
        <f t="shared" si="76"/>
        <v>0.54977155358840579</v>
      </c>
      <c r="E244" s="633">
        <f t="shared" si="76"/>
        <v>0.55868817214302458</v>
      </c>
      <c r="F244" s="681">
        <f t="shared" si="76"/>
        <v>0.86158699947472184</v>
      </c>
      <c r="G244" s="633">
        <f t="shared" si="76"/>
        <v>0.68917671732541164</v>
      </c>
      <c r="H244" s="633">
        <f t="shared" si="76"/>
        <v>0.51954069909243783</v>
      </c>
      <c r="I244" s="633">
        <f t="shared" si="76"/>
        <v>0.69077479724347046</v>
      </c>
      <c r="J244" s="633">
        <f t="shared" si="76"/>
        <v>0.23438246999912363</v>
      </c>
      <c r="K244" s="633">
        <f t="shared" si="76"/>
        <v>0.53729611987220571</v>
      </c>
      <c r="L244" s="633">
        <f t="shared" si="76"/>
        <v>0.10487336168146552</v>
      </c>
      <c r="M244" s="547">
        <f>M243/M242</f>
        <v>0.87375012368601424</v>
      </c>
      <c r="N244" s="498">
        <f>N243/N242</f>
        <v>0.45695551479976149</v>
      </c>
      <c r="O244" s="506">
        <f>O243/O242</f>
        <v>0.71161150101660153</v>
      </c>
      <c r="P244" s="498">
        <f>P243/P242</f>
        <v>0.78936410944497837</v>
      </c>
      <c r="Q244" s="506">
        <f>Q243/Q242</f>
        <v>0.24343077075571823</v>
      </c>
      <c r="R244" s="506">
        <f t="shared" ref="R244:S244" si="77">R243/R242</f>
        <v>0.56669220707201118</v>
      </c>
      <c r="S244" s="689">
        <f t="shared" si="77"/>
        <v>0.48454955389179866</v>
      </c>
      <c r="T244" s="545">
        <f>T243/T242</f>
        <v>0.25559101376221649</v>
      </c>
      <c r="U244" s="689">
        <f>U243/U242</f>
        <v>0.22119641588975689</v>
      </c>
      <c r="V244" s="689">
        <f>V243/V242</f>
        <v>3.1883379018190876E-2</v>
      </c>
      <c r="W244" s="689">
        <f>W243/W242</f>
        <v>3.0811800120409391E-2</v>
      </c>
      <c r="X244" s="534"/>
      <c r="Y244" s="534"/>
      <c r="Z244" s="534"/>
      <c r="AA244" s="534"/>
      <c r="AB244" s="684"/>
      <c r="AC244" s="634" t="s">
        <v>3</v>
      </c>
      <c r="AD244" s="635">
        <f>AD243/AD242</f>
        <v>0.36239495651810061</v>
      </c>
      <c r="AE244" s="542">
        <f>AE243/AE242</f>
        <v>0.44305694305694304</v>
      </c>
      <c r="AF244" s="689">
        <f>AF243/AF242</f>
        <v>3.0277861582453984E-2</v>
      </c>
      <c r="AG244" s="636">
        <f>AG243/AG242</f>
        <v>0.53530479322981073</v>
      </c>
      <c r="AH244" s="775"/>
      <c r="AI244" s="775"/>
      <c r="AJ244" s="633">
        <f>AJ243/AJ242</f>
        <v>0.37796122654787906</v>
      </c>
    </row>
    <row r="245" spans="1:36" s="591" customFormat="1" ht="30" x14ac:dyDescent="0.25">
      <c r="A245" s="938" t="s">
        <v>6</v>
      </c>
      <c r="B245" s="553" t="s">
        <v>7</v>
      </c>
      <c r="C245" s="554">
        <v>5870</v>
      </c>
      <c r="D245" s="692">
        <v>3333</v>
      </c>
      <c r="E245" s="554">
        <v>3330</v>
      </c>
      <c r="F245" s="556">
        <v>9457</v>
      </c>
      <c r="G245" s="556">
        <v>8135</v>
      </c>
      <c r="H245" s="556">
        <v>15703</v>
      </c>
      <c r="I245" s="556">
        <v>8197</v>
      </c>
      <c r="J245" s="557">
        <v>9599</v>
      </c>
      <c r="K245" s="557">
        <v>6153</v>
      </c>
      <c r="L245" s="692">
        <v>9423</v>
      </c>
      <c r="M245" s="554">
        <v>9092</v>
      </c>
      <c r="N245" s="556">
        <v>11924</v>
      </c>
      <c r="O245" s="556">
        <v>4265</v>
      </c>
      <c r="P245" s="556">
        <v>10852</v>
      </c>
      <c r="Q245" s="557">
        <v>4799</v>
      </c>
      <c r="R245" s="557">
        <v>9272</v>
      </c>
      <c r="S245" s="692">
        <v>11205</v>
      </c>
      <c r="T245" s="558">
        <v>2480</v>
      </c>
      <c r="U245" s="692">
        <v>1570</v>
      </c>
      <c r="V245" s="692">
        <v>3999</v>
      </c>
      <c r="W245" s="692">
        <v>7999</v>
      </c>
      <c r="X245" s="559" t="s">
        <v>198</v>
      </c>
      <c r="Y245" s="561"/>
      <c r="Z245" s="561"/>
      <c r="AA245" s="561"/>
      <c r="AB245" s="562" t="s">
        <v>191</v>
      </c>
      <c r="AC245" s="553" t="s">
        <v>4</v>
      </c>
      <c r="AD245" s="564">
        <v>9191.7999999999993</v>
      </c>
      <c r="AE245" s="565">
        <v>13787.7</v>
      </c>
      <c r="AF245" s="566">
        <v>8804.7999999999993</v>
      </c>
      <c r="AG245" s="567">
        <v>13787.7</v>
      </c>
      <c r="AH245" s="776"/>
      <c r="AI245" s="776"/>
      <c r="AJ245" s="568">
        <v>8804.7999999999993</v>
      </c>
    </row>
    <row r="246" spans="1:36" s="591" customFormat="1" x14ac:dyDescent="0.25">
      <c r="A246" s="939"/>
      <c r="B246" s="637" t="s">
        <v>11</v>
      </c>
      <c r="C246" s="644">
        <f t="shared" ref="C246:S246" si="78">C245*33.717</f>
        <v>197918.78999999998</v>
      </c>
      <c r="D246" s="644">
        <f t="shared" si="78"/>
        <v>112378.761</v>
      </c>
      <c r="E246" s="644">
        <f t="shared" si="78"/>
        <v>112277.61</v>
      </c>
      <c r="F246" s="644">
        <f t="shared" si="78"/>
        <v>318861.66899999999</v>
      </c>
      <c r="G246" s="644">
        <f t="shared" si="78"/>
        <v>274287.79499999998</v>
      </c>
      <c r="H246" s="644">
        <f t="shared" si="78"/>
        <v>529458.05099999998</v>
      </c>
      <c r="I246" s="644">
        <f t="shared" si="78"/>
        <v>276378.24900000001</v>
      </c>
      <c r="J246" s="644">
        <f t="shared" si="78"/>
        <v>323649.48300000001</v>
      </c>
      <c r="K246" s="644">
        <f t="shared" si="78"/>
        <v>207460.701</v>
      </c>
      <c r="L246" s="644">
        <f t="shared" si="78"/>
        <v>317715.29099999997</v>
      </c>
      <c r="M246" s="644">
        <f t="shared" si="78"/>
        <v>306554.96399999998</v>
      </c>
      <c r="N246" s="641">
        <f t="shared" si="78"/>
        <v>402041.50799999997</v>
      </c>
      <c r="O246" s="641">
        <f t="shared" si="78"/>
        <v>143803.005</v>
      </c>
      <c r="P246" s="642">
        <f t="shared" si="78"/>
        <v>365896.88399999996</v>
      </c>
      <c r="Q246" s="640">
        <f t="shared" si="78"/>
        <v>161807.883</v>
      </c>
      <c r="R246" s="643">
        <f t="shared" si="78"/>
        <v>312624.02399999998</v>
      </c>
      <c r="S246" s="687">
        <f t="shared" si="78"/>
        <v>377798.98499999999</v>
      </c>
      <c r="T246" s="638">
        <f>T245*33.717</f>
        <v>83618.16</v>
      </c>
      <c r="U246" s="642">
        <f>U245*33.717</f>
        <v>52935.689999999995</v>
      </c>
      <c r="V246" s="642">
        <f>V245*33.717</f>
        <v>134834.283</v>
      </c>
      <c r="W246" s="642">
        <f>W245*33.717</f>
        <v>269702.283</v>
      </c>
      <c r="X246" s="534"/>
      <c r="Y246" s="534"/>
      <c r="Z246" s="534"/>
      <c r="AA246" s="534"/>
      <c r="AB246" s="683"/>
      <c r="AC246" s="624" t="s">
        <v>5</v>
      </c>
      <c r="AD246" s="629">
        <v>7975.5</v>
      </c>
      <c r="AE246" s="625">
        <v>13649</v>
      </c>
      <c r="AF246" s="626">
        <v>1289.9000000000001</v>
      </c>
      <c r="AG246" s="631">
        <v>13642</v>
      </c>
      <c r="AH246" s="774"/>
      <c r="AI246" s="774"/>
      <c r="AJ246" s="632">
        <v>5483.9</v>
      </c>
    </row>
    <row r="247" spans="1:36" s="591" customFormat="1" ht="15.75" thickBot="1" x14ac:dyDescent="0.3">
      <c r="A247" s="939"/>
      <c r="B247" s="637" t="s">
        <v>79</v>
      </c>
      <c r="C247" s="861">
        <f t="shared" ref="C247:W247" si="79">C242-C243</f>
        <v>149329.70000000001</v>
      </c>
      <c r="D247" s="861">
        <f t="shared" si="79"/>
        <v>67766.900000000009</v>
      </c>
      <c r="E247" s="861">
        <f t="shared" si="79"/>
        <v>66424.800000000017</v>
      </c>
      <c r="F247" s="861">
        <f t="shared" si="79"/>
        <v>25191</v>
      </c>
      <c r="G247" s="861">
        <f t="shared" si="79"/>
        <v>51426.8</v>
      </c>
      <c r="H247" s="861">
        <f t="shared" si="79"/>
        <v>187141.3</v>
      </c>
      <c r="I247" s="861">
        <f t="shared" si="79"/>
        <v>52867.8</v>
      </c>
      <c r="J247" s="861">
        <f t="shared" si="79"/>
        <v>126674.1</v>
      </c>
      <c r="K247" s="861">
        <f t="shared" si="79"/>
        <v>56164.200000000004</v>
      </c>
      <c r="L247" s="861">
        <f t="shared" si="79"/>
        <v>200572.1</v>
      </c>
      <c r="M247" s="861">
        <f t="shared" si="79"/>
        <v>24369.899999999994</v>
      </c>
      <c r="N247" s="861">
        <f t="shared" si="79"/>
        <v>237972.90000000002</v>
      </c>
      <c r="O247" s="861">
        <f t="shared" si="79"/>
        <v>23857.400000000009</v>
      </c>
      <c r="P247" s="861">
        <f t="shared" si="79"/>
        <v>58083.899999999994</v>
      </c>
      <c r="Q247" s="861">
        <f t="shared" si="79"/>
        <v>62588.400000000009</v>
      </c>
      <c r="R247" s="861">
        <f t="shared" si="79"/>
        <v>81887.200000000012</v>
      </c>
      <c r="S247" s="861">
        <f t="shared" si="79"/>
        <v>115497.60000000001</v>
      </c>
      <c r="T247" s="861">
        <f t="shared" si="79"/>
        <v>41054.9</v>
      </c>
      <c r="U247" s="861">
        <f t="shared" si="79"/>
        <v>25771</v>
      </c>
      <c r="V247" s="861">
        <f t="shared" si="79"/>
        <v>97126.3</v>
      </c>
      <c r="W247" s="861">
        <f t="shared" si="79"/>
        <v>201227.7</v>
      </c>
      <c r="X247" s="534"/>
      <c r="Y247" s="534"/>
      <c r="Z247" s="534"/>
      <c r="AA247" s="534"/>
      <c r="AB247" s="684"/>
      <c r="AC247" s="645" t="s">
        <v>3</v>
      </c>
      <c r="AD247" s="635">
        <f>AD246/AD245</f>
        <v>0.86767553689157739</v>
      </c>
      <c r="AE247" s="646">
        <f>AE246/AE245</f>
        <v>0.98994030911609621</v>
      </c>
      <c r="AF247" s="647">
        <f>AF246/AF245</f>
        <v>0.14649963656187537</v>
      </c>
      <c r="AG247" s="648">
        <f>AG246/AG245</f>
        <v>0.98943261022505558</v>
      </c>
      <c r="AH247" s="777"/>
      <c r="AI247" s="777"/>
      <c r="AJ247" s="649">
        <f>AJ246/AJ245</f>
        <v>0.62283072869343992</v>
      </c>
    </row>
    <row r="248" spans="1:36" s="591" customFormat="1" ht="30" x14ac:dyDescent="0.25">
      <c r="A248" s="939"/>
      <c r="B248" s="624" t="s">
        <v>8</v>
      </c>
      <c r="C248" s="650">
        <f>SUM(C245-255)</f>
        <v>5615</v>
      </c>
      <c r="D248" s="686">
        <f>SUM(D245-714)</f>
        <v>2619</v>
      </c>
      <c r="E248" s="650">
        <f>SUM(E245-685)</f>
        <v>2645</v>
      </c>
      <c r="F248" s="652">
        <f>SUM(F245-1361)</f>
        <v>8096</v>
      </c>
      <c r="G248" s="652">
        <f>SUM(G245-4547)</f>
        <v>3588</v>
      </c>
      <c r="H248" s="652">
        <f>SUM(H245-2085)</f>
        <v>13618</v>
      </c>
      <c r="I248" s="652">
        <f>SUM(I245-(3515-2000))</f>
        <v>6682</v>
      </c>
      <c r="J248" s="653">
        <f>SUM(J245-8310)</f>
        <v>1289</v>
      </c>
      <c r="K248" s="653">
        <f>SUM(K245-2434)</f>
        <v>3719</v>
      </c>
      <c r="L248" s="686">
        <f>SUM(L245-5297)</f>
        <v>4126</v>
      </c>
      <c r="M248" s="650">
        <f>SUM(M245-823)</f>
        <v>8269</v>
      </c>
      <c r="N248" s="652">
        <f>SUM(N245-1052)</f>
        <v>10872</v>
      </c>
      <c r="O248" s="653">
        <f>SUM(O245-550)</f>
        <v>3715</v>
      </c>
      <c r="P248" s="652">
        <f>SUM(P245-(5320-2614))</f>
        <v>8146</v>
      </c>
      <c r="Q248" s="653">
        <f>SUM(Q245-3062)</f>
        <v>1737</v>
      </c>
      <c r="R248" s="653">
        <f>SUM(R245-5194)</f>
        <v>4078</v>
      </c>
      <c r="S248" s="686">
        <f>SUM(S245-3484)</f>
        <v>7721</v>
      </c>
      <c r="T248" s="654">
        <f>SUM(T245-791)</f>
        <v>1689</v>
      </c>
      <c r="U248" s="686">
        <f>SUM(U245-483)</f>
        <v>1087</v>
      </c>
      <c r="V248" s="686">
        <f>SUM(V245-3359)</f>
        <v>640</v>
      </c>
      <c r="W248" s="686">
        <f>SUM(W245-7359)</f>
        <v>640</v>
      </c>
      <c r="X248" s="526"/>
      <c r="Y248" s="534"/>
      <c r="Z248" s="534"/>
      <c r="AA248" s="534"/>
      <c r="AB248" s="682" t="s">
        <v>192</v>
      </c>
      <c r="AC248" s="528" t="s">
        <v>4</v>
      </c>
      <c r="AD248" s="544">
        <v>97433.600000000006</v>
      </c>
      <c r="AE248" s="541">
        <v>243584.4</v>
      </c>
      <c r="AF248" s="688">
        <v>132070.29999999999</v>
      </c>
      <c r="AG248" s="552">
        <v>292299.3</v>
      </c>
      <c r="AH248" s="773"/>
      <c r="AI248" s="773"/>
      <c r="AJ248" s="551">
        <v>132070.39999999999</v>
      </c>
    </row>
    <row r="249" spans="1:36" s="591" customFormat="1" x14ac:dyDescent="0.25">
      <c r="A249" s="939"/>
      <c r="B249" s="655" t="s">
        <v>77</v>
      </c>
      <c r="C249" s="660">
        <f t="shared" ref="C249:N249" si="80">C248*33.717</f>
        <v>189320.95499999999</v>
      </c>
      <c r="D249" s="660">
        <f t="shared" si="80"/>
        <v>88304.823000000004</v>
      </c>
      <c r="E249" s="660">
        <f t="shared" si="80"/>
        <v>89181.464999999997</v>
      </c>
      <c r="F249" s="660">
        <f t="shared" si="80"/>
        <v>272972.83199999999</v>
      </c>
      <c r="G249" s="660">
        <f t="shared" si="80"/>
        <v>120976.59599999999</v>
      </c>
      <c r="H249" s="660">
        <f t="shared" si="80"/>
        <v>459158.10599999997</v>
      </c>
      <c r="I249" s="660">
        <f t="shared" si="80"/>
        <v>225296.99400000001</v>
      </c>
      <c r="J249" s="660">
        <f t="shared" si="80"/>
        <v>43461.212999999996</v>
      </c>
      <c r="K249" s="660">
        <f t="shared" si="80"/>
        <v>125393.523</v>
      </c>
      <c r="L249" s="660">
        <f t="shared" si="80"/>
        <v>139116.342</v>
      </c>
      <c r="M249" s="660">
        <f t="shared" si="80"/>
        <v>278805.87299999996</v>
      </c>
      <c r="N249" s="657">
        <f t="shared" si="80"/>
        <v>366571.22399999999</v>
      </c>
      <c r="O249" s="657">
        <f>(O248*33.717)</f>
        <v>125258.655</v>
      </c>
      <c r="P249" s="657">
        <f>P248*33.717-(2614*33.717)</f>
        <v>186522.44399999996</v>
      </c>
      <c r="Q249" s="658">
        <f t="shared" ref="Q249:W249" si="81">Q248*33.717</f>
        <v>58566.428999999996</v>
      </c>
      <c r="R249" s="658">
        <f t="shared" si="81"/>
        <v>137497.92600000001</v>
      </c>
      <c r="S249" s="659">
        <f t="shared" si="81"/>
        <v>260328.95699999999</v>
      </c>
      <c r="T249" s="661">
        <f t="shared" si="81"/>
        <v>56948.012999999999</v>
      </c>
      <c r="U249" s="691">
        <f t="shared" si="81"/>
        <v>36650.379000000001</v>
      </c>
      <c r="V249" s="691">
        <f t="shared" si="81"/>
        <v>21578.879999999997</v>
      </c>
      <c r="W249" s="691">
        <f t="shared" si="81"/>
        <v>21578.879999999997</v>
      </c>
      <c r="X249" s="532">
        <f>344240-H249</f>
        <v>-114918.10599999997</v>
      </c>
      <c r="Y249" s="534"/>
      <c r="Z249" s="534"/>
      <c r="AA249" s="534"/>
      <c r="AB249" s="683"/>
      <c r="AC249" s="624" t="s">
        <v>5</v>
      </c>
      <c r="AD249" s="629">
        <v>38973.199999999997</v>
      </c>
      <c r="AE249" s="625">
        <v>124350.5</v>
      </c>
      <c r="AF249" s="626">
        <v>3817.1</v>
      </c>
      <c r="AG249" s="631">
        <v>109009</v>
      </c>
      <c r="AH249" s="774"/>
      <c r="AI249" s="774"/>
      <c r="AJ249" s="632">
        <v>33401</v>
      </c>
    </row>
    <row r="250" spans="1:36" s="591" customFormat="1" ht="15.75" thickBot="1" x14ac:dyDescent="0.3">
      <c r="A250" s="940"/>
      <c r="B250" s="504" t="s">
        <v>218</v>
      </c>
      <c r="C250" s="542">
        <f t="shared" ref="C250:W250" si="82">C249/C242</f>
        <v>0.75722808801272223</v>
      </c>
      <c r="D250" s="689">
        <f t="shared" si="82"/>
        <v>0.58667791015880633</v>
      </c>
      <c r="E250" s="690">
        <f t="shared" si="82"/>
        <v>0.59250212767088295</v>
      </c>
      <c r="F250" s="690">
        <f t="shared" si="82"/>
        <v>1.4998606144655899</v>
      </c>
      <c r="G250" s="690">
        <f t="shared" si="82"/>
        <v>0.73118184867651626</v>
      </c>
      <c r="H250" s="690">
        <f t="shared" si="82"/>
        <v>1.1788246774752569</v>
      </c>
      <c r="I250" s="690">
        <f t="shared" si="82"/>
        <v>1.3177682568612015</v>
      </c>
      <c r="J250" s="690">
        <f t="shared" si="82"/>
        <v>0.26267932077592798</v>
      </c>
      <c r="K250" s="690">
        <f t="shared" si="82"/>
        <v>1.033043640521788</v>
      </c>
      <c r="L250" s="690">
        <f t="shared" si="82"/>
        <v>0.62085775414243327</v>
      </c>
      <c r="M250" s="690">
        <f t="shared" si="82"/>
        <v>1.4443722371393741</v>
      </c>
      <c r="N250" s="501">
        <f t="shared" si="82"/>
        <v>0.83650063358601467</v>
      </c>
      <c r="O250" s="501">
        <f t="shared" si="82"/>
        <v>1.514127922578711</v>
      </c>
      <c r="P250" s="663">
        <f t="shared" si="82"/>
        <v>0.67640638973001377</v>
      </c>
      <c r="Q250" s="520">
        <f t="shared" si="82"/>
        <v>0.70795160202401641</v>
      </c>
      <c r="R250" s="520">
        <f t="shared" si="82"/>
        <v>0.72757308648037688</v>
      </c>
      <c r="S250" s="515">
        <f t="shared" si="82"/>
        <v>1.1618135530135063</v>
      </c>
      <c r="T250" s="542">
        <f t="shared" si="82"/>
        <v>1.0325835070986926</v>
      </c>
      <c r="U250" s="689">
        <f t="shared" si="82"/>
        <v>1.107580090962663</v>
      </c>
      <c r="V250" s="689">
        <f t="shared" si="82"/>
        <v>0.21508975828557186</v>
      </c>
      <c r="W250" s="689">
        <f t="shared" si="82"/>
        <v>0.10393199277543647</v>
      </c>
      <c r="X250" s="534"/>
      <c r="Y250" s="534"/>
      <c r="Z250" s="534"/>
      <c r="AA250" s="534"/>
      <c r="AB250" s="684"/>
      <c r="AC250" s="504" t="s">
        <v>3</v>
      </c>
      <c r="AD250" s="545">
        <f>AD249/AD248</f>
        <v>0.39999753678402516</v>
      </c>
      <c r="AE250" s="542">
        <f>AE249/AE248</f>
        <v>0.51050272513346506</v>
      </c>
      <c r="AF250" s="689">
        <f>AF249/AF248</f>
        <v>2.8902031720984961E-2</v>
      </c>
      <c r="AG250" s="636">
        <f>AG249/AG248</f>
        <v>0.37293623351133581</v>
      </c>
      <c r="AH250" s="775"/>
      <c r="AI250" s="775"/>
      <c r="AJ250" s="633">
        <f>AJ249/AJ248</f>
        <v>0.25290299718937781</v>
      </c>
    </row>
    <row r="251" spans="1:36" s="591" customFormat="1" ht="15.75" thickBot="1" x14ac:dyDescent="0.3">
      <c r="A251" s="612"/>
      <c r="B251" s="504" t="s">
        <v>219</v>
      </c>
      <c r="C251" s="650">
        <v>171297</v>
      </c>
      <c r="D251" s="650">
        <v>98689.1</v>
      </c>
      <c r="E251" s="650">
        <v>99565.7</v>
      </c>
      <c r="F251" s="650">
        <v>254974</v>
      </c>
      <c r="G251" s="650">
        <v>118688</v>
      </c>
      <c r="H251" s="650">
        <v>444084</v>
      </c>
      <c r="I251" s="650">
        <v>171318</v>
      </c>
      <c r="J251" s="650">
        <v>43497.8</v>
      </c>
      <c r="K251" s="650">
        <v>125474</v>
      </c>
      <c r="L251" s="650">
        <v>137359</v>
      </c>
      <c r="M251" s="650">
        <v>268409</v>
      </c>
      <c r="N251" s="650">
        <v>366641</v>
      </c>
      <c r="O251" s="650">
        <v>125308</v>
      </c>
      <c r="P251" s="650">
        <v>167575</v>
      </c>
      <c r="Q251" s="650">
        <v>58609.3</v>
      </c>
      <c r="R251" s="650">
        <v>124409</v>
      </c>
      <c r="S251" s="650">
        <v>260487</v>
      </c>
      <c r="T251" s="650">
        <v>56947.7</v>
      </c>
      <c r="U251" s="650">
        <v>36650.300000000003</v>
      </c>
      <c r="V251" s="650">
        <v>21612.5</v>
      </c>
      <c r="W251" s="696">
        <v>21612.5</v>
      </c>
      <c r="X251" s="534"/>
      <c r="Y251" s="534"/>
      <c r="Z251" s="534"/>
      <c r="AA251" s="534"/>
      <c r="AB251" s="684" t="s">
        <v>220</v>
      </c>
      <c r="AC251" s="504" t="s">
        <v>3</v>
      </c>
      <c r="AD251" s="545">
        <f>(AD244+AD250)/2</f>
        <v>0.38119624665106289</v>
      </c>
      <c r="AE251" s="545">
        <f t="shared" ref="AE251:AJ251" si="83">(AE244+AE250)/2</f>
        <v>0.47677983409520408</v>
      </c>
      <c r="AF251" s="545">
        <f t="shared" si="83"/>
        <v>2.9589946651719472E-2</v>
      </c>
      <c r="AG251" s="545">
        <f t="shared" si="83"/>
        <v>0.45412051337057324</v>
      </c>
      <c r="AH251" s="545"/>
      <c r="AI251" s="545"/>
      <c r="AJ251" s="545">
        <f t="shared" si="83"/>
        <v>0.31543211186862841</v>
      </c>
    </row>
    <row r="252" spans="1:36" s="591" customFormat="1" ht="15.75" thickBot="1" x14ac:dyDescent="0.3">
      <c r="A252" s="612"/>
      <c r="B252" s="504" t="s">
        <v>217</v>
      </c>
      <c r="C252" s="690">
        <f t="shared" ref="C252:W252" si="84">C251/C242</f>
        <v>0.68513757387456287</v>
      </c>
      <c r="D252" s="690">
        <f t="shared" si="84"/>
        <v>0.65566877296672066</v>
      </c>
      <c r="E252" s="690">
        <f t="shared" si="84"/>
        <v>0.661492711439993</v>
      </c>
      <c r="F252" s="690">
        <f t="shared" si="84"/>
        <v>1.4009652810897655</v>
      </c>
      <c r="G252" s="690">
        <f t="shared" si="84"/>
        <v>0.71734958764849344</v>
      </c>
      <c r="H252" s="690">
        <f t="shared" si="84"/>
        <v>1.1401240035429583</v>
      </c>
      <c r="I252" s="690">
        <f t="shared" si="84"/>
        <v>1.0020436501205485</v>
      </c>
      <c r="J252" s="690">
        <f t="shared" si="84"/>
        <v>0.26290045239296844</v>
      </c>
      <c r="K252" s="690">
        <f t="shared" si="84"/>
        <v>1.0337066432915425</v>
      </c>
      <c r="L252" s="690">
        <f t="shared" si="84"/>
        <v>0.61301497024160179</v>
      </c>
      <c r="M252" s="690">
        <f t="shared" si="84"/>
        <v>1.39051054996371</v>
      </c>
      <c r="N252" s="690">
        <f t="shared" si="84"/>
        <v>0.83665985958191302</v>
      </c>
      <c r="O252" s="690">
        <f t="shared" si="84"/>
        <v>1.514724405451209</v>
      </c>
      <c r="P252" s="690">
        <f t="shared" si="84"/>
        <v>0.60769523671374948</v>
      </c>
      <c r="Q252" s="690">
        <f t="shared" si="84"/>
        <v>0.70846982711727546</v>
      </c>
      <c r="R252" s="690">
        <f t="shared" si="84"/>
        <v>0.65831276695720642</v>
      </c>
      <c r="S252" s="690">
        <f t="shared" si="84"/>
        <v>1.1625188779280871</v>
      </c>
      <c r="T252" s="690">
        <f t="shared" si="84"/>
        <v>1.032577831770956</v>
      </c>
      <c r="U252" s="690">
        <f t="shared" si="84"/>
        <v>1.1075777035705112</v>
      </c>
      <c r="V252" s="690">
        <f t="shared" si="84"/>
        <v>0.21542486917518067</v>
      </c>
      <c r="W252" s="690">
        <f t="shared" si="84"/>
        <v>0.1040939193257074</v>
      </c>
      <c r="X252" s="534"/>
      <c r="Y252" s="534"/>
      <c r="Z252" s="534"/>
      <c r="AA252" s="534"/>
      <c r="AB252" s="684"/>
      <c r="AC252" s="504"/>
      <c r="AD252" s="545"/>
      <c r="AE252" s="542"/>
      <c r="AF252" s="689"/>
      <c r="AG252" s="636"/>
      <c r="AH252" s="775"/>
      <c r="AI252" s="775"/>
      <c r="AJ252" s="633"/>
    </row>
    <row r="253" spans="1:36" s="591" customFormat="1" ht="15.75" thickBot="1" x14ac:dyDescent="0.3">
      <c r="A253" s="924">
        <v>41695</v>
      </c>
      <c r="B253" s="924"/>
      <c r="C253" s="924"/>
      <c r="D253" s="529"/>
      <c r="E253" s="529"/>
      <c r="F253" s="529"/>
      <c r="G253" s="529"/>
      <c r="H253" s="529"/>
      <c r="I253" s="525"/>
      <c r="J253" s="531"/>
      <c r="K253" s="531"/>
      <c r="L253" s="529"/>
      <c r="M253" s="529"/>
      <c r="N253" s="527"/>
      <c r="R253" s="526"/>
      <c r="S253" s="534"/>
      <c r="T253" s="534"/>
      <c r="U253" s="534"/>
      <c r="V253" s="534"/>
      <c r="W253" s="534"/>
      <c r="X253" s="534"/>
      <c r="Y253" s="534"/>
      <c r="Z253" s="534"/>
      <c r="AA253" s="941"/>
      <c r="AB253" s="942"/>
      <c r="AH253" s="743"/>
      <c r="AI253" s="743"/>
    </row>
    <row r="254" spans="1:36" s="591" customFormat="1" x14ac:dyDescent="0.25">
      <c r="A254" s="925" t="s">
        <v>1</v>
      </c>
      <c r="B254" s="926"/>
      <c r="C254" s="540" t="s">
        <v>12</v>
      </c>
      <c r="D254" s="539" t="s">
        <v>12</v>
      </c>
      <c r="E254" s="540" t="s">
        <v>13</v>
      </c>
      <c r="F254" s="530" t="s">
        <v>13</v>
      </c>
      <c r="G254" s="530" t="s">
        <v>13</v>
      </c>
      <c r="H254" s="530" t="s">
        <v>13</v>
      </c>
      <c r="I254" s="530" t="s">
        <v>13</v>
      </c>
      <c r="J254" s="536" t="s">
        <v>13</v>
      </c>
      <c r="K254" s="536" t="s">
        <v>13</v>
      </c>
      <c r="L254" s="539" t="s">
        <v>13</v>
      </c>
      <c r="M254" s="676" t="s">
        <v>2</v>
      </c>
      <c r="N254" s="530" t="s">
        <v>2</v>
      </c>
      <c r="O254" s="536" t="s">
        <v>2</v>
      </c>
      <c r="P254" s="530" t="s">
        <v>2</v>
      </c>
      <c r="Q254" s="536" t="s">
        <v>2</v>
      </c>
      <c r="R254" s="536" t="s">
        <v>2</v>
      </c>
      <c r="S254" s="539" t="s">
        <v>2</v>
      </c>
      <c r="T254" s="569" t="s">
        <v>183</v>
      </c>
      <c r="U254" s="570" t="s">
        <v>183</v>
      </c>
      <c r="V254" s="570" t="s">
        <v>2</v>
      </c>
      <c r="W254" s="693" t="s">
        <v>13</v>
      </c>
      <c r="X254" s="534"/>
      <c r="Y254" s="534"/>
      <c r="Z254" s="534"/>
      <c r="AA254" s="534"/>
      <c r="AB254" s="925" t="s">
        <v>1</v>
      </c>
      <c r="AC254" s="928"/>
      <c r="AD254" s="677" t="s">
        <v>12</v>
      </c>
      <c r="AE254" s="929" t="s">
        <v>13</v>
      </c>
      <c r="AF254" s="930"/>
      <c r="AG254" s="929" t="s">
        <v>2</v>
      </c>
      <c r="AH254" s="943"/>
      <c r="AI254" s="943"/>
      <c r="AJ254" s="930"/>
    </row>
    <row r="255" spans="1:36" s="591" customFormat="1" ht="15.75" thickBot="1" x14ac:dyDescent="0.3">
      <c r="A255" s="931" t="s">
        <v>0</v>
      </c>
      <c r="B255" s="932"/>
      <c r="C255" s="617" t="s">
        <v>99</v>
      </c>
      <c r="D255" s="618" t="s">
        <v>100</v>
      </c>
      <c r="E255" s="617" t="s">
        <v>101</v>
      </c>
      <c r="F255" s="619" t="s">
        <v>102</v>
      </c>
      <c r="G255" s="619" t="s">
        <v>97</v>
      </c>
      <c r="H255" s="619" t="s">
        <v>104</v>
      </c>
      <c r="I255" s="619" t="s">
        <v>103</v>
      </c>
      <c r="J255" s="521" t="s">
        <v>178</v>
      </c>
      <c r="K255" s="521" t="s">
        <v>200</v>
      </c>
      <c r="L255" s="517" t="s">
        <v>207</v>
      </c>
      <c r="M255" s="617" t="s">
        <v>105</v>
      </c>
      <c r="N255" s="619" t="s">
        <v>107</v>
      </c>
      <c r="O255" s="620" t="s">
        <v>98</v>
      </c>
      <c r="P255" s="516" t="s">
        <v>106</v>
      </c>
      <c r="Q255" s="620" t="s">
        <v>179</v>
      </c>
      <c r="R255" s="620" t="s">
        <v>199</v>
      </c>
      <c r="S255" s="618" t="s">
        <v>208</v>
      </c>
      <c r="T255" s="621" t="s">
        <v>182</v>
      </c>
      <c r="U255" s="618" t="s">
        <v>184</v>
      </c>
      <c r="V255" s="618" t="s">
        <v>222</v>
      </c>
      <c r="W255" s="694" t="s">
        <v>223</v>
      </c>
      <c r="X255" s="526"/>
      <c r="Y255" s="526"/>
      <c r="Z255" s="526"/>
      <c r="AA255" s="526"/>
      <c r="AB255" s="931" t="s">
        <v>0</v>
      </c>
      <c r="AC255" s="934"/>
      <c r="AD255" s="621" t="s">
        <v>99</v>
      </c>
      <c r="AE255" s="617" t="s">
        <v>104</v>
      </c>
      <c r="AF255" s="618" t="s">
        <v>207</v>
      </c>
      <c r="AG255" s="622" t="s">
        <v>107</v>
      </c>
      <c r="AH255" s="772"/>
      <c r="AI255" s="772"/>
      <c r="AJ255" s="623" t="s">
        <v>208</v>
      </c>
    </row>
    <row r="256" spans="1:36" s="591" customFormat="1" ht="30" x14ac:dyDescent="0.25">
      <c r="A256" s="935" t="s">
        <v>9</v>
      </c>
      <c r="B256" s="528" t="s">
        <v>4</v>
      </c>
      <c r="C256" s="541">
        <v>143393</v>
      </c>
      <c r="D256" s="538">
        <v>150516.70000000001</v>
      </c>
      <c r="E256" s="541">
        <v>150516.70000000001</v>
      </c>
      <c r="F256" s="533">
        <v>181998.8</v>
      </c>
      <c r="G256" s="533">
        <v>165453.5</v>
      </c>
      <c r="H256" s="533">
        <v>132132.9</v>
      </c>
      <c r="I256" s="533">
        <v>170968.6</v>
      </c>
      <c r="J256" s="537">
        <v>165453.5</v>
      </c>
      <c r="K256" s="537">
        <v>121382.6</v>
      </c>
      <c r="L256" s="538">
        <v>83196.100000000006</v>
      </c>
      <c r="M256" s="541">
        <v>193029.1</v>
      </c>
      <c r="N256" s="533">
        <v>132132.9</v>
      </c>
      <c r="O256" s="533">
        <v>82726.600000000006</v>
      </c>
      <c r="P256" s="533">
        <v>275755</v>
      </c>
      <c r="Q256" s="537">
        <v>82726.600000000006</v>
      </c>
      <c r="R256" s="537">
        <v>188981.6</v>
      </c>
      <c r="S256" s="538">
        <v>83196.100000000006</v>
      </c>
      <c r="T256" s="544">
        <v>55151</v>
      </c>
      <c r="U256" s="538">
        <v>33090.5</v>
      </c>
      <c r="V256" s="538">
        <v>100325</v>
      </c>
      <c r="W256" s="688">
        <v>207625</v>
      </c>
      <c r="X256" s="534"/>
      <c r="Y256" s="534"/>
      <c r="Z256" s="534"/>
      <c r="AA256" s="534"/>
      <c r="AB256" s="678" t="s">
        <v>195</v>
      </c>
      <c r="AC256" s="524" t="s">
        <v>4</v>
      </c>
      <c r="AD256" s="544">
        <v>143393</v>
      </c>
      <c r="AE256" s="541">
        <v>132132</v>
      </c>
      <c r="AF256" s="538">
        <v>83196.100000000006</v>
      </c>
      <c r="AG256" s="552">
        <v>132132.20000000001</v>
      </c>
      <c r="AH256" s="773"/>
      <c r="AI256" s="773"/>
      <c r="AJ256" s="551">
        <v>83196.100000000006</v>
      </c>
    </row>
    <row r="257" spans="1:36" s="591" customFormat="1" x14ac:dyDescent="0.25">
      <c r="A257" s="936"/>
      <c r="B257" s="624" t="s">
        <v>5</v>
      </c>
      <c r="C257" s="625">
        <v>52977.7</v>
      </c>
      <c r="D257" s="626">
        <v>82739.8</v>
      </c>
      <c r="E257" s="625">
        <v>84081.8</v>
      </c>
      <c r="F257" s="627">
        <v>156685.79999999999</v>
      </c>
      <c r="G257" s="627">
        <v>114056.6</v>
      </c>
      <c r="H257" s="627">
        <v>66781</v>
      </c>
      <c r="I257" s="627">
        <v>117323.6</v>
      </c>
      <c r="J257" s="628">
        <v>37155.5</v>
      </c>
      <c r="K257" s="628">
        <v>63759.4</v>
      </c>
      <c r="L257" s="626">
        <v>8223.7999999999993</v>
      </c>
      <c r="M257" s="625">
        <v>171660.2</v>
      </c>
      <c r="N257" s="627">
        <v>67516.899999999994</v>
      </c>
      <c r="O257" s="627">
        <v>58972.7</v>
      </c>
      <c r="P257" s="627">
        <v>215093.5</v>
      </c>
      <c r="Q257" s="628">
        <v>19277.900000000001</v>
      </c>
      <c r="R257" s="628">
        <v>104389.5</v>
      </c>
      <c r="S257" s="626">
        <v>58509.5</v>
      </c>
      <c r="T257" s="629">
        <v>14096.1</v>
      </c>
      <c r="U257" s="626">
        <v>7319.5</v>
      </c>
      <c r="V257" s="626">
        <v>14.2</v>
      </c>
      <c r="W257" s="695">
        <v>283.8</v>
      </c>
      <c r="X257" s="534"/>
      <c r="Y257" s="534"/>
      <c r="Z257" s="534"/>
      <c r="AA257" s="534"/>
      <c r="AB257" s="679"/>
      <c r="AC257" s="630" t="s">
        <v>5</v>
      </c>
      <c r="AD257" s="629">
        <v>51964.9</v>
      </c>
      <c r="AE257" s="625">
        <v>58542</v>
      </c>
      <c r="AF257" s="626">
        <v>2519</v>
      </c>
      <c r="AG257" s="631">
        <v>70731</v>
      </c>
      <c r="AH257" s="774"/>
      <c r="AI257" s="774"/>
      <c r="AJ257" s="632">
        <v>31444.9</v>
      </c>
    </row>
    <row r="258" spans="1:36" s="591" customFormat="1" ht="15.75" thickBot="1" x14ac:dyDescent="0.3">
      <c r="A258" s="937"/>
      <c r="B258" s="504" t="s">
        <v>3</v>
      </c>
      <c r="C258" s="542">
        <f t="shared" ref="C258:L258" si="85">C257/C256</f>
        <v>0.36945806280641313</v>
      </c>
      <c r="D258" s="633">
        <f t="shared" si="85"/>
        <v>0.54970511577785053</v>
      </c>
      <c r="E258" s="633">
        <f t="shared" si="85"/>
        <v>0.55862106995436389</v>
      </c>
      <c r="F258" s="681">
        <f t="shared" si="85"/>
        <v>0.86091666538460687</v>
      </c>
      <c r="G258" s="633">
        <f t="shared" si="85"/>
        <v>0.6893574327530092</v>
      </c>
      <c r="H258" s="633">
        <f t="shared" si="85"/>
        <v>0.50540781289141468</v>
      </c>
      <c r="I258" s="633">
        <f t="shared" si="85"/>
        <v>0.68622893326610857</v>
      </c>
      <c r="J258" s="633">
        <f t="shared" si="85"/>
        <v>0.22456762776248312</v>
      </c>
      <c r="K258" s="633">
        <f t="shared" si="85"/>
        <v>0.5252762751827692</v>
      </c>
      <c r="L258" s="633">
        <f t="shared" si="85"/>
        <v>9.8848383517977395E-2</v>
      </c>
      <c r="M258" s="547">
        <f>M257/M256</f>
        <v>0.88929700236907283</v>
      </c>
      <c r="N258" s="498">
        <f>N257/N256</f>
        <v>0.51097720552564874</v>
      </c>
      <c r="O258" s="506">
        <f>O257/O256</f>
        <v>0.71286261009155449</v>
      </c>
      <c r="P258" s="498">
        <f>P257/P256</f>
        <v>0.78001668147449732</v>
      </c>
      <c r="Q258" s="506">
        <f>Q257/Q256</f>
        <v>0.2330314554206265</v>
      </c>
      <c r="R258" s="506">
        <f t="shared" ref="R258:S258" si="86">R257/R256</f>
        <v>0.55237917342217446</v>
      </c>
      <c r="S258" s="514">
        <f t="shared" si="86"/>
        <v>0.70327214857427212</v>
      </c>
      <c r="T258" s="545">
        <f>T257/T256</f>
        <v>0.25559101376221649</v>
      </c>
      <c r="U258" s="514">
        <f>U257/U256</f>
        <v>0.22119641588975689</v>
      </c>
      <c r="V258" s="514">
        <f>V257/V256</f>
        <v>1.4153999501619735E-4</v>
      </c>
      <c r="W258" s="689">
        <f>W257/W256</f>
        <v>1.3668874172185431E-3</v>
      </c>
      <c r="X258" s="534"/>
      <c r="Y258" s="534"/>
      <c r="Z258" s="534"/>
      <c r="AA258" s="534"/>
      <c r="AB258" s="680"/>
      <c r="AC258" s="634" t="s">
        <v>3</v>
      </c>
      <c r="AD258" s="635">
        <f>AD257/AD256</f>
        <v>0.36239495651810061</v>
      </c>
      <c r="AE258" s="542">
        <f>AE257/AE256</f>
        <v>0.44305694305694304</v>
      </c>
      <c r="AF258" s="514">
        <f>AF257/AF256</f>
        <v>3.0277861582453984E-2</v>
      </c>
      <c r="AG258" s="636">
        <f>AG257/AG256</f>
        <v>0.53530479322981073</v>
      </c>
      <c r="AH258" s="775"/>
      <c r="AI258" s="775"/>
      <c r="AJ258" s="633">
        <f>AJ257/AJ256</f>
        <v>0.37796122654787906</v>
      </c>
    </row>
    <row r="259" spans="1:36" s="591" customFormat="1" ht="30" x14ac:dyDescent="0.25">
      <c r="A259" s="938" t="s">
        <v>6</v>
      </c>
      <c r="B259" s="553" t="s">
        <v>7</v>
      </c>
      <c r="C259" s="554">
        <v>5870</v>
      </c>
      <c r="D259" s="555">
        <v>3333</v>
      </c>
      <c r="E259" s="554">
        <v>3330</v>
      </c>
      <c r="F259" s="556">
        <v>9457</v>
      </c>
      <c r="G259" s="556">
        <v>8135</v>
      </c>
      <c r="H259" s="556">
        <v>15703</v>
      </c>
      <c r="I259" s="556">
        <v>8197</v>
      </c>
      <c r="J259" s="557">
        <v>9599</v>
      </c>
      <c r="K259" s="557">
        <v>6153</v>
      </c>
      <c r="L259" s="555">
        <v>8399</v>
      </c>
      <c r="M259" s="554">
        <v>9092</v>
      </c>
      <c r="N259" s="556">
        <v>11924</v>
      </c>
      <c r="O259" s="556">
        <v>4265</v>
      </c>
      <c r="P259" s="556">
        <v>10852</v>
      </c>
      <c r="Q259" s="557">
        <v>4799</v>
      </c>
      <c r="R259" s="557">
        <v>9272</v>
      </c>
      <c r="S259" s="555">
        <v>11205</v>
      </c>
      <c r="T259" s="558">
        <v>2480</v>
      </c>
      <c r="U259" s="555">
        <v>1570</v>
      </c>
      <c r="V259" s="555">
        <v>3999</v>
      </c>
      <c r="W259" s="692">
        <v>7999</v>
      </c>
      <c r="X259" s="559" t="s">
        <v>198</v>
      </c>
      <c r="Y259" s="561"/>
      <c r="Z259" s="561"/>
      <c r="AA259" s="561"/>
      <c r="AB259" s="562" t="s">
        <v>191</v>
      </c>
      <c r="AC259" s="553" t="s">
        <v>4</v>
      </c>
      <c r="AD259" s="564">
        <v>9191.7999999999993</v>
      </c>
      <c r="AE259" s="565">
        <v>13787.7</v>
      </c>
      <c r="AF259" s="566">
        <v>8804.7999999999993</v>
      </c>
      <c r="AG259" s="567">
        <v>13787.7</v>
      </c>
      <c r="AH259" s="776"/>
      <c r="AI259" s="776"/>
      <c r="AJ259" s="568">
        <v>8804.7999999999993</v>
      </c>
    </row>
    <row r="260" spans="1:36" s="591" customFormat="1" x14ac:dyDescent="0.25">
      <c r="A260" s="939"/>
      <c r="B260" s="637" t="s">
        <v>11</v>
      </c>
      <c r="C260" s="644">
        <f t="shared" ref="C260:Q260" si="87">C259*33.717</f>
        <v>197918.78999999998</v>
      </c>
      <c r="D260" s="644">
        <f t="shared" si="87"/>
        <v>112378.761</v>
      </c>
      <c r="E260" s="644">
        <f t="shared" si="87"/>
        <v>112277.61</v>
      </c>
      <c r="F260" s="644">
        <f t="shared" si="87"/>
        <v>318861.66899999999</v>
      </c>
      <c r="G260" s="644">
        <f t="shared" si="87"/>
        <v>274287.79499999998</v>
      </c>
      <c r="H260" s="644">
        <f t="shared" si="87"/>
        <v>529458.05099999998</v>
      </c>
      <c r="I260" s="644">
        <f t="shared" si="87"/>
        <v>276378.24900000001</v>
      </c>
      <c r="J260" s="644">
        <f t="shared" si="87"/>
        <v>323649.48300000001</v>
      </c>
      <c r="K260" s="644">
        <f t="shared" si="87"/>
        <v>207460.701</v>
      </c>
      <c r="L260" s="644">
        <f t="shared" si="87"/>
        <v>283189.08299999998</v>
      </c>
      <c r="M260" s="644">
        <f t="shared" si="87"/>
        <v>306554.96399999998</v>
      </c>
      <c r="N260" s="641">
        <f t="shared" si="87"/>
        <v>402041.50799999997</v>
      </c>
      <c r="O260" s="641">
        <f t="shared" si="87"/>
        <v>143803.005</v>
      </c>
      <c r="P260" s="642">
        <f t="shared" si="87"/>
        <v>365896.88399999996</v>
      </c>
      <c r="Q260" s="640">
        <f t="shared" si="87"/>
        <v>161807.883</v>
      </c>
      <c r="R260" s="643">
        <f t="shared" ref="R260:S260" si="88">R259*33.717</f>
        <v>312624.02399999998</v>
      </c>
      <c r="S260" s="639">
        <f t="shared" si="88"/>
        <v>377798.98499999999</v>
      </c>
      <c r="T260" s="638">
        <f>T259*33.717</f>
        <v>83618.16</v>
      </c>
      <c r="U260" s="642">
        <f>U259*33.717</f>
        <v>52935.689999999995</v>
      </c>
      <c r="V260" s="642">
        <f>V259*33.717</f>
        <v>134834.283</v>
      </c>
      <c r="W260" s="642">
        <f>W259*33.717</f>
        <v>269702.283</v>
      </c>
      <c r="X260" s="534"/>
      <c r="Y260" s="534"/>
      <c r="Z260" s="534"/>
      <c r="AA260" s="534"/>
      <c r="AB260" s="679"/>
      <c r="AC260" s="624" t="s">
        <v>5</v>
      </c>
      <c r="AD260" s="629">
        <v>7975.5</v>
      </c>
      <c r="AE260" s="625">
        <v>13649</v>
      </c>
      <c r="AF260" s="626">
        <v>1289.9000000000001</v>
      </c>
      <c r="AG260" s="631">
        <v>13642</v>
      </c>
      <c r="AH260" s="774"/>
      <c r="AI260" s="774"/>
      <c r="AJ260" s="632">
        <v>5483.9</v>
      </c>
    </row>
    <row r="261" spans="1:36" s="591" customFormat="1" ht="15.75" thickBot="1" x14ac:dyDescent="0.3">
      <c r="A261" s="939"/>
      <c r="B261" s="637" t="s">
        <v>79</v>
      </c>
      <c r="C261" s="638">
        <v>164000</v>
      </c>
      <c r="D261" s="639">
        <v>109880</v>
      </c>
      <c r="E261" s="638">
        <v>109880</v>
      </c>
      <c r="F261" s="641">
        <v>328000</v>
      </c>
      <c r="G261" s="641">
        <v>330905</v>
      </c>
      <c r="H261" s="641">
        <v>264264</v>
      </c>
      <c r="I261" s="641">
        <v>242663.6</v>
      </c>
      <c r="J261" s="643">
        <v>328000</v>
      </c>
      <c r="K261" s="643">
        <v>328000</v>
      </c>
      <c r="L261" s="639">
        <v>328000</v>
      </c>
      <c r="M261" s="638">
        <v>328000</v>
      </c>
      <c r="N261" s="641">
        <v>264264.40000000002</v>
      </c>
      <c r="O261" s="641">
        <v>328000</v>
      </c>
      <c r="P261" s="641">
        <v>352965.4</v>
      </c>
      <c r="Q261" s="643">
        <v>328000</v>
      </c>
      <c r="R261" s="643">
        <v>328000</v>
      </c>
      <c r="S261" s="639">
        <v>328000</v>
      </c>
      <c r="T261" s="644">
        <f>2*T256</f>
        <v>110302</v>
      </c>
      <c r="U261" s="639">
        <f>2*U256</f>
        <v>66181</v>
      </c>
      <c r="V261" s="639">
        <f>2*V256</f>
        <v>200650</v>
      </c>
      <c r="W261" s="687">
        <f>2*W256</f>
        <v>415250</v>
      </c>
      <c r="X261" s="534"/>
      <c r="Y261" s="534"/>
      <c r="Z261" s="534"/>
      <c r="AA261" s="534"/>
      <c r="AB261" s="680"/>
      <c r="AC261" s="645" t="s">
        <v>3</v>
      </c>
      <c r="AD261" s="635">
        <f>AD260/AD259</f>
        <v>0.86767553689157739</v>
      </c>
      <c r="AE261" s="646">
        <f>AE260/AE259</f>
        <v>0.98994030911609621</v>
      </c>
      <c r="AF261" s="647">
        <f>AF260/AF259</f>
        <v>0.14649963656187537</v>
      </c>
      <c r="AG261" s="648">
        <f>AG260/AG259</f>
        <v>0.98943261022505558</v>
      </c>
      <c r="AH261" s="777"/>
      <c r="AI261" s="777"/>
      <c r="AJ261" s="649">
        <f>AJ260/AJ259</f>
        <v>0.62283072869343992</v>
      </c>
    </row>
    <row r="262" spans="1:36" s="591" customFormat="1" ht="30" x14ac:dyDescent="0.25">
      <c r="A262" s="939"/>
      <c r="B262" s="624" t="s">
        <v>8</v>
      </c>
      <c r="C262" s="650">
        <f>SUM(C259-255)</f>
        <v>5615</v>
      </c>
      <c r="D262" s="651">
        <f>SUM(D259-714)</f>
        <v>2619</v>
      </c>
      <c r="E262" s="650">
        <f>SUM(E259-685)</f>
        <v>2645</v>
      </c>
      <c r="F262" s="652">
        <f>SUM(F259-1361)</f>
        <v>8096</v>
      </c>
      <c r="G262" s="652">
        <f>SUM(G259-4533)</f>
        <v>3602</v>
      </c>
      <c r="H262" s="652">
        <f>SUM(H259-2085)</f>
        <v>13618</v>
      </c>
      <c r="I262" s="652">
        <f>SUM(I259-(3531-2000))</f>
        <v>6666</v>
      </c>
      <c r="J262" s="653">
        <f>SUM(J259-8318)</f>
        <v>1281</v>
      </c>
      <c r="K262" s="653">
        <f>SUM(K259-2499)</f>
        <v>3654</v>
      </c>
      <c r="L262" s="651">
        <f>SUM(L259-4552)</f>
        <v>3847</v>
      </c>
      <c r="M262" s="650">
        <f>SUM(M259-1007)</f>
        <v>8085</v>
      </c>
      <c r="N262" s="652">
        <f>SUM(N259-1052)</f>
        <v>10872</v>
      </c>
      <c r="O262" s="653">
        <f>SUM(O259-550)</f>
        <v>3715</v>
      </c>
      <c r="P262" s="652">
        <f>SUM(P259-(5334-2614))</f>
        <v>8132</v>
      </c>
      <c r="Q262" s="653">
        <f>SUM(Q259-3070)</f>
        <v>1729</v>
      </c>
      <c r="R262" s="653">
        <f>SUM(R259-5259)</f>
        <v>4013</v>
      </c>
      <c r="S262" s="651">
        <f>SUM(S259-3634)</f>
        <v>7571</v>
      </c>
      <c r="T262" s="654">
        <f>SUM(T259-791)</f>
        <v>1689</v>
      </c>
      <c r="U262" s="651">
        <f>SUM(U259-483)</f>
        <v>1087</v>
      </c>
      <c r="V262" s="651">
        <f>SUM(V259-3919)</f>
        <v>80</v>
      </c>
      <c r="W262" s="686">
        <f>SUM(W259-7359)</f>
        <v>640</v>
      </c>
      <c r="X262" s="526"/>
      <c r="Y262" s="534"/>
      <c r="Z262" s="534"/>
      <c r="AA262" s="534"/>
      <c r="AB262" s="678" t="s">
        <v>192</v>
      </c>
      <c r="AC262" s="528" t="s">
        <v>4</v>
      </c>
      <c r="AD262" s="544">
        <v>97433.600000000006</v>
      </c>
      <c r="AE262" s="541">
        <v>243584.4</v>
      </c>
      <c r="AF262" s="538">
        <v>132070.29999999999</v>
      </c>
      <c r="AG262" s="552">
        <v>292299.3</v>
      </c>
      <c r="AH262" s="773"/>
      <c r="AI262" s="773"/>
      <c r="AJ262" s="551">
        <v>132070.39999999999</v>
      </c>
    </row>
    <row r="263" spans="1:36" s="591" customFormat="1" x14ac:dyDescent="0.25">
      <c r="A263" s="939"/>
      <c r="B263" s="655" t="s">
        <v>77</v>
      </c>
      <c r="C263" s="660">
        <f t="shared" ref="C263:N263" si="89">C262*33.717</f>
        <v>189320.95499999999</v>
      </c>
      <c r="D263" s="660">
        <f t="shared" si="89"/>
        <v>88304.823000000004</v>
      </c>
      <c r="E263" s="660">
        <f t="shared" si="89"/>
        <v>89181.464999999997</v>
      </c>
      <c r="F263" s="660">
        <f t="shared" si="89"/>
        <v>272972.83199999999</v>
      </c>
      <c r="G263" s="660">
        <f t="shared" si="89"/>
        <v>121448.63399999999</v>
      </c>
      <c r="H263" s="660">
        <f t="shared" si="89"/>
        <v>459158.10599999997</v>
      </c>
      <c r="I263" s="660">
        <f t="shared" si="89"/>
        <v>224757.522</v>
      </c>
      <c r="J263" s="660">
        <f t="shared" si="89"/>
        <v>43191.476999999999</v>
      </c>
      <c r="K263" s="660">
        <f t="shared" si="89"/>
        <v>123201.91799999999</v>
      </c>
      <c r="L263" s="660">
        <f t="shared" si="89"/>
        <v>129709.299</v>
      </c>
      <c r="M263" s="660">
        <f t="shared" si="89"/>
        <v>272601.94500000001</v>
      </c>
      <c r="N263" s="657">
        <f t="shared" si="89"/>
        <v>366571.22399999999</v>
      </c>
      <c r="O263" s="657">
        <f>(O262*33.717)</f>
        <v>125258.655</v>
      </c>
      <c r="P263" s="657">
        <f>P262*33.717-(2614*33.717)</f>
        <v>186050.40599999996</v>
      </c>
      <c r="Q263" s="658">
        <f t="shared" ref="Q263:W263" si="90">Q262*33.717</f>
        <v>58296.692999999999</v>
      </c>
      <c r="R263" s="658">
        <f t="shared" si="90"/>
        <v>135306.321</v>
      </c>
      <c r="S263" s="659">
        <f t="shared" si="90"/>
        <v>255271.40699999998</v>
      </c>
      <c r="T263" s="661">
        <f t="shared" si="90"/>
        <v>56948.012999999999</v>
      </c>
      <c r="U263" s="662">
        <f t="shared" si="90"/>
        <v>36650.379000000001</v>
      </c>
      <c r="V263" s="662">
        <f t="shared" si="90"/>
        <v>2697.3599999999997</v>
      </c>
      <c r="W263" s="691">
        <f t="shared" si="90"/>
        <v>21578.879999999997</v>
      </c>
      <c r="X263" s="532">
        <f>344240-H263</f>
        <v>-114918.10599999997</v>
      </c>
      <c r="Y263" s="534"/>
      <c r="Z263" s="534"/>
      <c r="AA263" s="534"/>
      <c r="AB263" s="679"/>
      <c r="AC263" s="624" t="s">
        <v>5</v>
      </c>
      <c r="AD263" s="629">
        <v>38973.199999999997</v>
      </c>
      <c r="AE263" s="625">
        <v>124350.5</v>
      </c>
      <c r="AF263" s="626">
        <v>3817.1</v>
      </c>
      <c r="AG263" s="631">
        <v>109009</v>
      </c>
      <c r="AH263" s="774"/>
      <c r="AI263" s="774"/>
      <c r="AJ263" s="632">
        <v>33401</v>
      </c>
    </row>
    <row r="264" spans="1:36" s="591" customFormat="1" ht="15.75" thickBot="1" x14ac:dyDescent="0.3">
      <c r="A264" s="940"/>
      <c r="B264" s="504" t="s">
        <v>218</v>
      </c>
      <c r="C264" s="542">
        <f t="shared" ref="C264:L264" si="91">C263/C256</f>
        <v>1.3202942612261406</v>
      </c>
      <c r="D264" s="514">
        <f t="shared" si="91"/>
        <v>0.58667791015880633</v>
      </c>
      <c r="E264" s="543">
        <f t="shared" si="91"/>
        <v>0.59250212767088295</v>
      </c>
      <c r="F264" s="543">
        <f t="shared" si="91"/>
        <v>1.4998606144655899</v>
      </c>
      <c r="G264" s="543">
        <f t="shared" si="91"/>
        <v>0.73403484362675908</v>
      </c>
      <c r="H264" s="543">
        <f t="shared" si="91"/>
        <v>3.4749718351750398</v>
      </c>
      <c r="I264" s="543">
        <f t="shared" si="91"/>
        <v>1.314612870433518</v>
      </c>
      <c r="J264" s="543">
        <f t="shared" si="91"/>
        <v>0.26104903794721779</v>
      </c>
      <c r="K264" s="543">
        <f t="shared" si="91"/>
        <v>1.0149882932150076</v>
      </c>
      <c r="L264" s="543">
        <f t="shared" si="91"/>
        <v>1.5590790794280018</v>
      </c>
      <c r="M264" s="543">
        <f t="shared" ref="M264:W264" si="92">M263/M256</f>
        <v>1.4122323784341324</v>
      </c>
      <c r="N264" s="501">
        <f t="shared" si="92"/>
        <v>2.7742615503027634</v>
      </c>
      <c r="O264" s="501">
        <f t="shared" si="92"/>
        <v>1.514127922578711</v>
      </c>
      <c r="P264" s="663">
        <f t="shared" si="92"/>
        <v>0.674694587586807</v>
      </c>
      <c r="Q264" s="520">
        <f t="shared" si="92"/>
        <v>0.7046910304545333</v>
      </c>
      <c r="R264" s="520">
        <f t="shared" si="92"/>
        <v>0.71597616381700646</v>
      </c>
      <c r="S264" s="515">
        <f t="shared" si="92"/>
        <v>3.0683097765400058</v>
      </c>
      <c r="T264" s="542">
        <f t="shared" si="92"/>
        <v>1.0325835070986926</v>
      </c>
      <c r="U264" s="514">
        <f t="shared" si="92"/>
        <v>1.107580090962663</v>
      </c>
      <c r="V264" s="514">
        <f t="shared" si="92"/>
        <v>2.6886219785696483E-2</v>
      </c>
      <c r="W264" s="689">
        <f t="shared" si="92"/>
        <v>0.10393199277543647</v>
      </c>
      <c r="X264" s="534"/>
      <c r="Y264" s="534"/>
      <c r="Z264" s="534"/>
      <c r="AA264" s="534"/>
      <c r="AB264" s="680"/>
      <c r="AC264" s="504" t="s">
        <v>3</v>
      </c>
      <c r="AD264" s="545">
        <f>AD263/AD262</f>
        <v>0.39999753678402516</v>
      </c>
      <c r="AE264" s="542">
        <f>AE263/AE262</f>
        <v>0.51050272513346506</v>
      </c>
      <c r="AF264" s="514">
        <f>AF263/AF262</f>
        <v>2.8902031720984961E-2</v>
      </c>
      <c r="AG264" s="636">
        <f>AG263/AG262</f>
        <v>0.37293623351133581</v>
      </c>
      <c r="AH264" s="775"/>
      <c r="AI264" s="775"/>
      <c r="AJ264" s="633">
        <f>AJ263/AJ262</f>
        <v>0.25290299718937781</v>
      </c>
    </row>
    <row r="265" spans="1:36" s="591" customFormat="1" ht="15.75" thickBot="1" x14ac:dyDescent="0.3">
      <c r="A265" s="612"/>
      <c r="B265" s="504" t="s">
        <v>219</v>
      </c>
      <c r="C265" s="650">
        <v>169949</v>
      </c>
      <c r="D265" s="650">
        <v>96362.6</v>
      </c>
      <c r="E265" s="650">
        <v>97374.1</v>
      </c>
      <c r="F265" s="650">
        <v>262762</v>
      </c>
      <c r="G265" s="650">
        <v>119700</v>
      </c>
      <c r="H265" s="650">
        <v>445574</v>
      </c>
      <c r="I265" s="650">
        <v>169530</v>
      </c>
      <c r="J265" s="650">
        <v>40733</v>
      </c>
      <c r="K265" s="650">
        <v>120180</v>
      </c>
      <c r="L265" s="650">
        <v>95846.3</v>
      </c>
      <c r="M265" s="650">
        <v>277512</v>
      </c>
      <c r="N265" s="650">
        <v>369005</v>
      </c>
      <c r="O265" s="650">
        <v>126591</v>
      </c>
      <c r="P265" s="650">
        <v>165752</v>
      </c>
      <c r="Q265" s="650">
        <v>55844.5</v>
      </c>
      <c r="R265" s="650">
        <v>119115</v>
      </c>
      <c r="S265" s="650">
        <v>218748</v>
      </c>
      <c r="T265" s="650">
        <v>56947.7</v>
      </c>
      <c r="U265" s="650">
        <v>36650.300000000003</v>
      </c>
      <c r="V265" s="650">
        <v>21612.5</v>
      </c>
      <c r="W265" s="696">
        <v>21612.5</v>
      </c>
      <c r="X265" s="534"/>
      <c r="Y265" s="534"/>
      <c r="Z265" s="534"/>
      <c r="AA265" s="534"/>
      <c r="AB265" s="680" t="s">
        <v>220</v>
      </c>
      <c r="AC265" s="504" t="s">
        <v>3</v>
      </c>
      <c r="AD265" s="545">
        <f>(AD258+AD264)/2</f>
        <v>0.38119624665106289</v>
      </c>
      <c r="AE265" s="545">
        <f t="shared" ref="AE265:AJ265" si="93">(AE258+AE264)/2</f>
        <v>0.47677983409520408</v>
      </c>
      <c r="AF265" s="545">
        <f t="shared" si="93"/>
        <v>2.9589946651719472E-2</v>
      </c>
      <c r="AG265" s="545">
        <f t="shared" si="93"/>
        <v>0.45412051337057324</v>
      </c>
      <c r="AH265" s="545"/>
      <c r="AI265" s="545"/>
      <c r="AJ265" s="545">
        <f t="shared" si="93"/>
        <v>0.31543211186862841</v>
      </c>
    </row>
    <row r="266" spans="1:36" s="591" customFormat="1" ht="15.75" thickBot="1" x14ac:dyDescent="0.3">
      <c r="A266" s="612"/>
      <c r="B266" s="504" t="s">
        <v>217</v>
      </c>
      <c r="C266" s="543">
        <f t="shared" ref="C266:D266" si="94">C265/C256</f>
        <v>1.1851973248345455</v>
      </c>
      <c r="D266" s="543">
        <f t="shared" si="94"/>
        <v>0.64021201634104385</v>
      </c>
      <c r="E266" s="543">
        <f t="shared" ref="E266:L266" si="95">E265/E256</f>
        <v>0.64693220087870651</v>
      </c>
      <c r="F266" s="543">
        <f t="shared" si="95"/>
        <v>1.4437567720226727</v>
      </c>
      <c r="G266" s="543">
        <f t="shared" si="95"/>
        <v>0.72346610981333126</v>
      </c>
      <c r="H266" s="543">
        <f t="shared" si="95"/>
        <v>3.372165448574882</v>
      </c>
      <c r="I266" s="543">
        <f t="shared" si="95"/>
        <v>0.9915855894006268</v>
      </c>
      <c r="J266" s="543">
        <f t="shared" si="95"/>
        <v>0.24619001713472366</v>
      </c>
      <c r="K266" s="543">
        <f t="shared" si="95"/>
        <v>0.99009248442527997</v>
      </c>
      <c r="L266" s="543">
        <f t="shared" si="95"/>
        <v>1.1520528005519488</v>
      </c>
      <c r="M266" s="543">
        <f t="shared" ref="M266:W266" si="96">M265/M256</f>
        <v>1.4376692426167867</v>
      </c>
      <c r="N266" s="543">
        <f t="shared" si="96"/>
        <v>2.7926807025350993</v>
      </c>
      <c r="O266" s="543">
        <f t="shared" si="96"/>
        <v>1.5302333227764708</v>
      </c>
      <c r="P266" s="543">
        <f t="shared" si="96"/>
        <v>0.60108429584232381</v>
      </c>
      <c r="Q266" s="543">
        <f t="shared" si="96"/>
        <v>0.67504889600201134</v>
      </c>
      <c r="R266" s="543">
        <f t="shared" si="96"/>
        <v>0.63029945772498486</v>
      </c>
      <c r="S266" s="543">
        <f t="shared" si="96"/>
        <v>2.6293059410236777</v>
      </c>
      <c r="T266" s="543">
        <f t="shared" si="96"/>
        <v>1.032577831770956</v>
      </c>
      <c r="U266" s="543">
        <f t="shared" si="96"/>
        <v>1.1075777035705112</v>
      </c>
      <c r="V266" s="543">
        <f t="shared" si="96"/>
        <v>0.21542486917518067</v>
      </c>
      <c r="W266" s="690">
        <f t="shared" si="96"/>
        <v>0.1040939193257074</v>
      </c>
      <c r="X266" s="534"/>
      <c r="Y266" s="534"/>
      <c r="Z266" s="534"/>
      <c r="AA266" s="534"/>
      <c r="AB266" s="680"/>
      <c r="AC266" s="504"/>
      <c r="AD266" s="545"/>
      <c r="AE266" s="542"/>
      <c r="AF266" s="514"/>
      <c r="AG266" s="636"/>
      <c r="AH266" s="775"/>
      <c r="AI266" s="775"/>
      <c r="AJ266" s="633"/>
    </row>
    <row r="267" spans="1:36" s="591" customFormat="1" ht="15.75" thickBot="1" x14ac:dyDescent="0.3">
      <c r="A267" s="924">
        <v>41690</v>
      </c>
      <c r="B267" s="924"/>
      <c r="C267" s="924"/>
      <c r="D267" s="529"/>
      <c r="E267" s="529"/>
      <c r="F267" s="529"/>
      <c r="G267" s="529"/>
      <c r="H267" s="529"/>
      <c r="I267" s="525"/>
      <c r="J267" s="531"/>
      <c r="K267" s="531"/>
      <c r="L267" s="529"/>
      <c r="M267" s="529"/>
      <c r="N267" s="527"/>
      <c r="R267" s="526"/>
      <c r="S267" s="534"/>
      <c r="T267" s="534"/>
      <c r="U267" s="534"/>
      <c r="V267" s="534"/>
      <c r="W267" s="534"/>
      <c r="X267" s="534"/>
      <c r="Y267" s="534"/>
      <c r="Z267" s="534"/>
      <c r="AA267" s="941"/>
      <c r="AB267" s="942"/>
      <c r="AH267" s="743"/>
      <c r="AI267" s="743"/>
    </row>
    <row r="268" spans="1:36" s="591" customFormat="1" x14ac:dyDescent="0.25">
      <c r="A268" s="925" t="s">
        <v>1</v>
      </c>
      <c r="B268" s="926"/>
      <c r="C268" s="540" t="s">
        <v>12</v>
      </c>
      <c r="D268" s="539" t="s">
        <v>12</v>
      </c>
      <c r="E268" s="540" t="s">
        <v>13</v>
      </c>
      <c r="F268" s="530" t="s">
        <v>13</v>
      </c>
      <c r="G268" s="530" t="s">
        <v>13</v>
      </c>
      <c r="H268" s="530" t="s">
        <v>13</v>
      </c>
      <c r="I268" s="530" t="s">
        <v>13</v>
      </c>
      <c r="J268" s="536" t="s">
        <v>13</v>
      </c>
      <c r="K268" s="536" t="s">
        <v>13</v>
      </c>
      <c r="L268" s="539" t="s">
        <v>13</v>
      </c>
      <c r="M268" s="676" t="s">
        <v>2</v>
      </c>
      <c r="N268" s="530" t="s">
        <v>2</v>
      </c>
      <c r="O268" s="536" t="s">
        <v>2</v>
      </c>
      <c r="P268" s="530" t="s">
        <v>2</v>
      </c>
      <c r="Q268" s="536" t="s">
        <v>2</v>
      </c>
      <c r="R268" s="536" t="s">
        <v>2</v>
      </c>
      <c r="S268" s="539" t="s">
        <v>2</v>
      </c>
      <c r="T268" s="569" t="s">
        <v>183</v>
      </c>
      <c r="U268" s="570" t="s">
        <v>183</v>
      </c>
      <c r="V268" s="570" t="s">
        <v>2</v>
      </c>
      <c r="W268" s="534"/>
      <c r="X268" s="534"/>
      <c r="Y268" s="534"/>
      <c r="Z268" s="534"/>
      <c r="AA268" s="925" t="s">
        <v>1</v>
      </c>
      <c r="AB268" s="928"/>
      <c r="AC268" s="672" t="s">
        <v>12</v>
      </c>
      <c r="AD268" s="929" t="s">
        <v>13</v>
      </c>
      <c r="AE268" s="930"/>
      <c r="AF268" s="929" t="s">
        <v>2</v>
      </c>
      <c r="AG268" s="930"/>
      <c r="AH268" s="778"/>
      <c r="AI268" s="778"/>
    </row>
    <row r="269" spans="1:36" s="591" customFormat="1" ht="15.75" thickBot="1" x14ac:dyDescent="0.3">
      <c r="A269" s="931" t="s">
        <v>0</v>
      </c>
      <c r="B269" s="932"/>
      <c r="C269" s="617" t="s">
        <v>99</v>
      </c>
      <c r="D269" s="618" t="s">
        <v>100</v>
      </c>
      <c r="E269" s="617" t="s">
        <v>101</v>
      </c>
      <c r="F269" s="619" t="s">
        <v>102</v>
      </c>
      <c r="G269" s="619" t="s">
        <v>97</v>
      </c>
      <c r="H269" s="619" t="s">
        <v>104</v>
      </c>
      <c r="I269" s="619" t="s">
        <v>103</v>
      </c>
      <c r="J269" s="521" t="s">
        <v>178</v>
      </c>
      <c r="K269" s="521" t="s">
        <v>200</v>
      </c>
      <c r="L269" s="517" t="s">
        <v>207</v>
      </c>
      <c r="M269" s="617" t="s">
        <v>105</v>
      </c>
      <c r="N269" s="619" t="s">
        <v>107</v>
      </c>
      <c r="O269" s="620" t="s">
        <v>98</v>
      </c>
      <c r="P269" s="516" t="s">
        <v>106</v>
      </c>
      <c r="Q269" s="620" t="s">
        <v>179</v>
      </c>
      <c r="R269" s="620" t="s">
        <v>199</v>
      </c>
      <c r="S269" s="618" t="s">
        <v>208</v>
      </c>
      <c r="T269" s="621" t="s">
        <v>182</v>
      </c>
      <c r="U269" s="618" t="s">
        <v>184</v>
      </c>
      <c r="V269" s="618" t="s">
        <v>222</v>
      </c>
      <c r="W269" s="526"/>
      <c r="X269" s="526"/>
      <c r="Y269" s="526"/>
      <c r="Z269" s="526"/>
      <c r="AA269" s="931" t="s">
        <v>0</v>
      </c>
      <c r="AB269" s="934"/>
      <c r="AC269" s="621" t="s">
        <v>99</v>
      </c>
      <c r="AD269" s="617" t="s">
        <v>104</v>
      </c>
      <c r="AE269" s="618" t="s">
        <v>207</v>
      </c>
      <c r="AF269" s="622" t="s">
        <v>107</v>
      </c>
      <c r="AG269" s="623" t="s">
        <v>208</v>
      </c>
      <c r="AH269" s="779"/>
      <c r="AI269" s="779"/>
    </row>
    <row r="270" spans="1:36" s="591" customFormat="1" x14ac:dyDescent="0.25">
      <c r="A270" s="935" t="s">
        <v>9</v>
      </c>
      <c r="B270" s="528" t="s">
        <v>4</v>
      </c>
      <c r="C270" s="541">
        <v>143393</v>
      </c>
      <c r="D270" s="538">
        <v>150516.70000000001</v>
      </c>
      <c r="E270" s="541">
        <v>150516.70000000001</v>
      </c>
      <c r="F270" s="533">
        <v>181998.8</v>
      </c>
      <c r="G270" s="533">
        <v>165453.5</v>
      </c>
      <c r="H270" s="533">
        <v>132132.9</v>
      </c>
      <c r="I270" s="533">
        <v>170968.6</v>
      </c>
      <c r="J270" s="537">
        <v>165453.5</v>
      </c>
      <c r="K270" s="537">
        <v>121382.6</v>
      </c>
      <c r="L270" s="538">
        <v>83196.100000000006</v>
      </c>
      <c r="M270" s="541">
        <v>193029.1</v>
      </c>
      <c r="N270" s="533">
        <v>132132.9</v>
      </c>
      <c r="O270" s="533">
        <v>82726.600000000006</v>
      </c>
      <c r="P270" s="533">
        <v>275755</v>
      </c>
      <c r="Q270" s="537">
        <v>82726.600000000006</v>
      </c>
      <c r="R270" s="537">
        <v>188981.6</v>
      </c>
      <c r="S270" s="538">
        <v>83196.100000000006</v>
      </c>
      <c r="T270" s="544">
        <v>55151</v>
      </c>
      <c r="U270" s="538">
        <v>33090.5</v>
      </c>
      <c r="V270" s="538">
        <v>100325</v>
      </c>
      <c r="W270" s="534"/>
      <c r="X270" s="534"/>
      <c r="Y270" s="534"/>
      <c r="Z270" s="534"/>
      <c r="AA270" s="673" t="s">
        <v>195</v>
      </c>
      <c r="AB270" s="524" t="s">
        <v>4</v>
      </c>
      <c r="AC270" s="544">
        <v>143393</v>
      </c>
      <c r="AD270" s="541">
        <v>132132</v>
      </c>
      <c r="AE270" s="538">
        <v>83196.100000000006</v>
      </c>
      <c r="AF270" s="552">
        <v>132132.20000000001</v>
      </c>
      <c r="AG270" s="551">
        <v>83196.100000000006</v>
      </c>
      <c r="AH270" s="780"/>
      <c r="AI270" s="780"/>
    </row>
    <row r="271" spans="1:36" s="591" customFormat="1" x14ac:dyDescent="0.25">
      <c r="A271" s="936"/>
      <c r="B271" s="624" t="s">
        <v>5</v>
      </c>
      <c r="C271" s="625">
        <v>52925.3</v>
      </c>
      <c r="D271" s="626">
        <v>82716.600000000006</v>
      </c>
      <c r="E271" s="625">
        <v>84058.6</v>
      </c>
      <c r="F271" s="627">
        <v>156493</v>
      </c>
      <c r="G271" s="627">
        <v>112616.7</v>
      </c>
      <c r="H271" s="627">
        <v>66853.2</v>
      </c>
      <c r="I271" s="627">
        <v>116632.3</v>
      </c>
      <c r="J271" s="628">
        <v>36174</v>
      </c>
      <c r="K271" s="628">
        <v>61089.7</v>
      </c>
      <c r="L271" s="626">
        <v>4462.6000000000004</v>
      </c>
      <c r="M271" s="625">
        <v>172481.5</v>
      </c>
      <c r="N271" s="627">
        <v>66536.100000000006</v>
      </c>
      <c r="O271" s="627">
        <v>58664.1</v>
      </c>
      <c r="P271" s="627">
        <v>214644.6</v>
      </c>
      <c r="Q271" s="628">
        <v>19066.900000000001</v>
      </c>
      <c r="R271" s="628">
        <v>100661.8</v>
      </c>
      <c r="S271" s="626">
        <v>50659.9</v>
      </c>
      <c r="T271" s="629">
        <v>14096.1</v>
      </c>
      <c r="U271" s="626">
        <v>7319.5</v>
      </c>
      <c r="V271" s="626">
        <v>3.1</v>
      </c>
      <c r="W271" s="534"/>
      <c r="X271" s="534"/>
      <c r="Y271" s="534"/>
      <c r="Z271" s="534"/>
      <c r="AA271" s="674"/>
      <c r="AB271" s="630" t="s">
        <v>5</v>
      </c>
      <c r="AC271" s="629">
        <v>51964.9</v>
      </c>
      <c r="AD271" s="625">
        <v>58542</v>
      </c>
      <c r="AE271" s="626">
        <v>2519</v>
      </c>
      <c r="AF271" s="631">
        <v>70731</v>
      </c>
      <c r="AG271" s="632">
        <v>31444.9</v>
      </c>
      <c r="AH271" s="781"/>
      <c r="AI271" s="781"/>
    </row>
    <row r="272" spans="1:36" s="591" customFormat="1" ht="15.75" thickBot="1" x14ac:dyDescent="0.3">
      <c r="A272" s="937"/>
      <c r="B272" s="504" t="s">
        <v>3</v>
      </c>
      <c r="C272" s="542">
        <f t="shared" ref="C272:D272" si="97">C271/C270</f>
        <v>0.36909263353162292</v>
      </c>
      <c r="D272" s="633">
        <f t="shared" si="97"/>
        <v>0.54955098005736236</v>
      </c>
      <c r="E272" s="542">
        <v>0.55846693423387572</v>
      </c>
      <c r="F272" s="519">
        <v>0.85985731774055663</v>
      </c>
      <c r="G272" s="498">
        <v>0.68065468545543006</v>
      </c>
      <c r="H272" s="498">
        <v>0.50595423244324467</v>
      </c>
      <c r="I272" s="498">
        <v>0.68218550072937367</v>
      </c>
      <c r="J272" s="506">
        <v>0.21863544742178315</v>
      </c>
      <c r="K272" s="506">
        <v>0.5032821837726329</v>
      </c>
      <c r="L272" s="514">
        <v>5.3639533583905975E-2</v>
      </c>
      <c r="M272" s="547">
        <f>M271/M270</f>
        <v>0.89355180125690892</v>
      </c>
      <c r="N272" s="498">
        <f>N271/N270</f>
        <v>0.50355437593513808</v>
      </c>
      <c r="O272" s="506">
        <f>O271/O270</f>
        <v>0.70913225008642922</v>
      </c>
      <c r="P272" s="498">
        <f>P271/P270</f>
        <v>0.77838878714801185</v>
      </c>
      <c r="Q272" s="506">
        <f>Q271/Q270</f>
        <v>0.23048088522917659</v>
      </c>
      <c r="R272" s="506">
        <f t="shared" ref="R272:S272" si="98">R271/R270</f>
        <v>0.53265397266188874</v>
      </c>
      <c r="S272" s="514">
        <f t="shared" si="98"/>
        <v>0.60892157204484343</v>
      </c>
      <c r="T272" s="545">
        <f>T271/T270</f>
        <v>0.25559101376221649</v>
      </c>
      <c r="U272" s="514">
        <f>U271/U270</f>
        <v>0.22119641588975689</v>
      </c>
      <c r="V272" s="514">
        <f>V271/V270</f>
        <v>3.089957637677548E-5</v>
      </c>
      <c r="W272" s="534"/>
      <c r="X272" s="534"/>
      <c r="Y272" s="534"/>
      <c r="Z272" s="534"/>
      <c r="AA272" s="675"/>
      <c r="AB272" s="634" t="s">
        <v>3</v>
      </c>
      <c r="AC272" s="635">
        <f>AC271/AC270</f>
        <v>0.36239495651810061</v>
      </c>
      <c r="AD272" s="542">
        <f>AD271/AD270</f>
        <v>0.44305694305694304</v>
      </c>
      <c r="AE272" s="514">
        <f>AE271/AE270</f>
        <v>3.0277861582453984E-2</v>
      </c>
      <c r="AF272" s="636">
        <f>AF271/AF270</f>
        <v>0.53530479322981073</v>
      </c>
      <c r="AG272" s="633">
        <f>AG271/AG270</f>
        <v>0.37796122654787906</v>
      </c>
      <c r="AH272" s="782"/>
      <c r="AI272" s="782"/>
    </row>
    <row r="273" spans="1:35" s="591" customFormat="1" x14ac:dyDescent="0.25">
      <c r="A273" s="938" t="s">
        <v>6</v>
      </c>
      <c r="B273" s="553" t="s">
        <v>7</v>
      </c>
      <c r="C273" s="554">
        <v>5870</v>
      </c>
      <c r="D273" s="555">
        <v>3333</v>
      </c>
      <c r="E273" s="554">
        <v>3330</v>
      </c>
      <c r="F273" s="556">
        <v>9457</v>
      </c>
      <c r="G273" s="556">
        <v>8135</v>
      </c>
      <c r="H273" s="556">
        <v>15703</v>
      </c>
      <c r="I273" s="556">
        <v>8197</v>
      </c>
      <c r="J273" s="557">
        <v>9599</v>
      </c>
      <c r="K273" s="557">
        <v>6153</v>
      </c>
      <c r="L273" s="555">
        <v>8399</v>
      </c>
      <c r="M273" s="554">
        <v>9092</v>
      </c>
      <c r="N273" s="556">
        <v>11924</v>
      </c>
      <c r="O273" s="556">
        <v>4265</v>
      </c>
      <c r="P273" s="556">
        <v>10852</v>
      </c>
      <c r="Q273" s="557">
        <v>4799</v>
      </c>
      <c r="R273" s="557">
        <v>9272</v>
      </c>
      <c r="S273" s="555">
        <v>11205</v>
      </c>
      <c r="T273" s="558">
        <v>2480</v>
      </c>
      <c r="U273" s="555">
        <v>1570</v>
      </c>
      <c r="V273" s="555">
        <v>3999</v>
      </c>
      <c r="W273" s="559" t="s">
        <v>198</v>
      </c>
      <c r="X273" s="561"/>
      <c r="Y273" s="561"/>
      <c r="Z273" s="561"/>
      <c r="AA273" s="562" t="s">
        <v>191</v>
      </c>
      <c r="AB273" s="553" t="s">
        <v>4</v>
      </c>
      <c r="AC273" s="564">
        <v>9191.7999999999993</v>
      </c>
      <c r="AD273" s="565">
        <v>13787.7</v>
      </c>
      <c r="AE273" s="566">
        <v>8804.7999999999993</v>
      </c>
      <c r="AF273" s="567">
        <v>13787.7</v>
      </c>
      <c r="AG273" s="568">
        <v>8804.7999999999993</v>
      </c>
      <c r="AH273" s="783"/>
      <c r="AI273" s="783"/>
    </row>
    <row r="274" spans="1:35" s="591" customFormat="1" x14ac:dyDescent="0.25">
      <c r="A274" s="939"/>
      <c r="B274" s="637" t="s">
        <v>11</v>
      </c>
      <c r="C274" s="638">
        <v>197918.78999999998</v>
      </c>
      <c r="D274" s="639">
        <v>112378.761</v>
      </c>
      <c r="E274" s="638">
        <v>112277.61</v>
      </c>
      <c r="F274" s="640">
        <v>318861.66899999999</v>
      </c>
      <c r="G274" s="641">
        <v>274287.79499999998</v>
      </c>
      <c r="H274" s="642">
        <v>529458.05099999998</v>
      </c>
      <c r="I274" s="642">
        <v>276378.24900000001</v>
      </c>
      <c r="J274" s="640">
        <v>323649.48300000001</v>
      </c>
      <c r="K274" s="643">
        <v>207460.701</v>
      </c>
      <c r="L274" s="639">
        <v>283189.08299999998</v>
      </c>
      <c r="M274" s="644">
        <f>M273*33.717</f>
        <v>306554.96399999998</v>
      </c>
      <c r="N274" s="641">
        <f>N273*33.717</f>
        <v>402041.50799999997</v>
      </c>
      <c r="O274" s="641">
        <f>O273*33.717</f>
        <v>143803.005</v>
      </c>
      <c r="P274" s="642">
        <f>P273*33.717</f>
        <v>365896.88399999996</v>
      </c>
      <c r="Q274" s="640">
        <f>Q273*33.717</f>
        <v>161807.883</v>
      </c>
      <c r="R274" s="643">
        <f t="shared" ref="R274:S274" si="99">R273*33.717</f>
        <v>312624.02399999998</v>
      </c>
      <c r="S274" s="639">
        <f t="shared" si="99"/>
        <v>377798.98499999999</v>
      </c>
      <c r="T274" s="638">
        <f>T273*33.717</f>
        <v>83618.16</v>
      </c>
      <c r="U274" s="642">
        <f>U273*33.717</f>
        <v>52935.689999999995</v>
      </c>
      <c r="V274" s="642">
        <f>V273*33.717</f>
        <v>134834.283</v>
      </c>
      <c r="W274" s="534"/>
      <c r="X274" s="534"/>
      <c r="Y274" s="534"/>
      <c r="Z274" s="534"/>
      <c r="AA274" s="674"/>
      <c r="AB274" s="624" t="s">
        <v>5</v>
      </c>
      <c r="AC274" s="629">
        <v>7975.5</v>
      </c>
      <c r="AD274" s="625">
        <v>13649</v>
      </c>
      <c r="AE274" s="626">
        <v>1289.9000000000001</v>
      </c>
      <c r="AF274" s="631">
        <v>13642</v>
      </c>
      <c r="AG274" s="632">
        <v>5483.9</v>
      </c>
      <c r="AH274" s="781"/>
      <c r="AI274" s="781"/>
    </row>
    <row r="275" spans="1:35" s="591" customFormat="1" ht="15.75" thickBot="1" x14ac:dyDescent="0.3">
      <c r="A275" s="939"/>
      <c r="B275" s="637" t="s">
        <v>79</v>
      </c>
      <c r="C275" s="638">
        <v>164000</v>
      </c>
      <c r="D275" s="639">
        <v>109880</v>
      </c>
      <c r="E275" s="638">
        <v>109880</v>
      </c>
      <c r="F275" s="641">
        <v>328000</v>
      </c>
      <c r="G275" s="641">
        <v>330905</v>
      </c>
      <c r="H275" s="641">
        <v>264264</v>
      </c>
      <c r="I275" s="641">
        <v>242663.6</v>
      </c>
      <c r="J275" s="643">
        <v>328000</v>
      </c>
      <c r="K275" s="643">
        <v>328000</v>
      </c>
      <c r="L275" s="639">
        <v>328000</v>
      </c>
      <c r="M275" s="638">
        <v>328000</v>
      </c>
      <c r="N275" s="641">
        <v>264264.40000000002</v>
      </c>
      <c r="O275" s="641">
        <v>328000</v>
      </c>
      <c r="P275" s="641">
        <v>352965.4</v>
      </c>
      <c r="Q275" s="643">
        <v>328000</v>
      </c>
      <c r="R275" s="643">
        <v>328000</v>
      </c>
      <c r="S275" s="639">
        <v>328000</v>
      </c>
      <c r="T275" s="644">
        <f>2*T270</f>
        <v>110302</v>
      </c>
      <c r="U275" s="639">
        <f>2*U270</f>
        <v>66181</v>
      </c>
      <c r="V275" s="639">
        <f>2*V270</f>
        <v>200650</v>
      </c>
      <c r="W275" s="534"/>
      <c r="X275" s="534"/>
      <c r="Y275" s="534"/>
      <c r="Z275" s="534"/>
      <c r="AA275" s="675"/>
      <c r="AB275" s="645" t="s">
        <v>3</v>
      </c>
      <c r="AC275" s="635">
        <f>AC274/AC273</f>
        <v>0.86767553689157739</v>
      </c>
      <c r="AD275" s="646">
        <f>AD274/AD273</f>
        <v>0.98994030911609621</v>
      </c>
      <c r="AE275" s="647">
        <f>AE274/AE273</f>
        <v>0.14649963656187537</v>
      </c>
      <c r="AF275" s="648">
        <f>AF274/AF273</f>
        <v>0.98943261022505558</v>
      </c>
      <c r="AG275" s="649">
        <f>AG274/AG273</f>
        <v>0.62283072869343992</v>
      </c>
      <c r="AH275" s="782"/>
      <c r="AI275" s="782"/>
    </row>
    <row r="276" spans="1:35" s="591" customFormat="1" x14ac:dyDescent="0.25">
      <c r="A276" s="939"/>
      <c r="B276" s="624" t="s">
        <v>8</v>
      </c>
      <c r="C276" s="650">
        <v>5576</v>
      </c>
      <c r="D276" s="651">
        <v>2550</v>
      </c>
      <c r="E276" s="650">
        <v>2580</v>
      </c>
      <c r="F276" s="652">
        <v>8293</v>
      </c>
      <c r="G276" s="652">
        <v>3618</v>
      </c>
      <c r="H276" s="652">
        <v>13662</v>
      </c>
      <c r="I276" s="652">
        <v>6637</v>
      </c>
      <c r="J276" s="653">
        <v>1242</v>
      </c>
      <c r="K276" s="653">
        <v>3608</v>
      </c>
      <c r="L276" s="651">
        <v>2994</v>
      </c>
      <c r="M276" s="650">
        <f>SUM(M273-815)</f>
        <v>8277</v>
      </c>
      <c r="N276" s="652">
        <f>SUM(N273-1052)</f>
        <v>10872</v>
      </c>
      <c r="O276" s="653">
        <f>SUM(O273-543)</f>
        <v>3722</v>
      </c>
      <c r="P276" s="652">
        <f>SUM(P273-(5334-2614))</f>
        <v>8132</v>
      </c>
      <c r="Q276" s="653">
        <f>SUM(Q273-3098)</f>
        <v>1701</v>
      </c>
      <c r="R276" s="653">
        <f>SUM(R273-5259)</f>
        <v>4013</v>
      </c>
      <c r="S276" s="651">
        <f>SUM(S273-4367)</f>
        <v>6838</v>
      </c>
      <c r="T276" s="654">
        <f>SUM(T273-791)</f>
        <v>1689</v>
      </c>
      <c r="U276" s="651">
        <f>SUM(U273-483)</f>
        <v>1087</v>
      </c>
      <c r="V276" s="651">
        <f>SUM(V273-3933)</f>
        <v>66</v>
      </c>
      <c r="W276" s="526"/>
      <c r="X276" s="534"/>
      <c r="Y276" s="534"/>
      <c r="Z276" s="534"/>
      <c r="AA276" s="673" t="s">
        <v>192</v>
      </c>
      <c r="AB276" s="528" t="s">
        <v>4</v>
      </c>
      <c r="AC276" s="544">
        <v>97433.600000000006</v>
      </c>
      <c r="AD276" s="541">
        <v>243584.4</v>
      </c>
      <c r="AE276" s="538">
        <v>132070.29999999999</v>
      </c>
      <c r="AF276" s="552">
        <v>292299.3</v>
      </c>
      <c r="AG276" s="551">
        <v>132070.39999999999</v>
      </c>
      <c r="AH276" s="780"/>
      <c r="AI276" s="780"/>
    </row>
    <row r="277" spans="1:35" s="591" customFormat="1" x14ac:dyDescent="0.25">
      <c r="A277" s="939"/>
      <c r="B277" s="655" t="s">
        <v>77</v>
      </c>
      <c r="C277" s="660">
        <f t="shared" ref="C277:N277" si="100">C276*33.717</f>
        <v>188005.992</v>
      </c>
      <c r="D277" s="660">
        <f t="shared" si="100"/>
        <v>85978.349999999991</v>
      </c>
      <c r="E277" s="660">
        <f t="shared" si="100"/>
        <v>86989.86</v>
      </c>
      <c r="F277" s="660">
        <f t="shared" si="100"/>
        <v>279615.08100000001</v>
      </c>
      <c r="G277" s="660">
        <f t="shared" si="100"/>
        <v>121988.106</v>
      </c>
      <c r="H277" s="660">
        <f t="shared" si="100"/>
        <v>460641.65399999998</v>
      </c>
      <c r="I277" s="660">
        <f t="shared" si="100"/>
        <v>223779.72899999999</v>
      </c>
      <c r="J277" s="660">
        <f t="shared" si="100"/>
        <v>41876.513999999996</v>
      </c>
      <c r="K277" s="660">
        <f t="shared" si="100"/>
        <v>121650.936</v>
      </c>
      <c r="L277" s="660">
        <f t="shared" si="100"/>
        <v>100948.69799999999</v>
      </c>
      <c r="M277" s="660">
        <f t="shared" si="100"/>
        <v>279075.609</v>
      </c>
      <c r="N277" s="657">
        <f t="shared" si="100"/>
        <v>366571.22399999999</v>
      </c>
      <c r="O277" s="657">
        <f>(O276*33.717)</f>
        <v>125494.674</v>
      </c>
      <c r="P277" s="657">
        <f>P276*33.717-(2614*33.717)</f>
        <v>186050.40599999996</v>
      </c>
      <c r="Q277" s="658">
        <f t="shared" ref="Q277:V277" si="101">Q276*33.717</f>
        <v>57352.616999999998</v>
      </c>
      <c r="R277" s="658">
        <f t="shared" si="101"/>
        <v>135306.321</v>
      </c>
      <c r="S277" s="659">
        <f t="shared" si="101"/>
        <v>230556.84599999999</v>
      </c>
      <c r="T277" s="661">
        <f t="shared" si="101"/>
        <v>56948.012999999999</v>
      </c>
      <c r="U277" s="662">
        <f t="shared" si="101"/>
        <v>36650.379000000001</v>
      </c>
      <c r="V277" s="662">
        <f t="shared" si="101"/>
        <v>2225.3220000000001</v>
      </c>
      <c r="W277" s="532">
        <f>344240-H277</f>
        <v>-116401.65399999998</v>
      </c>
      <c r="X277" s="534"/>
      <c r="Y277" s="534"/>
      <c r="Z277" s="534"/>
      <c r="AA277" s="674"/>
      <c r="AB277" s="624" t="s">
        <v>5</v>
      </c>
      <c r="AC277" s="629">
        <v>38973.199999999997</v>
      </c>
      <c r="AD277" s="625">
        <v>124350.5</v>
      </c>
      <c r="AE277" s="626">
        <v>3817.1</v>
      </c>
      <c r="AF277" s="631">
        <v>109009</v>
      </c>
      <c r="AG277" s="632">
        <v>33401</v>
      </c>
      <c r="AH277" s="781"/>
      <c r="AI277" s="781"/>
    </row>
    <row r="278" spans="1:35" s="591" customFormat="1" ht="15.75" thickBot="1" x14ac:dyDescent="0.3">
      <c r="A278" s="940"/>
      <c r="B278" s="504" t="s">
        <v>218</v>
      </c>
      <c r="C278" s="542">
        <f t="shared" ref="C278:E278" si="102">C277/C270</f>
        <v>1.311123918182896</v>
      </c>
      <c r="D278" s="514">
        <f t="shared" si="102"/>
        <v>0.57122133291521793</v>
      </c>
      <c r="E278" s="543">
        <f t="shared" si="102"/>
        <v>0.57794158389069117</v>
      </c>
      <c r="F278" s="501">
        <v>1.5363567287256841</v>
      </c>
      <c r="G278" s="501">
        <v>0.73729540928417958</v>
      </c>
      <c r="H278" s="501">
        <v>3.4861995309268168</v>
      </c>
      <c r="I278" s="501">
        <v>0.91447042907294085</v>
      </c>
      <c r="J278" s="520">
        <v>0.25310140915725565</v>
      </c>
      <c r="K278" s="520">
        <v>1.0022106628132863</v>
      </c>
      <c r="L278" s="515">
        <v>1.2133825744235605</v>
      </c>
      <c r="M278" s="543">
        <f t="shared" ref="M278:V278" si="103">M277/M270</f>
        <v>1.4457696223004717</v>
      </c>
      <c r="N278" s="501">
        <f t="shared" si="103"/>
        <v>2.7742615503027634</v>
      </c>
      <c r="O278" s="501">
        <f t="shared" si="103"/>
        <v>1.5169809227020086</v>
      </c>
      <c r="P278" s="663">
        <f t="shared" si="103"/>
        <v>0.674694587586807</v>
      </c>
      <c r="Q278" s="520">
        <f t="shared" si="103"/>
        <v>0.6932790299613425</v>
      </c>
      <c r="R278" s="520">
        <f t="shared" si="103"/>
        <v>0.71597616381700646</v>
      </c>
      <c r="S278" s="515">
        <f t="shared" si="103"/>
        <v>2.7712458396487332</v>
      </c>
      <c r="T278" s="542">
        <f t="shared" si="103"/>
        <v>1.0325835070986926</v>
      </c>
      <c r="U278" s="514">
        <f t="shared" si="103"/>
        <v>1.107580090962663</v>
      </c>
      <c r="V278" s="514">
        <f t="shared" si="103"/>
        <v>2.2181131323199602E-2</v>
      </c>
      <c r="W278" s="534"/>
      <c r="X278" s="534"/>
      <c r="Y278" s="534"/>
      <c r="Z278" s="534"/>
      <c r="AA278" s="675"/>
      <c r="AB278" s="504" t="s">
        <v>3</v>
      </c>
      <c r="AC278" s="545">
        <f>AC277/AC276</f>
        <v>0.39999753678402516</v>
      </c>
      <c r="AD278" s="542">
        <f>AD277/AD276</f>
        <v>0.51050272513346506</v>
      </c>
      <c r="AE278" s="514">
        <f>AE277/AE276</f>
        <v>2.8902031720984961E-2</v>
      </c>
      <c r="AF278" s="636">
        <f>AF277/AF276</f>
        <v>0.37293623351133581</v>
      </c>
      <c r="AG278" s="633">
        <f>AG277/AG276</f>
        <v>0.25290299718937781</v>
      </c>
      <c r="AH278" s="782"/>
      <c r="AI278" s="782"/>
    </row>
    <row r="279" spans="1:35" s="591" customFormat="1" ht="15.75" thickBot="1" x14ac:dyDescent="0.3">
      <c r="A279" s="612"/>
      <c r="B279" s="504" t="s">
        <v>219</v>
      </c>
      <c r="C279" s="650">
        <v>169949</v>
      </c>
      <c r="D279" s="650">
        <v>96362.6</v>
      </c>
      <c r="E279" s="650">
        <v>97374.1</v>
      </c>
      <c r="F279" s="650">
        <v>262762</v>
      </c>
      <c r="G279" s="650">
        <v>119700</v>
      </c>
      <c r="H279" s="650">
        <v>445574</v>
      </c>
      <c r="I279" s="650">
        <v>169530</v>
      </c>
      <c r="J279" s="650">
        <v>40733</v>
      </c>
      <c r="K279" s="650">
        <v>120180</v>
      </c>
      <c r="L279" s="650">
        <v>95846.3</v>
      </c>
      <c r="M279" s="650">
        <v>277512</v>
      </c>
      <c r="N279" s="650">
        <v>369005</v>
      </c>
      <c r="O279" s="650">
        <v>126591</v>
      </c>
      <c r="P279" s="650">
        <v>165752</v>
      </c>
      <c r="Q279" s="650">
        <v>55844.5</v>
      </c>
      <c r="R279" s="650">
        <v>119115</v>
      </c>
      <c r="S279" s="650">
        <v>218748</v>
      </c>
      <c r="T279" s="650">
        <v>56947.7</v>
      </c>
      <c r="U279" s="650">
        <v>36650.300000000003</v>
      </c>
      <c r="V279" s="650">
        <v>0</v>
      </c>
      <c r="W279" s="534"/>
      <c r="X279" s="534"/>
      <c r="Y279" s="534"/>
      <c r="Z279" s="534"/>
      <c r="AA279" s="675" t="s">
        <v>220</v>
      </c>
      <c r="AB279" s="504" t="s">
        <v>3</v>
      </c>
      <c r="AC279" s="545">
        <f>(AC272+AC278)/2</f>
        <v>0.38119624665106289</v>
      </c>
      <c r="AD279" s="545">
        <f t="shared" ref="AD279:AG279" si="104">(AD272+AD278)/2</f>
        <v>0.47677983409520408</v>
      </c>
      <c r="AE279" s="545">
        <f t="shared" si="104"/>
        <v>2.9589946651719472E-2</v>
      </c>
      <c r="AF279" s="545">
        <f t="shared" si="104"/>
        <v>0.45412051337057324</v>
      </c>
      <c r="AG279" s="545">
        <f t="shared" si="104"/>
        <v>0.31543211186862841</v>
      </c>
      <c r="AH279" s="782"/>
      <c r="AI279" s="782"/>
    </row>
    <row r="280" spans="1:35" s="591" customFormat="1" ht="15.75" thickBot="1" x14ac:dyDescent="0.3">
      <c r="A280" s="612"/>
      <c r="B280" s="504" t="s">
        <v>217</v>
      </c>
      <c r="C280" s="543">
        <f t="shared" ref="C280:D280" si="105">C279/C270</f>
        <v>1.1851973248345455</v>
      </c>
      <c r="D280" s="543">
        <f t="shared" si="105"/>
        <v>0.64021201634104385</v>
      </c>
      <c r="E280" s="543">
        <f>E279/E270</f>
        <v>0.64693220087870651</v>
      </c>
      <c r="F280" s="543">
        <v>1.4437567720226727</v>
      </c>
      <c r="G280" s="543">
        <v>0.72346610981333126</v>
      </c>
      <c r="H280" s="543">
        <v>3.372165448574882</v>
      </c>
      <c r="I280" s="543">
        <v>0.9915855894006268</v>
      </c>
      <c r="J280" s="543">
        <v>0.24619001713472366</v>
      </c>
      <c r="K280" s="543">
        <v>0.99009248442527997</v>
      </c>
      <c r="L280" s="543">
        <v>1.1520528005519488</v>
      </c>
      <c r="M280" s="543">
        <f t="shared" ref="M280:V280" si="106">M279/M270</f>
        <v>1.4376692426167867</v>
      </c>
      <c r="N280" s="543">
        <f t="shared" si="106"/>
        <v>2.7926807025350993</v>
      </c>
      <c r="O280" s="543">
        <f t="shared" si="106"/>
        <v>1.5302333227764708</v>
      </c>
      <c r="P280" s="543">
        <f t="shared" si="106"/>
        <v>0.60108429584232381</v>
      </c>
      <c r="Q280" s="543">
        <f t="shared" si="106"/>
        <v>0.67504889600201134</v>
      </c>
      <c r="R280" s="543">
        <f t="shared" si="106"/>
        <v>0.63029945772498486</v>
      </c>
      <c r="S280" s="543">
        <f t="shared" si="106"/>
        <v>2.6293059410236777</v>
      </c>
      <c r="T280" s="543">
        <f t="shared" si="106"/>
        <v>1.032577831770956</v>
      </c>
      <c r="U280" s="543">
        <f t="shared" si="106"/>
        <v>1.1075777035705112</v>
      </c>
      <c r="V280" s="543">
        <f t="shared" si="106"/>
        <v>0</v>
      </c>
      <c r="W280" s="534"/>
      <c r="X280" s="534"/>
      <c r="Y280" s="534"/>
      <c r="Z280" s="534"/>
      <c r="AA280" s="675"/>
      <c r="AB280" s="504"/>
      <c r="AC280" s="545"/>
      <c r="AD280" s="542"/>
      <c r="AE280" s="514"/>
      <c r="AF280" s="636"/>
      <c r="AG280" s="633"/>
      <c r="AH280" s="782"/>
      <c r="AI280" s="782"/>
    </row>
    <row r="281" spans="1:35" s="591" customFormat="1" ht="15.75" thickBot="1" x14ac:dyDescent="0.3">
      <c r="A281" s="924">
        <v>41684</v>
      </c>
      <c r="B281" s="924"/>
      <c r="C281" s="924"/>
      <c r="D281" s="529"/>
      <c r="E281" s="529"/>
      <c r="F281" s="529"/>
      <c r="G281" s="529"/>
      <c r="H281" s="529"/>
      <c r="I281" s="525"/>
      <c r="J281" s="531"/>
      <c r="K281" s="531"/>
      <c r="L281" s="529"/>
      <c r="M281" s="529"/>
      <c r="N281" s="527"/>
      <c r="R281" s="526"/>
      <c r="S281" s="534"/>
      <c r="T281" s="534"/>
      <c r="U281" s="534"/>
      <c r="V281" s="534"/>
      <c r="W281" s="534"/>
      <c r="X281" s="534"/>
      <c r="Y281" s="534"/>
      <c r="Z281" s="534"/>
      <c r="AA281" s="941"/>
      <c r="AB281" s="942"/>
      <c r="AH281" s="743"/>
      <c r="AI281" s="743"/>
    </row>
    <row r="282" spans="1:35" s="591" customFormat="1" x14ac:dyDescent="0.25">
      <c r="A282" s="925" t="s">
        <v>1</v>
      </c>
      <c r="B282" s="926"/>
      <c r="C282" s="540" t="s">
        <v>12</v>
      </c>
      <c r="D282" s="539" t="s">
        <v>12</v>
      </c>
      <c r="E282" s="540" t="s">
        <v>13</v>
      </c>
      <c r="F282" s="530" t="s">
        <v>13</v>
      </c>
      <c r="G282" s="530" t="s">
        <v>13</v>
      </c>
      <c r="H282" s="530" t="s">
        <v>13</v>
      </c>
      <c r="I282" s="530" t="s">
        <v>13</v>
      </c>
      <c r="J282" s="536" t="s">
        <v>13</v>
      </c>
      <c r="K282" s="536" t="s">
        <v>13</v>
      </c>
      <c r="L282" s="539" t="s">
        <v>13</v>
      </c>
      <c r="M282" s="676" t="s">
        <v>2</v>
      </c>
      <c r="N282" s="530" t="s">
        <v>2</v>
      </c>
      <c r="O282" s="536" t="s">
        <v>2</v>
      </c>
      <c r="P282" s="530" t="s">
        <v>2</v>
      </c>
      <c r="Q282" s="536" t="s">
        <v>2</v>
      </c>
      <c r="R282" s="536" t="s">
        <v>2</v>
      </c>
      <c r="S282" s="539" t="s">
        <v>2</v>
      </c>
      <c r="T282" s="569" t="s">
        <v>183</v>
      </c>
      <c r="U282" s="570" t="s">
        <v>183</v>
      </c>
      <c r="V282" s="570" t="s">
        <v>2</v>
      </c>
      <c r="W282" s="534"/>
      <c r="X282" s="534"/>
      <c r="Y282" s="534"/>
      <c r="Z282" s="534"/>
      <c r="AA282" s="925" t="s">
        <v>1</v>
      </c>
      <c r="AB282" s="928"/>
      <c r="AC282" s="671" t="s">
        <v>12</v>
      </c>
      <c r="AD282" s="929" t="s">
        <v>13</v>
      </c>
      <c r="AE282" s="930"/>
      <c r="AF282" s="929" t="s">
        <v>2</v>
      </c>
      <c r="AG282" s="930"/>
      <c r="AH282" s="778"/>
      <c r="AI282" s="778"/>
    </row>
    <row r="283" spans="1:35" s="591" customFormat="1" ht="15.75" thickBot="1" x14ac:dyDescent="0.3">
      <c r="A283" s="931" t="s">
        <v>0</v>
      </c>
      <c r="B283" s="932"/>
      <c r="C283" s="617" t="s">
        <v>99</v>
      </c>
      <c r="D283" s="618" t="s">
        <v>100</v>
      </c>
      <c r="E283" s="617" t="s">
        <v>101</v>
      </c>
      <c r="F283" s="619" t="s">
        <v>102</v>
      </c>
      <c r="G283" s="619" t="s">
        <v>97</v>
      </c>
      <c r="H283" s="619" t="s">
        <v>104</v>
      </c>
      <c r="I283" s="619" t="s">
        <v>103</v>
      </c>
      <c r="J283" s="521" t="s">
        <v>178</v>
      </c>
      <c r="K283" s="521" t="s">
        <v>200</v>
      </c>
      <c r="L283" s="517" t="s">
        <v>207</v>
      </c>
      <c r="M283" s="617" t="s">
        <v>105</v>
      </c>
      <c r="N283" s="619" t="s">
        <v>107</v>
      </c>
      <c r="O283" s="620" t="s">
        <v>98</v>
      </c>
      <c r="P283" s="516" t="s">
        <v>106</v>
      </c>
      <c r="Q283" s="620" t="s">
        <v>179</v>
      </c>
      <c r="R283" s="620" t="s">
        <v>199</v>
      </c>
      <c r="S283" s="618" t="s">
        <v>208</v>
      </c>
      <c r="T283" s="621" t="s">
        <v>182</v>
      </c>
      <c r="U283" s="618" t="s">
        <v>184</v>
      </c>
      <c r="V283" s="618" t="s">
        <v>221</v>
      </c>
      <c r="W283" s="526"/>
      <c r="X283" s="526"/>
      <c r="Y283" s="526"/>
      <c r="Z283" s="526"/>
      <c r="AA283" s="931" t="s">
        <v>0</v>
      </c>
      <c r="AB283" s="934"/>
      <c r="AC283" s="621" t="s">
        <v>99</v>
      </c>
      <c r="AD283" s="617" t="s">
        <v>104</v>
      </c>
      <c r="AE283" s="618" t="s">
        <v>207</v>
      </c>
      <c r="AF283" s="622" t="s">
        <v>107</v>
      </c>
      <c r="AG283" s="623" t="s">
        <v>208</v>
      </c>
      <c r="AH283" s="779"/>
      <c r="AI283" s="779"/>
    </row>
    <row r="284" spans="1:35" s="591" customFormat="1" x14ac:dyDescent="0.25">
      <c r="A284" s="935" t="s">
        <v>9</v>
      </c>
      <c r="B284" s="528" t="s">
        <v>4</v>
      </c>
      <c r="C284" s="541">
        <v>143393</v>
      </c>
      <c r="D284" s="538">
        <v>150516.70000000001</v>
      </c>
      <c r="E284" s="541">
        <v>150516.70000000001</v>
      </c>
      <c r="F284" s="533">
        <v>181998.8</v>
      </c>
      <c r="G284" s="533">
        <v>165453.5</v>
      </c>
      <c r="H284" s="533">
        <v>132132.9</v>
      </c>
      <c r="I284" s="533">
        <v>170968.6</v>
      </c>
      <c r="J284" s="537">
        <v>165453.5</v>
      </c>
      <c r="K284" s="537">
        <v>121382.6</v>
      </c>
      <c r="L284" s="538">
        <v>83196.100000000006</v>
      </c>
      <c r="M284" s="541">
        <v>193029.1</v>
      </c>
      <c r="N284" s="533">
        <v>132132.9</v>
      </c>
      <c r="O284" s="533">
        <v>82726.600000000006</v>
      </c>
      <c r="P284" s="533">
        <v>275755</v>
      </c>
      <c r="Q284" s="537">
        <v>82726.600000000006</v>
      </c>
      <c r="R284" s="537">
        <v>188981.6</v>
      </c>
      <c r="S284" s="538">
        <v>83196.100000000006</v>
      </c>
      <c r="T284" s="544">
        <v>55151</v>
      </c>
      <c r="U284" s="538">
        <v>33090.5</v>
      </c>
      <c r="V284" s="538">
        <v>100325</v>
      </c>
      <c r="W284" s="534"/>
      <c r="X284" s="534"/>
      <c r="Y284" s="534"/>
      <c r="Z284" s="534"/>
      <c r="AA284" s="668" t="s">
        <v>195</v>
      </c>
      <c r="AB284" s="524" t="s">
        <v>4</v>
      </c>
      <c r="AC284" s="544">
        <v>143393</v>
      </c>
      <c r="AD284" s="541">
        <v>132132</v>
      </c>
      <c r="AE284" s="538">
        <v>83196.100000000006</v>
      </c>
      <c r="AF284" s="552">
        <v>132132.20000000001</v>
      </c>
      <c r="AG284" s="551">
        <v>83196.100000000006</v>
      </c>
      <c r="AH284" s="780"/>
      <c r="AI284" s="780"/>
    </row>
    <row r="285" spans="1:35" s="591" customFormat="1" x14ac:dyDescent="0.25">
      <c r="A285" s="936"/>
      <c r="B285" s="624" t="s">
        <v>5</v>
      </c>
      <c r="C285" s="625">
        <v>52925.3</v>
      </c>
      <c r="D285" s="626">
        <v>82716.600000000006</v>
      </c>
      <c r="E285" s="625">
        <v>84058.6</v>
      </c>
      <c r="F285" s="627">
        <v>156493</v>
      </c>
      <c r="G285" s="627">
        <v>112616.7</v>
      </c>
      <c r="H285" s="627">
        <v>66853.2</v>
      </c>
      <c r="I285" s="627">
        <v>116632.3</v>
      </c>
      <c r="J285" s="628">
        <v>36174</v>
      </c>
      <c r="K285" s="628">
        <v>61089.7</v>
      </c>
      <c r="L285" s="626">
        <v>4462.6000000000004</v>
      </c>
      <c r="M285" s="625">
        <v>171431.6</v>
      </c>
      <c r="N285" s="627">
        <v>67590.8</v>
      </c>
      <c r="O285" s="627">
        <v>58253.2</v>
      </c>
      <c r="P285" s="627">
        <v>213699.9</v>
      </c>
      <c r="Q285" s="628">
        <v>18785</v>
      </c>
      <c r="R285" s="628">
        <v>100159.5</v>
      </c>
      <c r="S285" s="626">
        <v>46375</v>
      </c>
      <c r="T285" s="629">
        <v>14096.1</v>
      </c>
      <c r="U285" s="626">
        <v>7319.5</v>
      </c>
      <c r="V285" s="626">
        <v>3.1</v>
      </c>
      <c r="W285" s="534"/>
      <c r="X285" s="534"/>
      <c r="Y285" s="534"/>
      <c r="Z285" s="534"/>
      <c r="AA285" s="669"/>
      <c r="AB285" s="630" t="s">
        <v>5</v>
      </c>
      <c r="AC285" s="629">
        <v>51964.9</v>
      </c>
      <c r="AD285" s="625">
        <v>58542</v>
      </c>
      <c r="AE285" s="626">
        <v>2519</v>
      </c>
      <c r="AF285" s="631">
        <v>70731</v>
      </c>
      <c r="AG285" s="632">
        <v>31444.9</v>
      </c>
      <c r="AH285" s="781"/>
      <c r="AI285" s="781"/>
    </row>
    <row r="286" spans="1:35" s="591" customFormat="1" ht="15.75" thickBot="1" x14ac:dyDescent="0.3">
      <c r="A286" s="937"/>
      <c r="B286" s="504" t="s">
        <v>3</v>
      </c>
      <c r="C286" s="542">
        <f t="shared" ref="C286:L286" si="107">C285/C284</f>
        <v>0.36909263353162292</v>
      </c>
      <c r="D286" s="633">
        <f t="shared" si="107"/>
        <v>0.54955098005736236</v>
      </c>
      <c r="E286" s="542">
        <f t="shared" si="107"/>
        <v>0.55846693423387572</v>
      </c>
      <c r="F286" s="519">
        <f t="shared" si="107"/>
        <v>0.85985731774055663</v>
      </c>
      <c r="G286" s="498">
        <f t="shared" si="107"/>
        <v>0.68065468545543006</v>
      </c>
      <c r="H286" s="498">
        <f t="shared" si="107"/>
        <v>0.50595423244324467</v>
      </c>
      <c r="I286" s="498">
        <f t="shared" si="107"/>
        <v>0.68218550072937367</v>
      </c>
      <c r="J286" s="506">
        <f t="shared" si="107"/>
        <v>0.21863544742178315</v>
      </c>
      <c r="K286" s="506">
        <f t="shared" si="107"/>
        <v>0.5032821837726329</v>
      </c>
      <c r="L286" s="514">
        <f t="shared" si="107"/>
        <v>5.3639533583905975E-2</v>
      </c>
      <c r="M286" s="547">
        <f>M285/M284</f>
        <v>0.888112724972556</v>
      </c>
      <c r="N286" s="498">
        <f>N285/N284</f>
        <v>0.51153649091180176</v>
      </c>
      <c r="O286" s="506">
        <f>O285/O284</f>
        <v>0.70416528661881417</v>
      </c>
      <c r="P286" s="498">
        <f>P285/P284</f>
        <v>0.77496291998331845</v>
      </c>
      <c r="Q286" s="506">
        <f>Q285/Q284</f>
        <v>0.22707327510135794</v>
      </c>
      <c r="R286" s="506">
        <f t="shared" ref="R286:S286" si="108">R285/R284</f>
        <v>0.52999604194270766</v>
      </c>
      <c r="S286" s="514">
        <f t="shared" si="108"/>
        <v>0.55741795588975918</v>
      </c>
      <c r="T286" s="545">
        <f>T285/T284</f>
        <v>0.25559101376221649</v>
      </c>
      <c r="U286" s="514">
        <f>U285/U284</f>
        <v>0.22119641588975689</v>
      </c>
      <c r="V286" s="514">
        <f>V285/V284</f>
        <v>3.089957637677548E-5</v>
      </c>
      <c r="W286" s="534"/>
      <c r="X286" s="534"/>
      <c r="Y286" s="534"/>
      <c r="Z286" s="534"/>
      <c r="AA286" s="670"/>
      <c r="AB286" s="634" t="s">
        <v>3</v>
      </c>
      <c r="AC286" s="635">
        <f>AC285/AC284</f>
        <v>0.36239495651810061</v>
      </c>
      <c r="AD286" s="542">
        <f>AD285/AD284</f>
        <v>0.44305694305694304</v>
      </c>
      <c r="AE286" s="514">
        <f>AE285/AE284</f>
        <v>3.0277861582453984E-2</v>
      </c>
      <c r="AF286" s="636">
        <f>AF285/AF284</f>
        <v>0.53530479322981073</v>
      </c>
      <c r="AG286" s="633">
        <f>AG285/AG284</f>
        <v>0.37796122654787906</v>
      </c>
      <c r="AH286" s="782"/>
      <c r="AI286" s="782"/>
    </row>
    <row r="287" spans="1:35" s="591" customFormat="1" x14ac:dyDescent="0.25">
      <c r="A287" s="938" t="s">
        <v>6</v>
      </c>
      <c r="B287" s="553" t="s">
        <v>7</v>
      </c>
      <c r="C287" s="554">
        <v>5870</v>
      </c>
      <c r="D287" s="555">
        <v>3333</v>
      </c>
      <c r="E287" s="554">
        <v>3330</v>
      </c>
      <c r="F287" s="556">
        <v>9457</v>
      </c>
      <c r="G287" s="556">
        <v>8135</v>
      </c>
      <c r="H287" s="556">
        <v>15703</v>
      </c>
      <c r="I287" s="556">
        <v>8197</v>
      </c>
      <c r="J287" s="557">
        <v>9599</v>
      </c>
      <c r="K287" s="557">
        <v>6153</v>
      </c>
      <c r="L287" s="555">
        <v>8399</v>
      </c>
      <c r="M287" s="554">
        <v>9092</v>
      </c>
      <c r="N287" s="556">
        <v>11924</v>
      </c>
      <c r="O287" s="556">
        <v>4265</v>
      </c>
      <c r="P287" s="556">
        <v>10852</v>
      </c>
      <c r="Q287" s="557">
        <v>4799</v>
      </c>
      <c r="R287" s="557">
        <v>9272</v>
      </c>
      <c r="S287" s="555">
        <v>11205</v>
      </c>
      <c r="T287" s="558">
        <v>2480</v>
      </c>
      <c r="U287" s="555">
        <v>1570</v>
      </c>
      <c r="V287" s="555">
        <v>3999</v>
      </c>
      <c r="W287" s="559" t="s">
        <v>198</v>
      </c>
      <c r="X287" s="561"/>
      <c r="Y287" s="561"/>
      <c r="Z287" s="561"/>
      <c r="AA287" s="562" t="s">
        <v>191</v>
      </c>
      <c r="AB287" s="553" t="s">
        <v>4</v>
      </c>
      <c r="AC287" s="564">
        <v>9191.7999999999993</v>
      </c>
      <c r="AD287" s="565">
        <v>13787.7</v>
      </c>
      <c r="AE287" s="566">
        <v>8804.7999999999993</v>
      </c>
      <c r="AF287" s="567">
        <v>13787.7</v>
      </c>
      <c r="AG287" s="568">
        <v>8804.7999999999993</v>
      </c>
      <c r="AH287" s="783"/>
      <c r="AI287" s="783"/>
    </row>
    <row r="288" spans="1:35" s="591" customFormat="1" x14ac:dyDescent="0.25">
      <c r="A288" s="939"/>
      <c r="B288" s="637" t="s">
        <v>11</v>
      </c>
      <c r="C288" s="638">
        <f t="shared" ref="C288:L288" si="109">C287*33.717</f>
        <v>197918.78999999998</v>
      </c>
      <c r="D288" s="639">
        <f t="shared" si="109"/>
        <v>112378.761</v>
      </c>
      <c r="E288" s="638">
        <f t="shared" si="109"/>
        <v>112277.61</v>
      </c>
      <c r="F288" s="640">
        <f t="shared" si="109"/>
        <v>318861.66899999999</v>
      </c>
      <c r="G288" s="641">
        <f t="shared" si="109"/>
        <v>274287.79499999998</v>
      </c>
      <c r="H288" s="642">
        <f t="shared" si="109"/>
        <v>529458.05099999998</v>
      </c>
      <c r="I288" s="642">
        <f t="shared" si="109"/>
        <v>276378.24900000001</v>
      </c>
      <c r="J288" s="640">
        <f t="shared" si="109"/>
        <v>323649.48300000001</v>
      </c>
      <c r="K288" s="643">
        <f t="shared" si="109"/>
        <v>207460.701</v>
      </c>
      <c r="L288" s="639">
        <f t="shared" si="109"/>
        <v>283189.08299999998</v>
      </c>
      <c r="M288" s="644">
        <f>M287*33.717</f>
        <v>306554.96399999998</v>
      </c>
      <c r="N288" s="641">
        <f>N287*33.717</f>
        <v>402041.50799999997</v>
      </c>
      <c r="O288" s="641">
        <f>O287*33.717</f>
        <v>143803.005</v>
      </c>
      <c r="P288" s="642">
        <f>P287*33.717</f>
        <v>365896.88399999996</v>
      </c>
      <c r="Q288" s="640">
        <f>Q287*33.717</f>
        <v>161807.883</v>
      </c>
      <c r="R288" s="643">
        <f t="shared" ref="R288:S288" si="110">R287*33.717</f>
        <v>312624.02399999998</v>
      </c>
      <c r="S288" s="639">
        <f t="shared" si="110"/>
        <v>377798.98499999999</v>
      </c>
      <c r="T288" s="638">
        <f>T287*33.717</f>
        <v>83618.16</v>
      </c>
      <c r="U288" s="642">
        <f>U287*33.717</f>
        <v>52935.689999999995</v>
      </c>
      <c r="V288" s="642">
        <f>V287*33.717</f>
        <v>134834.283</v>
      </c>
      <c r="W288" s="534"/>
      <c r="X288" s="534"/>
      <c r="Y288" s="534"/>
      <c r="Z288" s="534"/>
      <c r="AA288" s="669"/>
      <c r="AB288" s="624" t="s">
        <v>5</v>
      </c>
      <c r="AC288" s="629">
        <v>7975.5</v>
      </c>
      <c r="AD288" s="625">
        <v>13649</v>
      </c>
      <c r="AE288" s="626">
        <v>1289.9000000000001</v>
      </c>
      <c r="AF288" s="631">
        <v>13642</v>
      </c>
      <c r="AG288" s="632">
        <v>5483.9</v>
      </c>
      <c r="AH288" s="781"/>
      <c r="AI288" s="781"/>
    </row>
    <row r="289" spans="1:35" s="591" customFormat="1" ht="15.75" thickBot="1" x14ac:dyDescent="0.3">
      <c r="A289" s="939"/>
      <c r="B289" s="637" t="s">
        <v>79</v>
      </c>
      <c r="C289" s="638">
        <v>164000</v>
      </c>
      <c r="D289" s="639">
        <v>109880</v>
      </c>
      <c r="E289" s="638">
        <v>109880</v>
      </c>
      <c r="F289" s="641">
        <v>328000</v>
      </c>
      <c r="G289" s="641">
        <v>330905</v>
      </c>
      <c r="H289" s="641">
        <v>264264</v>
      </c>
      <c r="I289" s="641">
        <v>242663.6</v>
      </c>
      <c r="J289" s="643">
        <v>328000</v>
      </c>
      <c r="K289" s="643">
        <v>328000</v>
      </c>
      <c r="L289" s="639">
        <v>328000</v>
      </c>
      <c r="M289" s="638">
        <v>328000</v>
      </c>
      <c r="N289" s="641">
        <v>264264.40000000002</v>
      </c>
      <c r="O289" s="641">
        <v>328000</v>
      </c>
      <c r="P289" s="641">
        <v>352965.4</v>
      </c>
      <c r="Q289" s="643">
        <v>328000</v>
      </c>
      <c r="R289" s="643">
        <v>328000</v>
      </c>
      <c r="S289" s="639">
        <v>328000</v>
      </c>
      <c r="T289" s="644">
        <f>2*T284</f>
        <v>110302</v>
      </c>
      <c r="U289" s="639">
        <f>2*U284</f>
        <v>66181</v>
      </c>
      <c r="V289" s="639">
        <f>2*V284</f>
        <v>200650</v>
      </c>
      <c r="W289" s="534"/>
      <c r="X289" s="534"/>
      <c r="Y289" s="534"/>
      <c r="Z289" s="534"/>
      <c r="AA289" s="670"/>
      <c r="AB289" s="645" t="s">
        <v>3</v>
      </c>
      <c r="AC289" s="635">
        <f>AC288/AC287</f>
        <v>0.86767553689157739</v>
      </c>
      <c r="AD289" s="646">
        <f>AD288/AD287</f>
        <v>0.98994030911609621</v>
      </c>
      <c r="AE289" s="647">
        <f>AE288/AE287</f>
        <v>0.14649963656187537</v>
      </c>
      <c r="AF289" s="648">
        <f>AF288/AF287</f>
        <v>0.98943261022505558</v>
      </c>
      <c r="AG289" s="649">
        <f>AG288/AG287</f>
        <v>0.62283072869343992</v>
      </c>
      <c r="AH289" s="782"/>
      <c r="AI289" s="782"/>
    </row>
    <row r="290" spans="1:35" s="591" customFormat="1" x14ac:dyDescent="0.25">
      <c r="A290" s="939"/>
      <c r="B290" s="624" t="s">
        <v>8</v>
      </c>
      <c r="C290" s="650">
        <f>SUM(C287-294)</f>
        <v>5576</v>
      </c>
      <c r="D290" s="651">
        <f>SUM(D287-783)</f>
        <v>2550</v>
      </c>
      <c r="E290" s="650">
        <f>SUM(E287-750)</f>
        <v>2580</v>
      </c>
      <c r="F290" s="652">
        <f>SUM(F287-1164)</f>
        <v>8293</v>
      </c>
      <c r="G290" s="652">
        <f>SUM(G287-4517)</f>
        <v>3618</v>
      </c>
      <c r="H290" s="652">
        <f>SUM(H287-2041)</f>
        <v>13662</v>
      </c>
      <c r="I290" s="652">
        <f>SUM(I287-(3560-2000))</f>
        <v>6637</v>
      </c>
      <c r="J290" s="653">
        <f>SUM(J287-8357)</f>
        <v>1242</v>
      </c>
      <c r="K290" s="653">
        <f>SUM(K287-2545)</f>
        <v>3608</v>
      </c>
      <c r="L290" s="651">
        <f>SUM(L287-5405)</f>
        <v>2994</v>
      </c>
      <c r="M290" s="650">
        <f>SUM(M287-802)</f>
        <v>8290</v>
      </c>
      <c r="N290" s="652">
        <f>SUM(N287-1052)</f>
        <v>10872</v>
      </c>
      <c r="O290" s="653">
        <f>SUM(O287-543)</f>
        <v>3722</v>
      </c>
      <c r="P290" s="652">
        <f>SUM(P287-(5365-2614))</f>
        <v>8101</v>
      </c>
      <c r="Q290" s="653">
        <f>SUM(Q287-3109)</f>
        <v>1690</v>
      </c>
      <c r="R290" s="653">
        <f>SUM(R287-5305)</f>
        <v>3967</v>
      </c>
      <c r="S290" s="651">
        <f>SUM(S287-4508)</f>
        <v>6697</v>
      </c>
      <c r="T290" s="654">
        <f>SUM(T287-791)</f>
        <v>1689</v>
      </c>
      <c r="U290" s="651">
        <f>SUM(U287-483)</f>
        <v>1087</v>
      </c>
      <c r="V290" s="651">
        <f>SUM(V287-4000)</f>
        <v>-1</v>
      </c>
      <c r="W290" s="526"/>
      <c r="X290" s="534"/>
      <c r="Y290" s="534"/>
      <c r="Z290" s="534"/>
      <c r="AA290" s="668" t="s">
        <v>192</v>
      </c>
      <c r="AB290" s="528" t="s">
        <v>4</v>
      </c>
      <c r="AC290" s="544">
        <v>97433.600000000006</v>
      </c>
      <c r="AD290" s="541">
        <v>243584.4</v>
      </c>
      <c r="AE290" s="538">
        <v>132070.29999999999</v>
      </c>
      <c r="AF290" s="552">
        <v>292299.3</v>
      </c>
      <c r="AG290" s="551">
        <v>132070.39999999999</v>
      </c>
      <c r="AH290" s="780"/>
      <c r="AI290" s="780"/>
    </row>
    <row r="291" spans="1:35" s="591" customFormat="1" x14ac:dyDescent="0.25">
      <c r="A291" s="939"/>
      <c r="B291" s="655" t="s">
        <v>77</v>
      </c>
      <c r="C291" s="638">
        <f t="shared" ref="C291:H291" si="111">(C290*33.717)</f>
        <v>188005.992</v>
      </c>
      <c r="D291" s="656">
        <f t="shared" si="111"/>
        <v>85978.349999999991</v>
      </c>
      <c r="E291" s="638">
        <f t="shared" si="111"/>
        <v>86989.86</v>
      </c>
      <c r="F291" s="656">
        <f t="shared" si="111"/>
        <v>279615.08100000001</v>
      </c>
      <c r="G291" s="657">
        <f t="shared" si="111"/>
        <v>121988.106</v>
      </c>
      <c r="H291" s="657">
        <f t="shared" si="111"/>
        <v>460641.65399999998</v>
      </c>
      <c r="I291" s="657">
        <f>(I290*33.717)-(2000*33.717)</f>
        <v>156345.72899999999</v>
      </c>
      <c r="J291" s="658">
        <f>J290*33.717</f>
        <v>41876.513999999996</v>
      </c>
      <c r="K291" s="658">
        <f>K290*33.717</f>
        <v>121650.936</v>
      </c>
      <c r="L291" s="659">
        <f>L290*33.717</f>
        <v>100948.69799999999</v>
      </c>
      <c r="M291" s="660">
        <f>M290*33.717</f>
        <v>279513.93</v>
      </c>
      <c r="N291" s="657">
        <f>N290*33.717</f>
        <v>366571.22399999999</v>
      </c>
      <c r="O291" s="657">
        <f>(O290*33.717)</f>
        <v>125494.674</v>
      </c>
      <c r="P291" s="657">
        <f>P290*33.717-(2614*33.717)</f>
        <v>185005.179</v>
      </c>
      <c r="Q291" s="658">
        <f t="shared" ref="Q291:V291" si="112">Q290*33.717</f>
        <v>56981.729999999996</v>
      </c>
      <c r="R291" s="658">
        <f t="shared" si="112"/>
        <v>133755.33900000001</v>
      </c>
      <c r="S291" s="659">
        <f t="shared" si="112"/>
        <v>225802.74899999998</v>
      </c>
      <c r="T291" s="661">
        <f t="shared" si="112"/>
        <v>56948.012999999999</v>
      </c>
      <c r="U291" s="662">
        <f t="shared" si="112"/>
        <v>36650.379000000001</v>
      </c>
      <c r="V291" s="662">
        <f t="shared" si="112"/>
        <v>-33.716999999999999</v>
      </c>
      <c r="W291" s="532">
        <f>344240-H291</f>
        <v>-116401.65399999998</v>
      </c>
      <c r="X291" s="534"/>
      <c r="Y291" s="534"/>
      <c r="Z291" s="534"/>
      <c r="AA291" s="669"/>
      <c r="AB291" s="624" t="s">
        <v>5</v>
      </c>
      <c r="AC291" s="629">
        <v>38973.199999999997</v>
      </c>
      <c r="AD291" s="625">
        <v>124350.5</v>
      </c>
      <c r="AE291" s="626">
        <v>3817.1</v>
      </c>
      <c r="AF291" s="631">
        <v>109009</v>
      </c>
      <c r="AG291" s="632">
        <v>33401</v>
      </c>
      <c r="AH291" s="781"/>
      <c r="AI291" s="781"/>
    </row>
    <row r="292" spans="1:35" s="591" customFormat="1" ht="15.75" thickBot="1" x14ac:dyDescent="0.3">
      <c r="A292" s="940"/>
      <c r="B292" s="504" t="s">
        <v>218</v>
      </c>
      <c r="C292" s="542">
        <f t="shared" ref="C292:V292" si="113">C291/C284</f>
        <v>1.311123918182896</v>
      </c>
      <c r="D292" s="514">
        <f t="shared" si="113"/>
        <v>0.57122133291521793</v>
      </c>
      <c r="E292" s="543">
        <f t="shared" si="113"/>
        <v>0.57794158389069117</v>
      </c>
      <c r="F292" s="501">
        <f t="shared" si="113"/>
        <v>1.5363567287256841</v>
      </c>
      <c r="G292" s="501">
        <f t="shared" si="113"/>
        <v>0.73729540928417958</v>
      </c>
      <c r="H292" s="501">
        <f t="shared" si="113"/>
        <v>3.4861995309268168</v>
      </c>
      <c r="I292" s="501">
        <f t="shared" si="113"/>
        <v>0.91447042907294085</v>
      </c>
      <c r="J292" s="520">
        <f t="shared" si="113"/>
        <v>0.25310140915725565</v>
      </c>
      <c r="K292" s="520">
        <f t="shared" si="113"/>
        <v>1.0022106628132863</v>
      </c>
      <c r="L292" s="515">
        <f t="shared" si="113"/>
        <v>1.2133825744235605</v>
      </c>
      <c r="M292" s="543">
        <f t="shared" si="113"/>
        <v>1.4480403731872551</v>
      </c>
      <c r="N292" s="501">
        <f t="shared" si="113"/>
        <v>2.7742615503027634</v>
      </c>
      <c r="O292" s="501">
        <f t="shared" si="113"/>
        <v>1.5169809227020086</v>
      </c>
      <c r="P292" s="663">
        <f t="shared" si="113"/>
        <v>0.67090416855542057</v>
      </c>
      <c r="Q292" s="520">
        <f t="shared" si="113"/>
        <v>0.68879574405330324</v>
      </c>
      <c r="R292" s="520">
        <f t="shared" si="113"/>
        <v>0.70776911085523675</v>
      </c>
      <c r="S292" s="515">
        <f t="shared" si="113"/>
        <v>2.7141025721157597</v>
      </c>
      <c r="T292" s="542">
        <f t="shared" si="113"/>
        <v>1.0325835070986926</v>
      </c>
      <c r="U292" s="514">
        <f t="shared" si="113"/>
        <v>1.107580090962663</v>
      </c>
      <c r="V292" s="514">
        <f t="shared" si="113"/>
        <v>-3.3607774732120606E-4</v>
      </c>
      <c r="W292" s="534"/>
      <c r="X292" s="534"/>
      <c r="Y292" s="534"/>
      <c r="Z292" s="534"/>
      <c r="AA292" s="670"/>
      <c r="AB292" s="504" t="s">
        <v>3</v>
      </c>
      <c r="AC292" s="545">
        <f>AC291/AC290</f>
        <v>0.39999753678402516</v>
      </c>
      <c r="AD292" s="542">
        <f>AD291/AD290</f>
        <v>0.51050272513346506</v>
      </c>
      <c r="AE292" s="514">
        <f>AE291/AE290</f>
        <v>2.8902031720984961E-2</v>
      </c>
      <c r="AF292" s="636">
        <f>AF291/AF290</f>
        <v>0.37293623351133581</v>
      </c>
      <c r="AG292" s="633">
        <f>AG291/AG290</f>
        <v>0.25290299718937781</v>
      </c>
      <c r="AH292" s="782"/>
      <c r="AI292" s="782"/>
    </row>
    <row r="293" spans="1:35" s="591" customFormat="1" ht="15.75" thickBot="1" x14ac:dyDescent="0.3">
      <c r="A293" s="612"/>
      <c r="B293" s="504" t="s">
        <v>219</v>
      </c>
      <c r="C293" s="650">
        <v>169949</v>
      </c>
      <c r="D293" s="650">
        <v>96362.6</v>
      </c>
      <c r="E293" s="650">
        <v>97374.1</v>
      </c>
      <c r="F293" s="650">
        <v>262762</v>
      </c>
      <c r="G293" s="650">
        <v>119700</v>
      </c>
      <c r="H293" s="650">
        <v>445574</v>
      </c>
      <c r="I293" s="650">
        <v>169530</v>
      </c>
      <c r="J293" s="650">
        <v>40733</v>
      </c>
      <c r="K293" s="650">
        <v>120180</v>
      </c>
      <c r="L293" s="650">
        <v>95846.3</v>
      </c>
      <c r="M293" s="650">
        <v>277512</v>
      </c>
      <c r="N293" s="650">
        <v>369005</v>
      </c>
      <c r="O293" s="650">
        <v>126591</v>
      </c>
      <c r="P293" s="650">
        <v>165752</v>
      </c>
      <c r="Q293" s="650">
        <v>55844.5</v>
      </c>
      <c r="R293" s="650">
        <v>119115</v>
      </c>
      <c r="S293" s="650">
        <v>218748</v>
      </c>
      <c r="T293" s="650">
        <v>56947.7</v>
      </c>
      <c r="U293" s="650">
        <v>36650.300000000003</v>
      </c>
      <c r="V293" s="650">
        <v>0</v>
      </c>
      <c r="W293" s="534"/>
      <c r="X293" s="534"/>
      <c r="Y293" s="534"/>
      <c r="Z293" s="534"/>
      <c r="AA293" s="670" t="s">
        <v>220</v>
      </c>
      <c r="AB293" s="504" t="s">
        <v>3</v>
      </c>
      <c r="AC293" s="545">
        <f>(AC286+AC292)/2</f>
        <v>0.38119624665106289</v>
      </c>
      <c r="AD293" s="545">
        <f t="shared" ref="AD293:AG293" si="114">(AD286+AD292)/2</f>
        <v>0.47677983409520408</v>
      </c>
      <c r="AE293" s="545">
        <f t="shared" si="114"/>
        <v>2.9589946651719472E-2</v>
      </c>
      <c r="AF293" s="545">
        <f t="shared" si="114"/>
        <v>0.45412051337057324</v>
      </c>
      <c r="AG293" s="545">
        <f t="shared" si="114"/>
        <v>0.31543211186862841</v>
      </c>
      <c r="AH293" s="782"/>
      <c r="AI293" s="782"/>
    </row>
    <row r="294" spans="1:35" s="591" customFormat="1" ht="15.75" thickBot="1" x14ac:dyDescent="0.3">
      <c r="A294" s="612"/>
      <c r="B294" s="504" t="s">
        <v>217</v>
      </c>
      <c r="C294" s="543">
        <f t="shared" ref="C294:D294" si="115">C293/C284</f>
        <v>1.1851973248345455</v>
      </c>
      <c r="D294" s="543">
        <f t="shared" si="115"/>
        <v>0.64021201634104385</v>
      </c>
      <c r="E294" s="543">
        <f>E293/E284</f>
        <v>0.64693220087870651</v>
      </c>
      <c r="F294" s="543">
        <f t="shared" ref="F294:V294" si="116">F293/F284</f>
        <v>1.4437567720226727</v>
      </c>
      <c r="G294" s="543">
        <f t="shared" si="116"/>
        <v>0.72346610981333126</v>
      </c>
      <c r="H294" s="543">
        <f t="shared" si="116"/>
        <v>3.372165448574882</v>
      </c>
      <c r="I294" s="543">
        <f t="shared" si="116"/>
        <v>0.9915855894006268</v>
      </c>
      <c r="J294" s="543">
        <f t="shared" si="116"/>
        <v>0.24619001713472366</v>
      </c>
      <c r="K294" s="543">
        <f t="shared" si="116"/>
        <v>0.99009248442527997</v>
      </c>
      <c r="L294" s="543">
        <f t="shared" si="116"/>
        <v>1.1520528005519488</v>
      </c>
      <c r="M294" s="543">
        <f t="shared" si="116"/>
        <v>1.4376692426167867</v>
      </c>
      <c r="N294" s="543">
        <f t="shared" si="116"/>
        <v>2.7926807025350993</v>
      </c>
      <c r="O294" s="543">
        <f t="shared" si="116"/>
        <v>1.5302333227764708</v>
      </c>
      <c r="P294" s="543">
        <f t="shared" si="116"/>
        <v>0.60108429584232381</v>
      </c>
      <c r="Q294" s="543">
        <f t="shared" si="116"/>
        <v>0.67504889600201134</v>
      </c>
      <c r="R294" s="543">
        <f t="shared" si="116"/>
        <v>0.63029945772498486</v>
      </c>
      <c r="S294" s="543">
        <f t="shared" si="116"/>
        <v>2.6293059410236777</v>
      </c>
      <c r="T294" s="543">
        <f t="shared" si="116"/>
        <v>1.032577831770956</v>
      </c>
      <c r="U294" s="543">
        <f t="shared" si="116"/>
        <v>1.1075777035705112</v>
      </c>
      <c r="V294" s="543">
        <f t="shared" si="116"/>
        <v>0</v>
      </c>
      <c r="W294" s="534"/>
      <c r="X294" s="534"/>
      <c r="Y294" s="534"/>
      <c r="Z294" s="534"/>
      <c r="AA294" s="670"/>
      <c r="AB294" s="504"/>
      <c r="AC294" s="545"/>
      <c r="AD294" s="542"/>
      <c r="AE294" s="514"/>
      <c r="AF294" s="636"/>
      <c r="AG294" s="633"/>
      <c r="AH294" s="782"/>
      <c r="AI294" s="782"/>
    </row>
    <row r="295" spans="1:35" s="591" customFormat="1" ht="15.75" thickBot="1" x14ac:dyDescent="0.3">
      <c r="A295" s="924">
        <v>41676</v>
      </c>
      <c r="B295" s="924"/>
      <c r="C295" s="924"/>
      <c r="D295" s="529"/>
      <c r="E295" s="529"/>
      <c r="F295" s="529"/>
      <c r="G295" s="529"/>
      <c r="H295" s="529"/>
      <c r="I295" s="525"/>
      <c r="J295" s="531"/>
      <c r="K295" s="531"/>
      <c r="L295" s="529"/>
      <c r="M295" s="529"/>
      <c r="N295" s="527"/>
      <c r="R295" s="526"/>
      <c r="S295" s="534"/>
      <c r="T295" s="534"/>
      <c r="U295" s="534"/>
      <c r="V295" s="534"/>
      <c r="W295" s="534"/>
      <c r="X295" s="534"/>
      <c r="Y295" s="534"/>
      <c r="Z295" s="534"/>
      <c r="AA295" s="941"/>
      <c r="AB295" s="942"/>
      <c r="AH295" s="743"/>
      <c r="AI295" s="743"/>
    </row>
    <row r="296" spans="1:35" s="591" customFormat="1" x14ac:dyDescent="0.25">
      <c r="A296" s="925" t="s">
        <v>1</v>
      </c>
      <c r="B296" s="926"/>
      <c r="C296" s="540" t="s">
        <v>12</v>
      </c>
      <c r="D296" s="539" t="s">
        <v>12</v>
      </c>
      <c r="E296" s="540" t="s">
        <v>13</v>
      </c>
      <c r="F296" s="530" t="s">
        <v>13</v>
      </c>
      <c r="G296" s="530" t="s">
        <v>13</v>
      </c>
      <c r="H296" s="530" t="s">
        <v>13</v>
      </c>
      <c r="I296" s="530" t="s">
        <v>13</v>
      </c>
      <c r="J296" s="536" t="s">
        <v>13</v>
      </c>
      <c r="K296" s="536" t="s">
        <v>13</v>
      </c>
      <c r="L296" s="539" t="s">
        <v>13</v>
      </c>
      <c r="M296" s="569" t="s">
        <v>2</v>
      </c>
      <c r="N296" s="530" t="s">
        <v>2</v>
      </c>
      <c r="O296" s="536" t="s">
        <v>2</v>
      </c>
      <c r="P296" s="530" t="s">
        <v>2</v>
      </c>
      <c r="Q296" s="536" t="s">
        <v>2</v>
      </c>
      <c r="R296" s="536" t="s">
        <v>2</v>
      </c>
      <c r="S296" s="539" t="s">
        <v>2</v>
      </c>
      <c r="T296" s="569" t="s">
        <v>183</v>
      </c>
      <c r="U296" s="570" t="s">
        <v>183</v>
      </c>
      <c r="V296" s="570" t="s">
        <v>2</v>
      </c>
      <c r="W296" s="534"/>
      <c r="X296" s="534"/>
      <c r="Y296" s="534"/>
      <c r="Z296" s="534"/>
      <c r="AA296" s="925" t="s">
        <v>1</v>
      </c>
      <c r="AB296" s="928"/>
      <c r="AC296" s="667" t="s">
        <v>12</v>
      </c>
      <c r="AD296" s="929" t="s">
        <v>13</v>
      </c>
      <c r="AE296" s="930"/>
      <c r="AF296" s="929" t="s">
        <v>2</v>
      </c>
      <c r="AG296" s="930"/>
      <c r="AH296" s="778"/>
      <c r="AI296" s="778"/>
    </row>
    <row r="297" spans="1:35" s="591" customFormat="1" ht="15.75" thickBot="1" x14ac:dyDescent="0.3">
      <c r="A297" s="931" t="s">
        <v>0</v>
      </c>
      <c r="B297" s="932"/>
      <c r="C297" s="617" t="s">
        <v>99</v>
      </c>
      <c r="D297" s="618" t="s">
        <v>100</v>
      </c>
      <c r="E297" s="617" t="s">
        <v>101</v>
      </c>
      <c r="F297" s="619" t="s">
        <v>102</v>
      </c>
      <c r="G297" s="619" t="s">
        <v>97</v>
      </c>
      <c r="H297" s="619" t="s">
        <v>104</v>
      </c>
      <c r="I297" s="619" t="s">
        <v>103</v>
      </c>
      <c r="J297" s="521" t="s">
        <v>178</v>
      </c>
      <c r="K297" s="521" t="s">
        <v>200</v>
      </c>
      <c r="L297" s="517" t="s">
        <v>207</v>
      </c>
      <c r="M297" s="617" t="s">
        <v>105</v>
      </c>
      <c r="N297" s="619" t="s">
        <v>107</v>
      </c>
      <c r="O297" s="620" t="s">
        <v>98</v>
      </c>
      <c r="P297" s="516" t="s">
        <v>106</v>
      </c>
      <c r="Q297" s="620" t="s">
        <v>179</v>
      </c>
      <c r="R297" s="620" t="s">
        <v>199</v>
      </c>
      <c r="S297" s="618" t="s">
        <v>208</v>
      </c>
      <c r="T297" s="621" t="s">
        <v>182</v>
      </c>
      <c r="U297" s="618" t="s">
        <v>184</v>
      </c>
      <c r="V297" s="618" t="s">
        <v>221</v>
      </c>
      <c r="W297" s="526"/>
      <c r="X297" s="526"/>
      <c r="Y297" s="526"/>
      <c r="Z297" s="526"/>
      <c r="AA297" s="931" t="s">
        <v>0</v>
      </c>
      <c r="AB297" s="934"/>
      <c r="AC297" s="621" t="s">
        <v>99</v>
      </c>
      <c r="AD297" s="617" t="s">
        <v>104</v>
      </c>
      <c r="AE297" s="618" t="s">
        <v>207</v>
      </c>
      <c r="AF297" s="622" t="s">
        <v>107</v>
      </c>
      <c r="AG297" s="623" t="s">
        <v>208</v>
      </c>
      <c r="AH297" s="779"/>
      <c r="AI297" s="779"/>
    </row>
    <row r="298" spans="1:35" s="591" customFormat="1" x14ac:dyDescent="0.25">
      <c r="A298" s="935" t="s">
        <v>9</v>
      </c>
      <c r="B298" s="528" t="s">
        <v>4</v>
      </c>
      <c r="C298" s="541">
        <v>143393</v>
      </c>
      <c r="D298" s="538">
        <v>150516.70000000001</v>
      </c>
      <c r="E298" s="541">
        <v>150516.70000000001</v>
      </c>
      <c r="F298" s="533">
        <v>181998.8</v>
      </c>
      <c r="G298" s="533">
        <v>165453.5</v>
      </c>
      <c r="H298" s="533">
        <v>132132.9</v>
      </c>
      <c r="I298" s="533">
        <v>170968.6</v>
      </c>
      <c r="J298" s="537">
        <v>165453.5</v>
      </c>
      <c r="K298" s="537">
        <v>121382.6</v>
      </c>
      <c r="L298" s="538">
        <v>83196.100000000006</v>
      </c>
      <c r="M298" s="541">
        <v>193029.1</v>
      </c>
      <c r="N298" s="533">
        <v>132132.9</v>
      </c>
      <c r="O298" s="533">
        <v>82726.600000000006</v>
      </c>
      <c r="P298" s="533">
        <v>275755</v>
      </c>
      <c r="Q298" s="537">
        <v>82726.600000000006</v>
      </c>
      <c r="R298" s="537">
        <v>188981.6</v>
      </c>
      <c r="S298" s="538">
        <v>83196.100000000006</v>
      </c>
      <c r="T298" s="544">
        <v>55151</v>
      </c>
      <c r="U298" s="538">
        <v>33090.5</v>
      </c>
      <c r="V298" s="538">
        <v>100325</v>
      </c>
      <c r="W298" s="534"/>
      <c r="X298" s="534"/>
      <c r="Y298" s="534"/>
      <c r="Z298" s="534"/>
      <c r="AA298" s="664" t="s">
        <v>195</v>
      </c>
      <c r="AB298" s="524" t="s">
        <v>4</v>
      </c>
      <c r="AC298" s="544">
        <v>143393</v>
      </c>
      <c r="AD298" s="541">
        <v>132132</v>
      </c>
      <c r="AE298" s="538">
        <v>83196.100000000006</v>
      </c>
      <c r="AF298" s="552">
        <v>132132.20000000001</v>
      </c>
      <c r="AG298" s="551">
        <v>83196.100000000006</v>
      </c>
      <c r="AH298" s="780"/>
      <c r="AI298" s="780"/>
    </row>
    <row r="299" spans="1:35" s="591" customFormat="1" x14ac:dyDescent="0.25">
      <c r="A299" s="936"/>
      <c r="B299" s="624" t="s">
        <v>5</v>
      </c>
      <c r="C299" s="625">
        <v>52307.1</v>
      </c>
      <c r="D299" s="626">
        <v>82679.3</v>
      </c>
      <c r="E299" s="625">
        <v>84021.3</v>
      </c>
      <c r="F299" s="627">
        <v>157307.4</v>
      </c>
      <c r="G299" s="627">
        <v>112200.4</v>
      </c>
      <c r="H299" s="627">
        <v>66974.899999999994</v>
      </c>
      <c r="I299" s="627">
        <v>115010.2</v>
      </c>
      <c r="J299" s="628">
        <v>33365.800000000003</v>
      </c>
      <c r="K299" s="628">
        <v>60710.6</v>
      </c>
      <c r="L299" s="626">
        <v>3305.8</v>
      </c>
      <c r="M299" s="625">
        <v>170130.5</v>
      </c>
      <c r="N299" s="627">
        <v>71222.5</v>
      </c>
      <c r="O299" s="627">
        <v>58051.4</v>
      </c>
      <c r="P299" s="627">
        <v>210477.1</v>
      </c>
      <c r="Q299" s="628">
        <v>17284.900000000001</v>
      </c>
      <c r="R299" s="628">
        <v>96367.5</v>
      </c>
      <c r="S299" s="626">
        <v>39045.599999999999</v>
      </c>
      <c r="T299" s="629">
        <v>14096.1</v>
      </c>
      <c r="U299" s="626">
        <v>7319.5</v>
      </c>
      <c r="V299" s="626">
        <v>3.1</v>
      </c>
      <c r="W299" s="534"/>
      <c r="X299" s="534"/>
      <c r="Y299" s="534"/>
      <c r="Z299" s="534"/>
      <c r="AA299" s="665"/>
      <c r="AB299" s="630" t="s">
        <v>5</v>
      </c>
      <c r="AC299" s="629">
        <v>51964.9</v>
      </c>
      <c r="AD299" s="625">
        <v>58542</v>
      </c>
      <c r="AE299" s="626">
        <v>2519</v>
      </c>
      <c r="AF299" s="631">
        <v>70731</v>
      </c>
      <c r="AG299" s="632">
        <v>31444.9</v>
      </c>
      <c r="AH299" s="781"/>
      <c r="AI299" s="781"/>
    </row>
    <row r="300" spans="1:35" s="591" customFormat="1" ht="15.75" thickBot="1" x14ac:dyDescent="0.3">
      <c r="A300" s="937"/>
      <c r="B300" s="504" t="s">
        <v>3</v>
      </c>
      <c r="C300" s="542">
        <f t="shared" ref="C300:L300" si="117">C299/C298</f>
        <v>0.36478140495003242</v>
      </c>
      <c r="D300" s="633">
        <f t="shared" si="117"/>
        <v>0.54930316702399129</v>
      </c>
      <c r="E300" s="542">
        <f t="shared" si="117"/>
        <v>0.55821912120050465</v>
      </c>
      <c r="F300" s="519">
        <f t="shared" si="117"/>
        <v>0.86433207251915944</v>
      </c>
      <c r="G300" s="498">
        <f t="shared" si="117"/>
        <v>0.67813857065580352</v>
      </c>
      <c r="H300" s="498">
        <f t="shared" si="117"/>
        <v>0.50687527481800521</v>
      </c>
      <c r="I300" s="498">
        <f t="shared" si="117"/>
        <v>0.67269779362994131</v>
      </c>
      <c r="J300" s="506">
        <f t="shared" si="117"/>
        <v>0.20166270281378154</v>
      </c>
      <c r="K300" s="506">
        <f t="shared" si="117"/>
        <v>0.50015900137251956</v>
      </c>
      <c r="L300" s="514">
        <f t="shared" si="117"/>
        <v>3.9735035656719486E-2</v>
      </c>
      <c r="M300" s="547">
        <f>M299/M298</f>
        <v>0.88137229049920451</v>
      </c>
      <c r="N300" s="498">
        <f>N299/N298</f>
        <v>0.53902169709436487</v>
      </c>
      <c r="O300" s="506">
        <f>O299/O298</f>
        <v>0.70172592612291573</v>
      </c>
      <c r="P300" s="498">
        <f>P299/P298</f>
        <v>0.76327573389421777</v>
      </c>
      <c r="Q300" s="506">
        <f>Q299/Q298</f>
        <v>0.20894005072129157</v>
      </c>
      <c r="R300" s="506">
        <f t="shared" ref="R300:S300" si="118">R299/R298</f>
        <v>0.50993059641785232</v>
      </c>
      <c r="S300" s="514">
        <f t="shared" si="118"/>
        <v>0.46932007630165351</v>
      </c>
      <c r="T300" s="545">
        <f>T299/T298</f>
        <v>0.25559101376221649</v>
      </c>
      <c r="U300" s="514">
        <f>U299/U298</f>
        <v>0.22119641588975689</v>
      </c>
      <c r="V300" s="514">
        <f>V299/V298</f>
        <v>3.089957637677548E-5</v>
      </c>
      <c r="W300" s="534"/>
      <c r="X300" s="534"/>
      <c r="Y300" s="534"/>
      <c r="Z300" s="534"/>
      <c r="AA300" s="666"/>
      <c r="AB300" s="634" t="s">
        <v>3</v>
      </c>
      <c r="AC300" s="635">
        <f>AC299/AC298</f>
        <v>0.36239495651810061</v>
      </c>
      <c r="AD300" s="542">
        <f>AD299/AD298</f>
        <v>0.44305694305694304</v>
      </c>
      <c r="AE300" s="514">
        <f>AE299/AE298</f>
        <v>3.0277861582453984E-2</v>
      </c>
      <c r="AF300" s="636">
        <f>AF299/AF298</f>
        <v>0.53530479322981073</v>
      </c>
      <c r="AG300" s="633">
        <f>AG299/AG298</f>
        <v>0.37796122654787906</v>
      </c>
      <c r="AH300" s="782"/>
      <c r="AI300" s="782"/>
    </row>
    <row r="301" spans="1:35" s="591" customFormat="1" x14ac:dyDescent="0.25">
      <c r="A301" s="938" t="s">
        <v>6</v>
      </c>
      <c r="B301" s="553" t="s">
        <v>7</v>
      </c>
      <c r="C301" s="554">
        <v>5870</v>
      </c>
      <c r="D301" s="555">
        <v>3333</v>
      </c>
      <c r="E301" s="554">
        <v>3330</v>
      </c>
      <c r="F301" s="556">
        <v>9457</v>
      </c>
      <c r="G301" s="556">
        <v>8135</v>
      </c>
      <c r="H301" s="556">
        <v>15703</v>
      </c>
      <c r="I301" s="556">
        <v>8197</v>
      </c>
      <c r="J301" s="557">
        <v>9599</v>
      </c>
      <c r="K301" s="557">
        <v>6153</v>
      </c>
      <c r="L301" s="555">
        <v>8399</v>
      </c>
      <c r="M301" s="554">
        <v>9092</v>
      </c>
      <c r="N301" s="556">
        <v>11924</v>
      </c>
      <c r="O301" s="556">
        <v>4265</v>
      </c>
      <c r="P301" s="556">
        <v>10852</v>
      </c>
      <c r="Q301" s="557">
        <v>4799</v>
      </c>
      <c r="R301" s="557">
        <v>9272</v>
      </c>
      <c r="S301" s="555">
        <v>11205</v>
      </c>
      <c r="T301" s="558">
        <v>2480</v>
      </c>
      <c r="U301" s="555">
        <v>1570</v>
      </c>
      <c r="V301" s="555">
        <v>3999</v>
      </c>
      <c r="W301" s="559" t="s">
        <v>198</v>
      </c>
      <c r="X301" s="561"/>
      <c r="Y301" s="561"/>
      <c r="Z301" s="561"/>
      <c r="AA301" s="562" t="s">
        <v>191</v>
      </c>
      <c r="AB301" s="553" t="s">
        <v>4</v>
      </c>
      <c r="AC301" s="564">
        <v>9191.7999999999993</v>
      </c>
      <c r="AD301" s="565">
        <v>13787.7</v>
      </c>
      <c r="AE301" s="566">
        <v>8804.7999999999993</v>
      </c>
      <c r="AF301" s="567">
        <v>13787.7</v>
      </c>
      <c r="AG301" s="568">
        <v>8804.7999999999993</v>
      </c>
      <c r="AH301" s="783"/>
      <c r="AI301" s="783"/>
    </row>
    <row r="302" spans="1:35" s="591" customFormat="1" x14ac:dyDescent="0.25">
      <c r="A302" s="939"/>
      <c r="B302" s="637" t="s">
        <v>11</v>
      </c>
      <c r="C302" s="638">
        <f t="shared" ref="C302:L302" si="119">C301*33.717</f>
        <v>197918.78999999998</v>
      </c>
      <c r="D302" s="639">
        <f t="shared" si="119"/>
        <v>112378.761</v>
      </c>
      <c r="E302" s="638">
        <f t="shared" si="119"/>
        <v>112277.61</v>
      </c>
      <c r="F302" s="640">
        <f t="shared" si="119"/>
        <v>318861.66899999999</v>
      </c>
      <c r="G302" s="641">
        <f t="shared" si="119"/>
        <v>274287.79499999998</v>
      </c>
      <c r="H302" s="642">
        <f t="shared" si="119"/>
        <v>529458.05099999998</v>
      </c>
      <c r="I302" s="642">
        <f t="shared" si="119"/>
        <v>276378.24900000001</v>
      </c>
      <c r="J302" s="640">
        <f t="shared" si="119"/>
        <v>323649.48300000001</v>
      </c>
      <c r="K302" s="643">
        <f t="shared" si="119"/>
        <v>207460.701</v>
      </c>
      <c r="L302" s="639">
        <f t="shared" si="119"/>
        <v>283189.08299999998</v>
      </c>
      <c r="M302" s="644">
        <f>M301*33.717</f>
        <v>306554.96399999998</v>
      </c>
      <c r="N302" s="641">
        <f>N301*33.717</f>
        <v>402041.50799999997</v>
      </c>
      <c r="O302" s="641">
        <f>O301*33.717</f>
        <v>143803.005</v>
      </c>
      <c r="P302" s="642">
        <f>P301*33.717</f>
        <v>365896.88399999996</v>
      </c>
      <c r="Q302" s="640">
        <f>Q301*33.717</f>
        <v>161807.883</v>
      </c>
      <c r="R302" s="643">
        <f t="shared" ref="R302:S302" si="120">R301*33.717</f>
        <v>312624.02399999998</v>
      </c>
      <c r="S302" s="639">
        <f t="shared" si="120"/>
        <v>377798.98499999999</v>
      </c>
      <c r="T302" s="638">
        <f>T301*33.717</f>
        <v>83618.16</v>
      </c>
      <c r="U302" s="642">
        <f>U301*33.717</f>
        <v>52935.689999999995</v>
      </c>
      <c r="V302" s="642">
        <f>V301*33.717</f>
        <v>134834.283</v>
      </c>
      <c r="W302" s="534"/>
      <c r="X302" s="534"/>
      <c r="Y302" s="534"/>
      <c r="Z302" s="534"/>
      <c r="AA302" s="665"/>
      <c r="AB302" s="624" t="s">
        <v>5</v>
      </c>
      <c r="AC302" s="629">
        <v>7975.5</v>
      </c>
      <c r="AD302" s="625">
        <v>13649</v>
      </c>
      <c r="AE302" s="626">
        <v>1289.9000000000001</v>
      </c>
      <c r="AF302" s="631">
        <v>13642</v>
      </c>
      <c r="AG302" s="632">
        <v>5483.9</v>
      </c>
      <c r="AH302" s="781"/>
      <c r="AI302" s="781"/>
    </row>
    <row r="303" spans="1:35" s="591" customFormat="1" ht="15.75" thickBot="1" x14ac:dyDescent="0.3">
      <c r="A303" s="939"/>
      <c r="B303" s="637" t="s">
        <v>79</v>
      </c>
      <c r="C303" s="638">
        <v>164000</v>
      </c>
      <c r="D303" s="639">
        <v>109880</v>
      </c>
      <c r="E303" s="638">
        <v>109880</v>
      </c>
      <c r="F303" s="641">
        <v>328000</v>
      </c>
      <c r="G303" s="641">
        <v>330905</v>
      </c>
      <c r="H303" s="641">
        <v>264264</v>
      </c>
      <c r="I303" s="641">
        <v>242663.6</v>
      </c>
      <c r="J303" s="643">
        <v>328000</v>
      </c>
      <c r="K303" s="643">
        <v>328000</v>
      </c>
      <c r="L303" s="639">
        <v>328000</v>
      </c>
      <c r="M303" s="638">
        <v>328000</v>
      </c>
      <c r="N303" s="641">
        <v>264264.40000000002</v>
      </c>
      <c r="O303" s="641">
        <v>328000</v>
      </c>
      <c r="P303" s="641">
        <v>352965.4</v>
      </c>
      <c r="Q303" s="643">
        <v>328000</v>
      </c>
      <c r="R303" s="643">
        <v>328000</v>
      </c>
      <c r="S303" s="639">
        <v>328000</v>
      </c>
      <c r="T303" s="644">
        <f>2*T298</f>
        <v>110302</v>
      </c>
      <c r="U303" s="639">
        <f>2*U298</f>
        <v>66181</v>
      </c>
      <c r="V303" s="639">
        <f>2*V298</f>
        <v>200650</v>
      </c>
      <c r="W303" s="534"/>
      <c r="X303" s="534"/>
      <c r="Y303" s="534"/>
      <c r="Z303" s="534"/>
      <c r="AA303" s="666"/>
      <c r="AB303" s="645" t="s">
        <v>3</v>
      </c>
      <c r="AC303" s="635">
        <f>AC302/AC301</f>
        <v>0.86767553689157739</v>
      </c>
      <c r="AD303" s="646">
        <f>AD302/AD301</f>
        <v>0.98994030911609621</v>
      </c>
      <c r="AE303" s="647">
        <f>AE302/AE301</f>
        <v>0.14649963656187537</v>
      </c>
      <c r="AF303" s="648">
        <f>AF302/AF301</f>
        <v>0.98943261022505558</v>
      </c>
      <c r="AG303" s="649">
        <f>AG302/AG301</f>
        <v>0.62283072869343992</v>
      </c>
      <c r="AH303" s="782"/>
      <c r="AI303" s="782"/>
    </row>
    <row r="304" spans="1:35" s="591" customFormat="1" x14ac:dyDescent="0.25">
      <c r="A304" s="939"/>
      <c r="B304" s="624" t="s">
        <v>8</v>
      </c>
      <c r="C304" s="650">
        <f>SUM(C301-294)</f>
        <v>5576</v>
      </c>
      <c r="D304" s="651">
        <f>SUM(D301-463)</f>
        <v>2870</v>
      </c>
      <c r="E304" s="650">
        <f>SUM(E301-430)</f>
        <v>2900</v>
      </c>
      <c r="F304" s="652">
        <f>SUM(F301-1164)</f>
        <v>8293</v>
      </c>
      <c r="G304" s="652">
        <f>SUM(G301-4517)</f>
        <v>3618</v>
      </c>
      <c r="H304" s="652">
        <f>SUM(H301-2041)</f>
        <v>13662</v>
      </c>
      <c r="I304" s="652">
        <f>SUM(I301-(3569-2000))</f>
        <v>6628</v>
      </c>
      <c r="J304" s="653">
        <f>SUM(J301-8357)</f>
        <v>1242</v>
      </c>
      <c r="K304" s="653">
        <f>SUM(K301-2575)</f>
        <v>3578</v>
      </c>
      <c r="L304" s="651">
        <f>SUM(L301-5466)</f>
        <v>2933</v>
      </c>
      <c r="M304" s="650">
        <f>SUM(M301-802)</f>
        <v>8290</v>
      </c>
      <c r="N304" s="652">
        <f>SUM(N301-1052)</f>
        <v>10872</v>
      </c>
      <c r="O304" s="653">
        <f>SUM(O301-543)</f>
        <v>3722</v>
      </c>
      <c r="P304" s="652">
        <f>SUM(P301-(5374-2614))</f>
        <v>8092</v>
      </c>
      <c r="Q304" s="653">
        <f>SUM(Q301-3109)</f>
        <v>1690</v>
      </c>
      <c r="R304" s="653">
        <f>SUM(R301-5335)</f>
        <v>3937</v>
      </c>
      <c r="S304" s="651">
        <f>SUM(S301-4613)</f>
        <v>6592</v>
      </c>
      <c r="T304" s="654">
        <f>SUM(T301-791)</f>
        <v>1689</v>
      </c>
      <c r="U304" s="651">
        <f>SUM(U301-483)</f>
        <v>1087</v>
      </c>
      <c r="V304" s="651">
        <f>SUM(V301-4000)</f>
        <v>-1</v>
      </c>
      <c r="W304" s="526"/>
      <c r="X304" s="534"/>
      <c r="Y304" s="534"/>
      <c r="Z304" s="534"/>
      <c r="AA304" s="664" t="s">
        <v>192</v>
      </c>
      <c r="AB304" s="528" t="s">
        <v>4</v>
      </c>
      <c r="AC304" s="544">
        <v>97433.600000000006</v>
      </c>
      <c r="AD304" s="541">
        <v>243584.4</v>
      </c>
      <c r="AE304" s="538">
        <v>132070.29999999999</v>
      </c>
      <c r="AF304" s="552">
        <v>292299.3</v>
      </c>
      <c r="AG304" s="551">
        <v>132070.39999999999</v>
      </c>
      <c r="AH304" s="780"/>
      <c r="AI304" s="780"/>
    </row>
    <row r="305" spans="1:35" s="591" customFormat="1" x14ac:dyDescent="0.25">
      <c r="A305" s="939"/>
      <c r="B305" s="655" t="s">
        <v>77</v>
      </c>
      <c r="C305" s="638">
        <f t="shared" ref="C305:H305" si="121">(C304*33.717)</f>
        <v>188005.992</v>
      </c>
      <c r="D305" s="656">
        <f t="shared" si="121"/>
        <v>96767.79</v>
      </c>
      <c r="E305" s="638">
        <f t="shared" si="121"/>
        <v>97779.3</v>
      </c>
      <c r="F305" s="656">
        <f t="shared" si="121"/>
        <v>279615.08100000001</v>
      </c>
      <c r="G305" s="657">
        <f t="shared" si="121"/>
        <v>121988.106</v>
      </c>
      <c r="H305" s="657">
        <f t="shared" si="121"/>
        <v>460641.65399999998</v>
      </c>
      <c r="I305" s="657">
        <f>(I304*33.717)-(2000*33.717)</f>
        <v>156042.27599999998</v>
      </c>
      <c r="J305" s="658">
        <f>J304*33.717</f>
        <v>41876.513999999996</v>
      </c>
      <c r="K305" s="658">
        <f>K304*33.717</f>
        <v>120639.42599999999</v>
      </c>
      <c r="L305" s="659">
        <f>L304*33.717</f>
        <v>98891.960999999996</v>
      </c>
      <c r="M305" s="660">
        <f>M304*33.717</f>
        <v>279513.93</v>
      </c>
      <c r="N305" s="657">
        <f>N304*33.717</f>
        <v>366571.22399999999</v>
      </c>
      <c r="O305" s="657">
        <f>(O304*33.717)</f>
        <v>125494.674</v>
      </c>
      <c r="P305" s="657">
        <f>P304*33.717-(2614*33.717)</f>
        <v>184701.72599999997</v>
      </c>
      <c r="Q305" s="658">
        <f t="shared" ref="Q305:V305" si="122">Q304*33.717</f>
        <v>56981.729999999996</v>
      </c>
      <c r="R305" s="658">
        <f t="shared" si="122"/>
        <v>132743.829</v>
      </c>
      <c r="S305" s="659">
        <f t="shared" si="122"/>
        <v>222262.46399999998</v>
      </c>
      <c r="T305" s="661">
        <f t="shared" si="122"/>
        <v>56948.012999999999</v>
      </c>
      <c r="U305" s="662">
        <f t="shared" si="122"/>
        <v>36650.379000000001</v>
      </c>
      <c r="V305" s="662">
        <f t="shared" si="122"/>
        <v>-33.716999999999999</v>
      </c>
      <c r="W305" s="532">
        <f>344240-H305</f>
        <v>-116401.65399999998</v>
      </c>
      <c r="X305" s="534"/>
      <c r="Y305" s="534"/>
      <c r="Z305" s="534"/>
      <c r="AA305" s="665"/>
      <c r="AB305" s="624" t="s">
        <v>5</v>
      </c>
      <c r="AC305" s="629">
        <v>38973.199999999997</v>
      </c>
      <c r="AD305" s="625">
        <v>124350.5</v>
      </c>
      <c r="AE305" s="626">
        <v>3817.1</v>
      </c>
      <c r="AF305" s="631">
        <v>109009</v>
      </c>
      <c r="AG305" s="632">
        <v>33401</v>
      </c>
      <c r="AH305" s="781"/>
      <c r="AI305" s="781"/>
    </row>
    <row r="306" spans="1:35" s="591" customFormat="1" ht="15.75" thickBot="1" x14ac:dyDescent="0.3">
      <c r="A306" s="940"/>
      <c r="B306" s="504" t="s">
        <v>218</v>
      </c>
      <c r="C306" s="542">
        <f t="shared" ref="C306:V306" si="123">C305/C298</f>
        <v>1.311123918182896</v>
      </c>
      <c r="D306" s="514">
        <f t="shared" si="123"/>
        <v>0.64290400998693154</v>
      </c>
      <c r="E306" s="543">
        <f t="shared" si="123"/>
        <v>0.64962426096240478</v>
      </c>
      <c r="F306" s="501">
        <f t="shared" si="123"/>
        <v>1.5363567287256841</v>
      </c>
      <c r="G306" s="501">
        <f t="shared" si="123"/>
        <v>0.73729540928417958</v>
      </c>
      <c r="H306" s="501">
        <f t="shared" si="123"/>
        <v>3.4861995309268168</v>
      </c>
      <c r="I306" s="501">
        <f t="shared" si="123"/>
        <v>0.91269552420736899</v>
      </c>
      <c r="J306" s="520">
        <f t="shared" si="123"/>
        <v>0.25310140915725565</v>
      </c>
      <c r="K306" s="520">
        <f t="shared" si="123"/>
        <v>0.9938774255947721</v>
      </c>
      <c r="L306" s="515">
        <f t="shared" si="123"/>
        <v>1.1886610189660332</v>
      </c>
      <c r="M306" s="543">
        <f t="shared" si="123"/>
        <v>1.4480403731872551</v>
      </c>
      <c r="N306" s="501">
        <f t="shared" si="123"/>
        <v>2.7742615503027634</v>
      </c>
      <c r="O306" s="501">
        <f t="shared" si="123"/>
        <v>1.5169809227020086</v>
      </c>
      <c r="P306" s="663">
        <f t="shared" si="123"/>
        <v>0.66980372432050173</v>
      </c>
      <c r="Q306" s="520">
        <f t="shared" si="123"/>
        <v>0.68879574405330324</v>
      </c>
      <c r="R306" s="520">
        <f t="shared" si="123"/>
        <v>0.70241668501060417</v>
      </c>
      <c r="S306" s="515">
        <f t="shared" si="123"/>
        <v>2.671549075016737</v>
      </c>
      <c r="T306" s="542">
        <f t="shared" si="123"/>
        <v>1.0325835070986926</v>
      </c>
      <c r="U306" s="514">
        <f t="shared" si="123"/>
        <v>1.107580090962663</v>
      </c>
      <c r="V306" s="514">
        <f t="shared" si="123"/>
        <v>-3.3607774732120606E-4</v>
      </c>
      <c r="W306" s="534"/>
      <c r="X306" s="534"/>
      <c r="Y306" s="534"/>
      <c r="Z306" s="534"/>
      <c r="AA306" s="666"/>
      <c r="AB306" s="504" t="s">
        <v>3</v>
      </c>
      <c r="AC306" s="545">
        <f>AC305/AC304</f>
        <v>0.39999753678402516</v>
      </c>
      <c r="AD306" s="542">
        <f>AD305/AD304</f>
        <v>0.51050272513346506</v>
      </c>
      <c r="AE306" s="514">
        <f>AE305/AE304</f>
        <v>2.8902031720984961E-2</v>
      </c>
      <c r="AF306" s="636">
        <f>AF305/AF304</f>
        <v>0.37293623351133581</v>
      </c>
      <c r="AG306" s="633">
        <f>AG305/AG304</f>
        <v>0.25290299718937781</v>
      </c>
      <c r="AH306" s="782"/>
      <c r="AI306" s="782"/>
    </row>
    <row r="307" spans="1:35" s="591" customFormat="1" ht="15.75" thickBot="1" x14ac:dyDescent="0.3">
      <c r="A307" s="612"/>
      <c r="B307" s="504" t="s">
        <v>219</v>
      </c>
      <c r="C307" s="650">
        <v>169949</v>
      </c>
      <c r="D307" s="650">
        <v>96362.6</v>
      </c>
      <c r="E307" s="650">
        <v>97374.1</v>
      </c>
      <c r="F307" s="650">
        <v>262762</v>
      </c>
      <c r="G307" s="650">
        <v>119700</v>
      </c>
      <c r="H307" s="650">
        <v>445574</v>
      </c>
      <c r="I307" s="650">
        <v>169530</v>
      </c>
      <c r="J307" s="650">
        <v>40733</v>
      </c>
      <c r="K307" s="650">
        <v>120180</v>
      </c>
      <c r="L307" s="650">
        <v>95846.3</v>
      </c>
      <c r="M307" s="650">
        <v>277512</v>
      </c>
      <c r="N307" s="650">
        <v>369005</v>
      </c>
      <c r="O307" s="650">
        <v>126591</v>
      </c>
      <c r="P307" s="650">
        <v>165752</v>
      </c>
      <c r="Q307" s="650">
        <v>55844.5</v>
      </c>
      <c r="R307" s="650">
        <v>119115</v>
      </c>
      <c r="S307" s="650">
        <v>218748</v>
      </c>
      <c r="T307" s="650">
        <v>56947.7</v>
      </c>
      <c r="U307" s="650">
        <v>36650.300000000003</v>
      </c>
      <c r="V307" s="650">
        <v>0</v>
      </c>
      <c r="W307" s="534"/>
      <c r="X307" s="534"/>
      <c r="Y307" s="534"/>
      <c r="Z307" s="534"/>
      <c r="AA307" s="666" t="s">
        <v>220</v>
      </c>
      <c r="AB307" s="504" t="s">
        <v>3</v>
      </c>
      <c r="AC307" s="545">
        <f>(AC300+AC306)/2</f>
        <v>0.38119624665106289</v>
      </c>
      <c r="AD307" s="545">
        <f t="shared" ref="AD307:AG307" si="124">(AD300+AD306)/2</f>
        <v>0.47677983409520408</v>
      </c>
      <c r="AE307" s="545">
        <f t="shared" si="124"/>
        <v>2.9589946651719472E-2</v>
      </c>
      <c r="AF307" s="545">
        <f t="shared" si="124"/>
        <v>0.45412051337057324</v>
      </c>
      <c r="AG307" s="545">
        <f t="shared" si="124"/>
        <v>0.31543211186862841</v>
      </c>
      <c r="AH307" s="782"/>
      <c r="AI307" s="782"/>
    </row>
    <row r="308" spans="1:35" s="591" customFormat="1" ht="15.75" thickBot="1" x14ac:dyDescent="0.3">
      <c r="A308" s="612"/>
      <c r="B308" s="504" t="s">
        <v>217</v>
      </c>
      <c r="C308" s="543">
        <f t="shared" ref="C308:D308" si="125">C307/C298</f>
        <v>1.1851973248345455</v>
      </c>
      <c r="D308" s="543">
        <f t="shared" si="125"/>
        <v>0.64021201634104385</v>
      </c>
      <c r="E308" s="543">
        <f>E307/E298</f>
        <v>0.64693220087870651</v>
      </c>
      <c r="F308" s="543">
        <f t="shared" ref="F308:V308" si="126">F307/F298</f>
        <v>1.4437567720226727</v>
      </c>
      <c r="G308" s="543">
        <f t="shared" si="126"/>
        <v>0.72346610981333126</v>
      </c>
      <c r="H308" s="543">
        <f t="shared" si="126"/>
        <v>3.372165448574882</v>
      </c>
      <c r="I308" s="543">
        <f t="shared" si="126"/>
        <v>0.9915855894006268</v>
      </c>
      <c r="J308" s="543">
        <f t="shared" si="126"/>
        <v>0.24619001713472366</v>
      </c>
      <c r="K308" s="543">
        <f t="shared" si="126"/>
        <v>0.99009248442527997</v>
      </c>
      <c r="L308" s="543">
        <f t="shared" si="126"/>
        <v>1.1520528005519488</v>
      </c>
      <c r="M308" s="543">
        <f t="shared" si="126"/>
        <v>1.4376692426167867</v>
      </c>
      <c r="N308" s="543">
        <f t="shared" si="126"/>
        <v>2.7926807025350993</v>
      </c>
      <c r="O308" s="543">
        <f t="shared" si="126"/>
        <v>1.5302333227764708</v>
      </c>
      <c r="P308" s="543">
        <f t="shared" si="126"/>
        <v>0.60108429584232381</v>
      </c>
      <c r="Q308" s="543">
        <f t="shared" si="126"/>
        <v>0.67504889600201134</v>
      </c>
      <c r="R308" s="543">
        <f t="shared" si="126"/>
        <v>0.63029945772498486</v>
      </c>
      <c r="S308" s="543">
        <f t="shared" si="126"/>
        <v>2.6293059410236777</v>
      </c>
      <c r="T308" s="543">
        <f t="shared" si="126"/>
        <v>1.032577831770956</v>
      </c>
      <c r="U308" s="543">
        <f t="shared" si="126"/>
        <v>1.1075777035705112</v>
      </c>
      <c r="V308" s="543">
        <f t="shared" si="126"/>
        <v>0</v>
      </c>
      <c r="W308" s="534"/>
      <c r="X308" s="534"/>
      <c r="Y308" s="534"/>
      <c r="Z308" s="534"/>
      <c r="AA308" s="666"/>
      <c r="AB308" s="504"/>
      <c r="AC308" s="545"/>
      <c r="AD308" s="542"/>
      <c r="AE308" s="514"/>
      <c r="AF308" s="636"/>
      <c r="AG308" s="633"/>
      <c r="AH308" s="782"/>
      <c r="AI308" s="782"/>
    </row>
    <row r="309" spans="1:35" s="591" customFormat="1" ht="15.75" thickBot="1" x14ac:dyDescent="0.3">
      <c r="A309" s="924">
        <v>41662</v>
      </c>
      <c r="B309" s="924"/>
      <c r="C309" s="924"/>
      <c r="D309" s="529"/>
      <c r="E309" s="529"/>
      <c r="F309" s="529"/>
      <c r="G309" s="529"/>
      <c r="H309" s="529"/>
      <c r="I309" s="525"/>
      <c r="J309" s="531"/>
      <c r="K309" s="531"/>
      <c r="L309" s="529"/>
      <c r="M309" s="529"/>
      <c r="N309" s="527"/>
      <c r="R309" s="526"/>
      <c r="S309" s="534"/>
      <c r="T309" s="534"/>
      <c r="U309" s="534"/>
      <c r="V309" s="534"/>
      <c r="W309" s="534"/>
      <c r="X309" s="534"/>
      <c r="Y309" s="534"/>
      <c r="Z309" s="534"/>
      <c r="AA309" s="941"/>
      <c r="AB309" s="942"/>
      <c r="AH309" s="743"/>
      <c r="AI309" s="743"/>
    </row>
    <row r="310" spans="1:35" s="591" customFormat="1" x14ac:dyDescent="0.25">
      <c r="A310" s="925" t="s">
        <v>1</v>
      </c>
      <c r="B310" s="926"/>
      <c r="C310" s="540" t="s">
        <v>12</v>
      </c>
      <c r="D310" s="539" t="s">
        <v>12</v>
      </c>
      <c r="E310" s="540" t="s">
        <v>13</v>
      </c>
      <c r="F310" s="530" t="s">
        <v>13</v>
      </c>
      <c r="G310" s="530" t="s">
        <v>13</v>
      </c>
      <c r="H310" s="530" t="s">
        <v>13</v>
      </c>
      <c r="I310" s="530" t="s">
        <v>13</v>
      </c>
      <c r="J310" s="536" t="s">
        <v>13</v>
      </c>
      <c r="K310" s="536" t="s">
        <v>13</v>
      </c>
      <c r="L310" s="539" t="s">
        <v>13</v>
      </c>
      <c r="M310" s="569" t="s">
        <v>2</v>
      </c>
      <c r="N310" s="530" t="s">
        <v>2</v>
      </c>
      <c r="O310" s="536" t="s">
        <v>2</v>
      </c>
      <c r="P310" s="530" t="s">
        <v>2</v>
      </c>
      <c r="Q310" s="536" t="s">
        <v>2</v>
      </c>
      <c r="R310" s="536" t="s">
        <v>2</v>
      </c>
      <c r="S310" s="539" t="s">
        <v>2</v>
      </c>
      <c r="T310" s="569" t="s">
        <v>183</v>
      </c>
      <c r="U310" s="570" t="s">
        <v>183</v>
      </c>
      <c r="V310" s="570" t="s">
        <v>2</v>
      </c>
      <c r="W310" s="534"/>
      <c r="X310" s="534"/>
      <c r="Y310" s="534"/>
      <c r="Z310" s="534"/>
      <c r="AA310" s="925" t="s">
        <v>1</v>
      </c>
      <c r="AB310" s="928"/>
      <c r="AC310" s="616" t="s">
        <v>12</v>
      </c>
      <c r="AD310" s="929" t="s">
        <v>13</v>
      </c>
      <c r="AE310" s="930"/>
      <c r="AF310" s="929" t="s">
        <v>2</v>
      </c>
      <c r="AG310" s="930"/>
      <c r="AH310" s="778"/>
      <c r="AI310" s="778"/>
    </row>
    <row r="311" spans="1:35" s="591" customFormat="1" ht="15.75" thickBot="1" x14ac:dyDescent="0.3">
      <c r="A311" s="931" t="s">
        <v>0</v>
      </c>
      <c r="B311" s="932"/>
      <c r="C311" s="617" t="s">
        <v>99</v>
      </c>
      <c r="D311" s="618" t="s">
        <v>100</v>
      </c>
      <c r="E311" s="617" t="s">
        <v>101</v>
      </c>
      <c r="F311" s="619" t="s">
        <v>102</v>
      </c>
      <c r="G311" s="619" t="s">
        <v>97</v>
      </c>
      <c r="H311" s="619" t="s">
        <v>104</v>
      </c>
      <c r="I311" s="619" t="s">
        <v>103</v>
      </c>
      <c r="J311" s="521" t="s">
        <v>178</v>
      </c>
      <c r="K311" s="521" t="s">
        <v>200</v>
      </c>
      <c r="L311" s="517" t="s">
        <v>207</v>
      </c>
      <c r="M311" s="617" t="s">
        <v>105</v>
      </c>
      <c r="N311" s="619" t="s">
        <v>107</v>
      </c>
      <c r="O311" s="620" t="s">
        <v>98</v>
      </c>
      <c r="P311" s="516" t="s">
        <v>106</v>
      </c>
      <c r="Q311" s="620" t="s">
        <v>179</v>
      </c>
      <c r="R311" s="620" t="s">
        <v>199</v>
      </c>
      <c r="S311" s="618" t="s">
        <v>208</v>
      </c>
      <c r="T311" s="621" t="s">
        <v>182</v>
      </c>
      <c r="U311" s="618" t="s">
        <v>184</v>
      </c>
      <c r="V311" s="618" t="s">
        <v>221</v>
      </c>
      <c r="W311" s="526"/>
      <c r="X311" s="526"/>
      <c r="Y311" s="526"/>
      <c r="Z311" s="526"/>
      <c r="AA311" s="931" t="s">
        <v>0</v>
      </c>
      <c r="AB311" s="934"/>
      <c r="AC311" s="621" t="s">
        <v>99</v>
      </c>
      <c r="AD311" s="617" t="s">
        <v>104</v>
      </c>
      <c r="AE311" s="618" t="s">
        <v>207</v>
      </c>
      <c r="AF311" s="622" t="s">
        <v>107</v>
      </c>
      <c r="AG311" s="623" t="s">
        <v>208</v>
      </c>
      <c r="AH311" s="779"/>
      <c r="AI311" s="779"/>
    </row>
    <row r="312" spans="1:35" s="591" customFormat="1" x14ac:dyDescent="0.25">
      <c r="A312" s="935" t="s">
        <v>9</v>
      </c>
      <c r="B312" s="528" t="s">
        <v>4</v>
      </c>
      <c r="C312" s="541">
        <v>143393</v>
      </c>
      <c r="D312" s="538">
        <v>150516.70000000001</v>
      </c>
      <c r="E312" s="541">
        <v>150516.70000000001</v>
      </c>
      <c r="F312" s="533">
        <v>181998.8</v>
      </c>
      <c r="G312" s="533">
        <v>165453.5</v>
      </c>
      <c r="H312" s="533">
        <v>132132.9</v>
      </c>
      <c r="I312" s="533">
        <v>170968.6</v>
      </c>
      <c r="J312" s="537">
        <v>165453.5</v>
      </c>
      <c r="K312" s="537">
        <v>121382.6</v>
      </c>
      <c r="L312" s="538">
        <v>83196.100000000006</v>
      </c>
      <c r="M312" s="541">
        <v>193029.1</v>
      </c>
      <c r="N312" s="533">
        <v>132132.9</v>
      </c>
      <c r="O312" s="533">
        <v>82726.600000000006</v>
      </c>
      <c r="P312" s="533">
        <v>275755</v>
      </c>
      <c r="Q312" s="537">
        <v>82726.600000000006</v>
      </c>
      <c r="R312" s="537">
        <v>188981.6</v>
      </c>
      <c r="S312" s="538">
        <v>83196.100000000006</v>
      </c>
      <c r="T312" s="544">
        <v>55151</v>
      </c>
      <c r="U312" s="538">
        <v>33090.5</v>
      </c>
      <c r="V312" s="538">
        <v>100325</v>
      </c>
      <c r="W312" s="534"/>
      <c r="X312" s="534"/>
      <c r="Y312" s="534"/>
      <c r="Z312" s="534"/>
      <c r="AA312" s="613" t="s">
        <v>195</v>
      </c>
      <c r="AB312" s="524" t="s">
        <v>4</v>
      </c>
      <c r="AC312" s="544">
        <v>143393</v>
      </c>
      <c r="AD312" s="541">
        <v>132132</v>
      </c>
      <c r="AE312" s="538">
        <v>83196.100000000006</v>
      </c>
      <c r="AF312" s="552">
        <v>132132.20000000001</v>
      </c>
      <c r="AG312" s="551">
        <v>83196.100000000006</v>
      </c>
      <c r="AH312" s="780"/>
      <c r="AI312" s="780"/>
    </row>
    <row r="313" spans="1:35" s="591" customFormat="1" x14ac:dyDescent="0.25">
      <c r="A313" s="936"/>
      <c r="B313" s="624" t="s">
        <v>5</v>
      </c>
      <c r="C313" s="625">
        <v>52669.3</v>
      </c>
      <c r="D313" s="626">
        <v>82312.3</v>
      </c>
      <c r="E313" s="625">
        <v>83654.100000000006</v>
      </c>
      <c r="F313" s="627">
        <v>156939.5</v>
      </c>
      <c r="G313" s="627">
        <v>111398.3</v>
      </c>
      <c r="H313" s="627">
        <v>63816.2</v>
      </c>
      <c r="I313" s="627">
        <v>112922.9</v>
      </c>
      <c r="J313" s="628">
        <v>31973.8</v>
      </c>
      <c r="K313" s="628">
        <v>59106.9</v>
      </c>
      <c r="L313" s="626">
        <v>2804.8</v>
      </c>
      <c r="M313" s="625">
        <v>169931</v>
      </c>
      <c r="N313" s="627">
        <v>72628.800000000003</v>
      </c>
      <c r="O313" s="627">
        <v>57511.7</v>
      </c>
      <c r="P313" s="627">
        <v>208378</v>
      </c>
      <c r="Q313" s="628">
        <v>16588.099999999999</v>
      </c>
      <c r="R313" s="628">
        <v>94220.800000000003</v>
      </c>
      <c r="S313" s="626">
        <v>33748.400000000001</v>
      </c>
      <c r="T313" s="629">
        <v>14096.1</v>
      </c>
      <c r="U313" s="626">
        <v>7319.5</v>
      </c>
      <c r="V313" s="626">
        <v>3.1</v>
      </c>
      <c r="W313" s="534"/>
      <c r="X313" s="534"/>
      <c r="Y313" s="534"/>
      <c r="Z313" s="534"/>
      <c r="AA313" s="614"/>
      <c r="AB313" s="630" t="s">
        <v>5</v>
      </c>
      <c r="AC313" s="629">
        <v>51964.9</v>
      </c>
      <c r="AD313" s="625">
        <v>58542</v>
      </c>
      <c r="AE313" s="626">
        <v>2519</v>
      </c>
      <c r="AF313" s="631">
        <v>70731</v>
      </c>
      <c r="AG313" s="632">
        <v>31444.9</v>
      </c>
      <c r="AH313" s="781"/>
      <c r="AI313" s="781"/>
    </row>
    <row r="314" spans="1:35" s="591" customFormat="1" ht="15.75" thickBot="1" x14ac:dyDescent="0.3">
      <c r="A314" s="937"/>
      <c r="B314" s="504" t="s">
        <v>3</v>
      </c>
      <c r="C314" s="542">
        <f t="shared" ref="C314:L314" si="127">C313/C312</f>
        <v>0.36730733020440332</v>
      </c>
      <c r="D314" s="633">
        <f t="shared" si="127"/>
        <v>0.54686489937661398</v>
      </c>
      <c r="E314" s="542">
        <f t="shared" si="127"/>
        <v>0.55577952479691617</v>
      </c>
      <c r="F314" s="519">
        <f t="shared" si="127"/>
        <v>0.86231063061954261</v>
      </c>
      <c r="G314" s="498">
        <f t="shared" si="127"/>
        <v>0.6732906828806885</v>
      </c>
      <c r="H314" s="498">
        <f t="shared" si="127"/>
        <v>0.48296979783233396</v>
      </c>
      <c r="I314" s="498">
        <f t="shared" si="127"/>
        <v>0.66048911905460994</v>
      </c>
      <c r="J314" s="506">
        <f t="shared" si="127"/>
        <v>0.19324946284001246</v>
      </c>
      <c r="K314" s="506">
        <f t="shared" si="127"/>
        <v>0.48694705830984014</v>
      </c>
      <c r="L314" s="514">
        <f t="shared" si="127"/>
        <v>3.3713118763980525E-2</v>
      </c>
      <c r="M314" s="547">
        <f>M313/M312</f>
        <v>0.88033876757442264</v>
      </c>
      <c r="N314" s="498">
        <f>N313/N312</f>
        <v>0.54966476933451103</v>
      </c>
      <c r="O314" s="506">
        <f>O313/O312</f>
        <v>0.69520202691758148</v>
      </c>
      <c r="P314" s="498">
        <f>P313/P312</f>
        <v>0.75566354191220464</v>
      </c>
      <c r="Q314" s="506">
        <f>Q313/Q312</f>
        <v>0.20051712508431385</v>
      </c>
      <c r="R314" s="506">
        <f t="shared" ref="R314:S314" si="128">R313/R312</f>
        <v>0.49857128948003404</v>
      </c>
      <c r="S314" s="514">
        <f t="shared" si="128"/>
        <v>0.40564882248086148</v>
      </c>
      <c r="T314" s="545">
        <f>T313/T312</f>
        <v>0.25559101376221649</v>
      </c>
      <c r="U314" s="514">
        <f>U313/U312</f>
        <v>0.22119641588975689</v>
      </c>
      <c r="V314" s="514">
        <f>V313/V312</f>
        <v>3.089957637677548E-5</v>
      </c>
      <c r="W314" s="534"/>
      <c r="X314" s="534"/>
      <c r="Y314" s="534"/>
      <c r="Z314" s="534"/>
      <c r="AA314" s="615"/>
      <c r="AB314" s="634" t="s">
        <v>3</v>
      </c>
      <c r="AC314" s="635">
        <f>AC313/AC312</f>
        <v>0.36239495651810061</v>
      </c>
      <c r="AD314" s="542">
        <f>AD313/AD312</f>
        <v>0.44305694305694304</v>
      </c>
      <c r="AE314" s="514">
        <f>AE313/AE312</f>
        <v>3.0277861582453984E-2</v>
      </c>
      <c r="AF314" s="636">
        <f>AF313/AF312</f>
        <v>0.53530479322981073</v>
      </c>
      <c r="AG314" s="633">
        <f>AG313/AG312</f>
        <v>0.37796122654787906</v>
      </c>
      <c r="AH314" s="782"/>
      <c r="AI314" s="782"/>
    </row>
    <row r="315" spans="1:35" s="591" customFormat="1" x14ac:dyDescent="0.25">
      <c r="A315" s="938" t="s">
        <v>6</v>
      </c>
      <c r="B315" s="553" t="s">
        <v>7</v>
      </c>
      <c r="C315" s="554">
        <v>5870</v>
      </c>
      <c r="D315" s="555">
        <v>3333</v>
      </c>
      <c r="E315" s="554">
        <v>3330</v>
      </c>
      <c r="F315" s="556">
        <v>9457</v>
      </c>
      <c r="G315" s="556">
        <v>8135</v>
      </c>
      <c r="H315" s="556">
        <v>15703</v>
      </c>
      <c r="I315" s="556">
        <v>8197</v>
      </c>
      <c r="J315" s="557">
        <v>9599</v>
      </c>
      <c r="K315" s="557">
        <v>6153</v>
      </c>
      <c r="L315" s="555">
        <v>8399</v>
      </c>
      <c r="M315" s="554">
        <v>9092</v>
      </c>
      <c r="N315" s="556">
        <v>11924</v>
      </c>
      <c r="O315" s="556">
        <v>4265</v>
      </c>
      <c r="P315" s="556">
        <v>10852</v>
      </c>
      <c r="Q315" s="557">
        <v>4799</v>
      </c>
      <c r="R315" s="557">
        <v>9272</v>
      </c>
      <c r="S315" s="555">
        <v>11205</v>
      </c>
      <c r="T315" s="558">
        <v>2480</v>
      </c>
      <c r="U315" s="555">
        <v>1570</v>
      </c>
      <c r="V315" s="555">
        <v>3999</v>
      </c>
      <c r="W315" s="559" t="s">
        <v>198</v>
      </c>
      <c r="X315" s="561"/>
      <c r="Y315" s="561"/>
      <c r="Z315" s="561"/>
      <c r="AA315" s="562" t="s">
        <v>191</v>
      </c>
      <c r="AB315" s="553" t="s">
        <v>4</v>
      </c>
      <c r="AC315" s="564">
        <v>9191.7999999999993</v>
      </c>
      <c r="AD315" s="565">
        <v>13787.7</v>
      </c>
      <c r="AE315" s="566">
        <v>8804.7999999999993</v>
      </c>
      <c r="AF315" s="567">
        <v>13787.7</v>
      </c>
      <c r="AG315" s="568">
        <v>8804.7999999999993</v>
      </c>
      <c r="AH315" s="783"/>
      <c r="AI315" s="783"/>
    </row>
    <row r="316" spans="1:35" s="591" customFormat="1" x14ac:dyDescent="0.25">
      <c r="A316" s="939"/>
      <c r="B316" s="637" t="s">
        <v>11</v>
      </c>
      <c r="C316" s="638">
        <f t="shared" ref="C316:L316" si="129">C315*33.717</f>
        <v>197918.78999999998</v>
      </c>
      <c r="D316" s="639">
        <f t="shared" si="129"/>
        <v>112378.761</v>
      </c>
      <c r="E316" s="638">
        <f t="shared" si="129"/>
        <v>112277.61</v>
      </c>
      <c r="F316" s="640">
        <f t="shared" si="129"/>
        <v>318861.66899999999</v>
      </c>
      <c r="G316" s="641">
        <f t="shared" si="129"/>
        <v>274287.79499999998</v>
      </c>
      <c r="H316" s="642">
        <f t="shared" si="129"/>
        <v>529458.05099999998</v>
      </c>
      <c r="I316" s="642">
        <f t="shared" si="129"/>
        <v>276378.24900000001</v>
      </c>
      <c r="J316" s="640">
        <f t="shared" si="129"/>
        <v>323649.48300000001</v>
      </c>
      <c r="K316" s="643">
        <f t="shared" si="129"/>
        <v>207460.701</v>
      </c>
      <c r="L316" s="639">
        <f t="shared" si="129"/>
        <v>283189.08299999998</v>
      </c>
      <c r="M316" s="644">
        <f>M315*33.717</f>
        <v>306554.96399999998</v>
      </c>
      <c r="N316" s="641">
        <f>N315*33.717</f>
        <v>402041.50799999997</v>
      </c>
      <c r="O316" s="641">
        <f>O315*33.717</f>
        <v>143803.005</v>
      </c>
      <c r="P316" s="642">
        <f>P315*33.717</f>
        <v>365896.88399999996</v>
      </c>
      <c r="Q316" s="640">
        <f>Q315*33.717</f>
        <v>161807.883</v>
      </c>
      <c r="R316" s="643">
        <f t="shared" ref="R316:S316" si="130">R315*33.717</f>
        <v>312624.02399999998</v>
      </c>
      <c r="S316" s="639">
        <f t="shared" si="130"/>
        <v>377798.98499999999</v>
      </c>
      <c r="T316" s="638">
        <f>T315*33.717</f>
        <v>83618.16</v>
      </c>
      <c r="U316" s="642">
        <f>U315*33.717</f>
        <v>52935.689999999995</v>
      </c>
      <c r="V316" s="642">
        <f>V315*33.717</f>
        <v>134834.283</v>
      </c>
      <c r="W316" s="534"/>
      <c r="X316" s="534"/>
      <c r="Y316" s="534"/>
      <c r="Z316" s="534"/>
      <c r="AA316" s="614"/>
      <c r="AB316" s="624" t="s">
        <v>5</v>
      </c>
      <c r="AC316" s="629">
        <v>7975.5</v>
      </c>
      <c r="AD316" s="625">
        <v>13649</v>
      </c>
      <c r="AE316" s="626">
        <v>1289.9000000000001</v>
      </c>
      <c r="AF316" s="631">
        <v>13642</v>
      </c>
      <c r="AG316" s="632">
        <v>5483.9</v>
      </c>
      <c r="AH316" s="781"/>
      <c r="AI316" s="781"/>
    </row>
    <row r="317" spans="1:35" s="591" customFormat="1" ht="15.75" thickBot="1" x14ac:dyDescent="0.3">
      <c r="A317" s="939"/>
      <c r="B317" s="637" t="s">
        <v>79</v>
      </c>
      <c r="C317" s="638">
        <v>164000</v>
      </c>
      <c r="D317" s="639">
        <v>109880</v>
      </c>
      <c r="E317" s="638">
        <v>109880</v>
      </c>
      <c r="F317" s="641">
        <v>328000</v>
      </c>
      <c r="G317" s="641">
        <v>330905</v>
      </c>
      <c r="H317" s="641">
        <v>264264</v>
      </c>
      <c r="I317" s="641">
        <v>242663.6</v>
      </c>
      <c r="J317" s="643">
        <v>328000</v>
      </c>
      <c r="K317" s="643">
        <v>328000</v>
      </c>
      <c r="L317" s="639">
        <v>328000</v>
      </c>
      <c r="M317" s="638">
        <v>328000</v>
      </c>
      <c r="N317" s="641">
        <v>264264.40000000002</v>
      </c>
      <c r="O317" s="641">
        <v>328000</v>
      </c>
      <c r="P317" s="641">
        <v>352965.4</v>
      </c>
      <c r="Q317" s="643">
        <v>328000</v>
      </c>
      <c r="R317" s="643">
        <v>328000</v>
      </c>
      <c r="S317" s="639">
        <v>328000</v>
      </c>
      <c r="T317" s="644">
        <f>2*T312</f>
        <v>110302</v>
      </c>
      <c r="U317" s="639">
        <f>2*U312</f>
        <v>66181</v>
      </c>
      <c r="V317" s="639">
        <f>2*V312</f>
        <v>200650</v>
      </c>
      <c r="W317" s="534"/>
      <c r="X317" s="534"/>
      <c r="Y317" s="534"/>
      <c r="Z317" s="534"/>
      <c r="AA317" s="615"/>
      <c r="AB317" s="645" t="s">
        <v>3</v>
      </c>
      <c r="AC317" s="635">
        <f>AC316/AC315</f>
        <v>0.86767553689157739</v>
      </c>
      <c r="AD317" s="646">
        <f>AD316/AD315</f>
        <v>0.98994030911609621</v>
      </c>
      <c r="AE317" s="647">
        <f>AE316/AE315</f>
        <v>0.14649963656187537</v>
      </c>
      <c r="AF317" s="648">
        <f>AF316/AF315</f>
        <v>0.98943261022505558</v>
      </c>
      <c r="AG317" s="649">
        <f>AG316/AG315</f>
        <v>0.62283072869343992</v>
      </c>
      <c r="AH317" s="782"/>
      <c r="AI317" s="782"/>
    </row>
    <row r="318" spans="1:35" s="591" customFormat="1" x14ac:dyDescent="0.25">
      <c r="A318" s="939"/>
      <c r="B318" s="624" t="s">
        <v>8</v>
      </c>
      <c r="C318" s="650">
        <f>SUM(C315-295)</f>
        <v>5575</v>
      </c>
      <c r="D318" s="651">
        <f>SUM(D315-463)</f>
        <v>2870</v>
      </c>
      <c r="E318" s="650">
        <f>SUM(E315-430)</f>
        <v>2900</v>
      </c>
      <c r="F318" s="652">
        <f>SUM(F315-1130)</f>
        <v>8327</v>
      </c>
      <c r="G318" s="652">
        <f>SUM(G315-4517)</f>
        <v>3618</v>
      </c>
      <c r="H318" s="652">
        <f>SUM(H315-2041)</f>
        <v>13662</v>
      </c>
      <c r="I318" s="652">
        <f>SUM(I315-(3169-2000))</f>
        <v>7028</v>
      </c>
      <c r="J318" s="653">
        <f>SUM(J315-8392)</f>
        <v>1207</v>
      </c>
      <c r="K318" s="653">
        <f>SUM(K315-2591)</f>
        <v>3562</v>
      </c>
      <c r="L318" s="651">
        <f>SUM(L315-5559)</f>
        <v>2840</v>
      </c>
      <c r="M318" s="650">
        <f>SUM(M315-744)</f>
        <v>8348</v>
      </c>
      <c r="N318" s="652">
        <f>SUM(N315-986)</f>
        <v>10938</v>
      </c>
      <c r="O318" s="653">
        <f>SUM(O315-512)</f>
        <v>3753</v>
      </c>
      <c r="P318" s="652">
        <f>SUM(P315-(4974-2614))</f>
        <v>8492</v>
      </c>
      <c r="Q318" s="653">
        <f>SUM(Q315-3144)</f>
        <v>1655</v>
      </c>
      <c r="R318" s="653">
        <f>SUM(R315-5351)</f>
        <v>3921</v>
      </c>
      <c r="S318" s="651">
        <f>SUM(S315-4722)</f>
        <v>6483</v>
      </c>
      <c r="T318" s="654">
        <f>SUM(T315-791)</f>
        <v>1689</v>
      </c>
      <c r="U318" s="651">
        <f>SUM(U315-483)</f>
        <v>1087</v>
      </c>
      <c r="V318" s="651">
        <f>SUM(V315-4000)</f>
        <v>-1</v>
      </c>
      <c r="W318" s="526"/>
      <c r="X318" s="534"/>
      <c r="Y318" s="534"/>
      <c r="Z318" s="534"/>
      <c r="AA318" s="613" t="s">
        <v>192</v>
      </c>
      <c r="AB318" s="528" t="s">
        <v>4</v>
      </c>
      <c r="AC318" s="544">
        <v>97433.600000000006</v>
      </c>
      <c r="AD318" s="541">
        <v>243584.4</v>
      </c>
      <c r="AE318" s="538">
        <v>132070.29999999999</v>
      </c>
      <c r="AF318" s="552">
        <v>292299.3</v>
      </c>
      <c r="AG318" s="551">
        <v>132070.39999999999</v>
      </c>
      <c r="AH318" s="780"/>
      <c r="AI318" s="780"/>
    </row>
    <row r="319" spans="1:35" s="591" customFormat="1" x14ac:dyDescent="0.25">
      <c r="A319" s="939"/>
      <c r="B319" s="655" t="s">
        <v>77</v>
      </c>
      <c r="C319" s="638">
        <f t="shared" ref="C319:H319" si="131">(C318*33.717)</f>
        <v>187972.27499999999</v>
      </c>
      <c r="D319" s="656">
        <f t="shared" si="131"/>
        <v>96767.79</v>
      </c>
      <c r="E319" s="638">
        <f t="shared" si="131"/>
        <v>97779.3</v>
      </c>
      <c r="F319" s="656">
        <f t="shared" si="131"/>
        <v>280761.45899999997</v>
      </c>
      <c r="G319" s="657">
        <f t="shared" si="131"/>
        <v>121988.106</v>
      </c>
      <c r="H319" s="657">
        <f t="shared" si="131"/>
        <v>460641.65399999998</v>
      </c>
      <c r="I319" s="657">
        <f>(I318*33.717)-(2000*33.717)</f>
        <v>169529.076</v>
      </c>
      <c r="J319" s="658">
        <f>J318*33.717</f>
        <v>40696.419000000002</v>
      </c>
      <c r="K319" s="658">
        <f>K318*33.717</f>
        <v>120099.954</v>
      </c>
      <c r="L319" s="659">
        <f>L318*33.717</f>
        <v>95756.28</v>
      </c>
      <c r="M319" s="660">
        <f>M318*33.717</f>
        <v>281469.516</v>
      </c>
      <c r="N319" s="657">
        <f>N318*33.717</f>
        <v>368796.54599999997</v>
      </c>
      <c r="O319" s="657">
        <f>(O318*33.717)</f>
        <v>126539.901</v>
      </c>
      <c r="P319" s="657">
        <f>P318*33.717-(2614*33.717)</f>
        <v>198188.52599999995</v>
      </c>
      <c r="Q319" s="658">
        <f t="shared" ref="Q319:U319" si="132">Q318*33.717</f>
        <v>55801.634999999995</v>
      </c>
      <c r="R319" s="658">
        <f t="shared" si="132"/>
        <v>132204.35699999999</v>
      </c>
      <c r="S319" s="659">
        <f t="shared" si="132"/>
        <v>218587.31099999999</v>
      </c>
      <c r="T319" s="661">
        <f t="shared" si="132"/>
        <v>56948.012999999999</v>
      </c>
      <c r="U319" s="662">
        <f t="shared" si="132"/>
        <v>36650.379000000001</v>
      </c>
      <c r="V319" s="662">
        <f t="shared" ref="V319" si="133">V318*33.717</f>
        <v>-33.716999999999999</v>
      </c>
      <c r="W319" s="532">
        <f>344240-H319</f>
        <v>-116401.65399999998</v>
      </c>
      <c r="X319" s="534"/>
      <c r="Y319" s="534"/>
      <c r="Z319" s="534"/>
      <c r="AA319" s="614"/>
      <c r="AB319" s="624" t="s">
        <v>5</v>
      </c>
      <c r="AC319" s="629">
        <v>38973.199999999997</v>
      </c>
      <c r="AD319" s="625">
        <v>124350.5</v>
      </c>
      <c r="AE319" s="626">
        <v>3817.1</v>
      </c>
      <c r="AF319" s="631">
        <v>109009</v>
      </c>
      <c r="AG319" s="632">
        <v>33401</v>
      </c>
      <c r="AH319" s="781"/>
      <c r="AI319" s="781"/>
    </row>
    <row r="320" spans="1:35" s="591" customFormat="1" ht="15.75" thickBot="1" x14ac:dyDescent="0.3">
      <c r="A320" s="940"/>
      <c r="B320" s="504" t="s">
        <v>218</v>
      </c>
      <c r="C320" s="542">
        <f t="shared" ref="C320:U320" si="134">C319/C312</f>
        <v>1.3108887811817871</v>
      </c>
      <c r="D320" s="514">
        <f t="shared" si="134"/>
        <v>0.64290400998693154</v>
      </c>
      <c r="E320" s="543">
        <f t="shared" si="134"/>
        <v>0.64962426096240478</v>
      </c>
      <c r="F320" s="501">
        <f t="shared" si="134"/>
        <v>1.542655550476157</v>
      </c>
      <c r="G320" s="501">
        <f t="shared" si="134"/>
        <v>0.73729540928417958</v>
      </c>
      <c r="H320" s="501">
        <f t="shared" si="134"/>
        <v>3.4861995309268168</v>
      </c>
      <c r="I320" s="501">
        <f t="shared" si="134"/>
        <v>0.99158018489944932</v>
      </c>
      <c r="J320" s="520">
        <f t="shared" si="134"/>
        <v>0.24596892178164864</v>
      </c>
      <c r="K320" s="520">
        <f t="shared" si="134"/>
        <v>0.98943303241156466</v>
      </c>
      <c r="L320" s="515">
        <f t="shared" si="134"/>
        <v>1.1509707786783274</v>
      </c>
      <c r="M320" s="543">
        <f t="shared" si="134"/>
        <v>1.4581714156052119</v>
      </c>
      <c r="N320" s="501">
        <f t="shared" si="134"/>
        <v>2.7911030939304289</v>
      </c>
      <c r="O320" s="501">
        <f t="shared" si="134"/>
        <v>1.5296156375337557</v>
      </c>
      <c r="P320" s="663">
        <f t="shared" si="134"/>
        <v>0.71871235698355407</v>
      </c>
      <c r="Q320" s="520">
        <f t="shared" si="134"/>
        <v>0.67453074343681463</v>
      </c>
      <c r="R320" s="520">
        <f t="shared" si="134"/>
        <v>0.69956205789346682</v>
      </c>
      <c r="S320" s="515">
        <f t="shared" si="134"/>
        <v>2.6273744923139422</v>
      </c>
      <c r="T320" s="542">
        <f t="shared" si="134"/>
        <v>1.0325835070986926</v>
      </c>
      <c r="U320" s="514">
        <f t="shared" si="134"/>
        <v>1.107580090962663</v>
      </c>
      <c r="V320" s="514">
        <f t="shared" ref="V320" si="135">V319/V312</f>
        <v>-3.3607774732120606E-4</v>
      </c>
      <c r="W320" s="534"/>
      <c r="X320" s="534"/>
      <c r="Y320" s="534"/>
      <c r="Z320" s="534"/>
      <c r="AA320" s="615"/>
      <c r="AB320" s="504" t="s">
        <v>3</v>
      </c>
      <c r="AC320" s="545">
        <f>AC319/AC318</f>
        <v>0.39999753678402516</v>
      </c>
      <c r="AD320" s="542">
        <f>AD319/AD318</f>
        <v>0.51050272513346506</v>
      </c>
      <c r="AE320" s="514">
        <f>AE319/AE318</f>
        <v>2.8902031720984961E-2</v>
      </c>
      <c r="AF320" s="636">
        <f>AF319/AF318</f>
        <v>0.37293623351133581</v>
      </c>
      <c r="AG320" s="633">
        <f>AG319/AG318</f>
        <v>0.25290299718937781</v>
      </c>
      <c r="AH320" s="782"/>
      <c r="AI320" s="782"/>
    </row>
    <row r="321" spans="1:35" s="591" customFormat="1" ht="15.75" thickBot="1" x14ac:dyDescent="0.3">
      <c r="A321" s="612"/>
      <c r="B321" s="504" t="s">
        <v>219</v>
      </c>
      <c r="C321" s="650">
        <v>169949</v>
      </c>
      <c r="D321" s="650">
        <v>96362.6</v>
      </c>
      <c r="E321" s="650">
        <v>97374.1</v>
      </c>
      <c r="F321" s="650">
        <v>262762</v>
      </c>
      <c r="G321" s="650">
        <v>119700</v>
      </c>
      <c r="H321" s="650">
        <v>445574</v>
      </c>
      <c r="I321" s="650">
        <v>169530</v>
      </c>
      <c r="J321" s="650">
        <v>40733</v>
      </c>
      <c r="K321" s="650">
        <v>120180</v>
      </c>
      <c r="L321" s="650">
        <v>95846.3</v>
      </c>
      <c r="M321" s="650">
        <v>277512</v>
      </c>
      <c r="N321" s="650">
        <v>369005</v>
      </c>
      <c r="O321" s="650">
        <v>126591</v>
      </c>
      <c r="P321" s="650">
        <v>165752</v>
      </c>
      <c r="Q321" s="650">
        <v>55844.5</v>
      </c>
      <c r="R321" s="650">
        <v>119115</v>
      </c>
      <c r="S321" s="650">
        <v>218748</v>
      </c>
      <c r="T321" s="650">
        <v>56947.7</v>
      </c>
      <c r="U321" s="650">
        <v>36650.300000000003</v>
      </c>
      <c r="V321" s="650">
        <v>0</v>
      </c>
      <c r="W321" s="534"/>
      <c r="X321" s="534"/>
      <c r="Y321" s="534"/>
      <c r="Z321" s="534"/>
      <c r="AA321" s="615" t="s">
        <v>220</v>
      </c>
      <c r="AB321" s="504" t="s">
        <v>3</v>
      </c>
      <c r="AC321" s="545">
        <f>(AC314+AC320)/2</f>
        <v>0.38119624665106289</v>
      </c>
      <c r="AD321" s="545">
        <f t="shared" ref="AD321:AG321" si="136">(AD314+AD320)/2</f>
        <v>0.47677983409520408</v>
      </c>
      <c r="AE321" s="545">
        <f t="shared" si="136"/>
        <v>2.9589946651719472E-2</v>
      </c>
      <c r="AF321" s="545">
        <f t="shared" si="136"/>
        <v>0.45412051337057324</v>
      </c>
      <c r="AG321" s="545">
        <f t="shared" si="136"/>
        <v>0.31543211186862841</v>
      </c>
      <c r="AH321" s="782"/>
      <c r="AI321" s="782"/>
    </row>
    <row r="322" spans="1:35" s="591" customFormat="1" ht="15.75" thickBot="1" x14ac:dyDescent="0.3">
      <c r="A322" s="612"/>
      <c r="B322" s="504" t="s">
        <v>217</v>
      </c>
      <c r="C322" s="543">
        <f t="shared" ref="C322:D322" si="137">C321/C312</f>
        <v>1.1851973248345455</v>
      </c>
      <c r="D322" s="543">
        <f t="shared" si="137"/>
        <v>0.64021201634104385</v>
      </c>
      <c r="E322" s="543">
        <f>E321/E312</f>
        <v>0.64693220087870651</v>
      </c>
      <c r="F322" s="543">
        <f t="shared" ref="F322:U322" si="138">F321/F312</f>
        <v>1.4437567720226727</v>
      </c>
      <c r="G322" s="543">
        <f t="shared" si="138"/>
        <v>0.72346610981333126</v>
      </c>
      <c r="H322" s="543">
        <f t="shared" si="138"/>
        <v>3.372165448574882</v>
      </c>
      <c r="I322" s="543">
        <f t="shared" si="138"/>
        <v>0.9915855894006268</v>
      </c>
      <c r="J322" s="543">
        <f t="shared" si="138"/>
        <v>0.24619001713472366</v>
      </c>
      <c r="K322" s="543">
        <f t="shared" si="138"/>
        <v>0.99009248442527997</v>
      </c>
      <c r="L322" s="543">
        <f t="shared" si="138"/>
        <v>1.1520528005519488</v>
      </c>
      <c r="M322" s="543">
        <f t="shared" si="138"/>
        <v>1.4376692426167867</v>
      </c>
      <c r="N322" s="543">
        <f t="shared" si="138"/>
        <v>2.7926807025350993</v>
      </c>
      <c r="O322" s="543">
        <f t="shared" si="138"/>
        <v>1.5302333227764708</v>
      </c>
      <c r="P322" s="543">
        <f t="shared" si="138"/>
        <v>0.60108429584232381</v>
      </c>
      <c r="Q322" s="543">
        <f t="shared" si="138"/>
        <v>0.67504889600201134</v>
      </c>
      <c r="R322" s="543">
        <f t="shared" si="138"/>
        <v>0.63029945772498486</v>
      </c>
      <c r="S322" s="543">
        <f t="shared" si="138"/>
        <v>2.6293059410236777</v>
      </c>
      <c r="T322" s="543">
        <f t="shared" si="138"/>
        <v>1.032577831770956</v>
      </c>
      <c r="U322" s="543">
        <f t="shared" si="138"/>
        <v>1.1075777035705112</v>
      </c>
      <c r="V322" s="543">
        <f t="shared" ref="V322" si="139">V321/V312</f>
        <v>0</v>
      </c>
      <c r="W322" s="534"/>
      <c r="X322" s="534"/>
      <c r="Y322" s="534"/>
      <c r="Z322" s="534"/>
      <c r="AA322" s="615"/>
      <c r="AB322" s="504"/>
      <c r="AC322" s="545"/>
      <c r="AD322" s="542"/>
      <c r="AE322" s="514"/>
      <c r="AF322" s="636"/>
      <c r="AG322" s="633"/>
      <c r="AH322" s="782"/>
      <c r="AI322" s="782"/>
    </row>
    <row r="323" spans="1:35" s="591" customFormat="1" ht="15.75" thickBot="1" x14ac:dyDescent="0.3">
      <c r="A323" s="924">
        <v>41655</v>
      </c>
      <c r="B323" s="924"/>
      <c r="C323" s="924"/>
      <c r="D323" s="529"/>
      <c r="E323" s="529"/>
      <c r="F323" s="529"/>
      <c r="G323" s="529"/>
      <c r="H323" s="529"/>
      <c r="I323" s="525"/>
      <c r="J323" s="531"/>
      <c r="K323" s="531"/>
      <c r="L323" s="529"/>
      <c r="M323" s="529"/>
      <c r="N323" s="527"/>
      <c r="R323" s="526"/>
      <c r="S323" s="534"/>
      <c r="T323" s="534"/>
      <c r="U323" s="534"/>
      <c r="V323" s="534"/>
      <c r="W323" s="534"/>
      <c r="X323" s="534"/>
      <c r="Y323" s="534"/>
      <c r="Z323" s="534"/>
      <c r="AA323" s="941"/>
      <c r="AB323" s="942"/>
      <c r="AH323" s="743"/>
      <c r="AI323" s="743"/>
    </row>
    <row r="324" spans="1:35" s="591" customFormat="1" x14ac:dyDescent="0.25">
      <c r="A324" s="925" t="s">
        <v>1</v>
      </c>
      <c r="B324" s="926"/>
      <c r="C324" s="540" t="s">
        <v>12</v>
      </c>
      <c r="D324" s="539" t="s">
        <v>12</v>
      </c>
      <c r="E324" s="540" t="s">
        <v>13</v>
      </c>
      <c r="F324" s="530" t="s">
        <v>13</v>
      </c>
      <c r="G324" s="530" t="s">
        <v>13</v>
      </c>
      <c r="H324" s="530" t="s">
        <v>13</v>
      </c>
      <c r="I324" s="530" t="s">
        <v>13</v>
      </c>
      <c r="J324" s="536" t="s">
        <v>13</v>
      </c>
      <c r="K324" s="536" t="s">
        <v>13</v>
      </c>
      <c r="L324" s="539" t="s">
        <v>13</v>
      </c>
      <c r="M324" s="569" t="s">
        <v>2</v>
      </c>
      <c r="N324" s="530" t="s">
        <v>2</v>
      </c>
      <c r="O324" s="536" t="s">
        <v>2</v>
      </c>
      <c r="P324" s="530" t="s">
        <v>2</v>
      </c>
      <c r="Q324" s="536" t="s">
        <v>2</v>
      </c>
      <c r="R324" s="536" t="s">
        <v>2</v>
      </c>
      <c r="S324" s="539" t="s">
        <v>2</v>
      </c>
      <c r="T324" s="569" t="s">
        <v>183</v>
      </c>
      <c r="U324" s="570" t="s">
        <v>183</v>
      </c>
      <c r="V324" s="526"/>
      <c r="W324" s="534"/>
      <c r="X324" s="534"/>
      <c r="Y324" s="534"/>
      <c r="Z324" s="534"/>
      <c r="AA324" s="925" t="s">
        <v>1</v>
      </c>
      <c r="AB324" s="928"/>
      <c r="AC324" s="611" t="s">
        <v>12</v>
      </c>
      <c r="AD324" s="929" t="s">
        <v>13</v>
      </c>
      <c r="AE324" s="930"/>
      <c r="AF324" s="929" t="s">
        <v>2</v>
      </c>
      <c r="AG324" s="930"/>
      <c r="AH324" s="778"/>
      <c r="AI324" s="778"/>
    </row>
    <row r="325" spans="1:35" s="591" customFormat="1" ht="15.75" thickBot="1" x14ac:dyDescent="0.3">
      <c r="A325" s="931" t="s">
        <v>0</v>
      </c>
      <c r="B325" s="944"/>
      <c r="C325" s="298" t="s">
        <v>99</v>
      </c>
      <c r="D325" s="291" t="s">
        <v>100</v>
      </c>
      <c r="E325" s="298" t="s">
        <v>101</v>
      </c>
      <c r="F325" s="503" t="s">
        <v>102</v>
      </c>
      <c r="G325" s="503" t="s">
        <v>97</v>
      </c>
      <c r="H325" s="503" t="s">
        <v>104</v>
      </c>
      <c r="I325" s="503" t="s">
        <v>103</v>
      </c>
      <c r="J325" s="521" t="s">
        <v>178</v>
      </c>
      <c r="K325" s="521" t="s">
        <v>200</v>
      </c>
      <c r="L325" s="517" t="s">
        <v>207</v>
      </c>
      <c r="M325" s="298" t="s">
        <v>105</v>
      </c>
      <c r="N325" s="503" t="s">
        <v>107</v>
      </c>
      <c r="O325" s="505" t="s">
        <v>98</v>
      </c>
      <c r="P325" s="516" t="s">
        <v>106</v>
      </c>
      <c r="Q325" s="505" t="s">
        <v>179</v>
      </c>
      <c r="R325" s="505" t="s">
        <v>199</v>
      </c>
      <c r="S325" s="291" t="s">
        <v>208</v>
      </c>
      <c r="T325" s="317" t="s">
        <v>182</v>
      </c>
      <c r="U325" s="291" t="s">
        <v>184</v>
      </c>
      <c r="V325" s="526"/>
      <c r="W325" s="526"/>
      <c r="X325" s="526"/>
      <c r="Y325" s="526"/>
      <c r="Z325" s="526"/>
      <c r="AA325" s="931" t="s">
        <v>0</v>
      </c>
      <c r="AB325" s="945"/>
      <c r="AC325" s="317" t="s">
        <v>99</v>
      </c>
      <c r="AD325" s="298" t="s">
        <v>104</v>
      </c>
      <c r="AE325" s="291" t="s">
        <v>207</v>
      </c>
      <c r="AF325" s="396" t="s">
        <v>107</v>
      </c>
      <c r="AG325" s="392" t="s">
        <v>208</v>
      </c>
      <c r="AH325" s="779"/>
      <c r="AI325" s="779"/>
    </row>
    <row r="326" spans="1:35" s="591" customFormat="1" x14ac:dyDescent="0.25">
      <c r="A326" s="935" t="s">
        <v>9</v>
      </c>
      <c r="B326" s="528" t="s">
        <v>4</v>
      </c>
      <c r="C326" s="541">
        <v>143393</v>
      </c>
      <c r="D326" s="538">
        <v>150516.70000000001</v>
      </c>
      <c r="E326" s="541">
        <v>150516.70000000001</v>
      </c>
      <c r="F326" s="533">
        <v>181998.8</v>
      </c>
      <c r="G326" s="533">
        <v>165453.5</v>
      </c>
      <c r="H326" s="533">
        <v>132132.9</v>
      </c>
      <c r="I326" s="533">
        <v>170968.6</v>
      </c>
      <c r="J326" s="537">
        <v>165453.5</v>
      </c>
      <c r="K326" s="537">
        <v>121382.6</v>
      </c>
      <c r="L326" s="538">
        <v>80345.899999999994</v>
      </c>
      <c r="M326" s="541">
        <v>193029.1</v>
      </c>
      <c r="N326" s="533">
        <v>132132.9</v>
      </c>
      <c r="O326" s="533">
        <v>82726.600000000006</v>
      </c>
      <c r="P326" s="533">
        <v>275755</v>
      </c>
      <c r="Q326" s="537">
        <v>82726.600000000006</v>
      </c>
      <c r="R326" s="537">
        <v>188981.6</v>
      </c>
      <c r="S326" s="538">
        <v>83196.100000000006</v>
      </c>
      <c r="T326" s="544">
        <v>55151</v>
      </c>
      <c r="U326" s="538">
        <v>33090.5</v>
      </c>
      <c r="V326" s="534"/>
      <c r="W326" s="534"/>
      <c r="X326" s="534"/>
      <c r="Y326" s="534"/>
      <c r="Z326" s="534"/>
      <c r="AA326" s="608" t="s">
        <v>195</v>
      </c>
      <c r="AB326" s="524" t="s">
        <v>4</v>
      </c>
      <c r="AC326" s="544">
        <v>143393</v>
      </c>
      <c r="AD326" s="541">
        <v>132132</v>
      </c>
      <c r="AE326" s="538">
        <v>83196.100000000006</v>
      </c>
      <c r="AF326" s="552">
        <v>132132.20000000001</v>
      </c>
      <c r="AG326" s="551">
        <v>83196.100000000006</v>
      </c>
      <c r="AH326" s="780"/>
      <c r="AI326" s="780"/>
    </row>
    <row r="327" spans="1:35" s="591" customFormat="1" x14ac:dyDescent="0.25">
      <c r="A327" s="936"/>
      <c r="B327" s="497" t="s">
        <v>5</v>
      </c>
      <c r="C327" s="572">
        <v>51938.5</v>
      </c>
      <c r="D327" s="571">
        <v>82196.800000000003</v>
      </c>
      <c r="E327" s="572">
        <v>83605.100000000006</v>
      </c>
      <c r="F327" s="576">
        <v>155950.39999999999</v>
      </c>
      <c r="G327" s="576">
        <v>110561.7</v>
      </c>
      <c r="H327" s="576">
        <v>61427.199999999997</v>
      </c>
      <c r="I327" s="576">
        <v>112263.5</v>
      </c>
      <c r="J327" s="577">
        <v>31472.3</v>
      </c>
      <c r="K327" s="577">
        <v>58882.5</v>
      </c>
      <c r="L327" s="571">
        <v>2849</v>
      </c>
      <c r="M327" s="572">
        <v>169718.9</v>
      </c>
      <c r="N327" s="576">
        <v>71048.899999999994</v>
      </c>
      <c r="O327" s="576">
        <v>56994.3</v>
      </c>
      <c r="P327" s="576">
        <v>207017.4</v>
      </c>
      <c r="Q327" s="577">
        <v>16337.4</v>
      </c>
      <c r="R327" s="577">
        <v>93840.2</v>
      </c>
      <c r="S327" s="571">
        <v>29545.599999999999</v>
      </c>
      <c r="T327" s="580">
        <v>13979.7</v>
      </c>
      <c r="U327" s="571">
        <v>7275.7</v>
      </c>
      <c r="V327" s="534"/>
      <c r="W327" s="534"/>
      <c r="X327" s="534"/>
      <c r="Y327" s="534"/>
      <c r="Z327" s="534"/>
      <c r="AA327" s="609"/>
      <c r="AB327" s="496" t="s">
        <v>5</v>
      </c>
      <c r="AC327" s="319">
        <v>51964.9</v>
      </c>
      <c r="AD327" s="300">
        <v>58542</v>
      </c>
      <c r="AE327" s="513">
        <v>2519</v>
      </c>
      <c r="AF327" s="398">
        <v>70731</v>
      </c>
      <c r="AG327" s="394">
        <v>31444.9</v>
      </c>
      <c r="AH327" s="781"/>
      <c r="AI327" s="781"/>
    </row>
    <row r="328" spans="1:35" s="591" customFormat="1" ht="15.75" thickBot="1" x14ac:dyDescent="0.3">
      <c r="A328" s="937"/>
      <c r="B328" s="504" t="s">
        <v>3</v>
      </c>
      <c r="C328" s="542">
        <f t="shared" ref="C328:L328" si="140">C327/C326</f>
        <v>0.36221084711248108</v>
      </c>
      <c r="D328" s="343">
        <f t="shared" si="140"/>
        <v>0.54609754266470101</v>
      </c>
      <c r="E328" s="542">
        <f t="shared" si="140"/>
        <v>0.55545397952519548</v>
      </c>
      <c r="F328" s="519">
        <f t="shared" si="140"/>
        <v>0.85687597940206206</v>
      </c>
      <c r="G328" s="498">
        <f t="shared" si="140"/>
        <v>0.66823427730449947</v>
      </c>
      <c r="H328" s="498">
        <f t="shared" si="140"/>
        <v>0.46488951653978683</v>
      </c>
      <c r="I328" s="498">
        <f t="shared" si="140"/>
        <v>0.65663227048709527</v>
      </c>
      <c r="J328" s="506">
        <f t="shared" si="140"/>
        <v>0.19021839973164664</v>
      </c>
      <c r="K328" s="506">
        <f t="shared" si="140"/>
        <v>0.48509835841380888</v>
      </c>
      <c r="L328" s="514">
        <f t="shared" si="140"/>
        <v>3.5459183355964652E-2</v>
      </c>
      <c r="M328" s="547">
        <f>M327/M326</f>
        <v>0.87923996951754935</v>
      </c>
      <c r="N328" s="498">
        <f>N327/N326</f>
        <v>0.53770786836586493</v>
      </c>
      <c r="O328" s="506">
        <f>O327/O326</f>
        <v>0.6889476903438555</v>
      </c>
      <c r="P328" s="498">
        <f>P327/P326</f>
        <v>0.75072945186850648</v>
      </c>
      <c r="Q328" s="506">
        <f>Q327/Q326</f>
        <v>0.19748666088053901</v>
      </c>
      <c r="R328" s="506">
        <f t="shared" ref="R328:S328" si="141">R327/R326</f>
        <v>0.49655733679892644</v>
      </c>
      <c r="S328" s="514">
        <f t="shared" si="141"/>
        <v>0.35513203142935784</v>
      </c>
      <c r="T328" s="545">
        <f>T327/T326</f>
        <v>0.25348044459755942</v>
      </c>
      <c r="U328" s="514">
        <f>U327/U326</f>
        <v>0.21987277315241535</v>
      </c>
      <c r="V328" s="534"/>
      <c r="W328" s="534"/>
      <c r="X328" s="534"/>
      <c r="Y328" s="534"/>
      <c r="Z328" s="534"/>
      <c r="AA328" s="610"/>
      <c r="AB328" s="347" t="s">
        <v>3</v>
      </c>
      <c r="AC328" s="395">
        <f>AC327/AC326</f>
        <v>0.36239495651810061</v>
      </c>
      <c r="AD328" s="542">
        <f>AD327/AD326</f>
        <v>0.44305694305694304</v>
      </c>
      <c r="AE328" s="514">
        <f>AE327/AE326</f>
        <v>3.0277861582453984E-2</v>
      </c>
      <c r="AF328" s="522">
        <f>AF327/AF326</f>
        <v>0.53530479322981073</v>
      </c>
      <c r="AG328" s="343">
        <f>AG327/AG326</f>
        <v>0.37796122654787906</v>
      </c>
      <c r="AH328" s="782"/>
      <c r="AI328" s="782"/>
    </row>
    <row r="329" spans="1:35" s="591" customFormat="1" x14ac:dyDescent="0.25">
      <c r="A329" s="938" t="s">
        <v>6</v>
      </c>
      <c r="B329" s="553" t="s">
        <v>7</v>
      </c>
      <c r="C329" s="554">
        <v>5870</v>
      </c>
      <c r="D329" s="555">
        <v>3333</v>
      </c>
      <c r="E329" s="554">
        <v>3330</v>
      </c>
      <c r="F329" s="556">
        <v>9457</v>
      </c>
      <c r="G329" s="556">
        <v>7929</v>
      </c>
      <c r="H329" s="556">
        <v>15703</v>
      </c>
      <c r="I329" s="556">
        <v>8197</v>
      </c>
      <c r="J329" s="557">
        <v>9599</v>
      </c>
      <c r="K329" s="557">
        <v>6153</v>
      </c>
      <c r="L329" s="555">
        <v>6399</v>
      </c>
      <c r="M329" s="554">
        <v>9092</v>
      </c>
      <c r="N329" s="556">
        <v>11924</v>
      </c>
      <c r="O329" s="556">
        <v>4059</v>
      </c>
      <c r="P329" s="556">
        <v>10852</v>
      </c>
      <c r="Q329" s="557">
        <v>4799</v>
      </c>
      <c r="R329" s="557">
        <v>9272</v>
      </c>
      <c r="S329" s="555">
        <v>9605</v>
      </c>
      <c r="T329" s="558">
        <v>2480</v>
      </c>
      <c r="U329" s="555">
        <v>1570</v>
      </c>
      <c r="V329" s="559" t="s">
        <v>198</v>
      </c>
      <c r="W329" s="560"/>
      <c r="X329" s="561"/>
      <c r="Y329" s="561"/>
      <c r="Z329" s="561"/>
      <c r="AA329" s="562" t="s">
        <v>191</v>
      </c>
      <c r="AB329" s="553" t="s">
        <v>4</v>
      </c>
      <c r="AC329" s="564">
        <v>9191.7999999999993</v>
      </c>
      <c r="AD329" s="565">
        <v>13787.7</v>
      </c>
      <c r="AE329" s="566">
        <v>8804.7999999999993</v>
      </c>
      <c r="AF329" s="567">
        <v>13787.7</v>
      </c>
      <c r="AG329" s="568">
        <v>8804.7999999999993</v>
      </c>
      <c r="AH329" s="783"/>
      <c r="AI329" s="783"/>
    </row>
    <row r="330" spans="1:35" s="591" customFormat="1" x14ac:dyDescent="0.25">
      <c r="A330" s="939"/>
      <c r="B330" s="494" t="s">
        <v>11</v>
      </c>
      <c r="C330" s="302">
        <f t="shared" ref="C330:L330" si="142">C329*33.717</f>
        <v>197918.78999999998</v>
      </c>
      <c r="D330" s="512">
        <f t="shared" si="142"/>
        <v>112378.761</v>
      </c>
      <c r="E330" s="302">
        <f t="shared" si="142"/>
        <v>112277.61</v>
      </c>
      <c r="F330" s="355">
        <f t="shared" si="142"/>
        <v>318861.66899999999</v>
      </c>
      <c r="G330" s="499">
        <f t="shared" si="142"/>
        <v>267342.09299999999</v>
      </c>
      <c r="H330" s="354">
        <f t="shared" si="142"/>
        <v>529458.05099999998</v>
      </c>
      <c r="I330" s="354">
        <f t="shared" si="142"/>
        <v>276378.24900000001</v>
      </c>
      <c r="J330" s="355">
        <f t="shared" si="142"/>
        <v>323649.48300000001</v>
      </c>
      <c r="K330" s="507">
        <f t="shared" si="142"/>
        <v>207460.701</v>
      </c>
      <c r="L330" s="512">
        <f t="shared" si="142"/>
        <v>215755.08299999998</v>
      </c>
      <c r="M330" s="322">
        <f>M329*33.717</f>
        <v>306554.96399999998</v>
      </c>
      <c r="N330" s="499">
        <f>N329*33.717</f>
        <v>402041.50799999997</v>
      </c>
      <c r="O330" s="499">
        <f>O329*33.717</f>
        <v>136857.30299999999</v>
      </c>
      <c r="P330" s="354">
        <f>P329*33.717</f>
        <v>365896.88399999996</v>
      </c>
      <c r="Q330" s="355">
        <f>Q329*33.717</f>
        <v>161807.883</v>
      </c>
      <c r="R330" s="507">
        <f t="shared" ref="R330:S330" si="143">R329*33.717</f>
        <v>312624.02399999998</v>
      </c>
      <c r="S330" s="512">
        <f t="shared" si="143"/>
        <v>323851.78499999997</v>
      </c>
      <c r="T330" s="302">
        <f>T329*33.717</f>
        <v>83618.16</v>
      </c>
      <c r="U330" s="354">
        <f>U329*33.717</f>
        <v>52935.689999999995</v>
      </c>
      <c r="V330" s="534"/>
      <c r="W330" s="534"/>
      <c r="X330" s="534"/>
      <c r="Y330" s="534"/>
      <c r="Z330" s="534"/>
      <c r="AA330" s="609"/>
      <c r="AB330" s="497" t="s">
        <v>5</v>
      </c>
      <c r="AC330" s="319">
        <v>7975.5</v>
      </c>
      <c r="AD330" s="300">
        <v>13649</v>
      </c>
      <c r="AE330" s="513">
        <v>1289.9000000000001</v>
      </c>
      <c r="AF330" s="398">
        <v>13642</v>
      </c>
      <c r="AG330" s="394">
        <v>5483.9</v>
      </c>
      <c r="AH330" s="781"/>
      <c r="AI330" s="781"/>
    </row>
    <row r="331" spans="1:35" s="591" customFormat="1" ht="15.75" thickBot="1" x14ac:dyDescent="0.3">
      <c r="A331" s="939"/>
      <c r="B331" s="494" t="s">
        <v>79</v>
      </c>
      <c r="C331" s="302">
        <v>164000</v>
      </c>
      <c r="D331" s="512">
        <v>109880</v>
      </c>
      <c r="E331" s="302">
        <v>109880</v>
      </c>
      <c r="F331" s="499">
        <v>328000</v>
      </c>
      <c r="G331" s="499">
        <v>330905</v>
      </c>
      <c r="H331" s="499">
        <v>264264</v>
      </c>
      <c r="I331" s="499">
        <v>242663.6</v>
      </c>
      <c r="J331" s="507">
        <v>328000</v>
      </c>
      <c r="K331" s="507">
        <v>328000</v>
      </c>
      <c r="L331" s="512">
        <v>328000</v>
      </c>
      <c r="M331" s="302">
        <v>328000</v>
      </c>
      <c r="N331" s="499">
        <v>264264.40000000002</v>
      </c>
      <c r="O331" s="499">
        <v>328000</v>
      </c>
      <c r="P331" s="499">
        <v>352965.4</v>
      </c>
      <c r="Q331" s="507">
        <v>328000</v>
      </c>
      <c r="R331" s="507">
        <v>328000</v>
      </c>
      <c r="S331" s="512">
        <v>328000</v>
      </c>
      <c r="T331" s="322">
        <f>2*T326</f>
        <v>110302</v>
      </c>
      <c r="U331" s="512">
        <f>2*U326</f>
        <v>66181</v>
      </c>
      <c r="V331" s="534"/>
      <c r="W331" s="534"/>
      <c r="X331" s="534"/>
      <c r="Y331" s="534"/>
      <c r="Z331" s="534"/>
      <c r="AA331" s="610"/>
      <c r="AB331" s="344" t="s">
        <v>3</v>
      </c>
      <c r="AC331" s="395">
        <f>AC330/AC329</f>
        <v>0.86767553689157739</v>
      </c>
      <c r="AD331" s="301">
        <f>AD330/AD329</f>
        <v>0.98994030911609621</v>
      </c>
      <c r="AE331" s="401">
        <f>AE330/AE329</f>
        <v>0.14649963656187537</v>
      </c>
      <c r="AF331" s="400">
        <f>AF330/AF329</f>
        <v>0.98943261022505558</v>
      </c>
      <c r="AG331" s="348">
        <f>AG330/AG329</f>
        <v>0.62283072869343992</v>
      </c>
      <c r="AH331" s="782"/>
      <c r="AI331" s="782"/>
    </row>
    <row r="332" spans="1:35" s="591" customFormat="1" x14ac:dyDescent="0.25">
      <c r="A332" s="939"/>
      <c r="B332" s="497" t="s">
        <v>8</v>
      </c>
      <c r="C332" s="303">
        <f>SUM(C329-295)</f>
        <v>5575</v>
      </c>
      <c r="D332" s="511">
        <f>SUM(D329-463)</f>
        <v>2870</v>
      </c>
      <c r="E332" s="303">
        <f>SUM(E329-430)</f>
        <v>2900</v>
      </c>
      <c r="F332" s="502">
        <f>SUM(F329-1130)</f>
        <v>8327</v>
      </c>
      <c r="G332" s="502">
        <f>SUM(G329-4311)</f>
        <v>3618</v>
      </c>
      <c r="H332" s="502">
        <f>SUM(H329-2041)</f>
        <v>13662</v>
      </c>
      <c r="I332" s="502">
        <f>SUM(I329-(3284-2000))</f>
        <v>6913</v>
      </c>
      <c r="J332" s="508">
        <f>SUM(J329-8561)</f>
        <v>1038</v>
      </c>
      <c r="K332" s="508">
        <f>SUM(K329-2875)</f>
        <v>3278</v>
      </c>
      <c r="L332" s="511">
        <f>SUM(L329-4063)</f>
        <v>2336</v>
      </c>
      <c r="M332" s="303">
        <f>SUM(M329-744)</f>
        <v>8348</v>
      </c>
      <c r="N332" s="502">
        <f>SUM(N329-986)</f>
        <v>10938</v>
      </c>
      <c r="O332" s="508">
        <f>SUM(O329-294)</f>
        <v>3765</v>
      </c>
      <c r="P332" s="502">
        <f>SUM(P329-(5089-2614))</f>
        <v>8377</v>
      </c>
      <c r="Q332" s="508">
        <f>SUM(Q329-3313)</f>
        <v>1486</v>
      </c>
      <c r="R332" s="508">
        <f>SUM(R329-5635)</f>
        <v>3637</v>
      </c>
      <c r="S332" s="511">
        <f>SUM(S329-3677)</f>
        <v>5928</v>
      </c>
      <c r="T332" s="323">
        <f>SUM(T329-791)</f>
        <v>1689</v>
      </c>
      <c r="U332" s="511">
        <f>SUM(U329-483)</f>
        <v>1087</v>
      </c>
      <c r="V332" s="526" t="s">
        <v>176</v>
      </c>
      <c r="W332" s="534"/>
      <c r="X332" s="534"/>
      <c r="Y332" s="534"/>
      <c r="Z332" s="534"/>
      <c r="AA332" s="608" t="s">
        <v>192</v>
      </c>
      <c r="AB332" s="528" t="s">
        <v>4</v>
      </c>
      <c r="AC332" s="544">
        <v>97433.600000000006</v>
      </c>
      <c r="AD332" s="541">
        <v>243584.4</v>
      </c>
      <c r="AE332" s="538">
        <v>132070.29999999999</v>
      </c>
      <c r="AF332" s="552">
        <v>292299.3</v>
      </c>
      <c r="AG332" s="551">
        <v>132070.39999999999</v>
      </c>
      <c r="AH332" s="780"/>
      <c r="AI332" s="780"/>
    </row>
    <row r="333" spans="1:35" s="591" customFormat="1" x14ac:dyDescent="0.25">
      <c r="A333" s="939"/>
      <c r="B333" s="495" t="s">
        <v>77</v>
      </c>
      <c r="C333" s="302">
        <f t="shared" ref="C333:H333" si="144">(C332*33.717)</f>
        <v>187972.27499999999</v>
      </c>
      <c r="D333" s="338">
        <f t="shared" si="144"/>
        <v>96767.79</v>
      </c>
      <c r="E333" s="302">
        <f t="shared" si="144"/>
        <v>97779.3</v>
      </c>
      <c r="F333" s="338">
        <f t="shared" si="144"/>
        <v>280761.45899999997</v>
      </c>
      <c r="G333" s="500">
        <f t="shared" si="144"/>
        <v>121988.106</v>
      </c>
      <c r="H333" s="500">
        <f t="shared" si="144"/>
        <v>460641.65399999998</v>
      </c>
      <c r="I333" s="500">
        <f>(I332*33.717)-(2000*33.717)</f>
        <v>165651.62099999998</v>
      </c>
      <c r="J333" s="509">
        <f>J332*33.717</f>
        <v>34998.245999999999</v>
      </c>
      <c r="K333" s="509">
        <f>K332*33.717</f>
        <v>110524.326</v>
      </c>
      <c r="L333" s="261">
        <f>L332*33.717</f>
        <v>78762.911999999997</v>
      </c>
      <c r="M333" s="304">
        <f>M332*33.717</f>
        <v>281469.516</v>
      </c>
      <c r="N333" s="500">
        <f>N332*33.717</f>
        <v>368796.54599999997</v>
      </c>
      <c r="O333" s="500">
        <f>(O332*33.717)</f>
        <v>126944.50499999999</v>
      </c>
      <c r="P333" s="500">
        <f>P332*33.717-(2614*33.717)</f>
        <v>194311.071</v>
      </c>
      <c r="Q333" s="509">
        <f t="shared" ref="Q333:U333" si="145">Q332*33.717</f>
        <v>50103.462</v>
      </c>
      <c r="R333" s="509">
        <f t="shared" si="145"/>
        <v>122628.72899999999</v>
      </c>
      <c r="S333" s="261">
        <f t="shared" si="145"/>
        <v>199874.37599999999</v>
      </c>
      <c r="T333" s="324">
        <f t="shared" si="145"/>
        <v>56948.012999999999</v>
      </c>
      <c r="U333" s="518">
        <f t="shared" si="145"/>
        <v>36650.379000000001</v>
      </c>
      <c r="V333" s="532">
        <f>344240-H333</f>
        <v>-116401.65399999998</v>
      </c>
      <c r="W333" s="534" t="s">
        <v>177</v>
      </c>
      <c r="X333" s="534"/>
      <c r="Y333" s="534"/>
      <c r="Z333" s="534"/>
      <c r="AA333" s="609"/>
      <c r="AB333" s="497" t="s">
        <v>5</v>
      </c>
      <c r="AC333" s="319">
        <v>38973.199999999997</v>
      </c>
      <c r="AD333" s="300">
        <v>124350.5</v>
      </c>
      <c r="AE333" s="513">
        <v>3817.1</v>
      </c>
      <c r="AF333" s="398">
        <v>109009</v>
      </c>
      <c r="AG333" s="394">
        <v>33401</v>
      </c>
      <c r="AH333" s="781"/>
      <c r="AI333" s="781"/>
    </row>
    <row r="334" spans="1:35" s="591" customFormat="1" ht="15.75" thickBot="1" x14ac:dyDescent="0.3">
      <c r="A334" s="940"/>
      <c r="B334" s="504" t="s">
        <v>218</v>
      </c>
      <c r="C334" s="542">
        <f t="shared" ref="C334" si="146">C333/C326</f>
        <v>1.3108887811817871</v>
      </c>
      <c r="D334" s="514">
        <f t="shared" ref="D334" si="147">D333/D326</f>
        <v>0.64290400998693154</v>
      </c>
      <c r="E334" s="543">
        <f t="shared" ref="E334" si="148">E333/E326</f>
        <v>0.64962426096240478</v>
      </c>
      <c r="F334" s="501">
        <f t="shared" ref="F334" si="149">F333/F326</f>
        <v>1.542655550476157</v>
      </c>
      <c r="G334" s="501">
        <f t="shared" ref="G334" si="150">G333/G326</f>
        <v>0.73729540928417958</v>
      </c>
      <c r="H334" s="501">
        <f t="shared" ref="H334" si="151">H333/H326</f>
        <v>3.4861995309268168</v>
      </c>
      <c r="I334" s="501">
        <f t="shared" ref="I334" si="152">I333/I326</f>
        <v>0.96890084495047613</v>
      </c>
      <c r="J334" s="520">
        <f t="shared" ref="J334" si="153">J333/J326</f>
        <v>0.21152919702514603</v>
      </c>
      <c r="K334" s="520">
        <f t="shared" ref="K334" si="154">K333/K326</f>
        <v>0.91054505340963199</v>
      </c>
      <c r="L334" s="515">
        <f t="shared" ref="L334" si="155">L333/L326</f>
        <v>0.98029783722629282</v>
      </c>
      <c r="M334" s="543">
        <f t="shared" ref="M334" si="156">M333/M326</f>
        <v>1.4581714156052119</v>
      </c>
      <c r="N334" s="501">
        <f t="shared" ref="N334" si="157">N333/N326</f>
        <v>2.7911030939304289</v>
      </c>
      <c r="O334" s="501">
        <f t="shared" ref="O334" si="158">O333/O326</f>
        <v>1.5345064948879801</v>
      </c>
      <c r="P334" s="510">
        <f t="shared" ref="P334" si="159">P333/P326</f>
        <v>0.70465112509292671</v>
      </c>
      <c r="Q334" s="520">
        <f t="shared" ref="Q334" si="160">Q333/Q326</f>
        <v>0.60565116903148442</v>
      </c>
      <c r="R334" s="520">
        <f t="shared" ref="R334" si="161">R333/R326</f>
        <v>0.64889242656427926</v>
      </c>
      <c r="S334" s="515">
        <f t="shared" ref="S334" si="162">S333/S326</f>
        <v>2.4024488647905367</v>
      </c>
      <c r="T334" s="542">
        <f t="shared" ref="T334" si="163">T333/T326</f>
        <v>1.0325835070986926</v>
      </c>
      <c r="U334" s="514">
        <f t="shared" ref="U334" si="164">U333/U326</f>
        <v>1.107580090962663</v>
      </c>
      <c r="V334" s="535"/>
      <c r="W334" s="534"/>
      <c r="X334" s="534"/>
      <c r="Y334" s="534"/>
      <c r="Z334" s="534"/>
      <c r="AA334" s="610"/>
      <c r="AB334" s="504" t="s">
        <v>3</v>
      </c>
      <c r="AC334" s="545">
        <f>AC333/AC332</f>
        <v>0.39999753678402516</v>
      </c>
      <c r="AD334" s="542">
        <f>AD333/AD332</f>
        <v>0.51050272513346506</v>
      </c>
      <c r="AE334" s="514">
        <f>AE333/AE332</f>
        <v>2.8902031720984961E-2</v>
      </c>
      <c r="AF334" s="522">
        <f>AF333/AF332</f>
        <v>0.37293623351133581</v>
      </c>
      <c r="AG334" s="343">
        <f>AG333/AG332</f>
        <v>0.25290299718937781</v>
      </c>
      <c r="AH334" s="782"/>
      <c r="AI334" s="782"/>
    </row>
    <row r="335" spans="1:35" s="591" customFormat="1" ht="15.75" thickBot="1" x14ac:dyDescent="0.3">
      <c r="A335" s="612"/>
      <c r="B335" s="504" t="s">
        <v>219</v>
      </c>
      <c r="C335" s="303">
        <v>169949</v>
      </c>
      <c r="D335" s="303">
        <v>96362.6</v>
      </c>
      <c r="E335" s="303">
        <v>97374.1</v>
      </c>
      <c r="F335" s="303">
        <v>262762</v>
      </c>
      <c r="G335" s="303">
        <v>126645</v>
      </c>
      <c r="H335" s="303">
        <v>445574</v>
      </c>
      <c r="I335" s="303">
        <v>165652</v>
      </c>
      <c r="J335" s="303">
        <v>35034.9</v>
      </c>
      <c r="K335" s="303">
        <v>104125</v>
      </c>
      <c r="L335" s="303">
        <v>78852</v>
      </c>
      <c r="M335" s="303">
        <v>277512</v>
      </c>
      <c r="N335" s="303">
        <v>369005</v>
      </c>
      <c r="O335" s="303">
        <v>133944</v>
      </c>
      <c r="P335" s="303">
        <v>161875</v>
      </c>
      <c r="Q335" s="303">
        <v>50146.400000000001</v>
      </c>
      <c r="R335" s="303">
        <v>103060</v>
      </c>
      <c r="S335" s="303">
        <v>200031</v>
      </c>
      <c r="T335" s="303">
        <v>56947.7</v>
      </c>
      <c r="U335" s="303">
        <v>36650.300000000003</v>
      </c>
      <c r="V335" s="535"/>
      <c r="W335" s="534"/>
      <c r="X335" s="534"/>
      <c r="Y335" s="534"/>
      <c r="Z335" s="534"/>
      <c r="AA335" s="610" t="s">
        <v>220</v>
      </c>
      <c r="AB335" s="504" t="s">
        <v>3</v>
      </c>
      <c r="AC335" s="545">
        <f>(AC328+AC334)/2</f>
        <v>0.38119624665106289</v>
      </c>
      <c r="AD335" s="545">
        <f t="shared" ref="AD335:AG335" si="165">(AD328+AD334)/2</f>
        <v>0.47677983409520408</v>
      </c>
      <c r="AE335" s="545">
        <f t="shared" si="165"/>
        <v>2.9589946651719472E-2</v>
      </c>
      <c r="AF335" s="545">
        <f t="shared" si="165"/>
        <v>0.45412051337057324</v>
      </c>
      <c r="AG335" s="545">
        <f t="shared" si="165"/>
        <v>0.31543211186862841</v>
      </c>
      <c r="AH335" s="782"/>
      <c r="AI335" s="782"/>
    </row>
    <row r="336" spans="1:35" s="591" customFormat="1" ht="15.75" thickBot="1" x14ac:dyDescent="0.3">
      <c r="A336" s="612"/>
      <c r="B336" s="504" t="s">
        <v>217</v>
      </c>
      <c r="C336" s="543">
        <f t="shared" ref="C336:D336" si="166">C335/C326</f>
        <v>1.1851973248345455</v>
      </c>
      <c r="D336" s="543">
        <f t="shared" si="166"/>
        <v>0.64021201634104385</v>
      </c>
      <c r="E336" s="543">
        <f>E335/E326</f>
        <v>0.64693220087870651</v>
      </c>
      <c r="F336" s="543">
        <f t="shared" ref="F336:U336" si="167">F335/F326</f>
        <v>1.4437567720226727</v>
      </c>
      <c r="G336" s="543">
        <f t="shared" si="167"/>
        <v>0.76544164976866613</v>
      </c>
      <c r="H336" s="543">
        <f t="shared" si="167"/>
        <v>3.372165448574882</v>
      </c>
      <c r="I336" s="543">
        <f t="shared" si="167"/>
        <v>0.96890306173180341</v>
      </c>
      <c r="J336" s="543">
        <f t="shared" si="167"/>
        <v>0.21175073358980018</v>
      </c>
      <c r="K336" s="543">
        <f t="shared" si="167"/>
        <v>0.85782476236297456</v>
      </c>
      <c r="L336" s="543">
        <f t="shared" si="167"/>
        <v>0.98140664302721115</v>
      </c>
      <c r="M336" s="543">
        <f t="shared" si="167"/>
        <v>1.4376692426167867</v>
      </c>
      <c r="N336" s="543">
        <f t="shared" si="167"/>
        <v>2.7926807025350993</v>
      </c>
      <c r="O336" s="543">
        <f t="shared" si="167"/>
        <v>1.6191164631448651</v>
      </c>
      <c r="P336" s="543">
        <f t="shared" si="167"/>
        <v>0.58702471396710854</v>
      </c>
      <c r="Q336" s="543">
        <f t="shared" si="167"/>
        <v>0.60617020402143929</v>
      </c>
      <c r="R336" s="543">
        <f t="shared" si="167"/>
        <v>0.54534409699145314</v>
      </c>
      <c r="S336" s="543">
        <f t="shared" si="167"/>
        <v>2.4043314530368609</v>
      </c>
      <c r="T336" s="543">
        <f t="shared" si="167"/>
        <v>1.032577831770956</v>
      </c>
      <c r="U336" s="543">
        <f t="shared" si="167"/>
        <v>1.1075777035705112</v>
      </c>
      <c r="V336" s="535"/>
      <c r="W336" s="534"/>
      <c r="X336" s="534"/>
      <c r="Y336" s="534"/>
      <c r="Z336" s="534"/>
      <c r="AA336" s="610"/>
      <c r="AB336" s="504"/>
      <c r="AC336" s="545"/>
      <c r="AD336" s="542"/>
      <c r="AE336" s="514"/>
      <c r="AF336" s="522"/>
      <c r="AG336" s="343"/>
      <c r="AH336" s="782"/>
      <c r="AI336" s="782"/>
    </row>
    <row r="337" spans="1:35" s="591" customFormat="1" ht="15.75" thickBot="1" x14ac:dyDescent="0.3">
      <c r="A337" s="924">
        <v>41642</v>
      </c>
      <c r="B337" s="924"/>
      <c r="C337" s="924"/>
      <c r="D337" s="529"/>
      <c r="E337" s="529"/>
      <c r="F337" s="529"/>
      <c r="G337" s="529"/>
      <c r="H337" s="529"/>
      <c r="I337" s="525"/>
      <c r="J337" s="531"/>
      <c r="K337" s="531"/>
      <c r="L337" s="529"/>
      <c r="M337" s="529"/>
      <c r="N337" s="527"/>
      <c r="R337" s="526"/>
      <c r="S337" s="534"/>
      <c r="T337" s="534"/>
      <c r="U337" s="534"/>
      <c r="V337" s="534"/>
      <c r="W337" s="534"/>
      <c r="X337" s="534"/>
      <c r="Y337" s="534"/>
      <c r="Z337" s="534"/>
      <c r="AA337" s="941"/>
      <c r="AB337" s="942"/>
      <c r="AH337" s="743"/>
      <c r="AI337" s="743"/>
    </row>
    <row r="338" spans="1:35" s="591" customFormat="1" x14ac:dyDescent="0.25">
      <c r="A338" s="925" t="s">
        <v>1</v>
      </c>
      <c r="B338" s="926"/>
      <c r="C338" s="540" t="s">
        <v>12</v>
      </c>
      <c r="D338" s="539" t="s">
        <v>12</v>
      </c>
      <c r="E338" s="540" t="s">
        <v>13</v>
      </c>
      <c r="F338" s="530" t="s">
        <v>13</v>
      </c>
      <c r="G338" s="530" t="s">
        <v>13</v>
      </c>
      <c r="H338" s="530" t="s">
        <v>13</v>
      </c>
      <c r="I338" s="530" t="s">
        <v>13</v>
      </c>
      <c r="J338" s="536" t="s">
        <v>13</v>
      </c>
      <c r="K338" s="536" t="s">
        <v>13</v>
      </c>
      <c r="L338" s="539" t="s">
        <v>13</v>
      </c>
      <c r="M338" s="569" t="s">
        <v>2</v>
      </c>
      <c r="N338" s="530" t="s">
        <v>2</v>
      </c>
      <c r="O338" s="536" t="s">
        <v>2</v>
      </c>
      <c r="P338" s="530" t="s">
        <v>2</v>
      </c>
      <c r="Q338" s="536" t="s">
        <v>2</v>
      </c>
      <c r="R338" s="536" t="s">
        <v>2</v>
      </c>
      <c r="S338" s="539" t="s">
        <v>2</v>
      </c>
      <c r="T338" s="569" t="s">
        <v>183</v>
      </c>
      <c r="U338" s="570" t="s">
        <v>183</v>
      </c>
      <c r="V338" s="526"/>
      <c r="W338" s="534"/>
      <c r="X338" s="534"/>
      <c r="Y338" s="534"/>
      <c r="Z338" s="534"/>
      <c r="AA338" s="925" t="s">
        <v>1</v>
      </c>
      <c r="AB338" s="928"/>
      <c r="AC338" s="606" t="s">
        <v>12</v>
      </c>
      <c r="AD338" s="929" t="s">
        <v>13</v>
      </c>
      <c r="AE338" s="930"/>
      <c r="AF338" s="929" t="s">
        <v>2</v>
      </c>
      <c r="AG338" s="930"/>
      <c r="AH338" s="778"/>
      <c r="AI338" s="778"/>
    </row>
    <row r="339" spans="1:35" s="591" customFormat="1" ht="15.75" thickBot="1" x14ac:dyDescent="0.3">
      <c r="A339" s="931" t="s">
        <v>0</v>
      </c>
      <c r="B339" s="944"/>
      <c r="C339" s="298" t="s">
        <v>99</v>
      </c>
      <c r="D339" s="291" t="s">
        <v>100</v>
      </c>
      <c r="E339" s="298" t="s">
        <v>101</v>
      </c>
      <c r="F339" s="503" t="s">
        <v>102</v>
      </c>
      <c r="G339" s="503" t="s">
        <v>97</v>
      </c>
      <c r="H339" s="503" t="s">
        <v>104</v>
      </c>
      <c r="I339" s="503" t="s">
        <v>103</v>
      </c>
      <c r="J339" s="521" t="s">
        <v>178</v>
      </c>
      <c r="K339" s="521" t="s">
        <v>200</v>
      </c>
      <c r="L339" s="517" t="s">
        <v>207</v>
      </c>
      <c r="M339" s="298" t="s">
        <v>105</v>
      </c>
      <c r="N339" s="503" t="s">
        <v>107</v>
      </c>
      <c r="O339" s="505" t="s">
        <v>98</v>
      </c>
      <c r="P339" s="516" t="s">
        <v>106</v>
      </c>
      <c r="Q339" s="505" t="s">
        <v>179</v>
      </c>
      <c r="R339" s="505" t="s">
        <v>199</v>
      </c>
      <c r="S339" s="291" t="s">
        <v>208</v>
      </c>
      <c r="T339" s="317" t="s">
        <v>182</v>
      </c>
      <c r="U339" s="291" t="s">
        <v>184</v>
      </c>
      <c r="V339" s="526"/>
      <c r="W339" s="526"/>
      <c r="X339" s="526"/>
      <c r="Y339" s="526"/>
      <c r="Z339" s="526"/>
      <c r="AA339" s="931" t="s">
        <v>0</v>
      </c>
      <c r="AB339" s="945"/>
      <c r="AC339" s="317" t="s">
        <v>99</v>
      </c>
      <c r="AD339" s="298" t="s">
        <v>104</v>
      </c>
      <c r="AE339" s="291" t="s">
        <v>207</v>
      </c>
      <c r="AF339" s="396" t="s">
        <v>107</v>
      </c>
      <c r="AG339" s="392" t="s">
        <v>208</v>
      </c>
      <c r="AH339" s="779"/>
      <c r="AI339" s="779"/>
    </row>
    <row r="340" spans="1:35" s="591" customFormat="1" x14ac:dyDescent="0.25">
      <c r="A340" s="935" t="s">
        <v>9</v>
      </c>
      <c r="B340" s="528" t="s">
        <v>4</v>
      </c>
      <c r="C340" s="541">
        <f>143393</f>
        <v>143393</v>
      </c>
      <c r="D340" s="538">
        <v>150516.70000000001</v>
      </c>
      <c r="E340" s="541">
        <v>150516.70000000001</v>
      </c>
      <c r="F340" s="533">
        <v>181998.8</v>
      </c>
      <c r="G340" s="533">
        <v>165453.5</v>
      </c>
      <c r="H340" s="533">
        <f>132132.9</f>
        <v>132132.9</v>
      </c>
      <c r="I340" s="533">
        <v>170968.6</v>
      </c>
      <c r="J340" s="537">
        <v>165453.5</v>
      </c>
      <c r="K340" s="537">
        <v>92411.6</v>
      </c>
      <c r="L340" s="538">
        <v>83196.100000000006</v>
      </c>
      <c r="M340" s="541">
        <v>193029.1</v>
      </c>
      <c r="N340" s="533">
        <v>132132.9</v>
      </c>
      <c r="O340" s="533">
        <v>82726.600000000006</v>
      </c>
      <c r="P340" s="533">
        <v>275755</v>
      </c>
      <c r="Q340" s="537">
        <v>82726.600000000006</v>
      </c>
      <c r="R340" s="537">
        <v>188981.6</v>
      </c>
      <c r="S340" s="538">
        <v>83196.100000000006</v>
      </c>
      <c r="T340" s="544">
        <v>55151</v>
      </c>
      <c r="U340" s="538">
        <v>33090.5</v>
      </c>
      <c r="V340" s="534"/>
      <c r="W340" s="534"/>
      <c r="X340" s="534"/>
      <c r="Y340" s="534"/>
      <c r="Z340" s="534"/>
      <c r="AA340" s="603" t="s">
        <v>195</v>
      </c>
      <c r="AB340" s="524" t="s">
        <v>4</v>
      </c>
      <c r="AC340" s="544">
        <v>143393</v>
      </c>
      <c r="AD340" s="541">
        <v>132132</v>
      </c>
      <c r="AE340" s="538">
        <v>83196.100000000006</v>
      </c>
      <c r="AF340" s="552">
        <v>132132.20000000001</v>
      </c>
      <c r="AG340" s="551">
        <v>83196.100000000006</v>
      </c>
      <c r="AH340" s="780"/>
      <c r="AI340" s="780"/>
    </row>
    <row r="341" spans="1:35" s="591" customFormat="1" x14ac:dyDescent="0.25">
      <c r="A341" s="936"/>
      <c r="B341" s="497" t="s">
        <v>5</v>
      </c>
      <c r="C341" s="572">
        <v>51964</v>
      </c>
      <c r="D341" s="571">
        <v>81938.2</v>
      </c>
      <c r="E341" s="572">
        <v>82028</v>
      </c>
      <c r="F341" s="576">
        <v>155624</v>
      </c>
      <c r="G341" s="576">
        <v>110303</v>
      </c>
      <c r="H341" s="576">
        <v>58542.3</v>
      </c>
      <c r="I341" s="576">
        <v>110932</v>
      </c>
      <c r="J341" s="577">
        <v>29896.7</v>
      </c>
      <c r="K341" s="577">
        <v>57862.5</v>
      </c>
      <c r="L341" s="571">
        <v>2519.1</v>
      </c>
      <c r="M341" s="572">
        <v>169074</v>
      </c>
      <c r="N341" s="576">
        <v>70731</v>
      </c>
      <c r="O341" s="576">
        <v>56572</v>
      </c>
      <c r="P341" s="576">
        <v>203947</v>
      </c>
      <c r="Q341" s="577">
        <v>15547</v>
      </c>
      <c r="R341" s="577">
        <v>93035</v>
      </c>
      <c r="S341" s="571">
        <v>31444.9</v>
      </c>
      <c r="T341" s="580">
        <v>13770</v>
      </c>
      <c r="U341" s="571">
        <v>6998</v>
      </c>
      <c r="V341" s="534"/>
      <c r="W341" s="534"/>
      <c r="X341" s="534"/>
      <c r="Y341" s="534"/>
      <c r="Z341" s="534"/>
      <c r="AA341" s="604"/>
      <c r="AB341" s="496" t="s">
        <v>5</v>
      </c>
      <c r="AC341" s="319">
        <v>51964.9</v>
      </c>
      <c r="AD341" s="300">
        <v>58542</v>
      </c>
      <c r="AE341" s="513">
        <v>2519</v>
      </c>
      <c r="AF341" s="398">
        <v>70731</v>
      </c>
      <c r="AG341" s="394">
        <v>31444.9</v>
      </c>
      <c r="AH341" s="781"/>
      <c r="AI341" s="781"/>
    </row>
    <row r="342" spans="1:35" s="591" customFormat="1" ht="15.75" thickBot="1" x14ac:dyDescent="0.3">
      <c r="A342" s="937"/>
      <c r="B342" s="504" t="s">
        <v>3</v>
      </c>
      <c r="C342" s="542">
        <f t="shared" ref="C342:L342" si="168">C341/C340</f>
        <v>0.36238868006109087</v>
      </c>
      <c r="D342" s="343">
        <f t="shared" si="168"/>
        <v>0.54437946088374245</v>
      </c>
      <c r="E342" s="542">
        <f t="shared" si="168"/>
        <v>0.54497607242252843</v>
      </c>
      <c r="F342" s="519">
        <f t="shared" si="168"/>
        <v>0.85508256098391866</v>
      </c>
      <c r="G342" s="498">
        <f t="shared" si="168"/>
        <v>0.66667069599615603</v>
      </c>
      <c r="H342" s="498">
        <f t="shared" si="168"/>
        <v>0.44305619569388099</v>
      </c>
      <c r="I342" s="498">
        <f t="shared" si="168"/>
        <v>0.64884429070601268</v>
      </c>
      <c r="J342" s="506">
        <f t="shared" si="168"/>
        <v>0.18069548241650979</v>
      </c>
      <c r="K342" s="506">
        <f t="shared" si="168"/>
        <v>0.62613892628198187</v>
      </c>
      <c r="L342" s="514">
        <f t="shared" si="168"/>
        <v>3.0279063561873692E-2</v>
      </c>
      <c r="M342" s="547">
        <f>M341/M340</f>
        <v>0.87589902247899409</v>
      </c>
      <c r="N342" s="498">
        <f>N341/N340</f>
        <v>0.53530195734748875</v>
      </c>
      <c r="O342" s="506">
        <f>O341/O340</f>
        <v>0.68384292355783982</v>
      </c>
      <c r="P342" s="498">
        <f>P341/P340</f>
        <v>0.73959493028231582</v>
      </c>
      <c r="Q342" s="506">
        <f>Q341/Q340</f>
        <v>0.18793229747142998</v>
      </c>
      <c r="R342" s="506">
        <f t="shared" ref="R342:S342" si="169">R341/R340</f>
        <v>0.49229660453716129</v>
      </c>
      <c r="S342" s="514">
        <f t="shared" si="169"/>
        <v>0.37796122654787906</v>
      </c>
      <c r="T342" s="545">
        <f>T341/T340</f>
        <v>0.2496781563344273</v>
      </c>
      <c r="U342" s="514">
        <f>U341/U340</f>
        <v>0.21148063643643947</v>
      </c>
      <c r="V342" s="534"/>
      <c r="W342" s="534"/>
      <c r="X342" s="534"/>
      <c r="Y342" s="534"/>
      <c r="Z342" s="534"/>
      <c r="AA342" s="605"/>
      <c r="AB342" s="347" t="s">
        <v>3</v>
      </c>
      <c r="AC342" s="395">
        <f>AC341/AC340</f>
        <v>0.36239495651810061</v>
      </c>
      <c r="AD342" s="542">
        <f>AD341/AD340</f>
        <v>0.44305694305694304</v>
      </c>
      <c r="AE342" s="514">
        <f>AE341/AE340</f>
        <v>3.0277861582453984E-2</v>
      </c>
      <c r="AF342" s="522">
        <f>AF341/AF340</f>
        <v>0.53530479322981073</v>
      </c>
      <c r="AG342" s="343">
        <f>AG341/AG340</f>
        <v>0.37796122654787906</v>
      </c>
      <c r="AH342" s="782"/>
      <c r="AI342" s="782"/>
    </row>
    <row r="343" spans="1:35" s="591" customFormat="1" x14ac:dyDescent="0.25">
      <c r="A343" s="938" t="s">
        <v>6</v>
      </c>
      <c r="B343" s="553" t="s">
        <v>7</v>
      </c>
      <c r="C343" s="554">
        <v>5870</v>
      </c>
      <c r="D343" s="555">
        <v>3333</v>
      </c>
      <c r="E343" s="554">
        <v>3330</v>
      </c>
      <c r="F343" s="556">
        <v>9457</v>
      </c>
      <c r="G343" s="556">
        <v>7929</v>
      </c>
      <c r="H343" s="556">
        <v>15703</v>
      </c>
      <c r="I343" s="556">
        <v>8197</v>
      </c>
      <c r="J343" s="557">
        <v>9599</v>
      </c>
      <c r="K343" s="557">
        <v>4073</v>
      </c>
      <c r="L343" s="555">
        <v>6399</v>
      </c>
      <c r="M343" s="554">
        <v>9092</v>
      </c>
      <c r="N343" s="556">
        <v>11924</v>
      </c>
      <c r="O343" s="556">
        <v>4059</v>
      </c>
      <c r="P343" s="556">
        <v>10852</v>
      </c>
      <c r="Q343" s="557">
        <v>4799</v>
      </c>
      <c r="R343" s="557">
        <v>7192</v>
      </c>
      <c r="S343" s="555">
        <v>9599</v>
      </c>
      <c r="T343" s="558">
        <v>2480</v>
      </c>
      <c r="U343" s="555">
        <v>1570</v>
      </c>
      <c r="V343" s="559" t="s">
        <v>198</v>
      </c>
      <c r="W343" s="560"/>
      <c r="X343" s="561"/>
      <c r="Y343" s="561"/>
      <c r="Z343" s="561"/>
      <c r="AA343" s="562" t="s">
        <v>191</v>
      </c>
      <c r="AB343" s="553" t="s">
        <v>4</v>
      </c>
      <c r="AC343" s="564">
        <v>9191.7999999999993</v>
      </c>
      <c r="AD343" s="565">
        <v>13787.7</v>
      </c>
      <c r="AE343" s="566">
        <v>8804.7999999999993</v>
      </c>
      <c r="AF343" s="567">
        <v>13787.7</v>
      </c>
      <c r="AG343" s="568">
        <v>8804.7999999999993</v>
      </c>
      <c r="AH343" s="783"/>
      <c r="AI343" s="783"/>
    </row>
    <row r="344" spans="1:35" s="591" customFormat="1" x14ac:dyDescent="0.25">
      <c r="A344" s="939"/>
      <c r="B344" s="494" t="s">
        <v>11</v>
      </c>
      <c r="C344" s="302">
        <f t="shared" ref="C344:L344" si="170">C343*33.717</f>
        <v>197918.78999999998</v>
      </c>
      <c r="D344" s="512">
        <f t="shared" si="170"/>
        <v>112378.761</v>
      </c>
      <c r="E344" s="302">
        <f t="shared" si="170"/>
        <v>112277.61</v>
      </c>
      <c r="F344" s="355">
        <f t="shared" si="170"/>
        <v>318861.66899999999</v>
      </c>
      <c r="G344" s="499">
        <f t="shared" si="170"/>
        <v>267342.09299999999</v>
      </c>
      <c r="H344" s="354">
        <f t="shared" si="170"/>
        <v>529458.05099999998</v>
      </c>
      <c r="I344" s="354">
        <f t="shared" si="170"/>
        <v>276378.24900000001</v>
      </c>
      <c r="J344" s="355">
        <f t="shared" si="170"/>
        <v>323649.48300000001</v>
      </c>
      <c r="K344" s="507">
        <f t="shared" si="170"/>
        <v>137329.34099999999</v>
      </c>
      <c r="L344" s="512">
        <f t="shared" si="170"/>
        <v>215755.08299999998</v>
      </c>
      <c r="M344" s="322">
        <f>M343*33.717</f>
        <v>306554.96399999998</v>
      </c>
      <c r="N344" s="499">
        <f>N343*33.717</f>
        <v>402041.50799999997</v>
      </c>
      <c r="O344" s="499">
        <f>O343*33.717</f>
        <v>136857.30299999999</v>
      </c>
      <c r="P344" s="354">
        <f>P343*33.717</f>
        <v>365896.88399999996</v>
      </c>
      <c r="Q344" s="355">
        <f>Q343*33.717</f>
        <v>161807.883</v>
      </c>
      <c r="R344" s="507">
        <f t="shared" ref="R344:S344" si="171">R343*33.717</f>
        <v>242492.66399999999</v>
      </c>
      <c r="S344" s="512">
        <f t="shared" si="171"/>
        <v>323649.48300000001</v>
      </c>
      <c r="T344" s="302">
        <f>T343*33.717</f>
        <v>83618.16</v>
      </c>
      <c r="U344" s="354">
        <f>U343*33.717</f>
        <v>52935.689999999995</v>
      </c>
      <c r="V344" s="534"/>
      <c r="W344" s="534"/>
      <c r="X344" s="534"/>
      <c r="Y344" s="534"/>
      <c r="Z344" s="534"/>
      <c r="AA344" s="604"/>
      <c r="AB344" s="497" t="s">
        <v>5</v>
      </c>
      <c r="AC344" s="319">
        <v>7975.5</v>
      </c>
      <c r="AD344" s="300">
        <v>13649</v>
      </c>
      <c r="AE344" s="513">
        <v>1289.9000000000001</v>
      </c>
      <c r="AF344" s="398">
        <v>13642</v>
      </c>
      <c r="AG344" s="394">
        <v>5483.9</v>
      </c>
      <c r="AH344" s="781"/>
      <c r="AI344" s="781"/>
    </row>
    <row r="345" spans="1:35" s="591" customFormat="1" ht="15.75" thickBot="1" x14ac:dyDescent="0.3">
      <c r="A345" s="939"/>
      <c r="B345" s="494" t="s">
        <v>79</v>
      </c>
      <c r="C345" s="302">
        <v>164000</v>
      </c>
      <c r="D345" s="512">
        <v>109880</v>
      </c>
      <c r="E345" s="302">
        <v>109880</v>
      </c>
      <c r="F345" s="499">
        <v>328000</v>
      </c>
      <c r="G345" s="499">
        <v>330905</v>
      </c>
      <c r="H345" s="499">
        <v>264264</v>
      </c>
      <c r="I345" s="499">
        <v>242663.6</v>
      </c>
      <c r="J345" s="507">
        <v>328000</v>
      </c>
      <c r="K345" s="507">
        <v>328000</v>
      </c>
      <c r="L345" s="512">
        <v>328000</v>
      </c>
      <c r="M345" s="302">
        <v>328000</v>
      </c>
      <c r="N345" s="499">
        <v>264264.40000000002</v>
      </c>
      <c r="O345" s="499">
        <v>328000</v>
      </c>
      <c r="P345" s="499">
        <v>352965.4</v>
      </c>
      <c r="Q345" s="507">
        <v>328000</v>
      </c>
      <c r="R345" s="507">
        <v>328000</v>
      </c>
      <c r="S345" s="512">
        <v>328000</v>
      </c>
      <c r="T345" s="322">
        <f>2*T340</f>
        <v>110302</v>
      </c>
      <c r="U345" s="512">
        <f>2*U340</f>
        <v>66181</v>
      </c>
      <c r="V345" s="534"/>
      <c r="W345" s="534"/>
      <c r="X345" s="534"/>
      <c r="Y345" s="534"/>
      <c r="Z345" s="534"/>
      <c r="AA345" s="605"/>
      <c r="AB345" s="344" t="s">
        <v>3</v>
      </c>
      <c r="AC345" s="395">
        <f>AC344/AC343</f>
        <v>0.86767553689157739</v>
      </c>
      <c r="AD345" s="301">
        <f>AD344/AD343</f>
        <v>0.98994030911609621</v>
      </c>
      <c r="AE345" s="401">
        <f>AE344/AE343</f>
        <v>0.14649963656187537</v>
      </c>
      <c r="AF345" s="400">
        <f>AF344/AF343</f>
        <v>0.98943261022505558</v>
      </c>
      <c r="AG345" s="348">
        <f>AG344/AG343</f>
        <v>0.62283072869343992</v>
      </c>
      <c r="AH345" s="782"/>
      <c r="AI345" s="782"/>
    </row>
    <row r="346" spans="1:35" s="591" customFormat="1" x14ac:dyDescent="0.25">
      <c r="A346" s="939"/>
      <c r="B346" s="497" t="s">
        <v>8</v>
      </c>
      <c r="C346" s="303">
        <f>SUM(C343-336)</f>
        <v>5534</v>
      </c>
      <c r="D346" s="511">
        <f>SUM(D343-468)</f>
        <v>2865</v>
      </c>
      <c r="E346" s="303">
        <f>SUM(E343-435)</f>
        <v>2895</v>
      </c>
      <c r="F346" s="502">
        <f>SUM(F343-1130)</f>
        <v>8327</v>
      </c>
      <c r="G346" s="502">
        <f>SUM(G343-4311)</f>
        <v>3618</v>
      </c>
      <c r="H346" s="502">
        <f>SUM(H343-2041)</f>
        <v>13662</v>
      </c>
      <c r="I346" s="502">
        <f>SUM(I343-(3284-2000))</f>
        <v>6913</v>
      </c>
      <c r="J346" s="508">
        <f>SUM(J343-8785)</f>
        <v>814</v>
      </c>
      <c r="K346" s="508">
        <f>SUM(K343-1056)</f>
        <v>3017</v>
      </c>
      <c r="L346" s="511">
        <f>SUM(L343-4196)</f>
        <v>2203</v>
      </c>
      <c r="M346" s="303">
        <f>SUM(M343-744)</f>
        <v>8348</v>
      </c>
      <c r="N346" s="502">
        <f>SUM(N343-986)</f>
        <v>10938</v>
      </c>
      <c r="O346" s="508">
        <f>SUM(O343-294)</f>
        <v>3765</v>
      </c>
      <c r="P346" s="502">
        <f>SUM(P343-(5089-2614))</f>
        <v>8377</v>
      </c>
      <c r="Q346" s="508">
        <f>SUM(Q343-3537)</f>
        <v>1262</v>
      </c>
      <c r="R346" s="508">
        <f>SUM(R343-4060)</f>
        <v>3132</v>
      </c>
      <c r="S346" s="511">
        <f>SUM(S343-3942)</f>
        <v>5657</v>
      </c>
      <c r="T346" s="323">
        <f>SUM(T343-859)</f>
        <v>1621</v>
      </c>
      <c r="U346" s="511">
        <f>SUM(U343-555)</f>
        <v>1015</v>
      </c>
      <c r="V346" s="526" t="s">
        <v>176</v>
      </c>
      <c r="W346" s="534"/>
      <c r="X346" s="534"/>
      <c r="Y346" s="534"/>
      <c r="Z346" s="534"/>
      <c r="AA346" s="603" t="s">
        <v>192</v>
      </c>
      <c r="AB346" s="528" t="s">
        <v>4</v>
      </c>
      <c r="AC346" s="544">
        <v>97433.600000000006</v>
      </c>
      <c r="AD346" s="541">
        <v>243584.4</v>
      </c>
      <c r="AE346" s="538">
        <v>132070.29999999999</v>
      </c>
      <c r="AF346" s="552">
        <v>292299.3</v>
      </c>
      <c r="AG346" s="551">
        <v>132070.39999999999</v>
      </c>
      <c r="AH346" s="780"/>
      <c r="AI346" s="780"/>
    </row>
    <row r="347" spans="1:35" s="591" customFormat="1" x14ac:dyDescent="0.25">
      <c r="A347" s="939"/>
      <c r="B347" s="495" t="s">
        <v>77</v>
      </c>
      <c r="C347" s="302">
        <f t="shared" ref="C347" si="172">(C346*33.717)</f>
        <v>186589.878</v>
      </c>
      <c r="D347" s="338">
        <f t="shared" ref="D347" si="173">(D346*33.717)</f>
        <v>96599.205000000002</v>
      </c>
      <c r="E347" s="302">
        <f t="shared" ref="E347" si="174">(E346*33.717)</f>
        <v>97610.714999999997</v>
      </c>
      <c r="F347" s="338">
        <f t="shared" ref="F347" si="175">(F346*33.717)</f>
        <v>280761.45899999997</v>
      </c>
      <c r="G347" s="500">
        <f t="shared" ref="G347" si="176">(G346*33.717)</f>
        <v>121988.106</v>
      </c>
      <c r="H347" s="500">
        <f t="shared" ref="H347" si="177">(H346*33.717)</f>
        <v>460641.65399999998</v>
      </c>
      <c r="I347" s="500">
        <f>(I346*33.717)-(2000*33.717)</f>
        <v>165651.62099999998</v>
      </c>
      <c r="J347" s="509">
        <f>J346*33.717</f>
        <v>27445.637999999999</v>
      </c>
      <c r="K347" s="509">
        <f>K346*33.717</f>
        <v>101724.189</v>
      </c>
      <c r="L347" s="261">
        <f>L346*33.717</f>
        <v>74278.550999999992</v>
      </c>
      <c r="M347" s="304">
        <f>M346*33.717</f>
        <v>281469.516</v>
      </c>
      <c r="N347" s="500">
        <f>N346*33.717</f>
        <v>368796.54599999997</v>
      </c>
      <c r="O347" s="500">
        <f>(O346*33.717)</f>
        <v>126944.50499999999</v>
      </c>
      <c r="P347" s="500">
        <f>P346*33.717-(2614*33.717)</f>
        <v>194311.071</v>
      </c>
      <c r="Q347" s="509">
        <f t="shared" ref="Q347:U347" si="178">Q346*33.717</f>
        <v>42550.853999999999</v>
      </c>
      <c r="R347" s="509">
        <f t="shared" si="178"/>
        <v>105601.644</v>
      </c>
      <c r="S347" s="261">
        <f t="shared" si="178"/>
        <v>190737.06899999999</v>
      </c>
      <c r="T347" s="324">
        <f t="shared" si="178"/>
        <v>54655.256999999998</v>
      </c>
      <c r="U347" s="518">
        <f t="shared" si="178"/>
        <v>34222.754999999997</v>
      </c>
      <c r="V347" s="532">
        <f>344240-H347</f>
        <v>-116401.65399999998</v>
      </c>
      <c r="W347" s="534" t="s">
        <v>177</v>
      </c>
      <c r="X347" s="534"/>
      <c r="Y347" s="534"/>
      <c r="Z347" s="534"/>
      <c r="AA347" s="604"/>
      <c r="AB347" s="497" t="s">
        <v>5</v>
      </c>
      <c r="AC347" s="319">
        <v>38973.199999999997</v>
      </c>
      <c r="AD347" s="300">
        <v>124350.5</v>
      </c>
      <c r="AE347" s="513">
        <v>3817.1</v>
      </c>
      <c r="AF347" s="398">
        <v>109009</v>
      </c>
      <c r="AG347" s="394">
        <v>33401</v>
      </c>
      <c r="AH347" s="781"/>
      <c r="AI347" s="781"/>
    </row>
    <row r="348" spans="1:35" s="591" customFormat="1" ht="15.75" thickBot="1" x14ac:dyDescent="0.3">
      <c r="A348" s="940"/>
      <c r="B348" s="504" t="s">
        <v>218</v>
      </c>
      <c r="C348" s="542">
        <f t="shared" ref="C348:U348" si="179">C347/C340</f>
        <v>1.3012481641363247</v>
      </c>
      <c r="D348" s="514">
        <f t="shared" si="179"/>
        <v>0.64178396815768612</v>
      </c>
      <c r="E348" s="543">
        <f t="shared" si="179"/>
        <v>0.64850421913315925</v>
      </c>
      <c r="F348" s="501">
        <f t="shared" si="179"/>
        <v>1.542655550476157</v>
      </c>
      <c r="G348" s="501">
        <f t="shared" si="179"/>
        <v>0.73729540928417958</v>
      </c>
      <c r="H348" s="501">
        <f t="shared" si="179"/>
        <v>3.4861995309268168</v>
      </c>
      <c r="I348" s="501">
        <f t="shared" si="179"/>
        <v>0.96890084495047613</v>
      </c>
      <c r="J348" s="520">
        <f t="shared" si="179"/>
        <v>0.16588127782126094</v>
      </c>
      <c r="K348" s="520">
        <f t="shared" si="179"/>
        <v>1.1007729440892702</v>
      </c>
      <c r="L348" s="515">
        <f t="shared" si="179"/>
        <v>0.89281289627758975</v>
      </c>
      <c r="M348" s="543">
        <f t="shared" si="179"/>
        <v>1.4581714156052119</v>
      </c>
      <c r="N348" s="501">
        <f t="shared" si="179"/>
        <v>2.7911030939304289</v>
      </c>
      <c r="O348" s="501">
        <f t="shared" si="179"/>
        <v>1.5345064948879801</v>
      </c>
      <c r="P348" s="510">
        <f t="shared" si="179"/>
        <v>0.70465112509292671</v>
      </c>
      <c r="Q348" s="520">
        <f t="shared" si="179"/>
        <v>0.5143551650859578</v>
      </c>
      <c r="R348" s="520">
        <f t="shared" si="179"/>
        <v>0.55879325817963232</v>
      </c>
      <c r="S348" s="515">
        <f t="shared" si="179"/>
        <v>2.2926203151349638</v>
      </c>
      <c r="T348" s="542">
        <f t="shared" si="179"/>
        <v>0.99101116933509814</v>
      </c>
      <c r="U348" s="514">
        <f t="shared" si="179"/>
        <v>1.034216920264124</v>
      </c>
      <c r="V348" s="535"/>
      <c r="W348" s="534"/>
      <c r="X348" s="534"/>
      <c r="Y348" s="534"/>
      <c r="Z348" s="534"/>
      <c r="AA348" s="605"/>
      <c r="AB348" s="504" t="s">
        <v>3</v>
      </c>
      <c r="AC348" s="545">
        <f>AC347/AC346</f>
        <v>0.39999753678402516</v>
      </c>
      <c r="AD348" s="542">
        <f>AD347/AD346</f>
        <v>0.51050272513346506</v>
      </c>
      <c r="AE348" s="514">
        <f>AE347/AE346</f>
        <v>2.8902031720984961E-2</v>
      </c>
      <c r="AF348" s="522">
        <f>AF347/AF346</f>
        <v>0.37293623351133581</v>
      </c>
      <c r="AG348" s="343">
        <f>AG347/AG346</f>
        <v>0.25290299718937781</v>
      </c>
      <c r="AH348" s="782"/>
      <c r="AI348" s="782"/>
    </row>
    <row r="349" spans="1:35" s="591" customFormat="1" ht="15.75" thickBot="1" x14ac:dyDescent="0.3">
      <c r="A349" s="612"/>
      <c r="B349" s="504" t="s">
        <v>219</v>
      </c>
      <c r="C349" s="303">
        <v>168566</v>
      </c>
      <c r="D349" s="303">
        <v>96194</v>
      </c>
      <c r="E349" s="303">
        <v>97205</v>
      </c>
      <c r="F349" s="303">
        <v>262762</v>
      </c>
      <c r="G349" s="303">
        <v>126645</v>
      </c>
      <c r="H349" s="303">
        <v>445574</v>
      </c>
      <c r="I349" s="303">
        <v>165652</v>
      </c>
      <c r="J349" s="303">
        <v>27482</v>
      </c>
      <c r="K349" s="303">
        <v>101798</v>
      </c>
      <c r="L349" s="303">
        <v>74362</v>
      </c>
      <c r="M349" s="303">
        <v>277512</v>
      </c>
      <c r="N349" s="303">
        <v>369005</v>
      </c>
      <c r="O349" s="303">
        <v>133944</v>
      </c>
      <c r="P349" s="303">
        <v>161875</v>
      </c>
      <c r="Q349" s="303">
        <v>42593</v>
      </c>
      <c r="R349" s="303">
        <v>100733</v>
      </c>
      <c r="S349" s="303">
        <v>191491</v>
      </c>
      <c r="T349" s="303">
        <v>54655</v>
      </c>
      <c r="U349" s="303">
        <v>34222</v>
      </c>
      <c r="V349" s="535"/>
      <c r="W349" s="534"/>
      <c r="X349" s="534"/>
      <c r="Y349" s="534"/>
      <c r="Z349" s="534"/>
      <c r="AA349" s="605" t="s">
        <v>220</v>
      </c>
      <c r="AB349" s="504" t="s">
        <v>3</v>
      </c>
      <c r="AC349" s="545">
        <f>(AC342+AC348)/2</f>
        <v>0.38119624665106289</v>
      </c>
      <c r="AD349" s="545">
        <f t="shared" ref="AD349:AG349" si="180">(AD342+AD348)/2</f>
        <v>0.47677983409520408</v>
      </c>
      <c r="AE349" s="545">
        <f t="shared" si="180"/>
        <v>2.9589946651719472E-2</v>
      </c>
      <c r="AF349" s="545">
        <f t="shared" si="180"/>
        <v>0.45412051337057324</v>
      </c>
      <c r="AG349" s="545">
        <f t="shared" si="180"/>
        <v>0.31543211186862841</v>
      </c>
      <c r="AH349" s="782"/>
      <c r="AI349" s="782"/>
    </row>
    <row r="350" spans="1:35" s="591" customFormat="1" ht="15.75" thickBot="1" x14ac:dyDescent="0.3">
      <c r="A350" s="612"/>
      <c r="B350" s="504" t="s">
        <v>217</v>
      </c>
      <c r="C350" s="543">
        <f t="shared" ref="C350:D350" si="181">C349/C340</f>
        <v>1.1755525025628866</v>
      </c>
      <c r="D350" s="543">
        <f t="shared" si="181"/>
        <v>0.63909187485508245</v>
      </c>
      <c r="E350" s="543">
        <f>E349/E340</f>
        <v>0.64580873750221734</v>
      </c>
      <c r="F350" s="543">
        <f t="shared" ref="F350:U350" si="182">F349/F340</f>
        <v>1.4437567720226727</v>
      </c>
      <c r="G350" s="543">
        <f t="shared" si="182"/>
        <v>0.76544164976866613</v>
      </c>
      <c r="H350" s="543">
        <f t="shared" si="182"/>
        <v>3.372165448574882</v>
      </c>
      <c r="I350" s="543">
        <f t="shared" si="182"/>
        <v>0.96890306173180341</v>
      </c>
      <c r="J350" s="543">
        <f t="shared" si="182"/>
        <v>0.16610104953959873</v>
      </c>
      <c r="K350" s="543">
        <f t="shared" si="182"/>
        <v>1.1015716641633733</v>
      </c>
      <c r="L350" s="543">
        <f t="shared" si="182"/>
        <v>0.89381593608354226</v>
      </c>
      <c r="M350" s="543">
        <f t="shared" si="182"/>
        <v>1.4376692426167867</v>
      </c>
      <c r="N350" s="543">
        <f t="shared" si="182"/>
        <v>2.7926807025350993</v>
      </c>
      <c r="O350" s="543">
        <f t="shared" si="182"/>
        <v>1.6191164631448651</v>
      </c>
      <c r="P350" s="543">
        <f t="shared" si="182"/>
        <v>0.58702471396710854</v>
      </c>
      <c r="Q350" s="543">
        <f t="shared" si="182"/>
        <v>0.51486462637168695</v>
      </c>
      <c r="R350" s="543">
        <f t="shared" si="182"/>
        <v>0.53303072891752423</v>
      </c>
      <c r="S350" s="543">
        <f t="shared" si="182"/>
        <v>2.3016824105937657</v>
      </c>
      <c r="T350" s="543">
        <f t="shared" si="182"/>
        <v>0.9910065094014614</v>
      </c>
      <c r="U350" s="543">
        <f t="shared" si="182"/>
        <v>1.0341941040479896</v>
      </c>
      <c r="V350" s="535"/>
      <c r="W350" s="534"/>
      <c r="X350" s="534"/>
      <c r="Y350" s="534"/>
      <c r="Z350" s="534"/>
      <c r="AA350" s="605"/>
      <c r="AB350" s="504"/>
      <c r="AC350" s="545"/>
      <c r="AD350" s="542"/>
      <c r="AE350" s="514"/>
      <c r="AF350" s="522"/>
      <c r="AG350" s="343"/>
      <c r="AH350" s="782"/>
      <c r="AI350" s="782"/>
    </row>
    <row r="351" spans="1:35" s="591" customFormat="1" ht="15.75" thickBot="1" x14ac:dyDescent="0.3">
      <c r="A351" s="924">
        <v>41626</v>
      </c>
      <c r="B351" s="924"/>
      <c r="C351" s="924"/>
      <c r="D351" s="529"/>
      <c r="E351" s="529"/>
      <c r="F351" s="529"/>
      <c r="G351" s="529"/>
      <c r="H351" s="529"/>
      <c r="I351" s="525"/>
      <c r="J351" s="531"/>
      <c r="K351" s="531"/>
      <c r="L351" s="529"/>
      <c r="M351" s="529"/>
      <c r="N351" s="527"/>
      <c r="R351" s="526"/>
      <c r="S351" s="534"/>
      <c r="T351" s="534"/>
      <c r="U351" s="534"/>
      <c r="V351" s="534"/>
      <c r="W351" s="534"/>
      <c r="X351" s="534"/>
      <c r="Y351" s="534"/>
      <c r="Z351" s="534"/>
      <c r="AA351" s="941"/>
      <c r="AB351" s="942"/>
      <c r="AH351" s="743"/>
      <c r="AI351" s="743"/>
    </row>
    <row r="352" spans="1:35" s="591" customFormat="1" x14ac:dyDescent="0.25">
      <c r="A352" s="925" t="s">
        <v>1</v>
      </c>
      <c r="B352" s="926"/>
      <c r="C352" s="540" t="s">
        <v>12</v>
      </c>
      <c r="D352" s="539" t="s">
        <v>12</v>
      </c>
      <c r="E352" s="540" t="s">
        <v>13</v>
      </c>
      <c r="F352" s="530" t="s">
        <v>13</v>
      </c>
      <c r="G352" s="530" t="s">
        <v>13</v>
      </c>
      <c r="H352" s="530" t="s">
        <v>13</v>
      </c>
      <c r="I352" s="530" t="s">
        <v>13</v>
      </c>
      <c r="J352" s="536" t="s">
        <v>13</v>
      </c>
      <c r="K352" s="536" t="s">
        <v>13</v>
      </c>
      <c r="L352" s="539" t="s">
        <v>13</v>
      </c>
      <c r="M352" s="569" t="s">
        <v>2</v>
      </c>
      <c r="N352" s="530" t="s">
        <v>2</v>
      </c>
      <c r="O352" s="536" t="s">
        <v>2</v>
      </c>
      <c r="P352" s="530" t="s">
        <v>2</v>
      </c>
      <c r="Q352" s="536" t="s">
        <v>2</v>
      </c>
      <c r="R352" s="536" t="s">
        <v>2</v>
      </c>
      <c r="S352" s="539" t="s">
        <v>2</v>
      </c>
      <c r="T352" s="569" t="s">
        <v>183</v>
      </c>
      <c r="U352" s="570" t="s">
        <v>183</v>
      </c>
      <c r="V352" s="526"/>
      <c r="W352" s="534"/>
      <c r="X352" s="534"/>
      <c r="Y352" s="534"/>
      <c r="Z352" s="534"/>
      <c r="AA352" s="925" t="s">
        <v>1</v>
      </c>
      <c r="AB352" s="928"/>
      <c r="AC352" s="546" t="s">
        <v>12</v>
      </c>
      <c r="AD352" s="929" t="s">
        <v>13</v>
      </c>
      <c r="AE352" s="930"/>
      <c r="AF352" s="929" t="s">
        <v>2</v>
      </c>
      <c r="AG352" s="930"/>
      <c r="AH352" s="778"/>
      <c r="AI352" s="778"/>
    </row>
    <row r="353" spans="1:35" s="591" customFormat="1" ht="15.75" thickBot="1" x14ac:dyDescent="0.3">
      <c r="A353" s="931" t="s">
        <v>0</v>
      </c>
      <c r="B353" s="944"/>
      <c r="C353" s="298" t="s">
        <v>99</v>
      </c>
      <c r="D353" s="291" t="s">
        <v>100</v>
      </c>
      <c r="E353" s="298" t="s">
        <v>101</v>
      </c>
      <c r="F353" s="503" t="s">
        <v>102</v>
      </c>
      <c r="G353" s="503" t="s">
        <v>97</v>
      </c>
      <c r="H353" s="503" t="s">
        <v>104</v>
      </c>
      <c r="I353" s="503" t="s">
        <v>103</v>
      </c>
      <c r="J353" s="521" t="s">
        <v>178</v>
      </c>
      <c r="K353" s="521" t="s">
        <v>200</v>
      </c>
      <c r="L353" s="517" t="s">
        <v>207</v>
      </c>
      <c r="M353" s="298" t="s">
        <v>105</v>
      </c>
      <c r="N353" s="503" t="s">
        <v>107</v>
      </c>
      <c r="O353" s="505" t="s">
        <v>98</v>
      </c>
      <c r="P353" s="516" t="s">
        <v>106</v>
      </c>
      <c r="Q353" s="505" t="s">
        <v>179</v>
      </c>
      <c r="R353" s="505" t="s">
        <v>199</v>
      </c>
      <c r="S353" s="291" t="s">
        <v>208</v>
      </c>
      <c r="T353" s="317" t="s">
        <v>182</v>
      </c>
      <c r="U353" s="291" t="s">
        <v>184</v>
      </c>
      <c r="V353" s="526"/>
      <c r="W353" s="526"/>
      <c r="X353" s="526"/>
      <c r="Y353" s="526"/>
      <c r="Z353" s="526"/>
      <c r="AA353" s="931" t="s">
        <v>0</v>
      </c>
      <c r="AB353" s="945"/>
      <c r="AC353" s="317" t="s">
        <v>99</v>
      </c>
      <c r="AD353" s="298" t="s">
        <v>104</v>
      </c>
      <c r="AE353" s="291" t="s">
        <v>207</v>
      </c>
      <c r="AF353" s="396" t="s">
        <v>107</v>
      </c>
      <c r="AG353" s="392" t="s">
        <v>208</v>
      </c>
      <c r="AH353" s="779"/>
      <c r="AI353" s="779"/>
    </row>
    <row r="354" spans="1:35" s="591" customFormat="1" x14ac:dyDescent="0.25">
      <c r="A354" s="935" t="s">
        <v>9</v>
      </c>
      <c r="B354" s="528" t="s">
        <v>4</v>
      </c>
      <c r="C354" s="541">
        <v>143393</v>
      </c>
      <c r="D354" s="538">
        <v>150516.70000000001</v>
      </c>
      <c r="E354" s="541">
        <v>150516.70000000001</v>
      </c>
      <c r="F354" s="533">
        <v>181998.8</v>
      </c>
      <c r="G354" s="533">
        <v>165453.5</v>
      </c>
      <c r="H354" s="533">
        <f>132132.9</f>
        <v>132132.9</v>
      </c>
      <c r="I354" s="533">
        <v>170968.6</v>
      </c>
      <c r="J354" s="537">
        <v>165453.5</v>
      </c>
      <c r="K354" s="537">
        <v>92411.6</v>
      </c>
      <c r="L354" s="538">
        <v>83196.100000000006</v>
      </c>
      <c r="M354" s="541">
        <v>193029.1</v>
      </c>
      <c r="N354" s="533">
        <v>132132.9</v>
      </c>
      <c r="O354" s="533">
        <v>82726.600000000006</v>
      </c>
      <c r="P354" s="533">
        <v>275755</v>
      </c>
      <c r="Q354" s="537">
        <v>82726.600000000006</v>
      </c>
      <c r="R354" s="537">
        <v>188981.6</v>
      </c>
      <c r="S354" s="538">
        <v>83196.100000000006</v>
      </c>
      <c r="T354" s="544">
        <v>55151</v>
      </c>
      <c r="U354" s="538">
        <v>33090.5</v>
      </c>
      <c r="V354" s="534"/>
      <c r="W354" s="534"/>
      <c r="X354" s="534"/>
      <c r="Y354" s="534"/>
      <c r="Z354" s="534"/>
      <c r="AA354" s="548" t="s">
        <v>195</v>
      </c>
      <c r="AB354" s="524" t="s">
        <v>4</v>
      </c>
      <c r="AC354" s="544">
        <v>143392.20000000001</v>
      </c>
      <c r="AD354" s="541">
        <v>132132</v>
      </c>
      <c r="AE354" s="538">
        <v>83196.100000000006</v>
      </c>
      <c r="AF354" s="552">
        <v>132132.20000000001</v>
      </c>
      <c r="AG354" s="551">
        <v>83196.100000000006</v>
      </c>
      <c r="AH354" s="780"/>
      <c r="AI354" s="780"/>
    </row>
    <row r="355" spans="1:35" s="591" customFormat="1" x14ac:dyDescent="0.25">
      <c r="A355" s="936"/>
      <c r="B355" s="497" t="s">
        <v>5</v>
      </c>
      <c r="C355" s="572">
        <v>50931</v>
      </c>
      <c r="D355" s="571">
        <v>81938.2</v>
      </c>
      <c r="E355" s="572">
        <v>83312</v>
      </c>
      <c r="F355" s="576">
        <v>155076.20000000001</v>
      </c>
      <c r="G355" s="576">
        <v>109742.2</v>
      </c>
      <c r="H355" s="576">
        <v>62935.9</v>
      </c>
      <c r="I355" s="576">
        <v>110537.60000000001</v>
      </c>
      <c r="J355" s="577">
        <v>29519.7</v>
      </c>
      <c r="K355" s="577">
        <v>55861.5</v>
      </c>
      <c r="L355" s="571">
        <v>2631.3</v>
      </c>
      <c r="M355" s="572">
        <v>168590</v>
      </c>
      <c r="N355" s="576">
        <v>71888</v>
      </c>
      <c r="O355" s="576">
        <v>56572</v>
      </c>
      <c r="P355" s="576">
        <v>203947</v>
      </c>
      <c r="Q355" s="577">
        <v>15359</v>
      </c>
      <c r="R355" s="577">
        <v>90710</v>
      </c>
      <c r="S355" s="571">
        <v>36851.199999999997</v>
      </c>
      <c r="T355" s="580">
        <v>13512</v>
      </c>
      <c r="U355" s="571">
        <v>6899.9</v>
      </c>
      <c r="V355" s="534"/>
      <c r="W355" s="534"/>
      <c r="X355" s="534"/>
      <c r="Y355" s="534"/>
      <c r="Z355" s="534"/>
      <c r="AA355" s="549"/>
      <c r="AB355" s="496" t="s">
        <v>5</v>
      </c>
      <c r="AC355" s="319">
        <v>43401.8</v>
      </c>
      <c r="AD355" s="300">
        <v>58695.3</v>
      </c>
      <c r="AE355" s="513">
        <v>4.7</v>
      </c>
      <c r="AF355" s="398">
        <v>55118.9</v>
      </c>
      <c r="AG355" s="394">
        <v>4.5</v>
      </c>
      <c r="AH355" s="781"/>
      <c r="AI355" s="781"/>
    </row>
    <row r="356" spans="1:35" s="591" customFormat="1" ht="15.75" thickBot="1" x14ac:dyDescent="0.3">
      <c r="A356" s="937"/>
      <c r="B356" s="504" t="s">
        <v>3</v>
      </c>
      <c r="C356" s="542">
        <f t="shared" ref="C356:L356" si="183">C355/C354</f>
        <v>0.3551847021821149</v>
      </c>
      <c r="D356" s="343">
        <f t="shared" si="183"/>
        <v>0.54437946088374245</v>
      </c>
      <c r="E356" s="542">
        <f t="shared" si="183"/>
        <v>0.55350668729782138</v>
      </c>
      <c r="F356" s="519">
        <f t="shared" si="183"/>
        <v>0.85207265102846841</v>
      </c>
      <c r="G356" s="498">
        <f t="shared" si="183"/>
        <v>0.66328122402971224</v>
      </c>
      <c r="H356" s="498">
        <f t="shared" si="183"/>
        <v>0.4763075660944398</v>
      </c>
      <c r="I356" s="498">
        <f t="shared" si="183"/>
        <v>0.64653743435929167</v>
      </c>
      <c r="J356" s="506">
        <f t="shared" si="183"/>
        <v>0.17841689659028065</v>
      </c>
      <c r="K356" s="506">
        <f t="shared" si="183"/>
        <v>0.60448580048392186</v>
      </c>
      <c r="L356" s="514">
        <f t="shared" si="183"/>
        <v>3.1627684470786489E-2</v>
      </c>
      <c r="M356" s="547">
        <f>M355/M354</f>
        <v>0.87339162851611485</v>
      </c>
      <c r="N356" s="498">
        <f>N355/N354</f>
        <v>0.54405829282487561</v>
      </c>
      <c r="O356" s="506">
        <f>O355/O354</f>
        <v>0.68384292355783982</v>
      </c>
      <c r="P356" s="498">
        <f>P355/P354</f>
        <v>0.73959493028231582</v>
      </c>
      <c r="Q356" s="506">
        <f>Q355/Q354</f>
        <v>0.1856597515188585</v>
      </c>
      <c r="R356" s="506">
        <f t="shared" ref="R356:S356" si="184">R355/R354</f>
        <v>0.47999381950412101</v>
      </c>
      <c r="S356" s="514">
        <f t="shared" si="184"/>
        <v>0.4429438399155729</v>
      </c>
      <c r="T356" s="545">
        <f>T355/T354</f>
        <v>0.24500009066018749</v>
      </c>
      <c r="U356" s="514">
        <f>U355/U354</f>
        <v>0.20851603934664026</v>
      </c>
      <c r="V356" s="534"/>
      <c r="W356" s="534"/>
      <c r="X356" s="534"/>
      <c r="Y356" s="534"/>
      <c r="Z356" s="534"/>
      <c r="AA356" s="550"/>
      <c r="AB356" s="347" t="s">
        <v>3</v>
      </c>
      <c r="AC356" s="395">
        <f>AC355/AC354</f>
        <v>0.302678946274623</v>
      </c>
      <c r="AD356" s="542">
        <f>AD355/AD354</f>
        <v>0.44421714648987376</v>
      </c>
      <c r="AE356" s="514">
        <f>AE355/AE354</f>
        <v>5.6493032726293656E-5</v>
      </c>
      <c r="AF356" s="522">
        <f>AF355/AF354</f>
        <v>0.41714964255495629</v>
      </c>
      <c r="AG356" s="343">
        <f>AG355/AG354</f>
        <v>5.4089073886876906E-5</v>
      </c>
      <c r="AH356" s="782"/>
      <c r="AI356" s="782"/>
    </row>
    <row r="357" spans="1:35" s="591" customFormat="1" x14ac:dyDescent="0.25">
      <c r="A357" s="938" t="s">
        <v>6</v>
      </c>
      <c r="B357" s="553" t="s">
        <v>7</v>
      </c>
      <c r="C357" s="554">
        <v>5870</v>
      </c>
      <c r="D357" s="555">
        <v>3333</v>
      </c>
      <c r="E357" s="554">
        <v>3330</v>
      </c>
      <c r="F357" s="556">
        <v>9457</v>
      </c>
      <c r="G357" s="556">
        <v>7929</v>
      </c>
      <c r="H357" s="556">
        <v>15703</v>
      </c>
      <c r="I357" s="556">
        <v>8197</v>
      </c>
      <c r="J357" s="557">
        <v>9599</v>
      </c>
      <c r="K357" s="557">
        <v>4073</v>
      </c>
      <c r="L357" s="555">
        <v>6399</v>
      </c>
      <c r="M357" s="554">
        <v>9092</v>
      </c>
      <c r="N357" s="556">
        <v>11923</v>
      </c>
      <c r="O357" s="556">
        <v>4059</v>
      </c>
      <c r="P357" s="556">
        <v>10852</v>
      </c>
      <c r="Q357" s="557">
        <v>4799</v>
      </c>
      <c r="R357" s="557">
        <v>7192</v>
      </c>
      <c r="S357" s="555">
        <v>9599</v>
      </c>
      <c r="T357" s="558">
        <v>2480</v>
      </c>
      <c r="U357" s="555">
        <v>1570</v>
      </c>
      <c r="V357" s="559" t="s">
        <v>198</v>
      </c>
      <c r="W357" s="560"/>
      <c r="X357" s="561"/>
      <c r="Y357" s="561"/>
      <c r="Z357" s="561"/>
      <c r="AA357" s="562" t="s">
        <v>191</v>
      </c>
      <c r="AB357" s="553" t="s">
        <v>4</v>
      </c>
      <c r="AC357" s="564">
        <v>9191.7999999999993</v>
      </c>
      <c r="AD357" s="565">
        <v>13787.7</v>
      </c>
      <c r="AE357" s="566">
        <v>8804.7999999999993</v>
      </c>
      <c r="AF357" s="567">
        <v>13787.7</v>
      </c>
      <c r="AG357" s="568">
        <v>8804.7999999999993</v>
      </c>
      <c r="AH357" s="783"/>
      <c r="AI357" s="783"/>
    </row>
    <row r="358" spans="1:35" s="591" customFormat="1" x14ac:dyDescent="0.25">
      <c r="A358" s="939"/>
      <c r="B358" s="494" t="s">
        <v>11</v>
      </c>
      <c r="C358" s="302">
        <f t="shared" ref="C358:L358" si="185">C357*33.717</f>
        <v>197918.78999999998</v>
      </c>
      <c r="D358" s="512">
        <f t="shared" si="185"/>
        <v>112378.761</v>
      </c>
      <c r="E358" s="302">
        <f t="shared" si="185"/>
        <v>112277.61</v>
      </c>
      <c r="F358" s="355">
        <f t="shared" si="185"/>
        <v>318861.66899999999</v>
      </c>
      <c r="G358" s="499">
        <f t="shared" si="185"/>
        <v>267342.09299999999</v>
      </c>
      <c r="H358" s="354">
        <f t="shared" si="185"/>
        <v>529458.05099999998</v>
      </c>
      <c r="I358" s="354">
        <f t="shared" si="185"/>
        <v>276378.24900000001</v>
      </c>
      <c r="J358" s="355">
        <f t="shared" si="185"/>
        <v>323649.48300000001</v>
      </c>
      <c r="K358" s="507">
        <f t="shared" si="185"/>
        <v>137329.34099999999</v>
      </c>
      <c r="L358" s="512">
        <f t="shared" si="185"/>
        <v>215755.08299999998</v>
      </c>
      <c r="M358" s="322">
        <f>M357*33.717</f>
        <v>306554.96399999998</v>
      </c>
      <c r="N358" s="499">
        <f>N357*33.717</f>
        <v>402007.79099999997</v>
      </c>
      <c r="O358" s="499">
        <f>O357*33.717</f>
        <v>136857.30299999999</v>
      </c>
      <c r="P358" s="354">
        <f>P357*33.717</f>
        <v>365896.88399999996</v>
      </c>
      <c r="Q358" s="355">
        <f>Q357*33.717</f>
        <v>161807.883</v>
      </c>
      <c r="R358" s="507">
        <f t="shared" ref="R358:S358" si="186">R357*33.717</f>
        <v>242492.66399999999</v>
      </c>
      <c r="S358" s="512">
        <f t="shared" si="186"/>
        <v>323649.48300000001</v>
      </c>
      <c r="T358" s="302">
        <f>T357*33.717</f>
        <v>83618.16</v>
      </c>
      <c r="U358" s="354">
        <f>U357*33.717</f>
        <v>52935.689999999995</v>
      </c>
      <c r="V358" s="534"/>
      <c r="W358" s="534"/>
      <c r="X358" s="534"/>
      <c r="Y358" s="534"/>
      <c r="Z358" s="534"/>
      <c r="AA358" s="549"/>
      <c r="AB358" s="497" t="s">
        <v>5</v>
      </c>
      <c r="AC358" s="319">
        <v>8835</v>
      </c>
      <c r="AD358" s="300">
        <v>13648.9</v>
      </c>
      <c r="AE358" s="513">
        <v>0</v>
      </c>
      <c r="AF358" s="398">
        <v>13649.5</v>
      </c>
      <c r="AG358" s="394">
        <v>30</v>
      </c>
      <c r="AH358" s="781"/>
      <c r="AI358" s="781"/>
    </row>
    <row r="359" spans="1:35" s="591" customFormat="1" ht="15.75" thickBot="1" x14ac:dyDescent="0.3">
      <c r="A359" s="939"/>
      <c r="B359" s="494" t="s">
        <v>79</v>
      </c>
      <c r="C359" s="302">
        <v>164000</v>
      </c>
      <c r="D359" s="512">
        <v>109880</v>
      </c>
      <c r="E359" s="302">
        <v>109880</v>
      </c>
      <c r="F359" s="499">
        <v>328000</v>
      </c>
      <c r="G359" s="499">
        <v>330905</v>
      </c>
      <c r="H359" s="499">
        <v>264264</v>
      </c>
      <c r="I359" s="499">
        <v>242663.6</v>
      </c>
      <c r="J359" s="507">
        <v>328000</v>
      </c>
      <c r="K359" s="507">
        <v>328000</v>
      </c>
      <c r="L359" s="512">
        <v>328000</v>
      </c>
      <c r="M359" s="302">
        <v>328000</v>
      </c>
      <c r="N359" s="499">
        <v>264264.40000000002</v>
      </c>
      <c r="O359" s="499">
        <v>328000</v>
      </c>
      <c r="P359" s="499">
        <v>352965.4</v>
      </c>
      <c r="Q359" s="507">
        <v>328000</v>
      </c>
      <c r="R359" s="507">
        <v>328000</v>
      </c>
      <c r="S359" s="512">
        <v>328000</v>
      </c>
      <c r="T359" s="322">
        <f>2*T354</f>
        <v>110302</v>
      </c>
      <c r="U359" s="512">
        <f>2*U354</f>
        <v>66181</v>
      </c>
      <c r="V359" s="534"/>
      <c r="W359" s="534"/>
      <c r="X359" s="534"/>
      <c r="Y359" s="534"/>
      <c r="Z359" s="534"/>
      <c r="AA359" s="550"/>
      <c r="AB359" s="344" t="s">
        <v>3</v>
      </c>
      <c r="AC359" s="395">
        <f>AC358/AC357</f>
        <v>0.96118279335929857</v>
      </c>
      <c r="AD359" s="301">
        <f>AD358/AD357</f>
        <v>0.98993305627479555</v>
      </c>
      <c r="AE359" s="401">
        <f>AE358/AE357</f>
        <v>0</v>
      </c>
      <c r="AF359" s="400">
        <f>AF358/AF357</f>
        <v>0.98997657332259903</v>
      </c>
      <c r="AG359" s="348">
        <f>AG358/AG357</f>
        <v>3.4072324186807199E-3</v>
      </c>
      <c r="AH359" s="782"/>
      <c r="AI359" s="782"/>
    </row>
    <row r="360" spans="1:35" s="591" customFormat="1" x14ac:dyDescent="0.25">
      <c r="A360" s="939"/>
      <c r="B360" s="497" t="s">
        <v>8</v>
      </c>
      <c r="C360" s="303">
        <f>SUM(C357-336)</f>
        <v>5534</v>
      </c>
      <c r="D360" s="511">
        <f>SUM(D357-468)</f>
        <v>2865</v>
      </c>
      <c r="E360" s="303">
        <f>SUM(E357-435)</f>
        <v>2895</v>
      </c>
      <c r="F360" s="502">
        <f>SUM(F357-1130)</f>
        <v>8327</v>
      </c>
      <c r="G360" s="502">
        <f>SUM(G357-4311)</f>
        <v>3618</v>
      </c>
      <c r="H360" s="502">
        <f>SUM(H357-2041)</f>
        <v>13662</v>
      </c>
      <c r="I360" s="502">
        <f>SUM(I357-(3284-2000))</f>
        <v>6913</v>
      </c>
      <c r="J360" s="508">
        <f>SUM(J357-8822)</f>
        <v>777</v>
      </c>
      <c r="K360" s="508">
        <f>SUM(K357-1056)</f>
        <v>3017</v>
      </c>
      <c r="L360" s="511">
        <f>SUM(L357-4196)</f>
        <v>2203</v>
      </c>
      <c r="M360" s="303">
        <f>SUM(M357-744)</f>
        <v>8348</v>
      </c>
      <c r="N360" s="502">
        <f>SUM(N357-986)</f>
        <v>10937</v>
      </c>
      <c r="O360" s="508">
        <f>SUM(O357-294)</f>
        <v>3765</v>
      </c>
      <c r="P360" s="502">
        <f>SUM(P357-(5089-2614))</f>
        <v>8377</v>
      </c>
      <c r="Q360" s="508">
        <f>SUM(Q357-3574)</f>
        <v>1225</v>
      </c>
      <c r="R360" s="508">
        <f>SUM(R357-4060)</f>
        <v>3132</v>
      </c>
      <c r="S360" s="511">
        <f>SUM(S357-3942)</f>
        <v>5657</v>
      </c>
      <c r="T360" s="323">
        <f>SUM(T357-859)</f>
        <v>1621</v>
      </c>
      <c r="U360" s="511">
        <f>SUM(U357-555)</f>
        <v>1015</v>
      </c>
      <c r="V360" s="526" t="s">
        <v>176</v>
      </c>
      <c r="W360" s="534"/>
      <c r="X360" s="534"/>
      <c r="Y360" s="534"/>
      <c r="Z360" s="534"/>
      <c r="AA360" s="548" t="s">
        <v>192</v>
      </c>
      <c r="AB360" s="528" t="s">
        <v>4</v>
      </c>
      <c r="AC360" s="544">
        <v>97433.600000000006</v>
      </c>
      <c r="AD360" s="541">
        <v>243584.4</v>
      </c>
      <c r="AE360" s="538">
        <v>132070.29999999999</v>
      </c>
      <c r="AF360" s="552">
        <v>292299.3</v>
      </c>
      <c r="AG360" s="551">
        <v>132070.39999999999</v>
      </c>
      <c r="AH360" s="780"/>
      <c r="AI360" s="780"/>
    </row>
    <row r="361" spans="1:35" s="591" customFormat="1" x14ac:dyDescent="0.25">
      <c r="A361" s="939"/>
      <c r="B361" s="495" t="s">
        <v>77</v>
      </c>
      <c r="C361" s="302">
        <f t="shared" ref="C361:H361" si="187">(C360*33.717)</f>
        <v>186589.878</v>
      </c>
      <c r="D361" s="338">
        <f t="shared" si="187"/>
        <v>96599.205000000002</v>
      </c>
      <c r="E361" s="302">
        <f t="shared" si="187"/>
        <v>97610.714999999997</v>
      </c>
      <c r="F361" s="338">
        <f t="shared" si="187"/>
        <v>280761.45899999997</v>
      </c>
      <c r="G361" s="500">
        <f t="shared" si="187"/>
        <v>121988.106</v>
      </c>
      <c r="H361" s="500">
        <f t="shared" si="187"/>
        <v>460641.65399999998</v>
      </c>
      <c r="I361" s="500">
        <f>(I360*33.717)-(2000*33.717)</f>
        <v>165651.62099999998</v>
      </c>
      <c r="J361" s="509">
        <f>J360*33.717</f>
        <v>26198.109</v>
      </c>
      <c r="K361" s="509">
        <f>K360*33.717</f>
        <v>101724.189</v>
      </c>
      <c r="L361" s="261">
        <f>L360*33.717</f>
        <v>74278.550999999992</v>
      </c>
      <c r="M361" s="304">
        <f>M360*33.717</f>
        <v>281469.516</v>
      </c>
      <c r="N361" s="500">
        <f>N360*33.717</f>
        <v>368762.82899999997</v>
      </c>
      <c r="O361" s="500">
        <f>(O360*33.717)</f>
        <v>126944.50499999999</v>
      </c>
      <c r="P361" s="500">
        <f>P360*33.717-(2614*33.717)</f>
        <v>194311.071</v>
      </c>
      <c r="Q361" s="509">
        <f t="shared" ref="Q361:U361" si="188">Q360*33.717</f>
        <v>41303.324999999997</v>
      </c>
      <c r="R361" s="509">
        <f t="shared" si="188"/>
        <v>105601.644</v>
      </c>
      <c r="S361" s="261">
        <f t="shared" si="188"/>
        <v>190737.06899999999</v>
      </c>
      <c r="T361" s="324">
        <f t="shared" si="188"/>
        <v>54655.256999999998</v>
      </c>
      <c r="U361" s="518">
        <f t="shared" si="188"/>
        <v>34222.754999999997</v>
      </c>
      <c r="V361" s="532">
        <f>344240-H361</f>
        <v>-116401.65399999998</v>
      </c>
      <c r="W361" s="534" t="s">
        <v>177</v>
      </c>
      <c r="X361" s="534"/>
      <c r="Y361" s="534"/>
      <c r="Z361" s="534"/>
      <c r="AA361" s="549"/>
      <c r="AB361" s="497" t="s">
        <v>5</v>
      </c>
      <c r="AC361" s="319">
        <v>38973.199999999997</v>
      </c>
      <c r="AD361" s="300">
        <v>95895.7</v>
      </c>
      <c r="AE361" s="513">
        <v>0.1</v>
      </c>
      <c r="AF361" s="398">
        <v>93978.8</v>
      </c>
      <c r="AG361" s="394">
        <v>1</v>
      </c>
      <c r="AH361" s="781"/>
      <c r="AI361" s="781"/>
    </row>
    <row r="362" spans="1:35" s="591" customFormat="1" ht="15.75" thickBot="1" x14ac:dyDescent="0.3">
      <c r="A362" s="940"/>
      <c r="B362" s="504" t="s">
        <v>10</v>
      </c>
      <c r="C362" s="542">
        <f>C361/C354</f>
        <v>1.3012481641363247</v>
      </c>
      <c r="D362" s="514">
        <f t="shared" ref="D362:U362" si="189">D361/D354</f>
        <v>0.64178396815768612</v>
      </c>
      <c r="E362" s="543">
        <f t="shared" si="189"/>
        <v>0.64850421913315925</v>
      </c>
      <c r="F362" s="501">
        <f t="shared" si="189"/>
        <v>1.542655550476157</v>
      </c>
      <c r="G362" s="501">
        <f t="shared" si="189"/>
        <v>0.73729540928417958</v>
      </c>
      <c r="H362" s="501">
        <f t="shared" si="189"/>
        <v>3.4861995309268168</v>
      </c>
      <c r="I362" s="501">
        <f t="shared" si="189"/>
        <v>0.96890084495047613</v>
      </c>
      <c r="J362" s="520">
        <f t="shared" si="189"/>
        <v>0.15834121973847637</v>
      </c>
      <c r="K362" s="520">
        <f t="shared" si="189"/>
        <v>1.1007729440892702</v>
      </c>
      <c r="L362" s="515">
        <f t="shared" si="189"/>
        <v>0.89281289627758975</v>
      </c>
      <c r="M362" s="543">
        <f t="shared" si="189"/>
        <v>1.4581714156052119</v>
      </c>
      <c r="N362" s="501">
        <f t="shared" si="189"/>
        <v>2.7908479190269797</v>
      </c>
      <c r="O362" s="501">
        <f t="shared" si="189"/>
        <v>1.5345064948879801</v>
      </c>
      <c r="P362" s="510">
        <f t="shared" si="189"/>
        <v>0.70465112509292671</v>
      </c>
      <c r="Q362" s="520">
        <f t="shared" si="189"/>
        <v>0.49927502157709847</v>
      </c>
      <c r="R362" s="520">
        <f t="shared" si="189"/>
        <v>0.55879325817963232</v>
      </c>
      <c r="S362" s="515">
        <f t="shared" si="189"/>
        <v>2.2926203151349638</v>
      </c>
      <c r="T362" s="542">
        <f t="shared" si="189"/>
        <v>0.99101116933509814</v>
      </c>
      <c r="U362" s="514">
        <f t="shared" si="189"/>
        <v>1.034216920264124</v>
      </c>
      <c r="V362" s="535"/>
      <c r="W362" s="534"/>
      <c r="X362" s="534"/>
      <c r="Y362" s="534"/>
      <c r="Z362" s="534"/>
      <c r="AA362" s="550"/>
      <c r="AB362" s="504" t="s">
        <v>3</v>
      </c>
      <c r="AC362" s="545">
        <f>AC361/AC360</f>
        <v>0.39999753678402516</v>
      </c>
      <c r="AD362" s="542">
        <f>AD361/AD360</f>
        <v>0.39368572043201455</v>
      </c>
      <c r="AE362" s="514">
        <f>AE361/AE360</f>
        <v>7.5717250585483648E-7</v>
      </c>
      <c r="AF362" s="522">
        <f>AF361/AF360</f>
        <v>0.32151565193621745</v>
      </c>
      <c r="AG362" s="343">
        <f>AG361/AG360</f>
        <v>7.5717193254506694E-6</v>
      </c>
      <c r="AH362" s="782"/>
      <c r="AI362" s="782"/>
    </row>
    <row r="363" spans="1:35" s="523" customFormat="1" ht="15.75" thickBot="1" x14ac:dyDescent="0.3">
      <c r="A363" s="924">
        <v>41617</v>
      </c>
      <c r="B363" s="924"/>
      <c r="C363" s="924"/>
      <c r="D363" s="529"/>
      <c r="E363" s="529"/>
      <c r="F363" s="529"/>
      <c r="G363" s="529"/>
      <c r="H363" s="529"/>
      <c r="I363" s="525"/>
      <c r="J363" s="531"/>
      <c r="K363" s="531"/>
      <c r="L363" s="529"/>
      <c r="M363" s="529"/>
      <c r="N363" s="527"/>
      <c r="R363" s="526"/>
      <c r="S363" s="534"/>
      <c r="T363" s="534"/>
      <c r="U363" s="534"/>
      <c r="V363" s="534"/>
      <c r="W363" s="534"/>
      <c r="X363" s="534"/>
      <c r="Y363" s="534"/>
      <c r="Z363" s="534"/>
      <c r="AA363" s="941"/>
      <c r="AB363" s="942"/>
      <c r="AH363" s="743"/>
      <c r="AI363" s="743"/>
    </row>
    <row r="364" spans="1:35" s="523" customFormat="1" x14ac:dyDescent="0.25">
      <c r="A364" s="925" t="s">
        <v>1</v>
      </c>
      <c r="B364" s="926"/>
      <c r="C364" s="540" t="s">
        <v>12</v>
      </c>
      <c r="D364" s="539" t="s">
        <v>12</v>
      </c>
      <c r="E364" s="540" t="s">
        <v>13</v>
      </c>
      <c r="F364" s="530" t="s">
        <v>13</v>
      </c>
      <c r="G364" s="530" t="s">
        <v>13</v>
      </c>
      <c r="H364" s="530" t="s">
        <v>13</v>
      </c>
      <c r="I364" s="530" t="s">
        <v>13</v>
      </c>
      <c r="J364" s="536" t="s">
        <v>13</v>
      </c>
      <c r="K364" s="536" t="s">
        <v>13</v>
      </c>
      <c r="L364" s="539" t="s">
        <v>13</v>
      </c>
      <c r="M364" s="569" t="s">
        <v>2</v>
      </c>
      <c r="N364" s="530" t="s">
        <v>2</v>
      </c>
      <c r="O364" s="536" t="s">
        <v>2</v>
      </c>
      <c r="P364" s="530" t="s">
        <v>2</v>
      </c>
      <c r="Q364" s="536" t="s">
        <v>2</v>
      </c>
      <c r="R364" s="536" t="s">
        <v>2</v>
      </c>
      <c r="S364" s="539" t="s">
        <v>2</v>
      </c>
      <c r="T364" s="569" t="s">
        <v>183</v>
      </c>
      <c r="U364" s="570" t="s">
        <v>183</v>
      </c>
      <c r="V364" s="526"/>
      <c r="W364" s="534"/>
      <c r="X364" s="534"/>
      <c r="Y364" s="534"/>
      <c r="Z364" s="534"/>
      <c r="AA364" s="925" t="s">
        <v>1</v>
      </c>
      <c r="AB364" s="928"/>
      <c r="AC364" s="546" t="s">
        <v>12</v>
      </c>
      <c r="AD364" s="929" t="s">
        <v>13</v>
      </c>
      <c r="AE364" s="930"/>
      <c r="AF364" s="929" t="s">
        <v>2</v>
      </c>
      <c r="AG364" s="930"/>
      <c r="AH364" s="778"/>
      <c r="AI364" s="778"/>
    </row>
    <row r="365" spans="1:35" s="523" customFormat="1" ht="15.75" thickBot="1" x14ac:dyDescent="0.3">
      <c r="A365" s="931" t="s">
        <v>0</v>
      </c>
      <c r="B365" s="944"/>
      <c r="C365" s="298" t="s">
        <v>99</v>
      </c>
      <c r="D365" s="291" t="s">
        <v>100</v>
      </c>
      <c r="E365" s="298" t="s">
        <v>101</v>
      </c>
      <c r="F365" s="503" t="s">
        <v>102</v>
      </c>
      <c r="G365" s="503" t="s">
        <v>97</v>
      </c>
      <c r="H365" s="503" t="s">
        <v>104</v>
      </c>
      <c r="I365" s="503" t="s">
        <v>103</v>
      </c>
      <c r="J365" s="521" t="s">
        <v>178</v>
      </c>
      <c r="K365" s="521" t="s">
        <v>200</v>
      </c>
      <c r="L365" s="517" t="s">
        <v>207</v>
      </c>
      <c r="M365" s="298" t="s">
        <v>105</v>
      </c>
      <c r="N365" s="503" t="s">
        <v>107</v>
      </c>
      <c r="O365" s="505" t="s">
        <v>98</v>
      </c>
      <c r="P365" s="516" t="s">
        <v>106</v>
      </c>
      <c r="Q365" s="505" t="s">
        <v>179</v>
      </c>
      <c r="R365" s="505" t="s">
        <v>199</v>
      </c>
      <c r="S365" s="291" t="s">
        <v>208</v>
      </c>
      <c r="T365" s="317" t="s">
        <v>182</v>
      </c>
      <c r="U365" s="291" t="s">
        <v>184</v>
      </c>
      <c r="V365" s="526"/>
      <c r="W365" s="526"/>
      <c r="X365" s="526"/>
      <c r="Y365" s="526"/>
      <c r="Z365" s="526"/>
      <c r="AA365" s="931" t="s">
        <v>0</v>
      </c>
      <c r="AB365" s="945"/>
      <c r="AC365" s="317" t="s">
        <v>99</v>
      </c>
      <c r="AD365" s="298" t="s">
        <v>104</v>
      </c>
      <c r="AE365" s="291" t="s">
        <v>207</v>
      </c>
      <c r="AF365" s="396" t="s">
        <v>107</v>
      </c>
      <c r="AG365" s="392" t="s">
        <v>208</v>
      </c>
      <c r="AH365" s="779"/>
      <c r="AI365" s="779"/>
    </row>
    <row r="366" spans="1:35" s="523" customFormat="1" x14ac:dyDescent="0.25">
      <c r="A366" s="935" t="s">
        <v>9</v>
      </c>
      <c r="B366" s="528" t="s">
        <v>4</v>
      </c>
      <c r="C366" s="541">
        <v>143393</v>
      </c>
      <c r="D366" s="538">
        <v>150516.70000000001</v>
      </c>
      <c r="E366" s="541">
        <v>150516.70000000001</v>
      </c>
      <c r="F366" s="533">
        <v>181998.8</v>
      </c>
      <c r="G366" s="533">
        <v>165453.5</v>
      </c>
      <c r="H366" s="533">
        <v>132132.9</v>
      </c>
      <c r="I366" s="533">
        <v>170968.6</v>
      </c>
      <c r="J366" s="537">
        <v>165453.5</v>
      </c>
      <c r="K366" s="537">
        <v>92411.6</v>
      </c>
      <c r="L366" s="538">
        <f>83196.1+132070.4</f>
        <v>215266.5</v>
      </c>
      <c r="M366" s="541">
        <v>193029.1</v>
      </c>
      <c r="N366" s="533">
        <f>132132.9+292299.3</f>
        <v>424432.19999999995</v>
      </c>
      <c r="O366" s="533">
        <v>82726.600000000006</v>
      </c>
      <c r="P366" s="533">
        <v>275755</v>
      </c>
      <c r="Q366" s="537">
        <v>82726.600000000006</v>
      </c>
      <c r="R366" s="537">
        <v>188981.6</v>
      </c>
      <c r="S366" s="538">
        <f>83196.1+132070.4</f>
        <v>215266.5</v>
      </c>
      <c r="T366" s="544">
        <v>55151</v>
      </c>
      <c r="U366" s="538">
        <v>33090.5</v>
      </c>
      <c r="V366" s="534"/>
      <c r="W366" s="534"/>
      <c r="X366" s="534"/>
      <c r="Y366" s="534"/>
      <c r="Z366" s="534"/>
      <c r="AA366" s="548" t="s">
        <v>195</v>
      </c>
      <c r="AB366" s="524" t="s">
        <v>4</v>
      </c>
      <c r="AC366" s="544">
        <v>143392.20000000001</v>
      </c>
      <c r="AD366" s="541">
        <v>132132</v>
      </c>
      <c r="AE366" s="538">
        <v>83196.100000000006</v>
      </c>
      <c r="AF366" s="552">
        <v>132132.20000000001</v>
      </c>
      <c r="AG366" s="551">
        <v>83196.100000000006</v>
      </c>
      <c r="AH366" s="780"/>
      <c r="AI366" s="780"/>
    </row>
    <row r="367" spans="1:35" s="523" customFormat="1" x14ac:dyDescent="0.25">
      <c r="A367" s="936"/>
      <c r="B367" s="497" t="s">
        <v>5</v>
      </c>
      <c r="C367" s="572">
        <v>50264.4</v>
      </c>
      <c r="D367" s="571">
        <v>81591.8</v>
      </c>
      <c r="E367" s="572">
        <v>82967.899999999994</v>
      </c>
      <c r="F367" s="573">
        <v>154489.70000000001</v>
      </c>
      <c r="G367" s="573">
        <v>117976.4</v>
      </c>
      <c r="H367" s="573">
        <v>64242.5</v>
      </c>
      <c r="I367" s="573">
        <v>110264.4</v>
      </c>
      <c r="J367" s="575">
        <v>29116.5</v>
      </c>
      <c r="K367" s="575">
        <v>55545</v>
      </c>
      <c r="L367" s="571">
        <v>5286.7</v>
      </c>
      <c r="M367" s="572">
        <v>166698.70000000001</v>
      </c>
      <c r="N367" s="573">
        <v>83926.200000000012</v>
      </c>
      <c r="O367" s="573">
        <v>60600.6</v>
      </c>
      <c r="P367" s="573">
        <v>203405.6</v>
      </c>
      <c r="Q367" s="575">
        <v>15157.4</v>
      </c>
      <c r="R367" s="575">
        <v>90252.5</v>
      </c>
      <c r="S367" s="571">
        <v>62814.799999999996</v>
      </c>
      <c r="T367" s="574">
        <v>13512</v>
      </c>
      <c r="U367" s="571">
        <v>6899.9</v>
      </c>
      <c r="V367" s="534"/>
      <c r="W367" s="534"/>
      <c r="X367" s="534"/>
      <c r="Y367" s="534"/>
      <c r="Z367" s="534"/>
      <c r="AA367" s="549"/>
      <c r="AB367" s="496" t="s">
        <v>5</v>
      </c>
      <c r="AC367" s="319">
        <v>43401.8</v>
      </c>
      <c r="AD367" s="300">
        <v>58695.3</v>
      </c>
      <c r="AE367" s="513">
        <v>4.7</v>
      </c>
      <c r="AF367" s="398">
        <v>55118.9</v>
      </c>
      <c r="AG367" s="394">
        <v>4.5</v>
      </c>
      <c r="AH367" s="781"/>
      <c r="AI367" s="781"/>
    </row>
    <row r="368" spans="1:35" s="523" customFormat="1" ht="15.75" thickBot="1" x14ac:dyDescent="0.3">
      <c r="A368" s="937"/>
      <c r="B368" s="504" t="s">
        <v>3</v>
      </c>
      <c r="C368" s="542">
        <f t="shared" ref="C368:L368" si="190">C367/C366</f>
        <v>0.35053593969022201</v>
      </c>
      <c r="D368" s="343">
        <f t="shared" si="190"/>
        <v>0.54207805512610896</v>
      </c>
      <c r="E368" s="542">
        <f t="shared" si="190"/>
        <v>0.55122056223661553</v>
      </c>
      <c r="F368" s="519">
        <f t="shared" si="190"/>
        <v>0.84885010230836699</v>
      </c>
      <c r="G368" s="498">
        <f t="shared" si="190"/>
        <v>0.71304868135155797</v>
      </c>
      <c r="H368" s="498">
        <f t="shared" si="190"/>
        <v>0.48619609499223887</v>
      </c>
      <c r="I368" s="498">
        <f t="shared" si="190"/>
        <v>0.64493948011506197</v>
      </c>
      <c r="J368" s="506">
        <f t="shared" si="190"/>
        <v>0.17597995811511996</v>
      </c>
      <c r="K368" s="506">
        <f t="shared" si="190"/>
        <v>0.60106090577373394</v>
      </c>
      <c r="L368" s="514">
        <f t="shared" si="190"/>
        <v>2.4558860760963735E-2</v>
      </c>
      <c r="M368" s="547">
        <f>M367/M366</f>
        <v>0.86359362396654182</v>
      </c>
      <c r="N368" s="498">
        <f>N367/N366</f>
        <v>0.19773758918385556</v>
      </c>
      <c r="O368" s="506">
        <f>O367/O366</f>
        <v>0.73254068219895407</v>
      </c>
      <c r="P368" s="498">
        <f>P367/P366</f>
        <v>0.7376315932621349</v>
      </c>
      <c r="Q368" s="506">
        <f>Q367/Q366</f>
        <v>0.18322280862503715</v>
      </c>
      <c r="R368" s="506">
        <f t="shared" ref="R368:S368" si="191">R367/R366</f>
        <v>0.47757294890084534</v>
      </c>
      <c r="S368" s="514">
        <f t="shared" si="191"/>
        <v>0.29180016398278413</v>
      </c>
      <c r="T368" s="545">
        <f>T367/T366</f>
        <v>0.24500009066018749</v>
      </c>
      <c r="U368" s="514">
        <f>U367/U366</f>
        <v>0.20851603934664026</v>
      </c>
      <c r="V368" s="534"/>
      <c r="W368" s="534"/>
      <c r="X368" s="534"/>
      <c r="Y368" s="534"/>
      <c r="Z368" s="534"/>
      <c r="AA368" s="550"/>
      <c r="AB368" s="347" t="s">
        <v>3</v>
      </c>
      <c r="AC368" s="395">
        <f>AC367/AC366</f>
        <v>0.302678946274623</v>
      </c>
      <c r="AD368" s="542">
        <f>AD367/AD366</f>
        <v>0.44421714648987376</v>
      </c>
      <c r="AE368" s="514">
        <f>AE367/AE366</f>
        <v>5.6493032726293656E-5</v>
      </c>
      <c r="AF368" s="522">
        <f>AF367/AF366</f>
        <v>0.41714964255495629</v>
      </c>
      <c r="AG368" s="343">
        <f>AG367/AG366</f>
        <v>5.4089073886876906E-5</v>
      </c>
      <c r="AH368" s="782"/>
      <c r="AI368" s="782"/>
    </row>
    <row r="369" spans="1:35" s="523" customFormat="1" x14ac:dyDescent="0.25">
      <c r="A369" s="938" t="s">
        <v>6</v>
      </c>
      <c r="B369" s="553" t="s">
        <v>7</v>
      </c>
      <c r="C369" s="554">
        <v>5870</v>
      </c>
      <c r="D369" s="555">
        <v>3333</v>
      </c>
      <c r="E369" s="554">
        <v>3330</v>
      </c>
      <c r="F369" s="556">
        <v>9457</v>
      </c>
      <c r="G369" s="556">
        <v>8341</v>
      </c>
      <c r="H369" s="556">
        <v>15703</v>
      </c>
      <c r="I369" s="556">
        <v>8197</v>
      </c>
      <c r="J369" s="557">
        <v>9599</v>
      </c>
      <c r="K369" s="557">
        <v>4073</v>
      </c>
      <c r="L369" s="555">
        <v>6399</v>
      </c>
      <c r="M369" s="554">
        <v>9092</v>
      </c>
      <c r="N369" s="556">
        <v>11923</v>
      </c>
      <c r="O369" s="556">
        <v>4265</v>
      </c>
      <c r="P369" s="556">
        <v>10852</v>
      </c>
      <c r="Q369" s="557">
        <v>4799</v>
      </c>
      <c r="R369" s="557">
        <v>7192</v>
      </c>
      <c r="S369" s="555">
        <v>6399</v>
      </c>
      <c r="T369" s="558">
        <v>2480</v>
      </c>
      <c r="U369" s="555">
        <v>1570</v>
      </c>
      <c r="V369" s="559" t="s">
        <v>198</v>
      </c>
      <c r="W369" s="560"/>
      <c r="X369" s="561"/>
      <c r="Y369" s="561"/>
      <c r="Z369" s="561"/>
      <c r="AA369" s="562" t="s">
        <v>191</v>
      </c>
      <c r="AB369" s="553" t="s">
        <v>4</v>
      </c>
      <c r="AC369" s="564">
        <v>9191.7999999999993</v>
      </c>
      <c r="AD369" s="565">
        <v>13787.7</v>
      </c>
      <c r="AE369" s="566">
        <v>8804.7999999999993</v>
      </c>
      <c r="AF369" s="567">
        <v>13787.7</v>
      </c>
      <c r="AG369" s="568">
        <v>8804.7999999999993</v>
      </c>
      <c r="AH369" s="783"/>
      <c r="AI369" s="783"/>
    </row>
    <row r="370" spans="1:35" s="523" customFormat="1" x14ac:dyDescent="0.25">
      <c r="A370" s="939"/>
      <c r="B370" s="494" t="s">
        <v>11</v>
      </c>
      <c r="C370" s="302">
        <f t="shared" ref="C370:L370" si="192">C369*33.717</f>
        <v>197918.78999999998</v>
      </c>
      <c r="D370" s="512">
        <f t="shared" si="192"/>
        <v>112378.761</v>
      </c>
      <c r="E370" s="302">
        <f t="shared" si="192"/>
        <v>112277.61</v>
      </c>
      <c r="F370" s="355">
        <f t="shared" si="192"/>
        <v>318861.66899999999</v>
      </c>
      <c r="G370" s="499">
        <f t="shared" si="192"/>
        <v>281233.49699999997</v>
      </c>
      <c r="H370" s="354">
        <f t="shared" si="192"/>
        <v>529458.05099999998</v>
      </c>
      <c r="I370" s="354">
        <f t="shared" si="192"/>
        <v>276378.24900000001</v>
      </c>
      <c r="J370" s="355">
        <f t="shared" si="192"/>
        <v>323649.48300000001</v>
      </c>
      <c r="K370" s="507">
        <f t="shared" si="192"/>
        <v>137329.34099999999</v>
      </c>
      <c r="L370" s="512">
        <f t="shared" si="192"/>
        <v>215755.08299999998</v>
      </c>
      <c r="M370" s="322">
        <f>M369*33.717</f>
        <v>306554.96399999998</v>
      </c>
      <c r="N370" s="499">
        <f>N369*33.717</f>
        <v>402007.79099999997</v>
      </c>
      <c r="O370" s="499">
        <f>O369*33.717</f>
        <v>143803.005</v>
      </c>
      <c r="P370" s="354">
        <f>P369*33.717</f>
        <v>365896.88399999996</v>
      </c>
      <c r="Q370" s="355">
        <f>Q369*33.717</f>
        <v>161807.883</v>
      </c>
      <c r="R370" s="507">
        <f t="shared" ref="R370:S370" si="193">R369*33.717</f>
        <v>242492.66399999999</v>
      </c>
      <c r="S370" s="512">
        <f t="shared" si="193"/>
        <v>215755.08299999998</v>
      </c>
      <c r="T370" s="302">
        <f>T369*33.717</f>
        <v>83618.16</v>
      </c>
      <c r="U370" s="354">
        <f>U369*33.717</f>
        <v>52935.689999999995</v>
      </c>
      <c r="V370" s="534"/>
      <c r="W370" s="534"/>
      <c r="X370" s="534"/>
      <c r="Y370" s="534"/>
      <c r="Z370" s="534"/>
      <c r="AA370" s="549"/>
      <c r="AB370" s="497" t="s">
        <v>5</v>
      </c>
      <c r="AC370" s="319">
        <v>8835</v>
      </c>
      <c r="AD370" s="300">
        <v>13648.9</v>
      </c>
      <c r="AE370" s="513">
        <v>0</v>
      </c>
      <c r="AF370" s="398">
        <v>13649.5</v>
      </c>
      <c r="AG370" s="394">
        <v>30</v>
      </c>
      <c r="AH370" s="781"/>
      <c r="AI370" s="781"/>
    </row>
    <row r="371" spans="1:35" s="523" customFormat="1" ht="15.75" thickBot="1" x14ac:dyDescent="0.3">
      <c r="A371" s="939"/>
      <c r="B371" s="494" t="s">
        <v>79</v>
      </c>
      <c r="C371" s="302">
        <v>164000</v>
      </c>
      <c r="D371" s="512">
        <v>109880</v>
      </c>
      <c r="E371" s="302">
        <v>109880</v>
      </c>
      <c r="F371" s="499">
        <v>328000</v>
      </c>
      <c r="G371" s="499">
        <v>330905</v>
      </c>
      <c r="H371" s="499">
        <v>264264</v>
      </c>
      <c r="I371" s="499">
        <v>242663.6</v>
      </c>
      <c r="J371" s="507">
        <v>328000</v>
      </c>
      <c r="K371" s="507">
        <v>328000</v>
      </c>
      <c r="L371" s="512">
        <v>328000</v>
      </c>
      <c r="M371" s="302">
        <v>328000</v>
      </c>
      <c r="N371" s="499">
        <v>264264.40000000002</v>
      </c>
      <c r="O371" s="499">
        <v>328000</v>
      </c>
      <c r="P371" s="499">
        <v>352965.4</v>
      </c>
      <c r="Q371" s="507">
        <v>328000</v>
      </c>
      <c r="R371" s="507">
        <v>328000</v>
      </c>
      <c r="S371" s="512">
        <v>328000</v>
      </c>
      <c r="T371" s="322">
        <f>2*T366</f>
        <v>110302</v>
      </c>
      <c r="U371" s="512">
        <f>2*U366</f>
        <v>66181</v>
      </c>
      <c r="V371" s="534"/>
      <c r="W371" s="534"/>
      <c r="X371" s="534"/>
      <c r="Y371" s="534"/>
      <c r="Z371" s="534"/>
      <c r="AA371" s="550"/>
      <c r="AB371" s="344" t="s">
        <v>3</v>
      </c>
      <c r="AC371" s="395">
        <f>AC370/AC369</f>
        <v>0.96118279335929857</v>
      </c>
      <c r="AD371" s="301">
        <f>AD370/AD369</f>
        <v>0.98993305627479555</v>
      </c>
      <c r="AE371" s="401">
        <f>AE370/AE369</f>
        <v>0</v>
      </c>
      <c r="AF371" s="400">
        <f>AF370/AF369</f>
        <v>0.98997657332259903</v>
      </c>
      <c r="AG371" s="348">
        <f>AG370/AG369</f>
        <v>3.4072324186807199E-3</v>
      </c>
      <c r="AH371" s="782"/>
      <c r="AI371" s="782"/>
    </row>
    <row r="372" spans="1:35" s="523" customFormat="1" x14ac:dyDescent="0.25">
      <c r="A372" s="939"/>
      <c r="B372" s="497" t="s">
        <v>8</v>
      </c>
      <c r="C372" s="303">
        <f>SUM(C369-336)</f>
        <v>5534</v>
      </c>
      <c r="D372" s="511">
        <f>SUM(D369-468)</f>
        <v>2865</v>
      </c>
      <c r="E372" s="303">
        <f>SUM(E369-435)</f>
        <v>2895</v>
      </c>
      <c r="F372" s="502">
        <f>SUM(F369-1130)</f>
        <v>8327</v>
      </c>
      <c r="G372" s="502">
        <f>SUM(G369-4523)</f>
        <v>3818</v>
      </c>
      <c r="H372" s="502">
        <f>SUM(H369-2041)</f>
        <v>13662</v>
      </c>
      <c r="I372" s="502">
        <f>SUM(I369-(3288-2000))</f>
        <v>6909</v>
      </c>
      <c r="J372" s="508">
        <f>SUM(J369-8950)</f>
        <v>649</v>
      </c>
      <c r="K372" s="508">
        <f>SUM(K369-1071)</f>
        <v>3002</v>
      </c>
      <c r="L372" s="511">
        <f>SUM(L369-4281)</f>
        <v>2118</v>
      </c>
      <c r="M372" s="303">
        <f>SUM(M369-754)</f>
        <v>8338</v>
      </c>
      <c r="N372" s="502">
        <f>SUM(N369-986)</f>
        <v>10937</v>
      </c>
      <c r="O372" s="508">
        <f>SUM(O369-300)</f>
        <v>3965</v>
      </c>
      <c r="P372" s="502">
        <f>SUM(P369-(5093-2614))</f>
        <v>8373</v>
      </c>
      <c r="Q372" s="508">
        <f>SUM(Q369-3702)</f>
        <v>1097</v>
      </c>
      <c r="R372" s="508">
        <f>SUM(R369-4075)</f>
        <v>3117</v>
      </c>
      <c r="S372" s="511">
        <f>SUM(S369-4184)</f>
        <v>2215</v>
      </c>
      <c r="T372" s="323">
        <f>SUM(T369-859)</f>
        <v>1621</v>
      </c>
      <c r="U372" s="511">
        <f>SUM(U369-555)</f>
        <v>1015</v>
      </c>
      <c r="V372" s="526" t="s">
        <v>176</v>
      </c>
      <c r="W372" s="534"/>
      <c r="X372" s="534"/>
      <c r="Y372" s="534"/>
      <c r="Z372" s="534"/>
      <c r="AA372" s="548" t="s">
        <v>192</v>
      </c>
      <c r="AB372" s="528" t="s">
        <v>4</v>
      </c>
      <c r="AC372" s="544">
        <v>97433.600000000006</v>
      </c>
      <c r="AD372" s="541">
        <v>243584.4</v>
      </c>
      <c r="AE372" s="538">
        <v>132070.29999999999</v>
      </c>
      <c r="AF372" s="552">
        <v>292299.3</v>
      </c>
      <c r="AG372" s="551">
        <v>132070.39999999999</v>
      </c>
      <c r="AH372" s="780"/>
      <c r="AI372" s="780"/>
    </row>
    <row r="373" spans="1:35" s="523" customFormat="1" x14ac:dyDescent="0.25">
      <c r="A373" s="939"/>
      <c r="B373" s="495" t="s">
        <v>77</v>
      </c>
      <c r="C373" s="302">
        <f>(C372*33.717)</f>
        <v>186589.878</v>
      </c>
      <c r="D373" s="338">
        <f>(D372*33.717)</f>
        <v>96599.205000000002</v>
      </c>
      <c r="E373" s="302">
        <f>(E372*33.717)</f>
        <v>97610.714999999997</v>
      </c>
      <c r="F373" s="338">
        <f>(F372*33.717)</f>
        <v>280761.45899999997</v>
      </c>
      <c r="G373" s="500">
        <f>(G372*33.717)*2</f>
        <v>257463.01199999999</v>
      </c>
      <c r="H373" s="500">
        <f>(H372*33.717)</f>
        <v>460641.65399999998</v>
      </c>
      <c r="I373" s="500">
        <f>(I372*33.717)-(2000*33.717)</f>
        <v>165516.753</v>
      </c>
      <c r="J373" s="509">
        <f>J372*33.717</f>
        <v>21882.332999999999</v>
      </c>
      <c r="K373" s="509">
        <f>K372*33.717</f>
        <v>101218.43399999999</v>
      </c>
      <c r="L373" s="261">
        <f>L372*33.717</f>
        <v>71412.606</v>
      </c>
      <c r="M373" s="304">
        <f>M372*33.717</f>
        <v>281132.34599999996</v>
      </c>
      <c r="N373" s="500">
        <f>N372*33.717</f>
        <v>368762.82899999997</v>
      </c>
      <c r="O373" s="500">
        <f>(O372*33.717)</f>
        <v>133687.905</v>
      </c>
      <c r="P373" s="500">
        <f t="shared" ref="P373:U373" si="194">P372*33.717</f>
        <v>282312.44099999999</v>
      </c>
      <c r="Q373" s="509">
        <f t="shared" si="194"/>
        <v>36987.548999999999</v>
      </c>
      <c r="R373" s="509">
        <f t="shared" si="194"/>
        <v>105095.889</v>
      </c>
      <c r="S373" s="261">
        <f t="shared" si="194"/>
        <v>74683.154999999999</v>
      </c>
      <c r="T373" s="324">
        <f t="shared" si="194"/>
        <v>54655.256999999998</v>
      </c>
      <c r="U373" s="518">
        <f t="shared" si="194"/>
        <v>34222.754999999997</v>
      </c>
      <c r="V373" s="532">
        <f>344240-H373</f>
        <v>-116401.65399999998</v>
      </c>
      <c r="W373" s="534" t="s">
        <v>177</v>
      </c>
      <c r="X373" s="534"/>
      <c r="Y373" s="534"/>
      <c r="Z373" s="534"/>
      <c r="AA373" s="549"/>
      <c r="AB373" s="497" t="s">
        <v>5</v>
      </c>
      <c r="AC373" s="319">
        <v>38973.199999999997</v>
      </c>
      <c r="AD373" s="300">
        <v>95895.7</v>
      </c>
      <c r="AE373" s="513">
        <v>0.1</v>
      </c>
      <c r="AF373" s="398">
        <v>93978.8</v>
      </c>
      <c r="AG373" s="394">
        <v>1</v>
      </c>
      <c r="AH373" s="781"/>
      <c r="AI373" s="781"/>
    </row>
    <row r="374" spans="1:35" s="523" customFormat="1" ht="15.75" thickBot="1" x14ac:dyDescent="0.3">
      <c r="A374" s="940"/>
      <c r="B374" s="504" t="s">
        <v>10</v>
      </c>
      <c r="C374" s="542">
        <f>C373/C366</f>
        <v>1.3012481641363247</v>
      </c>
      <c r="D374" s="514">
        <f t="shared" ref="D374:U374" si="195">D373/D366</f>
        <v>0.64178396815768612</v>
      </c>
      <c r="E374" s="543">
        <f t="shared" si="195"/>
        <v>0.64850421913315925</v>
      </c>
      <c r="F374" s="501">
        <f t="shared" si="195"/>
        <v>1.542655550476157</v>
      </c>
      <c r="G374" s="501">
        <f t="shared" si="195"/>
        <v>1.5561049600038681</v>
      </c>
      <c r="H374" s="501">
        <f t="shared" si="195"/>
        <v>3.4861995309268168</v>
      </c>
      <c r="I374" s="501">
        <f t="shared" si="195"/>
        <v>0.96811199834355544</v>
      </c>
      <c r="J374" s="520">
        <f t="shared" si="195"/>
        <v>0.13225669447911345</v>
      </c>
      <c r="K374" s="520">
        <f t="shared" si="195"/>
        <v>1.0953000921962177</v>
      </c>
      <c r="L374" s="515">
        <f t="shared" si="195"/>
        <v>0.33174045195141838</v>
      </c>
      <c r="M374" s="543">
        <f t="shared" si="195"/>
        <v>1.4564246841538397</v>
      </c>
      <c r="N374" s="501">
        <f t="shared" si="195"/>
        <v>0.86883801229030222</v>
      </c>
      <c r="O374" s="501">
        <f t="shared" si="195"/>
        <v>1.6160207841250576</v>
      </c>
      <c r="P374" s="510">
        <f t="shared" si="195"/>
        <v>1.0237799532193432</v>
      </c>
      <c r="Q374" s="520">
        <f t="shared" si="195"/>
        <v>0.44710587646536903</v>
      </c>
      <c r="R374" s="520">
        <f t="shared" si="195"/>
        <v>0.55611704525731598</v>
      </c>
      <c r="S374" s="515">
        <f t="shared" si="195"/>
        <v>0.34693347548271558</v>
      </c>
      <c r="T374" s="542">
        <f t="shared" si="195"/>
        <v>0.99101116933509814</v>
      </c>
      <c r="U374" s="514">
        <f t="shared" si="195"/>
        <v>1.034216920264124</v>
      </c>
      <c r="V374" s="535"/>
      <c r="W374" s="534"/>
      <c r="X374" s="534"/>
      <c r="Y374" s="534"/>
      <c r="Z374" s="534"/>
      <c r="AA374" s="550"/>
      <c r="AB374" s="504" t="s">
        <v>3</v>
      </c>
      <c r="AC374" s="545">
        <f>AC373/AC372</f>
        <v>0.39999753678402516</v>
      </c>
      <c r="AD374" s="542">
        <f>AD373/AD372</f>
        <v>0.39368572043201455</v>
      </c>
      <c r="AE374" s="514">
        <f>AE373/AE372</f>
        <v>7.5717250585483648E-7</v>
      </c>
      <c r="AF374" s="522">
        <f>AF373/AF372</f>
        <v>0.32151565193621745</v>
      </c>
      <c r="AG374" s="343">
        <f>AG373/AG372</f>
        <v>7.5717193254506694E-6</v>
      </c>
      <c r="AH374" s="782"/>
      <c r="AI374" s="782"/>
    </row>
    <row r="375" spans="1:35" s="523" customFormat="1" ht="15.75" thickBot="1" x14ac:dyDescent="0.3">
      <c r="A375" s="924">
        <v>41610</v>
      </c>
      <c r="B375" s="924"/>
      <c r="C375" s="924"/>
      <c r="D375" s="529"/>
      <c r="E375" s="529"/>
      <c r="F375" s="529"/>
      <c r="G375" s="529"/>
      <c r="H375" s="529"/>
      <c r="I375" s="525"/>
      <c r="J375" s="531"/>
      <c r="K375" s="531"/>
      <c r="L375" s="529"/>
      <c r="M375" s="529"/>
      <c r="N375" s="527"/>
      <c r="R375" s="526"/>
      <c r="S375" s="534"/>
      <c r="T375" s="534"/>
      <c r="U375" s="534"/>
      <c r="V375" s="534"/>
      <c r="W375" s="534"/>
      <c r="X375" s="534"/>
      <c r="Y375" s="534"/>
      <c r="Z375" s="534"/>
      <c r="AA375" s="941"/>
      <c r="AB375" s="942"/>
      <c r="AH375" s="743"/>
      <c r="AI375" s="743"/>
    </row>
    <row r="376" spans="1:35" s="523" customFormat="1" x14ac:dyDescent="0.25">
      <c r="A376" s="925" t="s">
        <v>1</v>
      </c>
      <c r="B376" s="926"/>
      <c r="C376" s="540" t="s">
        <v>12</v>
      </c>
      <c r="D376" s="539" t="s">
        <v>12</v>
      </c>
      <c r="E376" s="540" t="s">
        <v>13</v>
      </c>
      <c r="F376" s="530" t="s">
        <v>13</v>
      </c>
      <c r="G376" s="530" t="s">
        <v>13</v>
      </c>
      <c r="H376" s="530" t="s">
        <v>13</v>
      </c>
      <c r="I376" s="530" t="s">
        <v>13</v>
      </c>
      <c r="J376" s="536" t="s">
        <v>13</v>
      </c>
      <c r="K376" s="536" t="s">
        <v>13</v>
      </c>
      <c r="L376" s="539" t="s">
        <v>13</v>
      </c>
      <c r="M376" s="569" t="s">
        <v>2</v>
      </c>
      <c r="N376" s="530" t="s">
        <v>2</v>
      </c>
      <c r="O376" s="536" t="s">
        <v>2</v>
      </c>
      <c r="P376" s="530" t="s">
        <v>2</v>
      </c>
      <c r="Q376" s="536" t="s">
        <v>2</v>
      </c>
      <c r="R376" s="536" t="s">
        <v>2</v>
      </c>
      <c r="S376" s="539" t="s">
        <v>2</v>
      </c>
      <c r="T376" s="569" t="s">
        <v>183</v>
      </c>
      <c r="U376" s="570" t="s">
        <v>183</v>
      </c>
      <c r="V376" s="526"/>
      <c r="W376" s="534"/>
      <c r="X376" s="534"/>
      <c r="Y376" s="534"/>
      <c r="Z376" s="534"/>
      <c r="AA376" s="925" t="s">
        <v>1</v>
      </c>
      <c r="AB376" s="928"/>
      <c r="AC376" s="546" t="s">
        <v>12</v>
      </c>
      <c r="AD376" s="929" t="s">
        <v>13</v>
      </c>
      <c r="AE376" s="930"/>
      <c r="AF376" s="929" t="s">
        <v>2</v>
      </c>
      <c r="AG376" s="930"/>
      <c r="AH376" s="778"/>
      <c r="AI376" s="778"/>
    </row>
    <row r="377" spans="1:35" s="523" customFormat="1" ht="15.75" thickBot="1" x14ac:dyDescent="0.3">
      <c r="A377" s="931" t="s">
        <v>0</v>
      </c>
      <c r="B377" s="944"/>
      <c r="C377" s="298" t="s">
        <v>99</v>
      </c>
      <c r="D377" s="291" t="s">
        <v>100</v>
      </c>
      <c r="E377" s="298" t="s">
        <v>101</v>
      </c>
      <c r="F377" s="503" t="s">
        <v>102</v>
      </c>
      <c r="G377" s="503" t="s">
        <v>97</v>
      </c>
      <c r="H377" s="503" t="s">
        <v>104</v>
      </c>
      <c r="I377" s="503" t="s">
        <v>103</v>
      </c>
      <c r="J377" s="521" t="s">
        <v>178</v>
      </c>
      <c r="K377" s="521" t="s">
        <v>200</v>
      </c>
      <c r="L377" s="517" t="s">
        <v>207</v>
      </c>
      <c r="M377" s="298" t="s">
        <v>105</v>
      </c>
      <c r="N377" s="503" t="s">
        <v>107</v>
      </c>
      <c r="O377" s="505" t="s">
        <v>98</v>
      </c>
      <c r="P377" s="516" t="s">
        <v>106</v>
      </c>
      <c r="Q377" s="505" t="s">
        <v>179</v>
      </c>
      <c r="R377" s="505" t="s">
        <v>199</v>
      </c>
      <c r="S377" s="291" t="s">
        <v>208</v>
      </c>
      <c r="T377" s="317" t="s">
        <v>182</v>
      </c>
      <c r="U377" s="291" t="s">
        <v>184</v>
      </c>
      <c r="V377" s="526"/>
      <c r="W377" s="526"/>
      <c r="X377" s="526"/>
      <c r="Y377" s="526"/>
      <c r="Z377" s="526"/>
      <c r="AA377" s="931" t="s">
        <v>0</v>
      </c>
      <c r="AB377" s="945"/>
      <c r="AC377" s="317" t="s">
        <v>99</v>
      </c>
      <c r="AD377" s="298" t="s">
        <v>104</v>
      </c>
      <c r="AE377" s="291" t="s">
        <v>207</v>
      </c>
      <c r="AF377" s="396" t="s">
        <v>107</v>
      </c>
      <c r="AG377" s="392" t="s">
        <v>208</v>
      </c>
      <c r="AH377" s="779"/>
      <c r="AI377" s="779"/>
    </row>
    <row r="378" spans="1:35" s="523" customFormat="1" ht="15" customHeight="1" x14ac:dyDescent="0.25">
      <c r="A378" s="935" t="s">
        <v>9</v>
      </c>
      <c r="B378" s="528" t="s">
        <v>4</v>
      </c>
      <c r="C378" s="541">
        <v>143393</v>
      </c>
      <c r="D378" s="538">
        <v>150516.70000000001</v>
      </c>
      <c r="E378" s="541">
        <v>150516.70000000001</v>
      </c>
      <c r="F378" s="533">
        <v>181998.8</v>
      </c>
      <c r="G378" s="533">
        <v>165453.5</v>
      </c>
      <c r="H378" s="533">
        <v>132132.9</v>
      </c>
      <c r="I378" s="533">
        <v>170968.6</v>
      </c>
      <c r="J378" s="537">
        <v>165453.5</v>
      </c>
      <c r="K378" s="537">
        <v>92411.6</v>
      </c>
      <c r="L378" s="538">
        <f>83196.1+132070.4</f>
        <v>215266.5</v>
      </c>
      <c r="M378" s="541">
        <v>193029.1</v>
      </c>
      <c r="N378" s="533">
        <f>132132.9+292299.3</f>
        <v>424432.19999999995</v>
      </c>
      <c r="O378" s="533">
        <v>82726.600000000006</v>
      </c>
      <c r="P378" s="533">
        <v>275755</v>
      </c>
      <c r="Q378" s="537">
        <v>82726.600000000006</v>
      </c>
      <c r="R378" s="537">
        <v>188981.6</v>
      </c>
      <c r="S378" s="538">
        <f>83196.1+132070.4</f>
        <v>215266.5</v>
      </c>
      <c r="T378" s="544">
        <v>55151</v>
      </c>
      <c r="U378" s="538">
        <v>33090.5</v>
      </c>
      <c r="V378" s="534"/>
      <c r="W378" s="534"/>
      <c r="X378" s="534"/>
      <c r="Y378" s="534"/>
      <c r="Z378" s="534"/>
      <c r="AA378" s="548" t="s">
        <v>195</v>
      </c>
      <c r="AB378" s="524" t="s">
        <v>4</v>
      </c>
      <c r="AC378" s="544">
        <v>143392.20000000001</v>
      </c>
      <c r="AD378" s="541">
        <v>132132</v>
      </c>
      <c r="AE378" s="538">
        <v>83196.100000000006</v>
      </c>
      <c r="AF378" s="552">
        <v>132132.20000000001</v>
      </c>
      <c r="AG378" s="551">
        <v>83196.100000000006</v>
      </c>
      <c r="AH378" s="780"/>
      <c r="AI378" s="780"/>
    </row>
    <row r="379" spans="1:35" s="523" customFormat="1" x14ac:dyDescent="0.25">
      <c r="A379" s="936"/>
      <c r="B379" s="497" t="s">
        <v>5</v>
      </c>
      <c r="C379" s="579">
        <v>50539</v>
      </c>
      <c r="D379" s="578">
        <v>81375.100000000006</v>
      </c>
      <c r="E379" s="579">
        <v>82745.8</v>
      </c>
      <c r="F379" s="576">
        <v>153862.70000000001</v>
      </c>
      <c r="G379" s="576">
        <v>117768.4</v>
      </c>
      <c r="H379" s="576">
        <v>63162</v>
      </c>
      <c r="I379" s="576">
        <v>109797</v>
      </c>
      <c r="J379" s="577">
        <v>27015.200000000001</v>
      </c>
      <c r="K379" s="577">
        <v>54164.7</v>
      </c>
      <c r="L379" s="578">
        <v>5457.8</v>
      </c>
      <c r="M379" s="579">
        <v>166582.70000000001</v>
      </c>
      <c r="N379" s="576">
        <v>86053.700000000012</v>
      </c>
      <c r="O379" s="576">
        <v>60493.8</v>
      </c>
      <c r="P379" s="576">
        <v>202470.1</v>
      </c>
      <c r="Q379" s="577">
        <v>14094.9</v>
      </c>
      <c r="R379" s="577">
        <v>87082.2</v>
      </c>
      <c r="S379" s="578">
        <v>55547.1</v>
      </c>
      <c r="T379" s="580">
        <v>13363.3</v>
      </c>
      <c r="U379" s="578">
        <v>6641.1</v>
      </c>
      <c r="V379" s="534"/>
      <c r="W379" s="534"/>
      <c r="X379" s="534"/>
      <c r="Y379" s="534"/>
      <c r="Z379" s="534"/>
      <c r="AA379" s="549"/>
      <c r="AB379" s="496" t="s">
        <v>5</v>
      </c>
      <c r="AC379" s="319">
        <v>43401.8</v>
      </c>
      <c r="AD379" s="300">
        <v>58695.3</v>
      </c>
      <c r="AE379" s="513">
        <v>4.7</v>
      </c>
      <c r="AF379" s="398">
        <v>55118.9</v>
      </c>
      <c r="AG379" s="394">
        <v>4.5</v>
      </c>
      <c r="AH379" s="781"/>
      <c r="AI379" s="781"/>
    </row>
    <row r="380" spans="1:35" s="523" customFormat="1" ht="15.75" thickBot="1" x14ac:dyDescent="0.3">
      <c r="A380" s="937"/>
      <c r="B380" s="504" t="s">
        <v>3</v>
      </c>
      <c r="C380" s="542">
        <f t="shared" ref="C380:L380" si="196">C379/C378</f>
        <v>0.35245095646230989</v>
      </c>
      <c r="D380" s="343">
        <f t="shared" si="196"/>
        <v>0.54063834777137687</v>
      </c>
      <c r="E380" s="542">
        <f t="shared" si="196"/>
        <v>0.54974497846418369</v>
      </c>
      <c r="F380" s="519">
        <f t="shared" si="196"/>
        <v>0.8454050246485143</v>
      </c>
      <c r="G380" s="498">
        <f t="shared" si="196"/>
        <v>0.71179153055087985</v>
      </c>
      <c r="H380" s="498">
        <f t="shared" si="196"/>
        <v>0.47801872205938112</v>
      </c>
      <c r="I380" s="498">
        <f t="shared" si="196"/>
        <v>0.64220564477921671</v>
      </c>
      <c r="J380" s="506">
        <f t="shared" si="196"/>
        <v>0.16327971303115377</v>
      </c>
      <c r="K380" s="506">
        <f t="shared" si="196"/>
        <v>0.58612446922247852</v>
      </c>
      <c r="L380" s="514">
        <f t="shared" si="196"/>
        <v>2.5353689496507816E-2</v>
      </c>
      <c r="M380" s="547">
        <f>M379/M378</f>
        <v>0.86299267830601711</v>
      </c>
      <c r="N380" s="498">
        <f>N379/N378</f>
        <v>0.20275016834255277</v>
      </c>
      <c r="O380" s="506">
        <f>O379/O378</f>
        <v>0.73124968268972734</v>
      </c>
      <c r="P380" s="498">
        <f>P379/P378</f>
        <v>0.7342390890464362</v>
      </c>
      <c r="Q380" s="506">
        <f>Q379/Q378</f>
        <v>0.17037929758989248</v>
      </c>
      <c r="R380" s="506">
        <f t="shared" ref="R380:S380" si="197">R379/R378</f>
        <v>0.46079724163622277</v>
      </c>
      <c r="S380" s="514">
        <f t="shared" si="197"/>
        <v>0.25803875661099146</v>
      </c>
      <c r="T380" s="545">
        <f>T379/T378</f>
        <v>0.24230385668437562</v>
      </c>
      <c r="U380" s="514">
        <f>U379/U378</f>
        <v>0.20069506353787342</v>
      </c>
      <c r="V380" s="534"/>
      <c r="W380" s="534"/>
      <c r="X380" s="534"/>
      <c r="Y380" s="534"/>
      <c r="Z380" s="534"/>
      <c r="AA380" s="550"/>
      <c r="AB380" s="347" t="s">
        <v>3</v>
      </c>
      <c r="AC380" s="395">
        <f>AC379/AC378</f>
        <v>0.302678946274623</v>
      </c>
      <c r="AD380" s="542">
        <f>AD379/AD378</f>
        <v>0.44421714648987376</v>
      </c>
      <c r="AE380" s="514">
        <f>AE379/AE378</f>
        <v>5.6493032726293656E-5</v>
      </c>
      <c r="AF380" s="522">
        <f>AF379/AF378</f>
        <v>0.41714964255495629</v>
      </c>
      <c r="AG380" s="343">
        <f>AG379/AG378</f>
        <v>5.4089073886876906E-5</v>
      </c>
      <c r="AH380" s="782"/>
      <c r="AI380" s="782"/>
    </row>
    <row r="381" spans="1:35" s="563" customFormat="1" ht="15" customHeight="1" x14ac:dyDescent="0.25">
      <c r="A381" s="938" t="s">
        <v>6</v>
      </c>
      <c r="B381" s="553" t="s">
        <v>7</v>
      </c>
      <c r="C381" s="554">
        <v>5870</v>
      </c>
      <c r="D381" s="555">
        <v>3333</v>
      </c>
      <c r="E381" s="554">
        <v>3330</v>
      </c>
      <c r="F381" s="556">
        <v>9457</v>
      </c>
      <c r="G381" s="556">
        <v>8341</v>
      </c>
      <c r="H381" s="556">
        <v>15703</v>
      </c>
      <c r="I381" s="556">
        <v>8197</v>
      </c>
      <c r="J381" s="557">
        <v>9599</v>
      </c>
      <c r="K381" s="557">
        <v>4073</v>
      </c>
      <c r="L381" s="555">
        <v>6399</v>
      </c>
      <c r="M381" s="554">
        <v>9092</v>
      </c>
      <c r="N381" s="556">
        <v>11923</v>
      </c>
      <c r="O381" s="556">
        <v>4265</v>
      </c>
      <c r="P381" s="556">
        <v>10852</v>
      </c>
      <c r="Q381" s="557">
        <v>4799</v>
      </c>
      <c r="R381" s="557">
        <v>7192</v>
      </c>
      <c r="S381" s="555">
        <v>6399</v>
      </c>
      <c r="T381" s="558">
        <v>2480</v>
      </c>
      <c r="U381" s="555">
        <v>1570</v>
      </c>
      <c r="V381" s="559" t="s">
        <v>198</v>
      </c>
      <c r="W381" s="560"/>
      <c r="X381" s="561"/>
      <c r="Y381" s="561"/>
      <c r="Z381" s="561"/>
      <c r="AA381" s="562" t="s">
        <v>191</v>
      </c>
      <c r="AB381" s="553" t="s">
        <v>4</v>
      </c>
      <c r="AC381" s="564">
        <v>9191.7999999999993</v>
      </c>
      <c r="AD381" s="565">
        <v>13787.7</v>
      </c>
      <c r="AE381" s="566">
        <v>8804.7999999999993</v>
      </c>
      <c r="AF381" s="567">
        <v>13787.7</v>
      </c>
      <c r="AG381" s="568">
        <v>8804.7999999999993</v>
      </c>
      <c r="AH381" s="783"/>
      <c r="AI381" s="783"/>
    </row>
    <row r="382" spans="1:35" s="523" customFormat="1" x14ac:dyDescent="0.25">
      <c r="A382" s="939"/>
      <c r="B382" s="494" t="s">
        <v>11</v>
      </c>
      <c r="C382" s="302">
        <f t="shared" ref="C382:L382" si="198">C381*33.717</f>
        <v>197918.78999999998</v>
      </c>
      <c r="D382" s="512">
        <f t="shared" si="198"/>
        <v>112378.761</v>
      </c>
      <c r="E382" s="302">
        <f t="shared" si="198"/>
        <v>112277.61</v>
      </c>
      <c r="F382" s="355">
        <f t="shared" si="198"/>
        <v>318861.66899999999</v>
      </c>
      <c r="G382" s="499">
        <f t="shared" si="198"/>
        <v>281233.49699999997</v>
      </c>
      <c r="H382" s="354">
        <f t="shared" si="198"/>
        <v>529458.05099999998</v>
      </c>
      <c r="I382" s="354">
        <f t="shared" si="198"/>
        <v>276378.24900000001</v>
      </c>
      <c r="J382" s="355">
        <f t="shared" si="198"/>
        <v>323649.48300000001</v>
      </c>
      <c r="K382" s="507">
        <f t="shared" si="198"/>
        <v>137329.34099999999</v>
      </c>
      <c r="L382" s="512">
        <f t="shared" si="198"/>
        <v>215755.08299999998</v>
      </c>
      <c r="M382" s="322">
        <f>M381*33.717</f>
        <v>306554.96399999998</v>
      </c>
      <c r="N382" s="499">
        <f>N381*33.717</f>
        <v>402007.79099999997</v>
      </c>
      <c r="O382" s="499">
        <f>O381*33.717</f>
        <v>143803.005</v>
      </c>
      <c r="P382" s="354">
        <f>P381*33.717</f>
        <v>365896.88399999996</v>
      </c>
      <c r="Q382" s="355">
        <f>Q381*33.717</f>
        <v>161807.883</v>
      </c>
      <c r="R382" s="507">
        <f t="shared" ref="R382:S382" si="199">R381*33.717</f>
        <v>242492.66399999999</v>
      </c>
      <c r="S382" s="512">
        <f t="shared" si="199"/>
        <v>215755.08299999998</v>
      </c>
      <c r="T382" s="302">
        <f>T381*33.717</f>
        <v>83618.16</v>
      </c>
      <c r="U382" s="354">
        <f>U381*33.717</f>
        <v>52935.689999999995</v>
      </c>
      <c r="V382" s="534"/>
      <c r="W382" s="534"/>
      <c r="X382" s="534"/>
      <c r="Y382" s="534"/>
      <c r="Z382" s="534"/>
      <c r="AA382" s="549"/>
      <c r="AB382" s="497" t="s">
        <v>5</v>
      </c>
      <c r="AC382" s="319">
        <v>8835</v>
      </c>
      <c r="AD382" s="300">
        <v>13648.9</v>
      </c>
      <c r="AE382" s="513">
        <v>0</v>
      </c>
      <c r="AF382" s="398">
        <v>13649.5</v>
      </c>
      <c r="AG382" s="394">
        <v>30</v>
      </c>
      <c r="AH382" s="781"/>
      <c r="AI382" s="781"/>
    </row>
    <row r="383" spans="1:35" s="523" customFormat="1" ht="15.75" thickBot="1" x14ac:dyDescent="0.3">
      <c r="A383" s="939"/>
      <c r="B383" s="494" t="s">
        <v>79</v>
      </c>
      <c r="C383" s="302">
        <v>164000</v>
      </c>
      <c r="D383" s="512">
        <v>109880</v>
      </c>
      <c r="E383" s="302">
        <v>109880</v>
      </c>
      <c r="F383" s="499">
        <v>328000</v>
      </c>
      <c r="G383" s="499">
        <v>330905</v>
      </c>
      <c r="H383" s="499">
        <v>264264</v>
      </c>
      <c r="I383" s="499">
        <v>242663.6</v>
      </c>
      <c r="J383" s="507">
        <v>328000</v>
      </c>
      <c r="K383" s="507">
        <v>328000</v>
      </c>
      <c r="L383" s="512">
        <v>328000</v>
      </c>
      <c r="M383" s="302">
        <v>328000</v>
      </c>
      <c r="N383" s="499">
        <v>264264.40000000002</v>
      </c>
      <c r="O383" s="499">
        <v>328000</v>
      </c>
      <c r="P383" s="499">
        <v>352965.4</v>
      </c>
      <c r="Q383" s="507">
        <v>328000</v>
      </c>
      <c r="R383" s="507">
        <v>328000</v>
      </c>
      <c r="S383" s="512">
        <v>328000</v>
      </c>
      <c r="T383" s="322">
        <f>2*T378</f>
        <v>110302</v>
      </c>
      <c r="U383" s="512">
        <f>2*U378</f>
        <v>66181</v>
      </c>
      <c r="V383" s="534"/>
      <c r="W383" s="534"/>
      <c r="X383" s="534"/>
      <c r="Y383" s="534"/>
      <c r="Z383" s="534"/>
      <c r="AA383" s="550"/>
      <c r="AB383" s="344" t="s">
        <v>3</v>
      </c>
      <c r="AC383" s="395">
        <f>AC382/AC381</f>
        <v>0.96118279335929857</v>
      </c>
      <c r="AD383" s="301">
        <f>AD382/AD381</f>
        <v>0.98993305627479555</v>
      </c>
      <c r="AE383" s="401">
        <f>AE382/AE381</f>
        <v>0</v>
      </c>
      <c r="AF383" s="400">
        <f>AF382/AF381</f>
        <v>0.98997657332259903</v>
      </c>
      <c r="AG383" s="348">
        <f>AG382/AG381</f>
        <v>3.4072324186807199E-3</v>
      </c>
      <c r="AH383" s="782"/>
      <c r="AI383" s="782"/>
    </row>
    <row r="384" spans="1:35" s="523" customFormat="1" ht="15" customHeight="1" x14ac:dyDescent="0.25">
      <c r="A384" s="939"/>
      <c r="B384" s="497" t="s">
        <v>8</v>
      </c>
      <c r="C384" s="601">
        <v>5608</v>
      </c>
      <c r="D384" s="600">
        <v>2865</v>
      </c>
      <c r="E384" s="601">
        <v>2895</v>
      </c>
      <c r="F384" s="598">
        <v>8327</v>
      </c>
      <c r="G384" s="598">
        <v>3818</v>
      </c>
      <c r="H384" s="598">
        <v>13662</v>
      </c>
      <c r="I384" s="598">
        <v>6909</v>
      </c>
      <c r="J384" s="599">
        <v>649</v>
      </c>
      <c r="K384" s="599">
        <v>3002</v>
      </c>
      <c r="L384" s="600">
        <v>2056</v>
      </c>
      <c r="M384" s="601">
        <v>8348</v>
      </c>
      <c r="N384" s="598">
        <v>10937</v>
      </c>
      <c r="O384" s="599">
        <v>3965</v>
      </c>
      <c r="P384" s="598">
        <v>8373</v>
      </c>
      <c r="Q384" s="599">
        <v>1097</v>
      </c>
      <c r="R384" s="599">
        <v>3030</v>
      </c>
      <c r="S384" s="600">
        <v>1984</v>
      </c>
      <c r="T384" s="602">
        <v>1529</v>
      </c>
      <c r="U384" s="600">
        <v>974</v>
      </c>
      <c r="V384" s="526" t="s">
        <v>176</v>
      </c>
      <c r="W384" s="534"/>
      <c r="X384" s="534"/>
      <c r="Y384" s="534"/>
      <c r="Z384" s="534"/>
      <c r="AA384" s="548" t="s">
        <v>192</v>
      </c>
      <c r="AB384" s="528" t="s">
        <v>4</v>
      </c>
      <c r="AC384" s="544">
        <v>97433.600000000006</v>
      </c>
      <c r="AD384" s="541">
        <v>243584.4</v>
      </c>
      <c r="AE384" s="538">
        <v>132070.29999999999</v>
      </c>
      <c r="AF384" s="552">
        <v>292299.3</v>
      </c>
      <c r="AG384" s="551">
        <v>132070.39999999999</v>
      </c>
      <c r="AH384" s="780"/>
      <c r="AI384" s="780"/>
    </row>
    <row r="385" spans="1:35" s="523" customFormat="1" x14ac:dyDescent="0.25">
      <c r="A385" s="939"/>
      <c r="B385" s="495" t="s">
        <v>77</v>
      </c>
      <c r="C385" s="302">
        <f>(C384*33.717)</f>
        <v>189084.93599999999</v>
      </c>
      <c r="D385" s="338">
        <f>(D384*33.717)</f>
        <v>96599.205000000002</v>
      </c>
      <c r="E385" s="302">
        <f>(E384*33.717)</f>
        <v>97610.714999999997</v>
      </c>
      <c r="F385" s="338">
        <f>(F384*33.717)</f>
        <v>280761.45899999997</v>
      </c>
      <c r="G385" s="500">
        <f>(G384*33.717)*2</f>
        <v>257463.01199999999</v>
      </c>
      <c r="H385" s="500">
        <f>(H384*33.717)</f>
        <v>460641.65399999998</v>
      </c>
      <c r="I385" s="500">
        <f>(I384*33.717)-(2000*33.717)</f>
        <v>165516.753</v>
      </c>
      <c r="J385" s="509">
        <f>J384*33.717</f>
        <v>21882.332999999999</v>
      </c>
      <c r="K385" s="509">
        <f>K384*33.717</f>
        <v>101218.43399999999</v>
      </c>
      <c r="L385" s="261">
        <f>L384*33.717</f>
        <v>69322.152000000002</v>
      </c>
      <c r="M385" s="304">
        <f>M384*33.717</f>
        <v>281469.516</v>
      </c>
      <c r="N385" s="500">
        <f>N384*33.717</f>
        <v>368762.82899999997</v>
      </c>
      <c r="O385" s="500">
        <f>(O384*33.717)</f>
        <v>133687.905</v>
      </c>
      <c r="P385" s="500">
        <f t="shared" ref="P385:U385" si="200">P384*33.717</f>
        <v>282312.44099999999</v>
      </c>
      <c r="Q385" s="509">
        <f t="shared" si="200"/>
        <v>36987.548999999999</v>
      </c>
      <c r="R385" s="509">
        <f t="shared" si="200"/>
        <v>102162.51</v>
      </c>
      <c r="S385" s="261">
        <f t="shared" si="200"/>
        <v>66894.527999999991</v>
      </c>
      <c r="T385" s="324">
        <f t="shared" si="200"/>
        <v>51553.292999999998</v>
      </c>
      <c r="U385" s="518">
        <f t="shared" si="200"/>
        <v>32840.358</v>
      </c>
      <c r="V385" s="532">
        <f>344240-H385</f>
        <v>-116401.65399999998</v>
      </c>
      <c r="W385" s="534" t="s">
        <v>177</v>
      </c>
      <c r="X385" s="534"/>
      <c r="Y385" s="534"/>
      <c r="Z385" s="534"/>
      <c r="AA385" s="549"/>
      <c r="AB385" s="497" t="s">
        <v>5</v>
      </c>
      <c r="AC385" s="319">
        <v>38973.199999999997</v>
      </c>
      <c r="AD385" s="300">
        <v>95895.7</v>
      </c>
      <c r="AE385" s="513">
        <v>0.1</v>
      </c>
      <c r="AF385" s="398">
        <v>93978.8</v>
      </c>
      <c r="AG385" s="394">
        <v>1</v>
      </c>
      <c r="AH385" s="781"/>
      <c r="AI385" s="781"/>
    </row>
    <row r="386" spans="1:35" s="523" customFormat="1" ht="15.75" thickBot="1" x14ac:dyDescent="0.3">
      <c r="A386" s="940"/>
      <c r="B386" s="504" t="s">
        <v>10</v>
      </c>
      <c r="C386" s="542">
        <f>C385/C378</f>
        <v>1.3186483022183788</v>
      </c>
      <c r="D386" s="514">
        <f t="shared" ref="D386:U386" si="201">D385/D378</f>
        <v>0.64178396815768612</v>
      </c>
      <c r="E386" s="543">
        <f t="shared" si="201"/>
        <v>0.64850421913315925</v>
      </c>
      <c r="F386" s="501">
        <f t="shared" si="201"/>
        <v>1.542655550476157</v>
      </c>
      <c r="G386" s="501">
        <f t="shared" si="201"/>
        <v>1.5561049600038681</v>
      </c>
      <c r="H386" s="501">
        <f t="shared" si="201"/>
        <v>3.4861995309268168</v>
      </c>
      <c r="I386" s="501">
        <f t="shared" si="201"/>
        <v>0.96811199834355544</v>
      </c>
      <c r="J386" s="520">
        <f t="shared" si="201"/>
        <v>0.13225669447911345</v>
      </c>
      <c r="K386" s="520">
        <f t="shared" si="201"/>
        <v>1.0953000921962177</v>
      </c>
      <c r="L386" s="515">
        <f t="shared" si="201"/>
        <v>0.32202944722007371</v>
      </c>
      <c r="M386" s="543">
        <f t="shared" si="201"/>
        <v>1.4581714156052119</v>
      </c>
      <c r="N386" s="501">
        <f t="shared" si="201"/>
        <v>0.86883801229030222</v>
      </c>
      <c r="O386" s="501">
        <f t="shared" si="201"/>
        <v>1.6160207841250576</v>
      </c>
      <c r="P386" s="510">
        <f t="shared" si="201"/>
        <v>1.0237799532193432</v>
      </c>
      <c r="Q386" s="520">
        <f t="shared" si="201"/>
        <v>0.44710587646536903</v>
      </c>
      <c r="R386" s="520">
        <f t="shared" si="201"/>
        <v>0.54059501030788182</v>
      </c>
      <c r="S386" s="515">
        <f t="shared" si="201"/>
        <v>0.31075215140302831</v>
      </c>
      <c r="T386" s="542">
        <f t="shared" si="201"/>
        <v>0.93476624177258794</v>
      </c>
      <c r="U386" s="514">
        <f t="shared" si="201"/>
        <v>0.99244067028301175</v>
      </c>
      <c r="V386" s="535"/>
      <c r="W386" s="534"/>
      <c r="X386" s="534"/>
      <c r="Y386" s="534"/>
      <c r="Z386" s="534"/>
      <c r="AA386" s="550"/>
      <c r="AB386" s="504" t="s">
        <v>3</v>
      </c>
      <c r="AC386" s="545">
        <f>AC385/AC384</f>
        <v>0.39999753678402516</v>
      </c>
      <c r="AD386" s="542">
        <f>AD385/AD384</f>
        <v>0.39368572043201455</v>
      </c>
      <c r="AE386" s="514">
        <f>AE385/AE384</f>
        <v>7.5717250585483648E-7</v>
      </c>
      <c r="AF386" s="522">
        <f>AF385/AF384</f>
        <v>0.32151565193621745</v>
      </c>
      <c r="AG386" s="343">
        <f>AG385/AG384</f>
        <v>7.5717193254506694E-6</v>
      </c>
      <c r="AH386" s="782"/>
      <c r="AI386" s="782"/>
    </row>
    <row r="387" spans="1:35" s="523" customFormat="1" ht="15.75" thickBot="1" x14ac:dyDescent="0.3">
      <c r="A387" s="924">
        <v>41603</v>
      </c>
      <c r="B387" s="924"/>
      <c r="C387" s="924"/>
      <c r="D387" s="529"/>
      <c r="E387" s="529"/>
      <c r="F387" s="529"/>
      <c r="G387" s="529"/>
      <c r="H387" s="529"/>
      <c r="I387" s="525"/>
      <c r="J387" s="531"/>
      <c r="K387" s="531"/>
      <c r="L387" s="529"/>
      <c r="M387" s="529"/>
      <c r="N387" s="527"/>
      <c r="R387" s="526"/>
      <c r="S387" s="534"/>
      <c r="T387" s="534"/>
      <c r="U387" s="534"/>
      <c r="V387" s="534"/>
      <c r="W387" s="534"/>
      <c r="X387" s="534"/>
      <c r="Y387" s="534"/>
      <c r="Z387" s="534"/>
      <c r="AA387" s="941"/>
      <c r="AB387" s="942"/>
      <c r="AH387" s="743"/>
      <c r="AI387" s="743"/>
    </row>
    <row r="388" spans="1:35" s="523" customFormat="1" x14ac:dyDescent="0.25">
      <c r="A388" s="925" t="s">
        <v>1</v>
      </c>
      <c r="B388" s="926"/>
      <c r="C388" s="540" t="s">
        <v>12</v>
      </c>
      <c r="D388" s="539" t="s">
        <v>12</v>
      </c>
      <c r="E388" s="540" t="s">
        <v>13</v>
      </c>
      <c r="F388" s="530" t="s">
        <v>13</v>
      </c>
      <c r="G388" s="530" t="s">
        <v>13</v>
      </c>
      <c r="H388" s="530" t="s">
        <v>13</v>
      </c>
      <c r="I388" s="530" t="s">
        <v>13</v>
      </c>
      <c r="J388" s="536" t="s">
        <v>13</v>
      </c>
      <c r="K388" s="536" t="s">
        <v>13</v>
      </c>
      <c r="L388" s="539" t="s">
        <v>13</v>
      </c>
      <c r="M388" s="569" t="s">
        <v>2</v>
      </c>
      <c r="N388" s="530" t="s">
        <v>2</v>
      </c>
      <c r="O388" s="536" t="s">
        <v>2</v>
      </c>
      <c r="P388" s="530" t="s">
        <v>2</v>
      </c>
      <c r="Q388" s="536" t="s">
        <v>2</v>
      </c>
      <c r="R388" s="536" t="s">
        <v>2</v>
      </c>
      <c r="S388" s="539" t="s">
        <v>2</v>
      </c>
      <c r="T388" s="569" t="s">
        <v>183</v>
      </c>
      <c r="U388" s="570" t="s">
        <v>183</v>
      </c>
      <c r="V388" s="526"/>
      <c r="W388" s="534"/>
      <c r="X388" s="534"/>
      <c r="Y388" s="534"/>
      <c r="Z388" s="534"/>
      <c r="AA388" s="925" t="s">
        <v>1</v>
      </c>
      <c r="AB388" s="928"/>
      <c r="AC388" s="546" t="s">
        <v>12</v>
      </c>
      <c r="AD388" s="929" t="s">
        <v>13</v>
      </c>
      <c r="AE388" s="930"/>
      <c r="AF388" s="929" t="s">
        <v>2</v>
      </c>
      <c r="AG388" s="930"/>
      <c r="AH388" s="778"/>
      <c r="AI388" s="778"/>
    </row>
    <row r="389" spans="1:35" s="523" customFormat="1" ht="15.75" thickBot="1" x14ac:dyDescent="0.3">
      <c r="A389" s="931" t="s">
        <v>0</v>
      </c>
      <c r="B389" s="944"/>
      <c r="C389" s="298" t="s">
        <v>99</v>
      </c>
      <c r="D389" s="291" t="s">
        <v>100</v>
      </c>
      <c r="E389" s="298" t="s">
        <v>101</v>
      </c>
      <c r="F389" s="503" t="s">
        <v>102</v>
      </c>
      <c r="G389" s="503" t="s">
        <v>97</v>
      </c>
      <c r="H389" s="503" t="s">
        <v>104</v>
      </c>
      <c r="I389" s="503" t="s">
        <v>103</v>
      </c>
      <c r="J389" s="521" t="s">
        <v>178</v>
      </c>
      <c r="K389" s="521" t="s">
        <v>200</v>
      </c>
      <c r="L389" s="517" t="s">
        <v>207</v>
      </c>
      <c r="M389" s="298" t="s">
        <v>105</v>
      </c>
      <c r="N389" s="503" t="s">
        <v>107</v>
      </c>
      <c r="O389" s="505" t="s">
        <v>98</v>
      </c>
      <c r="P389" s="516" t="s">
        <v>106</v>
      </c>
      <c r="Q389" s="505" t="s">
        <v>179</v>
      </c>
      <c r="R389" s="505" t="s">
        <v>199</v>
      </c>
      <c r="S389" s="291" t="s">
        <v>208</v>
      </c>
      <c r="T389" s="317" t="s">
        <v>182</v>
      </c>
      <c r="U389" s="291" t="s">
        <v>184</v>
      </c>
      <c r="V389" s="526"/>
      <c r="W389" s="526"/>
      <c r="X389" s="526"/>
      <c r="Y389" s="526"/>
      <c r="Z389" s="526"/>
      <c r="AA389" s="931" t="s">
        <v>0</v>
      </c>
      <c r="AB389" s="945"/>
      <c r="AC389" s="317" t="s">
        <v>99</v>
      </c>
      <c r="AD389" s="298" t="s">
        <v>104</v>
      </c>
      <c r="AE389" s="291" t="s">
        <v>207</v>
      </c>
      <c r="AF389" s="396" t="s">
        <v>107</v>
      </c>
      <c r="AG389" s="392" t="s">
        <v>208</v>
      </c>
      <c r="AH389" s="779"/>
      <c r="AI389" s="779"/>
    </row>
    <row r="390" spans="1:35" s="523" customFormat="1" ht="15" customHeight="1" x14ac:dyDescent="0.25">
      <c r="A390" s="935" t="s">
        <v>9</v>
      </c>
      <c r="B390" s="528" t="s">
        <v>4</v>
      </c>
      <c r="C390" s="541">
        <v>143393</v>
      </c>
      <c r="D390" s="538">
        <v>150516.70000000001</v>
      </c>
      <c r="E390" s="541">
        <v>150516.70000000001</v>
      </c>
      <c r="F390" s="533">
        <v>181998.8</v>
      </c>
      <c r="G390" s="533">
        <v>165453.5</v>
      </c>
      <c r="H390" s="533">
        <v>132132.9</v>
      </c>
      <c r="I390" s="533">
        <v>170968.6</v>
      </c>
      <c r="J390" s="537">
        <v>165453.5</v>
      </c>
      <c r="K390" s="537">
        <v>92411.6</v>
      </c>
      <c r="L390" s="538">
        <f>83196.1+132070.4</f>
        <v>215266.5</v>
      </c>
      <c r="M390" s="541">
        <v>193029.1</v>
      </c>
      <c r="N390" s="533">
        <f>132132.9+292299.3</f>
        <v>424432.19999999995</v>
      </c>
      <c r="O390" s="533">
        <v>82726.600000000006</v>
      </c>
      <c r="P390" s="533">
        <v>275755</v>
      </c>
      <c r="Q390" s="537">
        <v>82726.600000000006</v>
      </c>
      <c r="R390" s="537">
        <v>188981.6</v>
      </c>
      <c r="S390" s="538">
        <f>83196.1+132070.4</f>
        <v>215266.5</v>
      </c>
      <c r="T390" s="544">
        <v>55151</v>
      </c>
      <c r="U390" s="538">
        <v>33090.5</v>
      </c>
      <c r="V390" s="534"/>
      <c r="W390" s="534"/>
      <c r="X390" s="534"/>
      <c r="Y390" s="534"/>
      <c r="Z390" s="534"/>
      <c r="AA390" s="548" t="s">
        <v>195</v>
      </c>
      <c r="AB390" s="524" t="s">
        <v>4</v>
      </c>
      <c r="AC390" s="544">
        <v>143392.20000000001</v>
      </c>
      <c r="AD390" s="541">
        <v>132132</v>
      </c>
      <c r="AE390" s="538">
        <v>83196.100000000006</v>
      </c>
      <c r="AF390" s="552">
        <v>132132.20000000001</v>
      </c>
      <c r="AG390" s="551">
        <v>83196.100000000006</v>
      </c>
      <c r="AH390" s="780"/>
      <c r="AI390" s="780"/>
    </row>
    <row r="391" spans="1:35" s="523" customFormat="1" x14ac:dyDescent="0.25">
      <c r="A391" s="936"/>
      <c r="B391" s="497" t="s">
        <v>5</v>
      </c>
      <c r="C391" s="582">
        <v>49552.4</v>
      </c>
      <c r="D391" s="581">
        <v>81183.7</v>
      </c>
      <c r="E391" s="582">
        <v>82554.399999999994</v>
      </c>
      <c r="F391" s="583">
        <v>153373</v>
      </c>
      <c r="G391" s="583">
        <v>117112.5</v>
      </c>
      <c r="H391" s="583">
        <v>65542.8</v>
      </c>
      <c r="I391" s="583">
        <v>106845.8</v>
      </c>
      <c r="J391" s="585">
        <v>26972.1</v>
      </c>
      <c r="K391" s="585">
        <v>53565.9</v>
      </c>
      <c r="L391" s="581">
        <v>4965.3999999999996</v>
      </c>
      <c r="M391" s="582">
        <v>164221.29999999999</v>
      </c>
      <c r="N391" s="583">
        <v>85983.6</v>
      </c>
      <c r="O391" s="583">
        <v>60161.3</v>
      </c>
      <c r="P391" s="583">
        <v>196516.5</v>
      </c>
      <c r="Q391" s="585">
        <v>14068.3</v>
      </c>
      <c r="R391" s="585">
        <v>85798.1</v>
      </c>
      <c r="S391" s="581">
        <v>55186</v>
      </c>
      <c r="T391" s="584">
        <v>13363.3</v>
      </c>
      <c r="U391" s="581">
        <v>6641.1</v>
      </c>
      <c r="V391" s="534"/>
      <c r="W391" s="534"/>
      <c r="X391" s="534"/>
      <c r="Y391" s="534"/>
      <c r="Z391" s="534"/>
      <c r="AA391" s="549"/>
      <c r="AB391" s="496" t="s">
        <v>5</v>
      </c>
      <c r="AC391" s="319">
        <v>43401.8</v>
      </c>
      <c r="AD391" s="300">
        <v>58695.3</v>
      </c>
      <c r="AE391" s="513">
        <v>4.7</v>
      </c>
      <c r="AF391" s="398">
        <v>55118.9</v>
      </c>
      <c r="AG391" s="394">
        <v>4.5</v>
      </c>
      <c r="AH391" s="781"/>
      <c r="AI391" s="781"/>
    </row>
    <row r="392" spans="1:35" s="523" customFormat="1" ht="15.75" thickBot="1" x14ac:dyDescent="0.3">
      <c r="A392" s="937"/>
      <c r="B392" s="504" t="s">
        <v>3</v>
      </c>
      <c r="C392" s="542">
        <f t="shared" ref="C392:L392" si="202">C391/C390</f>
        <v>0.34557056481139248</v>
      </c>
      <c r="D392" s="343">
        <f t="shared" si="202"/>
        <v>0.53936672807734953</v>
      </c>
      <c r="E392" s="542">
        <f t="shared" si="202"/>
        <v>0.54847335877015635</v>
      </c>
      <c r="F392" s="519">
        <f t="shared" si="202"/>
        <v>0.84271434756712682</v>
      </c>
      <c r="G392" s="498">
        <f t="shared" si="202"/>
        <v>0.70782727473277995</v>
      </c>
      <c r="H392" s="498">
        <f t="shared" si="202"/>
        <v>0.49603694462166503</v>
      </c>
      <c r="I392" s="498">
        <f t="shared" si="202"/>
        <v>0.62494399556409774</v>
      </c>
      <c r="J392" s="506">
        <f t="shared" si="202"/>
        <v>0.16301921687966708</v>
      </c>
      <c r="K392" s="506">
        <f t="shared" si="202"/>
        <v>0.5796447632115449</v>
      </c>
      <c r="L392" s="514">
        <f t="shared" si="202"/>
        <v>2.3066292247051909E-2</v>
      </c>
      <c r="M392" s="547">
        <f>M391/M390</f>
        <v>0.85075928966150693</v>
      </c>
      <c r="N392" s="498">
        <f>N391/N390</f>
        <v>0.20258500650987371</v>
      </c>
      <c r="O392" s="506">
        <f>O391/O390</f>
        <v>0.72723041923637621</v>
      </c>
      <c r="P392" s="498">
        <f>P391/P390</f>
        <v>0.71264890935794456</v>
      </c>
      <c r="Q392" s="506">
        <f>Q391/Q390</f>
        <v>0.17005775651362437</v>
      </c>
      <c r="R392" s="506">
        <f t="shared" ref="R392:S392" si="203">R391/R390</f>
        <v>0.45400240023367355</v>
      </c>
      <c r="S392" s="514">
        <f t="shared" si="203"/>
        <v>0.25636130099202614</v>
      </c>
      <c r="T392" s="545">
        <f>T391/T390</f>
        <v>0.24230385668437562</v>
      </c>
      <c r="U392" s="514">
        <f>U391/U390</f>
        <v>0.20069506353787342</v>
      </c>
      <c r="V392" s="534"/>
      <c r="W392" s="534"/>
      <c r="X392" s="534"/>
      <c r="Y392" s="534"/>
      <c r="Z392" s="534"/>
      <c r="AA392" s="550"/>
      <c r="AB392" s="347" t="s">
        <v>3</v>
      </c>
      <c r="AC392" s="395">
        <f>AC391/AC390</f>
        <v>0.302678946274623</v>
      </c>
      <c r="AD392" s="542">
        <f>AD391/AD390</f>
        <v>0.44421714648987376</v>
      </c>
      <c r="AE392" s="514">
        <f>AE391/AE390</f>
        <v>5.6493032726293656E-5</v>
      </c>
      <c r="AF392" s="522">
        <f>AF391/AF390</f>
        <v>0.41714964255495629</v>
      </c>
      <c r="AG392" s="343">
        <f>AG391/AG390</f>
        <v>5.4089073886876906E-5</v>
      </c>
      <c r="AH392" s="782"/>
      <c r="AI392" s="782"/>
    </row>
    <row r="393" spans="1:35" s="563" customFormat="1" ht="15" customHeight="1" x14ac:dyDescent="0.25">
      <c r="A393" s="938" t="s">
        <v>6</v>
      </c>
      <c r="B393" s="553" t="s">
        <v>7</v>
      </c>
      <c r="C393" s="554">
        <v>5870</v>
      </c>
      <c r="D393" s="555">
        <v>3333</v>
      </c>
      <c r="E393" s="554">
        <v>3330</v>
      </c>
      <c r="F393" s="556">
        <v>9457</v>
      </c>
      <c r="G393" s="556">
        <v>8341</v>
      </c>
      <c r="H393" s="556">
        <v>15703</v>
      </c>
      <c r="I393" s="556">
        <v>8197</v>
      </c>
      <c r="J393" s="557">
        <v>9599</v>
      </c>
      <c r="K393" s="557">
        <v>4073</v>
      </c>
      <c r="L393" s="555">
        <v>6399</v>
      </c>
      <c r="M393" s="554">
        <v>9092</v>
      </c>
      <c r="N393" s="556">
        <v>11923</v>
      </c>
      <c r="O393" s="556">
        <v>4265</v>
      </c>
      <c r="P393" s="556">
        <v>10852</v>
      </c>
      <c r="Q393" s="557">
        <v>4799</v>
      </c>
      <c r="R393" s="557">
        <v>7192</v>
      </c>
      <c r="S393" s="555">
        <v>6399</v>
      </c>
      <c r="T393" s="558">
        <v>2480</v>
      </c>
      <c r="U393" s="555">
        <v>1570</v>
      </c>
      <c r="V393" s="559" t="s">
        <v>198</v>
      </c>
      <c r="W393" s="560"/>
      <c r="X393" s="561"/>
      <c r="Y393" s="561"/>
      <c r="Z393" s="561"/>
      <c r="AA393" s="562" t="s">
        <v>191</v>
      </c>
      <c r="AB393" s="553" t="s">
        <v>4</v>
      </c>
      <c r="AC393" s="564">
        <v>9191.7999999999993</v>
      </c>
      <c r="AD393" s="565">
        <v>13787.7</v>
      </c>
      <c r="AE393" s="566">
        <v>8804.7999999999993</v>
      </c>
      <c r="AF393" s="567">
        <v>13787.7</v>
      </c>
      <c r="AG393" s="568">
        <v>8804.7999999999993</v>
      </c>
      <c r="AH393" s="783"/>
      <c r="AI393" s="783"/>
    </row>
    <row r="394" spans="1:35" s="523" customFormat="1" x14ac:dyDescent="0.25">
      <c r="A394" s="939"/>
      <c r="B394" s="494" t="s">
        <v>11</v>
      </c>
      <c r="C394" s="302">
        <f t="shared" ref="C394:L394" si="204">C393*33.717</f>
        <v>197918.78999999998</v>
      </c>
      <c r="D394" s="512">
        <f t="shared" si="204"/>
        <v>112378.761</v>
      </c>
      <c r="E394" s="302">
        <f t="shared" si="204"/>
        <v>112277.61</v>
      </c>
      <c r="F394" s="355">
        <f t="shared" si="204"/>
        <v>318861.66899999999</v>
      </c>
      <c r="G394" s="499">
        <f t="shared" si="204"/>
        <v>281233.49699999997</v>
      </c>
      <c r="H394" s="354">
        <f t="shared" si="204"/>
        <v>529458.05099999998</v>
      </c>
      <c r="I394" s="354">
        <f t="shared" si="204"/>
        <v>276378.24900000001</v>
      </c>
      <c r="J394" s="355">
        <f t="shared" si="204"/>
        <v>323649.48300000001</v>
      </c>
      <c r="K394" s="507">
        <f t="shared" si="204"/>
        <v>137329.34099999999</v>
      </c>
      <c r="L394" s="512">
        <f t="shared" si="204"/>
        <v>215755.08299999998</v>
      </c>
      <c r="M394" s="322">
        <f>M393*33.717</f>
        <v>306554.96399999998</v>
      </c>
      <c r="N394" s="499">
        <f>N393*33.717</f>
        <v>402007.79099999997</v>
      </c>
      <c r="O394" s="499">
        <f>O393*33.717</f>
        <v>143803.005</v>
      </c>
      <c r="P394" s="354">
        <f>P393*33.717</f>
        <v>365896.88399999996</v>
      </c>
      <c r="Q394" s="355">
        <f>Q393*33.717</f>
        <v>161807.883</v>
      </c>
      <c r="R394" s="507">
        <f t="shared" ref="R394:S394" si="205">R393*33.717</f>
        <v>242492.66399999999</v>
      </c>
      <c r="S394" s="512">
        <f t="shared" si="205"/>
        <v>215755.08299999998</v>
      </c>
      <c r="T394" s="302">
        <f>T393*33.717</f>
        <v>83618.16</v>
      </c>
      <c r="U394" s="354">
        <f>U393*33.717</f>
        <v>52935.689999999995</v>
      </c>
      <c r="V394" s="534"/>
      <c r="W394" s="534"/>
      <c r="X394" s="534"/>
      <c r="Y394" s="534"/>
      <c r="Z394" s="534"/>
      <c r="AA394" s="549"/>
      <c r="AB394" s="497" t="s">
        <v>5</v>
      </c>
      <c r="AC394" s="319">
        <v>8835</v>
      </c>
      <c r="AD394" s="300">
        <v>13648.9</v>
      </c>
      <c r="AE394" s="513">
        <v>0</v>
      </c>
      <c r="AF394" s="398">
        <v>13649.5</v>
      </c>
      <c r="AG394" s="394">
        <v>30</v>
      </c>
      <c r="AH394" s="781"/>
      <c r="AI394" s="781"/>
    </row>
    <row r="395" spans="1:35" s="523" customFormat="1" ht="15.75" thickBot="1" x14ac:dyDescent="0.3">
      <c r="A395" s="939"/>
      <c r="B395" s="494" t="s">
        <v>79</v>
      </c>
      <c r="C395" s="302">
        <v>164000</v>
      </c>
      <c r="D395" s="512">
        <v>109880</v>
      </c>
      <c r="E395" s="302">
        <v>109880</v>
      </c>
      <c r="F395" s="499">
        <v>328000</v>
      </c>
      <c r="G395" s="499">
        <v>330905</v>
      </c>
      <c r="H395" s="499">
        <v>264264</v>
      </c>
      <c r="I395" s="499">
        <v>242663.6</v>
      </c>
      <c r="J395" s="507">
        <v>328000</v>
      </c>
      <c r="K395" s="507">
        <v>328000</v>
      </c>
      <c r="L395" s="512">
        <v>328000</v>
      </c>
      <c r="M395" s="302">
        <v>328000</v>
      </c>
      <c r="N395" s="499">
        <v>264264.40000000002</v>
      </c>
      <c r="O395" s="499">
        <v>328000</v>
      </c>
      <c r="P395" s="499">
        <v>352965.4</v>
      </c>
      <c r="Q395" s="507">
        <v>328000</v>
      </c>
      <c r="R395" s="507">
        <v>328000</v>
      </c>
      <c r="S395" s="512">
        <v>328000</v>
      </c>
      <c r="T395" s="322">
        <f>2*T390</f>
        <v>110302</v>
      </c>
      <c r="U395" s="512">
        <f>2*U390</f>
        <v>66181</v>
      </c>
      <c r="V395" s="534"/>
      <c r="W395" s="534"/>
      <c r="X395" s="534"/>
      <c r="Y395" s="534"/>
      <c r="Z395" s="534"/>
      <c r="AA395" s="550"/>
      <c r="AB395" s="344" t="s">
        <v>3</v>
      </c>
      <c r="AC395" s="395">
        <f>AC394/AC393</f>
        <v>0.96118279335929857</v>
      </c>
      <c r="AD395" s="301">
        <f>AD394/AD393</f>
        <v>0.98993305627479555</v>
      </c>
      <c r="AE395" s="401">
        <f>AE394/AE393</f>
        <v>0</v>
      </c>
      <c r="AF395" s="400">
        <f>AF394/AF393</f>
        <v>0.98997657332259903</v>
      </c>
      <c r="AG395" s="348">
        <f>AG394/AG393</f>
        <v>3.4072324186807199E-3</v>
      </c>
      <c r="AH395" s="782"/>
      <c r="AI395" s="782"/>
    </row>
    <row r="396" spans="1:35" s="523" customFormat="1" ht="15" customHeight="1" x14ac:dyDescent="0.25">
      <c r="A396" s="939"/>
      <c r="B396" s="497" t="s">
        <v>8</v>
      </c>
      <c r="C396" s="589">
        <v>5599</v>
      </c>
      <c r="D396" s="588">
        <v>2865</v>
      </c>
      <c r="E396" s="589">
        <v>2895</v>
      </c>
      <c r="F396" s="586">
        <v>8327</v>
      </c>
      <c r="G396" s="586">
        <v>3818</v>
      </c>
      <c r="H396" s="586">
        <v>13662</v>
      </c>
      <c r="I396" s="586">
        <v>6909</v>
      </c>
      <c r="J396" s="587">
        <v>591</v>
      </c>
      <c r="K396" s="587">
        <v>2994</v>
      </c>
      <c r="L396" s="588">
        <v>1754</v>
      </c>
      <c r="M396" s="589">
        <v>8348</v>
      </c>
      <c r="N396" s="586">
        <v>10937</v>
      </c>
      <c r="O396" s="587">
        <v>3965</v>
      </c>
      <c r="P396" s="586">
        <v>8373</v>
      </c>
      <c r="Q396" s="587">
        <v>1039</v>
      </c>
      <c r="R396" s="587">
        <v>3022</v>
      </c>
      <c r="S396" s="588">
        <v>621</v>
      </c>
      <c r="T396" s="590">
        <v>1529</v>
      </c>
      <c r="U396" s="588">
        <v>974</v>
      </c>
      <c r="V396" s="526" t="s">
        <v>176</v>
      </c>
      <c r="W396" s="534"/>
      <c r="X396" s="534"/>
      <c r="Y396" s="534"/>
      <c r="Z396" s="534"/>
      <c r="AA396" s="548" t="s">
        <v>192</v>
      </c>
      <c r="AB396" s="528" t="s">
        <v>4</v>
      </c>
      <c r="AC396" s="544">
        <v>97433.600000000006</v>
      </c>
      <c r="AD396" s="541">
        <v>243584.4</v>
      </c>
      <c r="AE396" s="538">
        <v>132070.29999999999</v>
      </c>
      <c r="AF396" s="552">
        <v>292299.3</v>
      </c>
      <c r="AG396" s="551">
        <v>132070.39999999999</v>
      </c>
      <c r="AH396" s="780"/>
      <c r="AI396" s="780"/>
    </row>
    <row r="397" spans="1:35" s="523" customFormat="1" x14ac:dyDescent="0.25">
      <c r="A397" s="939"/>
      <c r="B397" s="495" t="s">
        <v>77</v>
      </c>
      <c r="C397" s="302">
        <f>(C396*33.717)</f>
        <v>188781.48300000001</v>
      </c>
      <c r="D397" s="338">
        <f>(D396*33.717)</f>
        <v>96599.205000000002</v>
      </c>
      <c r="E397" s="302">
        <f>(E396*33.717)</f>
        <v>97610.714999999997</v>
      </c>
      <c r="F397" s="338">
        <f>(F396*33.717)</f>
        <v>280761.45899999997</v>
      </c>
      <c r="G397" s="500">
        <f>(G396*33.717)*2</f>
        <v>257463.01199999999</v>
      </c>
      <c r="H397" s="500">
        <f>(H396*33.717)</f>
        <v>460641.65399999998</v>
      </c>
      <c r="I397" s="500">
        <f>(I396*33.717)-(2000*33.717)</f>
        <v>165516.753</v>
      </c>
      <c r="J397" s="509">
        <f>J396*33.717</f>
        <v>19926.746999999999</v>
      </c>
      <c r="K397" s="509">
        <f>K396*33.717</f>
        <v>100948.69799999999</v>
      </c>
      <c r="L397" s="261">
        <f>L396*33.717</f>
        <v>59139.617999999995</v>
      </c>
      <c r="M397" s="304">
        <f>M396*33.717</f>
        <v>281469.516</v>
      </c>
      <c r="N397" s="500">
        <f>N396*33.717</f>
        <v>368762.82899999997</v>
      </c>
      <c r="O397" s="500">
        <f>(O396*33.717)</f>
        <v>133687.905</v>
      </c>
      <c r="P397" s="500">
        <f t="shared" ref="P397:U397" si="206">P396*33.717</f>
        <v>282312.44099999999</v>
      </c>
      <c r="Q397" s="509">
        <f t="shared" si="206"/>
        <v>35031.962999999996</v>
      </c>
      <c r="R397" s="509">
        <f t="shared" si="206"/>
        <v>101892.77399999999</v>
      </c>
      <c r="S397" s="261">
        <f t="shared" si="206"/>
        <v>20938.256999999998</v>
      </c>
      <c r="T397" s="324">
        <f t="shared" si="206"/>
        <v>51553.292999999998</v>
      </c>
      <c r="U397" s="518">
        <f t="shared" si="206"/>
        <v>32840.358</v>
      </c>
      <c r="V397" s="532">
        <f>344240-H397</f>
        <v>-116401.65399999998</v>
      </c>
      <c r="W397" s="534" t="s">
        <v>177</v>
      </c>
      <c r="X397" s="534"/>
      <c r="Y397" s="534"/>
      <c r="Z397" s="534"/>
      <c r="AA397" s="549"/>
      <c r="AB397" s="497" t="s">
        <v>5</v>
      </c>
      <c r="AC397" s="319">
        <v>38973.199999999997</v>
      </c>
      <c r="AD397" s="300">
        <v>95895.7</v>
      </c>
      <c r="AE397" s="513">
        <v>0.1</v>
      </c>
      <c r="AF397" s="398">
        <v>93978.8</v>
      </c>
      <c r="AG397" s="394">
        <v>1</v>
      </c>
      <c r="AH397" s="781"/>
      <c r="AI397" s="781"/>
    </row>
    <row r="398" spans="1:35" s="523" customFormat="1" ht="15.75" thickBot="1" x14ac:dyDescent="0.3">
      <c r="A398" s="940"/>
      <c r="B398" s="504" t="s">
        <v>10</v>
      </c>
      <c r="C398" s="542">
        <f>C397/C390</f>
        <v>1.3165320692083993</v>
      </c>
      <c r="D398" s="514">
        <f t="shared" ref="D398:U398" si="207">D397/D390</f>
        <v>0.64178396815768612</v>
      </c>
      <c r="E398" s="543">
        <f t="shared" si="207"/>
        <v>0.64850421913315925</v>
      </c>
      <c r="F398" s="501">
        <f t="shared" si="207"/>
        <v>1.542655550476157</v>
      </c>
      <c r="G398" s="501">
        <f t="shared" si="207"/>
        <v>1.5561049600038681</v>
      </c>
      <c r="H398" s="501">
        <f t="shared" si="207"/>
        <v>3.4861995309268168</v>
      </c>
      <c r="I398" s="501">
        <f t="shared" si="207"/>
        <v>0.96811199834355544</v>
      </c>
      <c r="J398" s="520">
        <f t="shared" si="207"/>
        <v>0.12043714397096465</v>
      </c>
      <c r="K398" s="520">
        <f t="shared" si="207"/>
        <v>1.0923812378532562</v>
      </c>
      <c r="L398" s="515">
        <f t="shared" si="207"/>
        <v>0.2747274564319111</v>
      </c>
      <c r="M398" s="543">
        <f t="shared" si="207"/>
        <v>1.4581714156052119</v>
      </c>
      <c r="N398" s="501">
        <f t="shared" si="207"/>
        <v>0.86883801229030222</v>
      </c>
      <c r="O398" s="501">
        <f t="shared" si="207"/>
        <v>1.6160207841250576</v>
      </c>
      <c r="P398" s="510">
        <f t="shared" si="207"/>
        <v>1.0237799532193432</v>
      </c>
      <c r="Q398" s="520">
        <f t="shared" si="207"/>
        <v>0.42346673258661655</v>
      </c>
      <c r="R398" s="520">
        <f t="shared" si="207"/>
        <v>0.53916769674931309</v>
      </c>
      <c r="S398" s="515">
        <f t="shared" si="207"/>
        <v>9.7266676422016418E-2</v>
      </c>
      <c r="T398" s="542">
        <f t="shared" si="207"/>
        <v>0.93476624177258794</v>
      </c>
      <c r="U398" s="514">
        <f t="shared" si="207"/>
        <v>0.99244067028301175</v>
      </c>
      <c r="V398" s="535"/>
      <c r="W398" s="534"/>
      <c r="X398" s="534"/>
      <c r="Y398" s="534"/>
      <c r="Z398" s="534"/>
      <c r="AA398" s="550"/>
      <c r="AB398" s="504" t="s">
        <v>3</v>
      </c>
      <c r="AC398" s="545">
        <f>AC397/AC396</f>
        <v>0.39999753678402516</v>
      </c>
      <c r="AD398" s="542">
        <f>AD397/AD396</f>
        <v>0.39368572043201455</v>
      </c>
      <c r="AE398" s="514">
        <f>AE397/AE396</f>
        <v>7.5717250585483648E-7</v>
      </c>
      <c r="AF398" s="522">
        <f>AF397/AF396</f>
        <v>0.32151565193621745</v>
      </c>
      <c r="AG398" s="343">
        <f>AG397/AG396</f>
        <v>7.5717193254506694E-6</v>
      </c>
      <c r="AH398" s="782"/>
      <c r="AI398" s="782"/>
    </row>
    <row r="399" spans="1:35" s="267" customFormat="1" ht="15.75" thickBot="1" x14ac:dyDescent="0.3">
      <c r="A399" s="924">
        <v>41596</v>
      </c>
      <c r="B399" s="924"/>
      <c r="C399" s="924"/>
      <c r="D399" s="276"/>
      <c r="E399" s="276"/>
      <c r="F399" s="276"/>
      <c r="G399" s="276"/>
      <c r="H399" s="276"/>
      <c r="I399" s="11"/>
      <c r="J399" s="281"/>
      <c r="K399" s="281"/>
      <c r="L399" s="276"/>
      <c r="M399" s="276"/>
      <c r="N399" s="13"/>
      <c r="R399" s="12"/>
      <c r="S399" s="70"/>
      <c r="T399" s="70"/>
      <c r="U399" s="70"/>
      <c r="V399" s="70"/>
      <c r="W399" s="70"/>
      <c r="X399" s="70"/>
      <c r="Y399" s="70"/>
      <c r="Z399" s="70"/>
      <c r="AA399" s="941"/>
      <c r="AB399" s="942"/>
      <c r="AH399" s="743"/>
      <c r="AI399" s="743"/>
    </row>
    <row r="400" spans="1:35" s="267" customFormat="1" x14ac:dyDescent="0.25">
      <c r="A400" s="925" t="s">
        <v>1</v>
      </c>
      <c r="B400" s="926"/>
      <c r="C400" s="297" t="s">
        <v>12</v>
      </c>
      <c r="D400" s="266" t="s">
        <v>12</v>
      </c>
      <c r="E400" s="297" t="s">
        <v>13</v>
      </c>
      <c r="F400" s="277" t="s">
        <v>13</v>
      </c>
      <c r="G400" s="277" t="s">
        <v>13</v>
      </c>
      <c r="H400" s="277" t="s">
        <v>13</v>
      </c>
      <c r="I400" s="277" t="s">
        <v>13</v>
      </c>
      <c r="J400" s="286" t="s">
        <v>13</v>
      </c>
      <c r="K400" s="286" t="s">
        <v>13</v>
      </c>
      <c r="L400" s="266" t="s">
        <v>13</v>
      </c>
      <c r="M400" s="492" t="s">
        <v>2</v>
      </c>
      <c r="N400" s="277" t="s">
        <v>2</v>
      </c>
      <c r="O400" s="286" t="s">
        <v>2</v>
      </c>
      <c r="P400" s="277" t="s">
        <v>2</v>
      </c>
      <c r="Q400" s="286" t="s">
        <v>2</v>
      </c>
      <c r="R400" s="286" t="s">
        <v>2</v>
      </c>
      <c r="S400" s="266" t="s">
        <v>2</v>
      </c>
      <c r="T400" s="492" t="s">
        <v>183</v>
      </c>
      <c r="U400" s="493" t="s">
        <v>183</v>
      </c>
      <c r="V400" s="12"/>
      <c r="W400" s="70"/>
      <c r="X400" s="70"/>
      <c r="Y400" s="70"/>
      <c r="Z400" s="70"/>
      <c r="AA400" s="925" t="s">
        <v>1</v>
      </c>
      <c r="AB400" s="928"/>
      <c r="AC400" s="491" t="s">
        <v>12</v>
      </c>
      <c r="AD400" s="929" t="s">
        <v>13</v>
      </c>
      <c r="AE400" s="930"/>
      <c r="AF400" s="929" t="s">
        <v>2</v>
      </c>
      <c r="AG400" s="930"/>
      <c r="AH400" s="778"/>
      <c r="AI400" s="778"/>
    </row>
    <row r="401" spans="1:35" s="267" customFormat="1" ht="15.75" thickBot="1" x14ac:dyDescent="0.3">
      <c r="A401" s="931" t="s">
        <v>0</v>
      </c>
      <c r="B401" s="944"/>
      <c r="C401" s="298" t="s">
        <v>99</v>
      </c>
      <c r="D401" s="291" t="s">
        <v>100</v>
      </c>
      <c r="E401" s="298" t="s">
        <v>101</v>
      </c>
      <c r="F401" s="306" t="s">
        <v>102</v>
      </c>
      <c r="G401" s="306" t="s">
        <v>97</v>
      </c>
      <c r="H401" s="306" t="s">
        <v>104</v>
      </c>
      <c r="I401" s="306" t="s">
        <v>103</v>
      </c>
      <c r="J401" s="378" t="s">
        <v>178</v>
      </c>
      <c r="K401" s="378" t="s">
        <v>200</v>
      </c>
      <c r="L401" s="314" t="s">
        <v>207</v>
      </c>
      <c r="M401" s="298" t="s">
        <v>105</v>
      </c>
      <c r="N401" s="306" t="s">
        <v>107</v>
      </c>
      <c r="O401" s="312" t="s">
        <v>98</v>
      </c>
      <c r="P401" s="313" t="s">
        <v>106</v>
      </c>
      <c r="Q401" s="312" t="s">
        <v>179</v>
      </c>
      <c r="R401" s="312" t="s">
        <v>199</v>
      </c>
      <c r="S401" s="291" t="s">
        <v>208</v>
      </c>
      <c r="T401" s="317" t="s">
        <v>182</v>
      </c>
      <c r="U401" s="291" t="s">
        <v>184</v>
      </c>
      <c r="V401" s="12"/>
      <c r="W401" s="12"/>
      <c r="X401" s="12"/>
      <c r="Y401" s="12"/>
      <c r="Z401" s="12"/>
      <c r="AA401" s="931" t="s">
        <v>0</v>
      </c>
      <c r="AB401" s="945"/>
      <c r="AC401" s="317" t="s">
        <v>99</v>
      </c>
      <c r="AD401" s="298" t="s">
        <v>104</v>
      </c>
      <c r="AE401" s="291" t="s">
        <v>207</v>
      </c>
      <c r="AF401" s="396" t="s">
        <v>107</v>
      </c>
      <c r="AG401" s="392" t="s">
        <v>208</v>
      </c>
      <c r="AH401" s="779"/>
      <c r="AI401" s="779"/>
    </row>
    <row r="402" spans="1:35" s="267" customFormat="1" ht="15" customHeight="1" x14ac:dyDescent="0.25">
      <c r="A402" s="935" t="s">
        <v>9</v>
      </c>
      <c r="B402" s="19" t="s">
        <v>4</v>
      </c>
      <c r="C402" s="299">
        <v>143393</v>
      </c>
      <c r="D402" s="265">
        <v>150516.70000000001</v>
      </c>
      <c r="E402" s="299">
        <v>150516.70000000001</v>
      </c>
      <c r="F402" s="283">
        <v>181998.8</v>
      </c>
      <c r="G402" s="283">
        <v>165453.5</v>
      </c>
      <c r="H402" s="283">
        <v>132132.9</v>
      </c>
      <c r="I402" s="283">
        <v>170968.6</v>
      </c>
      <c r="J402" s="223">
        <v>165453.5</v>
      </c>
      <c r="K402" s="223">
        <v>92411.6</v>
      </c>
      <c r="L402" s="265">
        <f>83196.1+132070.4</f>
        <v>215266.5</v>
      </c>
      <c r="M402" s="299">
        <v>193029.1</v>
      </c>
      <c r="N402" s="283">
        <f>132132.9+292299.3</f>
        <v>424432.19999999995</v>
      </c>
      <c r="O402" s="283">
        <v>82726.600000000006</v>
      </c>
      <c r="P402" s="283">
        <v>275755</v>
      </c>
      <c r="Q402" s="223">
        <v>82726.600000000006</v>
      </c>
      <c r="R402" s="223">
        <v>188981.6</v>
      </c>
      <c r="S402" s="265">
        <f>83196.1+132070.4</f>
        <v>215266.5</v>
      </c>
      <c r="T402" s="318">
        <v>55151</v>
      </c>
      <c r="U402" s="265">
        <v>33090.5</v>
      </c>
      <c r="V402" s="70"/>
      <c r="W402" s="70"/>
      <c r="X402" s="70"/>
      <c r="Y402" s="70"/>
      <c r="Z402" s="70"/>
      <c r="AA402" s="488" t="s">
        <v>195</v>
      </c>
      <c r="AB402" s="2" t="s">
        <v>4</v>
      </c>
      <c r="AC402" s="318">
        <v>143392.20000000001</v>
      </c>
      <c r="AD402" s="299">
        <v>132132</v>
      </c>
      <c r="AE402" s="265">
        <v>83196.100000000006</v>
      </c>
      <c r="AF402" s="397">
        <v>132132.20000000001</v>
      </c>
      <c r="AG402" s="393">
        <v>83196.100000000006</v>
      </c>
      <c r="AH402" s="780"/>
      <c r="AI402" s="780"/>
    </row>
    <row r="403" spans="1:35" s="267" customFormat="1" x14ac:dyDescent="0.25">
      <c r="A403" s="936"/>
      <c r="B403" s="293" t="s">
        <v>5</v>
      </c>
      <c r="C403" s="300">
        <v>49601</v>
      </c>
      <c r="D403" s="264">
        <v>81148.5</v>
      </c>
      <c r="E403" s="300">
        <v>82519.199999999997</v>
      </c>
      <c r="F403" s="307">
        <v>152987.5</v>
      </c>
      <c r="G403" s="307">
        <v>115575.1</v>
      </c>
      <c r="H403" s="307">
        <v>65530.1</v>
      </c>
      <c r="I403" s="307">
        <v>105098.7</v>
      </c>
      <c r="J403" s="374">
        <v>26551.599999999999</v>
      </c>
      <c r="K403" s="374">
        <v>52180.9</v>
      </c>
      <c r="L403" s="264">
        <f>1851.3+2582.1</f>
        <v>4433.3999999999996</v>
      </c>
      <c r="M403" s="300">
        <v>161983.4</v>
      </c>
      <c r="N403" s="307">
        <f xml:space="preserve"> 73487.5+13632.8</f>
        <v>87120.3</v>
      </c>
      <c r="O403" s="307">
        <v>59912.6</v>
      </c>
      <c r="P403" s="307">
        <v>192601.4</v>
      </c>
      <c r="Q403" s="374">
        <v>13847.8</v>
      </c>
      <c r="R403" s="374">
        <v>83845</v>
      </c>
      <c r="S403" s="264">
        <f>38237.7+16211.1</f>
        <v>54448.799999999996</v>
      </c>
      <c r="T403" s="319">
        <v>13363.3</v>
      </c>
      <c r="U403" s="264">
        <v>6641.1</v>
      </c>
      <c r="V403" s="70"/>
      <c r="W403" s="70"/>
      <c r="X403" s="70"/>
      <c r="Y403" s="70"/>
      <c r="Z403" s="70"/>
      <c r="AA403" s="489"/>
      <c r="AB403" s="342" t="s">
        <v>5</v>
      </c>
      <c r="AC403" s="319">
        <v>43401.8</v>
      </c>
      <c r="AD403" s="300">
        <v>58695.3</v>
      </c>
      <c r="AE403" s="264">
        <v>4.7</v>
      </c>
      <c r="AF403" s="398">
        <v>55118.9</v>
      </c>
      <c r="AG403" s="394">
        <v>4.5</v>
      </c>
      <c r="AH403" s="781"/>
      <c r="AI403" s="781"/>
    </row>
    <row r="404" spans="1:35" s="267" customFormat="1" ht="15.75" thickBot="1" x14ac:dyDescent="0.3">
      <c r="A404" s="937"/>
      <c r="B404" s="294" t="s">
        <v>3</v>
      </c>
      <c r="C404" s="305">
        <f t="shared" ref="C404:L404" si="208">C403/C402</f>
        <v>0.34590949348991934</v>
      </c>
      <c r="D404" s="343">
        <f t="shared" si="208"/>
        <v>0.53913286698419505</v>
      </c>
      <c r="E404" s="305">
        <f t="shared" si="208"/>
        <v>0.54823949767700186</v>
      </c>
      <c r="F404" s="371">
        <f t="shared" si="208"/>
        <v>0.84059620173319827</v>
      </c>
      <c r="G404" s="278">
        <f t="shared" si="208"/>
        <v>0.69853523799738304</v>
      </c>
      <c r="H404" s="278">
        <f t="shared" si="208"/>
        <v>0.49594082927113536</v>
      </c>
      <c r="I404" s="278">
        <f t="shared" si="208"/>
        <v>0.61472516005863065</v>
      </c>
      <c r="J404" s="315">
        <f t="shared" si="208"/>
        <v>0.16047771730425769</v>
      </c>
      <c r="K404" s="315">
        <f t="shared" si="208"/>
        <v>0.56465746724437194</v>
      </c>
      <c r="L404" s="292">
        <f t="shared" si="208"/>
        <v>2.0594936973472415E-2</v>
      </c>
      <c r="M404" s="372">
        <f>M403/M402</f>
        <v>0.83916570092281417</v>
      </c>
      <c r="N404" s="278">
        <f>N403/N402</f>
        <v>0.2052631727752984</v>
      </c>
      <c r="O404" s="315">
        <f>O403/O402</f>
        <v>0.72422413105337335</v>
      </c>
      <c r="P404" s="278">
        <f>P403/P402</f>
        <v>0.69845116135700169</v>
      </c>
      <c r="Q404" s="315">
        <f>Q403/Q402</f>
        <v>0.16739235022350729</v>
      </c>
      <c r="R404" s="315">
        <f t="shared" ref="R404:S404" si="209">R403/R402</f>
        <v>0.44366753165387529</v>
      </c>
      <c r="S404" s="292">
        <f t="shared" si="209"/>
        <v>0.2529367086843517</v>
      </c>
      <c r="T404" s="320">
        <f>T403/T402</f>
        <v>0.24230385668437562</v>
      </c>
      <c r="U404" s="292">
        <f>U403/U402</f>
        <v>0.20069506353787342</v>
      </c>
      <c r="V404" s="70"/>
      <c r="W404" s="70"/>
      <c r="X404" s="70"/>
      <c r="Y404" s="70"/>
      <c r="Z404" s="70"/>
      <c r="AA404" s="490"/>
      <c r="AB404" s="347" t="s">
        <v>3</v>
      </c>
      <c r="AC404" s="395">
        <f>AC403/AC402</f>
        <v>0.302678946274623</v>
      </c>
      <c r="AD404" s="305">
        <f>AD403/AD402</f>
        <v>0.44421714648987376</v>
      </c>
      <c r="AE404" s="292">
        <f>AE403/AE402</f>
        <v>5.6493032726293656E-5</v>
      </c>
      <c r="AF404" s="399">
        <f>AF403/AF402</f>
        <v>0.41714964255495629</v>
      </c>
      <c r="AG404" s="343">
        <f>AG403/AG402</f>
        <v>5.4089073886876906E-5</v>
      </c>
      <c r="AH404" s="782"/>
      <c r="AI404" s="782"/>
    </row>
    <row r="405" spans="1:35" s="429" customFormat="1" ht="15" customHeight="1" x14ac:dyDescent="0.25">
      <c r="A405" s="938" t="s">
        <v>6</v>
      </c>
      <c r="B405" s="418" t="s">
        <v>7</v>
      </c>
      <c r="C405" s="419">
        <v>5870</v>
      </c>
      <c r="D405" s="420">
        <v>3333</v>
      </c>
      <c r="E405" s="419">
        <v>3330</v>
      </c>
      <c r="F405" s="421">
        <v>9457</v>
      </c>
      <c r="G405" s="421">
        <v>8341</v>
      </c>
      <c r="H405" s="421">
        <v>15703</v>
      </c>
      <c r="I405" s="421">
        <v>8197</v>
      </c>
      <c r="J405" s="423">
        <v>9599</v>
      </c>
      <c r="K405" s="423">
        <v>4073</v>
      </c>
      <c r="L405" s="420">
        <v>6399</v>
      </c>
      <c r="M405" s="419">
        <v>9092</v>
      </c>
      <c r="N405" s="421">
        <v>11923</v>
      </c>
      <c r="O405" s="421">
        <v>4265</v>
      </c>
      <c r="P405" s="421">
        <v>10852</v>
      </c>
      <c r="Q405" s="423">
        <v>4799</v>
      </c>
      <c r="R405" s="423">
        <v>7192</v>
      </c>
      <c r="S405" s="420">
        <v>6399</v>
      </c>
      <c r="T405" s="424">
        <v>2480</v>
      </c>
      <c r="U405" s="420">
        <v>1570</v>
      </c>
      <c r="V405" s="425" t="s">
        <v>198</v>
      </c>
      <c r="W405" s="426"/>
      <c r="X405" s="427"/>
      <c r="Y405" s="427"/>
      <c r="Z405" s="427"/>
      <c r="AA405" s="428" t="s">
        <v>191</v>
      </c>
      <c r="AB405" s="418" t="s">
        <v>4</v>
      </c>
      <c r="AC405" s="430">
        <v>9191.7999999999993</v>
      </c>
      <c r="AD405" s="431">
        <v>13787.7</v>
      </c>
      <c r="AE405" s="432">
        <v>8804.7999999999993</v>
      </c>
      <c r="AF405" s="433">
        <v>13787.7</v>
      </c>
      <c r="AG405" s="434">
        <v>8804.7999999999993</v>
      </c>
      <c r="AH405" s="783"/>
      <c r="AI405" s="783"/>
    </row>
    <row r="406" spans="1:35" s="267" customFormat="1" x14ac:dyDescent="0.25">
      <c r="A406" s="939"/>
      <c r="B406" s="295" t="s">
        <v>11</v>
      </c>
      <c r="C406" s="302">
        <f t="shared" ref="C406:L406" si="210">C405*33.717</f>
        <v>197918.78999999998</v>
      </c>
      <c r="D406" s="263">
        <f t="shared" si="210"/>
        <v>112378.761</v>
      </c>
      <c r="E406" s="302">
        <f t="shared" si="210"/>
        <v>112277.61</v>
      </c>
      <c r="F406" s="355">
        <f t="shared" si="210"/>
        <v>318861.66899999999</v>
      </c>
      <c r="G406" s="308">
        <f t="shared" si="210"/>
        <v>281233.49699999997</v>
      </c>
      <c r="H406" s="354">
        <f t="shared" si="210"/>
        <v>529458.05099999998</v>
      </c>
      <c r="I406" s="354">
        <f t="shared" si="210"/>
        <v>276378.24900000001</v>
      </c>
      <c r="J406" s="355">
        <f t="shared" si="210"/>
        <v>323649.48300000001</v>
      </c>
      <c r="K406" s="375">
        <f t="shared" si="210"/>
        <v>137329.34099999999</v>
      </c>
      <c r="L406" s="263">
        <f t="shared" si="210"/>
        <v>215755.08299999998</v>
      </c>
      <c r="M406" s="322">
        <f>M405*33.717</f>
        <v>306554.96399999998</v>
      </c>
      <c r="N406" s="308">
        <f>N405*33.717</f>
        <v>402007.79099999997</v>
      </c>
      <c r="O406" s="308">
        <f>O405*33.717</f>
        <v>143803.005</v>
      </c>
      <c r="P406" s="354">
        <f>P405*33.717</f>
        <v>365896.88399999996</v>
      </c>
      <c r="Q406" s="355">
        <f>Q405*33.717</f>
        <v>161807.883</v>
      </c>
      <c r="R406" s="375">
        <f t="shared" ref="R406:S406" si="211">R405*33.717</f>
        <v>242492.66399999999</v>
      </c>
      <c r="S406" s="263">
        <f t="shared" si="211"/>
        <v>215755.08299999998</v>
      </c>
      <c r="T406" s="302">
        <f>T405*33.717</f>
        <v>83618.16</v>
      </c>
      <c r="U406" s="354">
        <f>U405*33.717</f>
        <v>52935.689999999995</v>
      </c>
      <c r="V406" s="70"/>
      <c r="W406" s="70"/>
      <c r="X406" s="70"/>
      <c r="Y406" s="70"/>
      <c r="Z406" s="70"/>
      <c r="AA406" s="489"/>
      <c r="AB406" s="293" t="s">
        <v>5</v>
      </c>
      <c r="AC406" s="319">
        <v>8835</v>
      </c>
      <c r="AD406" s="300">
        <v>13648.9</v>
      </c>
      <c r="AE406" s="264">
        <v>0</v>
      </c>
      <c r="AF406" s="398">
        <v>13649.5</v>
      </c>
      <c r="AG406" s="394">
        <v>30</v>
      </c>
      <c r="AH406" s="781"/>
      <c r="AI406" s="781"/>
    </row>
    <row r="407" spans="1:35" s="267" customFormat="1" ht="15.75" thickBot="1" x14ac:dyDescent="0.3">
      <c r="A407" s="939"/>
      <c r="B407" s="295" t="s">
        <v>79</v>
      </c>
      <c r="C407" s="302">
        <v>164000</v>
      </c>
      <c r="D407" s="263">
        <v>109880</v>
      </c>
      <c r="E407" s="302">
        <v>109880</v>
      </c>
      <c r="F407" s="308">
        <v>328000</v>
      </c>
      <c r="G407" s="308">
        <v>330905</v>
      </c>
      <c r="H407" s="308">
        <v>264264</v>
      </c>
      <c r="I407" s="308">
        <v>242663.6</v>
      </c>
      <c r="J407" s="375">
        <v>328000</v>
      </c>
      <c r="K407" s="375">
        <v>328000</v>
      </c>
      <c r="L407" s="263">
        <v>328000</v>
      </c>
      <c r="M407" s="302">
        <v>328000</v>
      </c>
      <c r="N407" s="308">
        <v>264264.40000000002</v>
      </c>
      <c r="O407" s="308">
        <v>328000</v>
      </c>
      <c r="P407" s="308">
        <v>352965.4</v>
      </c>
      <c r="Q407" s="375">
        <v>328000</v>
      </c>
      <c r="R407" s="375">
        <v>328000</v>
      </c>
      <c r="S407" s="263">
        <v>328000</v>
      </c>
      <c r="T407" s="322">
        <f>2*T402</f>
        <v>110302</v>
      </c>
      <c r="U407" s="263">
        <f>2*U402</f>
        <v>66181</v>
      </c>
      <c r="V407" s="70"/>
      <c r="W407" s="70"/>
      <c r="X407" s="70"/>
      <c r="Y407" s="70"/>
      <c r="Z407" s="70"/>
      <c r="AA407" s="490"/>
      <c r="AB407" s="344" t="s">
        <v>3</v>
      </c>
      <c r="AC407" s="395">
        <f>AC406/AC405</f>
        <v>0.96118279335929857</v>
      </c>
      <c r="AD407" s="301">
        <f>AD406/AD405</f>
        <v>0.98993305627479555</v>
      </c>
      <c r="AE407" s="401">
        <f>AE406/AE405</f>
        <v>0</v>
      </c>
      <c r="AF407" s="400">
        <f>AF406/AF405</f>
        <v>0.98997657332259903</v>
      </c>
      <c r="AG407" s="348">
        <f>AG406/AG405</f>
        <v>3.4072324186807199E-3</v>
      </c>
      <c r="AH407" s="782"/>
      <c r="AI407" s="782"/>
    </row>
    <row r="408" spans="1:35" s="267" customFormat="1" ht="15" customHeight="1" x14ac:dyDescent="0.25">
      <c r="A408" s="939"/>
      <c r="B408" s="293" t="s">
        <v>8</v>
      </c>
      <c r="C408" s="303">
        <f>SUM(C405-271)</f>
        <v>5599</v>
      </c>
      <c r="D408" s="262">
        <f>SUM(D405-468)</f>
        <v>2865</v>
      </c>
      <c r="E408" s="303">
        <f>SUM(E405-435)</f>
        <v>2895</v>
      </c>
      <c r="F408" s="309">
        <f>SUM(F405-1130)</f>
        <v>8327</v>
      </c>
      <c r="G408" s="309">
        <f>SUM(G405-4523)</f>
        <v>3818</v>
      </c>
      <c r="H408" s="309">
        <f>SUM(H405-2041)</f>
        <v>13662</v>
      </c>
      <c r="I408" s="309">
        <f>SUM(I405-(3363-2000))</f>
        <v>6834</v>
      </c>
      <c r="J408" s="316">
        <f>SUM(J405-9012)</f>
        <v>587</v>
      </c>
      <c r="K408" s="316">
        <f>SUM(K405-1147)</f>
        <v>2926</v>
      </c>
      <c r="L408" s="262">
        <f>SUM(L405-4819)</f>
        <v>1580</v>
      </c>
      <c r="M408" s="303">
        <f>SUM(M405-754)</f>
        <v>8338</v>
      </c>
      <c r="N408" s="309">
        <f>SUM(N405-986)</f>
        <v>10937</v>
      </c>
      <c r="O408" s="316">
        <f>SUM(O405-300)</f>
        <v>3965</v>
      </c>
      <c r="P408" s="309">
        <f>SUM(P405-(5168-2614))</f>
        <v>8298</v>
      </c>
      <c r="Q408" s="316">
        <f>SUM(Q405-3764)</f>
        <v>1035</v>
      </c>
      <c r="R408" s="316">
        <f>SUM(R405-4278)</f>
        <v>2914</v>
      </c>
      <c r="S408" s="262">
        <f>SUM(S405-2778)</f>
        <v>3621</v>
      </c>
      <c r="T408" s="323">
        <f>SUM(T405-951)</f>
        <v>1529</v>
      </c>
      <c r="U408" s="262">
        <f>SUM(U405-596)</f>
        <v>974</v>
      </c>
      <c r="V408" s="12" t="s">
        <v>176</v>
      </c>
      <c r="W408" s="70"/>
      <c r="X408" s="70"/>
      <c r="Y408" s="70"/>
      <c r="Z408" s="70"/>
      <c r="AA408" s="488" t="s">
        <v>192</v>
      </c>
      <c r="AB408" s="19" t="s">
        <v>4</v>
      </c>
      <c r="AC408" s="318">
        <v>97433.600000000006</v>
      </c>
      <c r="AD408" s="299">
        <v>243584.4</v>
      </c>
      <c r="AE408" s="265">
        <v>132070.29999999999</v>
      </c>
      <c r="AF408" s="397">
        <v>292299.3</v>
      </c>
      <c r="AG408" s="393">
        <v>132070.39999999999</v>
      </c>
      <c r="AH408" s="780"/>
      <c r="AI408" s="780"/>
    </row>
    <row r="409" spans="1:35" s="267" customFormat="1" x14ac:dyDescent="0.25">
      <c r="A409" s="939"/>
      <c r="B409" s="296" t="s">
        <v>77</v>
      </c>
      <c r="C409" s="302">
        <f>(C408*33.717)</f>
        <v>188781.48300000001</v>
      </c>
      <c r="D409" s="338">
        <f>(D408*33.717)</f>
        <v>96599.205000000002</v>
      </c>
      <c r="E409" s="302">
        <f>(E408*33.717)</f>
        <v>97610.714999999997</v>
      </c>
      <c r="F409" s="338">
        <f>(F408*33.717)</f>
        <v>280761.45899999997</v>
      </c>
      <c r="G409" s="280">
        <f>(G408*33.717)*2</f>
        <v>257463.01199999999</v>
      </c>
      <c r="H409" s="280">
        <f>(H408*33.717)</f>
        <v>460641.65399999998</v>
      </c>
      <c r="I409" s="280">
        <f>(I408*33.717)-(2000*33.717)</f>
        <v>162987.978</v>
      </c>
      <c r="J409" s="376">
        <f>J408*33.717</f>
        <v>19791.879000000001</v>
      </c>
      <c r="K409" s="376">
        <f>K408*33.717</f>
        <v>98655.941999999995</v>
      </c>
      <c r="L409" s="261">
        <f>L408*33.717</f>
        <v>53272.86</v>
      </c>
      <c r="M409" s="304">
        <f>M408*33.717</f>
        <v>281132.34599999996</v>
      </c>
      <c r="N409" s="280">
        <f>N408*33.717</f>
        <v>368762.82899999997</v>
      </c>
      <c r="O409" s="280">
        <f>(O408*33.717)</f>
        <v>133687.905</v>
      </c>
      <c r="P409" s="280">
        <f t="shared" ref="P409:U409" si="212">P408*33.717</f>
        <v>279783.66599999997</v>
      </c>
      <c r="Q409" s="376">
        <f t="shared" si="212"/>
        <v>34897.095000000001</v>
      </c>
      <c r="R409" s="376">
        <f t="shared" si="212"/>
        <v>98251.338000000003</v>
      </c>
      <c r="S409" s="261">
        <f t="shared" si="212"/>
        <v>122089.257</v>
      </c>
      <c r="T409" s="324">
        <f t="shared" si="212"/>
        <v>51553.292999999998</v>
      </c>
      <c r="U409" s="325">
        <f t="shared" si="212"/>
        <v>32840.358</v>
      </c>
      <c r="V409" s="63">
        <f>344240-H409</f>
        <v>-116401.65399999998</v>
      </c>
      <c r="W409" s="70" t="s">
        <v>177</v>
      </c>
      <c r="X409" s="70"/>
      <c r="Y409" s="70"/>
      <c r="Z409" s="70"/>
      <c r="AA409" s="489"/>
      <c r="AB409" s="293" t="s">
        <v>5</v>
      </c>
      <c r="AC409" s="319">
        <v>38973.199999999997</v>
      </c>
      <c r="AD409" s="300">
        <v>95895.7</v>
      </c>
      <c r="AE409" s="264">
        <v>0.1</v>
      </c>
      <c r="AF409" s="398">
        <v>93978.8</v>
      </c>
      <c r="AG409" s="394">
        <v>1</v>
      </c>
      <c r="AH409" s="781"/>
      <c r="AI409" s="781"/>
    </row>
    <row r="410" spans="1:35" s="267" customFormat="1" ht="15.75" thickBot="1" x14ac:dyDescent="0.3">
      <c r="A410" s="940"/>
      <c r="B410" s="294" t="s">
        <v>10</v>
      </c>
      <c r="C410" s="305">
        <f>C409/C402</f>
        <v>1.3165320692083993</v>
      </c>
      <c r="D410" s="292">
        <f t="shared" ref="D410:U410" si="213">D409/D402</f>
        <v>0.64178396815768612</v>
      </c>
      <c r="E410" s="310">
        <f t="shared" si="213"/>
        <v>0.64850421913315925</v>
      </c>
      <c r="F410" s="282">
        <f t="shared" si="213"/>
        <v>1.542655550476157</v>
      </c>
      <c r="G410" s="282">
        <f t="shared" si="213"/>
        <v>1.5561049600038681</v>
      </c>
      <c r="H410" s="282">
        <f t="shared" si="213"/>
        <v>3.4861995309268168</v>
      </c>
      <c r="I410" s="282">
        <f t="shared" si="213"/>
        <v>0.95332112446379036</v>
      </c>
      <c r="J410" s="377">
        <f t="shared" si="213"/>
        <v>0.11962200255660957</v>
      </c>
      <c r="K410" s="377">
        <f t="shared" si="213"/>
        <v>1.0675709759380856</v>
      </c>
      <c r="L410" s="311">
        <f t="shared" si="213"/>
        <v>0.24747399154071814</v>
      </c>
      <c r="M410" s="310">
        <f t="shared" si="213"/>
        <v>1.4564246841538397</v>
      </c>
      <c r="N410" s="282">
        <f t="shared" si="213"/>
        <v>0.86883801229030222</v>
      </c>
      <c r="O410" s="282">
        <f t="shared" si="213"/>
        <v>1.6160207841250576</v>
      </c>
      <c r="P410" s="260">
        <f t="shared" si="213"/>
        <v>1.0146095845950209</v>
      </c>
      <c r="Q410" s="377">
        <f t="shared" si="213"/>
        <v>0.4218364468018751</v>
      </c>
      <c r="R410" s="377">
        <f t="shared" si="213"/>
        <v>0.5198989637086362</v>
      </c>
      <c r="S410" s="311">
        <f t="shared" si="213"/>
        <v>0.56715400213224076</v>
      </c>
      <c r="T410" s="305">
        <f t="shared" si="213"/>
        <v>0.93476624177258794</v>
      </c>
      <c r="U410" s="292">
        <f t="shared" si="213"/>
        <v>0.99244067028301175</v>
      </c>
      <c r="V410" s="126"/>
      <c r="W410" s="70"/>
      <c r="X410" s="70"/>
      <c r="Y410" s="70"/>
      <c r="Z410" s="70"/>
      <c r="AA410" s="490"/>
      <c r="AB410" s="294" t="s">
        <v>3</v>
      </c>
      <c r="AC410" s="320">
        <f>AC409/AC408</f>
        <v>0.39999753678402516</v>
      </c>
      <c r="AD410" s="305">
        <f>AD409/AD408</f>
        <v>0.39368572043201455</v>
      </c>
      <c r="AE410" s="292">
        <f>AE409/AE408</f>
        <v>7.5717250585483648E-7</v>
      </c>
      <c r="AF410" s="399">
        <f>AF409/AF408</f>
        <v>0.32151565193621745</v>
      </c>
      <c r="AG410" s="343">
        <f>AG409/AG408</f>
        <v>7.5717193254506694E-6</v>
      </c>
      <c r="AH410" s="782"/>
      <c r="AI410" s="782"/>
    </row>
    <row r="411" spans="1:35" s="267" customFormat="1" ht="15.75" thickBot="1" x14ac:dyDescent="0.3">
      <c r="A411" s="924">
        <v>41589</v>
      </c>
      <c r="B411" s="924"/>
      <c r="C411" s="924"/>
      <c r="D411" s="276"/>
      <c r="E411" s="276"/>
      <c r="F411" s="276"/>
      <c r="G411" s="276"/>
      <c r="H411" s="276"/>
      <c r="I411" s="11"/>
      <c r="J411" s="281"/>
      <c r="K411" s="281"/>
      <c r="L411" s="276"/>
      <c r="M411" s="276"/>
      <c r="N411" s="13"/>
      <c r="R411" s="12"/>
      <c r="S411" s="70"/>
      <c r="T411" s="70"/>
      <c r="U411" s="70"/>
      <c r="V411" s="70"/>
      <c r="W411" s="70"/>
      <c r="X411" s="70"/>
      <c r="Y411" s="70"/>
      <c r="Z411" s="70"/>
      <c r="AA411" s="941"/>
      <c r="AB411" s="942"/>
      <c r="AH411" s="743"/>
      <c r="AI411" s="743"/>
    </row>
    <row r="412" spans="1:35" s="267" customFormat="1" x14ac:dyDescent="0.25">
      <c r="A412" s="925" t="s">
        <v>1</v>
      </c>
      <c r="B412" s="926"/>
      <c r="C412" s="297" t="s">
        <v>12</v>
      </c>
      <c r="D412" s="266" t="s">
        <v>12</v>
      </c>
      <c r="E412" s="297" t="s">
        <v>13</v>
      </c>
      <c r="F412" s="277" t="s">
        <v>13</v>
      </c>
      <c r="G412" s="277" t="s">
        <v>13</v>
      </c>
      <c r="H412" s="277" t="s">
        <v>13</v>
      </c>
      <c r="I412" s="277" t="s">
        <v>13</v>
      </c>
      <c r="J412" s="286" t="s">
        <v>13</v>
      </c>
      <c r="K412" s="286" t="s">
        <v>13</v>
      </c>
      <c r="L412" s="266" t="s">
        <v>13</v>
      </c>
      <c r="M412" s="297" t="s">
        <v>2</v>
      </c>
      <c r="N412" s="277" t="s">
        <v>2</v>
      </c>
      <c r="O412" s="286" t="s">
        <v>2</v>
      </c>
      <c r="P412" s="277" t="s">
        <v>2</v>
      </c>
      <c r="Q412" s="286" t="s">
        <v>2</v>
      </c>
      <c r="R412" s="286" t="s">
        <v>2</v>
      </c>
      <c r="S412" s="266" t="s">
        <v>2</v>
      </c>
      <c r="T412" s="328" t="s">
        <v>183</v>
      </c>
      <c r="U412" s="327" t="s">
        <v>183</v>
      </c>
      <c r="V412" s="12"/>
      <c r="W412" s="70"/>
      <c r="X412" s="70"/>
      <c r="Y412" s="70"/>
      <c r="Z412" s="70"/>
      <c r="AA412" s="925" t="s">
        <v>1</v>
      </c>
      <c r="AB412" s="928"/>
      <c r="AC412" s="486" t="s">
        <v>12</v>
      </c>
      <c r="AD412" s="929" t="s">
        <v>13</v>
      </c>
      <c r="AE412" s="930"/>
      <c r="AF412" s="929" t="s">
        <v>2</v>
      </c>
      <c r="AG412" s="930"/>
      <c r="AH412" s="778"/>
      <c r="AI412" s="778"/>
    </row>
    <row r="413" spans="1:35" s="267" customFormat="1" ht="15.75" thickBot="1" x14ac:dyDescent="0.3">
      <c r="A413" s="931" t="s">
        <v>0</v>
      </c>
      <c r="B413" s="944"/>
      <c r="C413" s="298" t="s">
        <v>99</v>
      </c>
      <c r="D413" s="291" t="s">
        <v>100</v>
      </c>
      <c r="E413" s="298" t="s">
        <v>101</v>
      </c>
      <c r="F413" s="306" t="s">
        <v>102</v>
      </c>
      <c r="G413" s="306" t="s">
        <v>97</v>
      </c>
      <c r="H413" s="306" t="s">
        <v>104</v>
      </c>
      <c r="I413" s="306" t="s">
        <v>103</v>
      </c>
      <c r="J413" s="378" t="s">
        <v>178</v>
      </c>
      <c r="K413" s="378" t="s">
        <v>200</v>
      </c>
      <c r="L413" s="314" t="s">
        <v>207</v>
      </c>
      <c r="M413" s="298" t="s">
        <v>105</v>
      </c>
      <c r="N413" s="306" t="s">
        <v>107</v>
      </c>
      <c r="O413" s="312" t="s">
        <v>98</v>
      </c>
      <c r="P413" s="313" t="s">
        <v>106</v>
      </c>
      <c r="Q413" s="312" t="s">
        <v>179</v>
      </c>
      <c r="R413" s="312" t="s">
        <v>199</v>
      </c>
      <c r="S413" s="291" t="s">
        <v>208</v>
      </c>
      <c r="T413" s="317" t="s">
        <v>182</v>
      </c>
      <c r="U413" s="291" t="s">
        <v>184</v>
      </c>
      <c r="V413" s="12"/>
      <c r="W413" s="12"/>
      <c r="X413" s="12"/>
      <c r="Y413" s="12"/>
      <c r="Z413" s="12"/>
      <c r="AA413" s="931" t="s">
        <v>0</v>
      </c>
      <c r="AB413" s="945"/>
      <c r="AC413" s="317" t="s">
        <v>99</v>
      </c>
      <c r="AD413" s="298" t="s">
        <v>104</v>
      </c>
      <c r="AE413" s="291" t="s">
        <v>207</v>
      </c>
      <c r="AF413" s="396" t="s">
        <v>107</v>
      </c>
      <c r="AG413" s="392" t="s">
        <v>208</v>
      </c>
      <c r="AH413" s="779"/>
      <c r="AI413" s="779"/>
    </row>
    <row r="414" spans="1:35" s="267" customFormat="1" ht="15" customHeight="1" x14ac:dyDescent="0.25">
      <c r="A414" s="935" t="s">
        <v>9</v>
      </c>
      <c r="B414" s="19" t="s">
        <v>4</v>
      </c>
      <c r="C414" s="299">
        <v>143393</v>
      </c>
      <c r="D414" s="265">
        <v>150516.70000000001</v>
      </c>
      <c r="E414" s="299">
        <v>150516.70000000001</v>
      </c>
      <c r="F414" s="283">
        <v>181998.8</v>
      </c>
      <c r="G414" s="283">
        <v>165453.5</v>
      </c>
      <c r="H414" s="283">
        <v>132132.9</v>
      </c>
      <c r="I414" s="283">
        <v>170968.6</v>
      </c>
      <c r="J414" s="223">
        <v>165453.5</v>
      </c>
      <c r="K414" s="223">
        <v>92411.6</v>
      </c>
      <c r="L414" s="265">
        <f>83196.1+132070.4</f>
        <v>215266.5</v>
      </c>
      <c r="M414" s="299">
        <v>193029.1</v>
      </c>
      <c r="N414" s="283">
        <f>132132.9+292299.3</f>
        <v>424432.19999999995</v>
      </c>
      <c r="O414" s="283">
        <v>82726.600000000006</v>
      </c>
      <c r="P414" s="283">
        <v>275755</v>
      </c>
      <c r="Q414" s="223">
        <v>82726.600000000006</v>
      </c>
      <c r="R414" s="223">
        <v>188981.6</v>
      </c>
      <c r="S414" s="265">
        <f>83196.1+132070.4</f>
        <v>215266.5</v>
      </c>
      <c r="T414" s="318">
        <v>55151</v>
      </c>
      <c r="U414" s="265">
        <v>33090.5</v>
      </c>
      <c r="V414" s="70"/>
      <c r="W414" s="70"/>
      <c r="X414" s="70"/>
      <c r="Y414" s="70"/>
      <c r="Z414" s="70"/>
      <c r="AA414" s="483" t="s">
        <v>195</v>
      </c>
      <c r="AB414" s="2" t="s">
        <v>4</v>
      </c>
      <c r="AC414" s="318">
        <v>143392.20000000001</v>
      </c>
      <c r="AD414" s="299">
        <v>132132</v>
      </c>
      <c r="AE414" s="265">
        <v>83196.100000000006</v>
      </c>
      <c r="AF414" s="397">
        <v>132132.20000000001</v>
      </c>
      <c r="AG414" s="393">
        <v>83196.100000000006</v>
      </c>
      <c r="AH414" s="780"/>
      <c r="AI414" s="780"/>
    </row>
    <row r="415" spans="1:35" s="267" customFormat="1" x14ac:dyDescent="0.25">
      <c r="A415" s="936"/>
      <c r="B415" s="293" t="s">
        <v>5</v>
      </c>
      <c r="C415" s="300">
        <v>49201.7</v>
      </c>
      <c r="D415" s="264">
        <v>81110.7</v>
      </c>
      <c r="E415" s="300">
        <v>82481.5</v>
      </c>
      <c r="F415" s="307">
        <v>152340.29999999999</v>
      </c>
      <c r="G415" s="307">
        <v>115967.1</v>
      </c>
      <c r="H415" s="307">
        <v>64385.2</v>
      </c>
      <c r="I415" s="307">
        <v>104578</v>
      </c>
      <c r="J415" s="374">
        <v>25898.3</v>
      </c>
      <c r="K415" s="374">
        <v>51797.4</v>
      </c>
      <c r="L415" s="264">
        <f>1718.7+1938.6</f>
        <v>3657.3</v>
      </c>
      <c r="M415" s="300">
        <v>161983.4</v>
      </c>
      <c r="N415" s="307">
        <f xml:space="preserve"> 67068.7+100570.3</f>
        <v>167639</v>
      </c>
      <c r="O415" s="307">
        <v>59728.6</v>
      </c>
      <c r="P415" s="307">
        <v>188466.5</v>
      </c>
      <c r="Q415" s="374">
        <v>13504.9</v>
      </c>
      <c r="R415" s="374">
        <v>83217</v>
      </c>
      <c r="S415" s="264">
        <f>28345.6+ 17783.6</f>
        <v>46129.2</v>
      </c>
      <c r="T415" s="319">
        <v>13363.3</v>
      </c>
      <c r="U415" s="264">
        <v>6641.1</v>
      </c>
      <c r="V415" s="70"/>
      <c r="W415" s="70"/>
      <c r="X415" s="70"/>
      <c r="Y415" s="70"/>
      <c r="Z415" s="70"/>
      <c r="AA415" s="484"/>
      <c r="AB415" s="342" t="s">
        <v>5</v>
      </c>
      <c r="AC415" s="319">
        <v>43401.8</v>
      </c>
      <c r="AD415" s="300">
        <v>58695.3</v>
      </c>
      <c r="AE415" s="264">
        <v>4.7</v>
      </c>
      <c r="AF415" s="398">
        <v>55118.9</v>
      </c>
      <c r="AG415" s="394">
        <v>4.5</v>
      </c>
      <c r="AH415" s="781"/>
      <c r="AI415" s="781"/>
    </row>
    <row r="416" spans="1:35" s="267" customFormat="1" ht="15.75" thickBot="1" x14ac:dyDescent="0.3">
      <c r="A416" s="937"/>
      <c r="B416" s="294" t="s">
        <v>3</v>
      </c>
      <c r="C416" s="305">
        <f t="shared" ref="C416:L416" si="214">C415/C414</f>
        <v>0.34312483872992405</v>
      </c>
      <c r="D416" s="343">
        <f t="shared" si="214"/>
        <v>0.53888173206029621</v>
      </c>
      <c r="E416" s="305">
        <f t="shared" si="214"/>
        <v>0.54798902713120867</v>
      </c>
      <c r="F416" s="371">
        <f t="shared" si="214"/>
        <v>0.83704013433055602</v>
      </c>
      <c r="G416" s="278">
        <f t="shared" si="214"/>
        <v>0.70090448373712255</v>
      </c>
      <c r="H416" s="278">
        <f t="shared" si="214"/>
        <v>0.48727606826157605</v>
      </c>
      <c r="I416" s="278">
        <f t="shared" si="214"/>
        <v>0.61167957157045205</v>
      </c>
      <c r="J416" s="315">
        <f t="shared" si="214"/>
        <v>0.15652917587116622</v>
      </c>
      <c r="K416" s="315">
        <f t="shared" si="214"/>
        <v>0.56050755532855179</v>
      </c>
      <c r="L416" s="292">
        <f t="shared" si="214"/>
        <v>1.69896384249291E-2</v>
      </c>
      <c r="M416" s="372">
        <f>M415/M414</f>
        <v>0.83916570092281417</v>
      </c>
      <c r="N416" s="278">
        <f>N415/N414</f>
        <v>0.39497238899404902</v>
      </c>
      <c r="O416" s="315">
        <f>O415/O414</f>
        <v>0.72199993714234589</v>
      </c>
      <c r="P416" s="278">
        <f>P415/P414</f>
        <v>0.68345632898768838</v>
      </c>
      <c r="Q416" s="315">
        <f>Q415/Q414</f>
        <v>0.16324737146214155</v>
      </c>
      <c r="R416" s="315">
        <f t="shared" ref="R416:S416" si="215">R415/R414</f>
        <v>0.44034445681484335</v>
      </c>
      <c r="S416" s="292">
        <f t="shared" si="215"/>
        <v>0.21428880016166008</v>
      </c>
      <c r="T416" s="320">
        <f>T415/T414</f>
        <v>0.24230385668437562</v>
      </c>
      <c r="U416" s="292">
        <f>U415/U414</f>
        <v>0.20069506353787342</v>
      </c>
      <c r="V416" s="70"/>
      <c r="W416" s="70"/>
      <c r="X416" s="70"/>
      <c r="Y416" s="70"/>
      <c r="Z416" s="70"/>
      <c r="AA416" s="485"/>
      <c r="AB416" s="347" t="s">
        <v>3</v>
      </c>
      <c r="AC416" s="395">
        <f>AC415/AC414</f>
        <v>0.302678946274623</v>
      </c>
      <c r="AD416" s="305">
        <f>AD415/AD414</f>
        <v>0.44421714648987376</v>
      </c>
      <c r="AE416" s="292">
        <f>AE415/AE414</f>
        <v>5.6493032726293656E-5</v>
      </c>
      <c r="AF416" s="399">
        <f>AF415/AF414</f>
        <v>0.41714964255495629</v>
      </c>
      <c r="AG416" s="343">
        <f>AG415/AG414</f>
        <v>5.4089073886876906E-5</v>
      </c>
      <c r="AH416" s="782"/>
      <c r="AI416" s="782"/>
    </row>
    <row r="417" spans="1:35" s="429" customFormat="1" ht="15" customHeight="1" x14ac:dyDescent="0.25">
      <c r="A417" s="938" t="s">
        <v>6</v>
      </c>
      <c r="B417" s="418" t="s">
        <v>7</v>
      </c>
      <c r="C417" s="419">
        <v>5870</v>
      </c>
      <c r="D417" s="420">
        <v>3333</v>
      </c>
      <c r="E417" s="419">
        <v>3330</v>
      </c>
      <c r="F417" s="421">
        <v>9457</v>
      </c>
      <c r="G417" s="421">
        <v>8341</v>
      </c>
      <c r="H417" s="421">
        <v>15703</v>
      </c>
      <c r="I417" s="421">
        <v>8197</v>
      </c>
      <c r="J417" s="423">
        <v>9599</v>
      </c>
      <c r="K417" s="423">
        <v>4073</v>
      </c>
      <c r="L417" s="420">
        <v>6399</v>
      </c>
      <c r="M417" s="419">
        <v>9092</v>
      </c>
      <c r="N417" s="421">
        <v>11923</v>
      </c>
      <c r="O417" s="421">
        <v>4265</v>
      </c>
      <c r="P417" s="421">
        <v>10852</v>
      </c>
      <c r="Q417" s="423">
        <v>4799</v>
      </c>
      <c r="R417" s="423">
        <v>7192</v>
      </c>
      <c r="S417" s="420">
        <v>6399</v>
      </c>
      <c r="T417" s="424">
        <v>2480</v>
      </c>
      <c r="U417" s="420">
        <v>1570</v>
      </c>
      <c r="V417" s="425" t="s">
        <v>198</v>
      </c>
      <c r="W417" s="426"/>
      <c r="X417" s="427"/>
      <c r="Y417" s="427"/>
      <c r="Z417" s="427"/>
      <c r="AA417" s="428" t="s">
        <v>191</v>
      </c>
      <c r="AB417" s="418" t="s">
        <v>4</v>
      </c>
      <c r="AC417" s="430">
        <v>9191.7999999999993</v>
      </c>
      <c r="AD417" s="431">
        <v>13787.7</v>
      </c>
      <c r="AE417" s="432">
        <v>8804.7999999999993</v>
      </c>
      <c r="AF417" s="433">
        <v>13787.7</v>
      </c>
      <c r="AG417" s="434">
        <v>8804.7999999999993</v>
      </c>
      <c r="AH417" s="783"/>
      <c r="AI417" s="783"/>
    </row>
    <row r="418" spans="1:35" s="267" customFormat="1" x14ac:dyDescent="0.25">
      <c r="A418" s="939"/>
      <c r="B418" s="295" t="s">
        <v>11</v>
      </c>
      <c r="C418" s="302">
        <f t="shared" ref="C418:L418" si="216">C417*33.717</f>
        <v>197918.78999999998</v>
      </c>
      <c r="D418" s="263">
        <f t="shared" si="216"/>
        <v>112378.761</v>
      </c>
      <c r="E418" s="302">
        <f t="shared" si="216"/>
        <v>112277.61</v>
      </c>
      <c r="F418" s="355">
        <f t="shared" si="216"/>
        <v>318861.66899999999</v>
      </c>
      <c r="G418" s="308">
        <f t="shared" si="216"/>
        <v>281233.49699999997</v>
      </c>
      <c r="H418" s="354">
        <f t="shared" si="216"/>
        <v>529458.05099999998</v>
      </c>
      <c r="I418" s="354">
        <f t="shared" si="216"/>
        <v>276378.24900000001</v>
      </c>
      <c r="J418" s="355">
        <f t="shared" si="216"/>
        <v>323649.48300000001</v>
      </c>
      <c r="K418" s="375">
        <f t="shared" si="216"/>
        <v>137329.34099999999</v>
      </c>
      <c r="L418" s="263">
        <f t="shared" si="216"/>
        <v>215755.08299999998</v>
      </c>
      <c r="M418" s="322">
        <f>M417*33.717</f>
        <v>306554.96399999998</v>
      </c>
      <c r="N418" s="308">
        <f>N417*33.717</f>
        <v>402007.79099999997</v>
      </c>
      <c r="O418" s="308">
        <f>O417*33.717</f>
        <v>143803.005</v>
      </c>
      <c r="P418" s="354">
        <f>P417*33.717</f>
        <v>365896.88399999996</v>
      </c>
      <c r="Q418" s="355">
        <f>Q417*33.717</f>
        <v>161807.883</v>
      </c>
      <c r="R418" s="375">
        <f t="shared" ref="R418:S418" si="217">R417*33.717</f>
        <v>242492.66399999999</v>
      </c>
      <c r="S418" s="263">
        <f t="shared" si="217"/>
        <v>215755.08299999998</v>
      </c>
      <c r="T418" s="302">
        <f>T417*33.717</f>
        <v>83618.16</v>
      </c>
      <c r="U418" s="354">
        <f>U417*33.717</f>
        <v>52935.689999999995</v>
      </c>
      <c r="V418" s="70"/>
      <c r="W418" s="70"/>
      <c r="X418" s="70"/>
      <c r="Y418" s="70"/>
      <c r="Z418" s="70"/>
      <c r="AA418" s="484"/>
      <c r="AB418" s="293" t="s">
        <v>5</v>
      </c>
      <c r="AC418" s="319">
        <v>8835</v>
      </c>
      <c r="AD418" s="300">
        <v>13648.9</v>
      </c>
      <c r="AE418" s="264">
        <v>0</v>
      </c>
      <c r="AF418" s="398">
        <v>13649.5</v>
      </c>
      <c r="AG418" s="394">
        <v>30</v>
      </c>
      <c r="AH418" s="781"/>
      <c r="AI418" s="781"/>
    </row>
    <row r="419" spans="1:35" s="267" customFormat="1" ht="15.75" thickBot="1" x14ac:dyDescent="0.3">
      <c r="A419" s="939"/>
      <c r="B419" s="295" t="s">
        <v>79</v>
      </c>
      <c r="C419" s="302">
        <v>164000</v>
      </c>
      <c r="D419" s="263">
        <v>109880</v>
      </c>
      <c r="E419" s="302">
        <v>109880</v>
      </c>
      <c r="F419" s="308">
        <v>328000</v>
      </c>
      <c r="G419" s="308">
        <v>330905</v>
      </c>
      <c r="H419" s="308">
        <v>264264</v>
      </c>
      <c r="I419" s="308">
        <v>242663.6</v>
      </c>
      <c r="J419" s="375">
        <v>328000</v>
      </c>
      <c r="K419" s="375">
        <v>328000</v>
      </c>
      <c r="L419" s="263">
        <v>328000</v>
      </c>
      <c r="M419" s="302">
        <v>328000</v>
      </c>
      <c r="N419" s="308">
        <v>264264.40000000002</v>
      </c>
      <c r="O419" s="308">
        <v>328000</v>
      </c>
      <c r="P419" s="308">
        <v>352965.4</v>
      </c>
      <c r="Q419" s="375">
        <v>328000</v>
      </c>
      <c r="R419" s="375">
        <v>328000</v>
      </c>
      <c r="S419" s="263">
        <v>328000</v>
      </c>
      <c r="T419" s="322">
        <f>2*T414</f>
        <v>110302</v>
      </c>
      <c r="U419" s="263">
        <f>2*U414</f>
        <v>66181</v>
      </c>
      <c r="V419" s="70"/>
      <c r="W419" s="70"/>
      <c r="X419" s="70"/>
      <c r="Y419" s="70"/>
      <c r="Z419" s="70"/>
      <c r="AA419" s="485"/>
      <c r="AB419" s="344" t="s">
        <v>3</v>
      </c>
      <c r="AC419" s="395">
        <f>AC418/AC417</f>
        <v>0.96118279335929857</v>
      </c>
      <c r="AD419" s="301">
        <f>AD418/AD417</f>
        <v>0.98993305627479555</v>
      </c>
      <c r="AE419" s="401">
        <f>AE418/AE417</f>
        <v>0</v>
      </c>
      <c r="AF419" s="400">
        <f>AF418/AF417</f>
        <v>0.98997657332259903</v>
      </c>
      <c r="AG419" s="348">
        <f>AG418/AG417</f>
        <v>3.4072324186807199E-3</v>
      </c>
      <c r="AH419" s="782"/>
      <c r="AI419" s="782"/>
    </row>
    <row r="420" spans="1:35" s="267" customFormat="1" ht="15" customHeight="1" x14ac:dyDescent="0.25">
      <c r="A420" s="939"/>
      <c r="B420" s="293" t="s">
        <v>8</v>
      </c>
      <c r="C420" s="303">
        <f>SUM(C417-271)</f>
        <v>5599</v>
      </c>
      <c r="D420" s="262">
        <f>SUM(D417-468)</f>
        <v>2865</v>
      </c>
      <c r="E420" s="303">
        <f>SUM(E417-435)</f>
        <v>2895</v>
      </c>
      <c r="F420" s="309">
        <f>SUM(F417-1130)</f>
        <v>8327</v>
      </c>
      <c r="G420" s="309">
        <f>SUM(G417-4523)</f>
        <v>3818</v>
      </c>
      <c r="H420" s="309">
        <f>SUM(H417-2041)</f>
        <v>13662</v>
      </c>
      <c r="I420" s="309">
        <f>SUM(I417-(3439-2000))</f>
        <v>6758</v>
      </c>
      <c r="J420" s="316">
        <f>SUM(J417-9012)</f>
        <v>587</v>
      </c>
      <c r="K420" s="316">
        <f>SUM(K417-1163)</f>
        <v>2910</v>
      </c>
      <c r="L420" s="262">
        <f>SUM(L417-4855)</f>
        <v>1544</v>
      </c>
      <c r="M420" s="303">
        <f>SUM(M417-754)</f>
        <v>8338</v>
      </c>
      <c r="N420" s="309">
        <f>SUM(N417-986)</f>
        <v>10937</v>
      </c>
      <c r="O420" s="316">
        <f>SUM(O417-300)</f>
        <v>3965</v>
      </c>
      <c r="P420" s="309">
        <f>SUM(P417-(5244-2614))</f>
        <v>8222</v>
      </c>
      <c r="Q420" s="316">
        <f>SUM(Q417-3764)</f>
        <v>1035</v>
      </c>
      <c r="R420" s="316">
        <f>SUM(R417-4294)</f>
        <v>2898</v>
      </c>
      <c r="S420" s="262">
        <f>SUM(S417-2825)</f>
        <v>3574</v>
      </c>
      <c r="T420" s="323">
        <f>SUM(T417-951)</f>
        <v>1529</v>
      </c>
      <c r="U420" s="262">
        <f>SUM(U417-596)</f>
        <v>974</v>
      </c>
      <c r="V420" s="12" t="s">
        <v>176</v>
      </c>
      <c r="W420" s="70"/>
      <c r="X420" s="70"/>
      <c r="Y420" s="70"/>
      <c r="Z420" s="70"/>
      <c r="AA420" s="483" t="s">
        <v>192</v>
      </c>
      <c r="AB420" s="19" t="s">
        <v>4</v>
      </c>
      <c r="AC420" s="318">
        <v>97433.600000000006</v>
      </c>
      <c r="AD420" s="299">
        <v>243584.4</v>
      </c>
      <c r="AE420" s="265">
        <v>132070.29999999999</v>
      </c>
      <c r="AF420" s="397">
        <v>292299.3</v>
      </c>
      <c r="AG420" s="393">
        <v>132070.39999999999</v>
      </c>
      <c r="AH420" s="780"/>
      <c r="AI420" s="780"/>
    </row>
    <row r="421" spans="1:35" s="267" customFormat="1" x14ac:dyDescent="0.25">
      <c r="A421" s="939"/>
      <c r="B421" s="296" t="s">
        <v>77</v>
      </c>
      <c r="C421" s="302">
        <f>(C420*33.717)</f>
        <v>188781.48300000001</v>
      </c>
      <c r="D421" s="338">
        <f>(D420*33.717)</f>
        <v>96599.205000000002</v>
      </c>
      <c r="E421" s="302">
        <f>(E420*33.717)</f>
        <v>97610.714999999997</v>
      </c>
      <c r="F421" s="338">
        <f>(F420*33.717)</f>
        <v>280761.45899999997</v>
      </c>
      <c r="G421" s="280">
        <f>(G420*33.717)*2</f>
        <v>257463.01199999999</v>
      </c>
      <c r="H421" s="280">
        <f>(H420*33.717)</f>
        <v>460641.65399999998</v>
      </c>
      <c r="I421" s="280">
        <f>(I420*33.717)-(2000*33.717)</f>
        <v>160425.486</v>
      </c>
      <c r="J421" s="376">
        <f>J420*33.717</f>
        <v>19791.879000000001</v>
      </c>
      <c r="K421" s="376">
        <f>K420*33.717</f>
        <v>98116.47</v>
      </c>
      <c r="L421" s="261">
        <f>L420*33.717</f>
        <v>52059.047999999995</v>
      </c>
      <c r="M421" s="304">
        <f>M420*33.717</f>
        <v>281132.34599999996</v>
      </c>
      <c r="N421" s="280">
        <f>N420*33.717</f>
        <v>368762.82899999997</v>
      </c>
      <c r="O421" s="280">
        <f>(O420*33.717)</f>
        <v>133687.905</v>
      </c>
      <c r="P421" s="280">
        <f t="shared" ref="P421:U421" si="218">P420*33.717</f>
        <v>277221.174</v>
      </c>
      <c r="Q421" s="376">
        <f t="shared" si="218"/>
        <v>34897.095000000001</v>
      </c>
      <c r="R421" s="376">
        <f t="shared" si="218"/>
        <v>97711.865999999995</v>
      </c>
      <c r="S421" s="261">
        <f t="shared" si="218"/>
        <v>120504.55799999999</v>
      </c>
      <c r="T421" s="324">
        <f t="shared" si="218"/>
        <v>51553.292999999998</v>
      </c>
      <c r="U421" s="325">
        <f t="shared" si="218"/>
        <v>32840.358</v>
      </c>
      <c r="V421" s="63">
        <f>344240-H421</f>
        <v>-116401.65399999998</v>
      </c>
      <c r="W421" s="70" t="s">
        <v>177</v>
      </c>
      <c r="X421" s="70"/>
      <c r="Y421" s="70"/>
      <c r="Z421" s="70"/>
      <c r="AA421" s="484"/>
      <c r="AB421" s="293" t="s">
        <v>5</v>
      </c>
      <c r="AC421" s="319">
        <v>38973.199999999997</v>
      </c>
      <c r="AD421" s="300">
        <v>95895.7</v>
      </c>
      <c r="AE421" s="264">
        <v>0.1</v>
      </c>
      <c r="AF421" s="398">
        <v>93978.8</v>
      </c>
      <c r="AG421" s="394">
        <v>1</v>
      </c>
      <c r="AH421" s="781"/>
      <c r="AI421" s="781"/>
    </row>
    <row r="422" spans="1:35" s="267" customFormat="1" ht="15.75" thickBot="1" x14ac:dyDescent="0.3">
      <c r="A422" s="940"/>
      <c r="B422" s="294" t="s">
        <v>10</v>
      </c>
      <c r="C422" s="305">
        <f>C421/C414</f>
        <v>1.3165320692083993</v>
      </c>
      <c r="D422" s="292">
        <f t="shared" ref="D422:U422" si="219">D421/D414</f>
        <v>0.64178396815768612</v>
      </c>
      <c r="E422" s="310">
        <f t="shared" si="219"/>
        <v>0.64850421913315925</v>
      </c>
      <c r="F422" s="282">
        <f t="shared" si="219"/>
        <v>1.542655550476157</v>
      </c>
      <c r="G422" s="282">
        <f t="shared" si="219"/>
        <v>1.5561049600038681</v>
      </c>
      <c r="H422" s="282">
        <f t="shared" si="219"/>
        <v>3.4861995309268168</v>
      </c>
      <c r="I422" s="282">
        <f t="shared" si="219"/>
        <v>0.93833303893229514</v>
      </c>
      <c r="J422" s="377">
        <f t="shared" si="219"/>
        <v>0.11962200255660957</v>
      </c>
      <c r="K422" s="377">
        <f t="shared" si="219"/>
        <v>1.0617332672521631</v>
      </c>
      <c r="L422" s="311">
        <f t="shared" si="219"/>
        <v>0.24183534363219542</v>
      </c>
      <c r="M422" s="310">
        <f t="shared" si="219"/>
        <v>1.4564246841538397</v>
      </c>
      <c r="N422" s="282">
        <f t="shared" si="219"/>
        <v>0.86883801229030222</v>
      </c>
      <c r="O422" s="282">
        <f t="shared" si="219"/>
        <v>1.6160207841250576</v>
      </c>
      <c r="P422" s="260">
        <f t="shared" si="219"/>
        <v>1.0053169443890411</v>
      </c>
      <c r="Q422" s="377">
        <f t="shared" si="219"/>
        <v>0.4218364468018751</v>
      </c>
      <c r="R422" s="377">
        <f t="shared" si="219"/>
        <v>0.51704433659149884</v>
      </c>
      <c r="S422" s="311">
        <f t="shared" si="219"/>
        <v>0.55979243402944723</v>
      </c>
      <c r="T422" s="305">
        <f t="shared" si="219"/>
        <v>0.93476624177258794</v>
      </c>
      <c r="U422" s="292">
        <f t="shared" si="219"/>
        <v>0.99244067028301175</v>
      </c>
      <c r="V422" s="126"/>
      <c r="W422" s="70"/>
      <c r="X422" s="70"/>
      <c r="Y422" s="70"/>
      <c r="Z422" s="70"/>
      <c r="AA422" s="485"/>
      <c r="AB422" s="294" t="s">
        <v>3</v>
      </c>
      <c r="AC422" s="320">
        <f>AC421/AC420</f>
        <v>0.39999753678402516</v>
      </c>
      <c r="AD422" s="305">
        <f>AD421/AD420</f>
        <v>0.39368572043201455</v>
      </c>
      <c r="AE422" s="292">
        <f>AE421/AE420</f>
        <v>7.5717250585483648E-7</v>
      </c>
      <c r="AF422" s="399">
        <f>AF421/AF420</f>
        <v>0.32151565193621745</v>
      </c>
      <c r="AG422" s="343">
        <f>AG421/AG420</f>
        <v>7.5717193254506694E-6</v>
      </c>
      <c r="AH422" s="782"/>
      <c r="AI422" s="782"/>
    </row>
    <row r="423" spans="1:35" s="267" customFormat="1" ht="15.75" thickBot="1" x14ac:dyDescent="0.3">
      <c r="A423" s="924">
        <v>41561</v>
      </c>
      <c r="B423" s="924"/>
      <c r="C423" s="924"/>
      <c r="D423" s="276"/>
      <c r="E423" s="276"/>
      <c r="F423" s="276"/>
      <c r="G423" s="276"/>
      <c r="H423" s="276"/>
      <c r="I423" s="11"/>
      <c r="J423" s="281"/>
      <c r="K423" s="281"/>
      <c r="L423" s="276"/>
      <c r="M423" s="276"/>
      <c r="N423" s="13"/>
      <c r="R423" s="12"/>
      <c r="S423" s="70"/>
      <c r="T423" s="70"/>
      <c r="U423" s="70"/>
      <c r="V423" s="70"/>
      <c r="W423" s="70"/>
      <c r="X423" s="70"/>
      <c r="Y423" s="70"/>
      <c r="Z423" s="70"/>
      <c r="AA423" s="941"/>
      <c r="AB423" s="942"/>
      <c r="AH423" s="743"/>
      <c r="AI423" s="743"/>
    </row>
    <row r="424" spans="1:35" s="267" customFormat="1" x14ac:dyDescent="0.25">
      <c r="A424" s="925" t="s">
        <v>1</v>
      </c>
      <c r="B424" s="926"/>
      <c r="C424" s="297" t="s">
        <v>12</v>
      </c>
      <c r="D424" s="266" t="s">
        <v>12</v>
      </c>
      <c r="E424" s="297" t="s">
        <v>13</v>
      </c>
      <c r="F424" s="277" t="s">
        <v>13</v>
      </c>
      <c r="G424" s="277" t="s">
        <v>13</v>
      </c>
      <c r="H424" s="277" t="s">
        <v>13</v>
      </c>
      <c r="I424" s="277" t="s">
        <v>13</v>
      </c>
      <c r="J424" s="286" t="s">
        <v>13</v>
      </c>
      <c r="K424" s="286" t="s">
        <v>13</v>
      </c>
      <c r="L424" s="266" t="s">
        <v>13</v>
      </c>
      <c r="M424" s="297" t="s">
        <v>2</v>
      </c>
      <c r="N424" s="277" t="s">
        <v>2</v>
      </c>
      <c r="O424" s="286" t="s">
        <v>2</v>
      </c>
      <c r="P424" s="277" t="s">
        <v>2</v>
      </c>
      <c r="Q424" s="286" t="s">
        <v>2</v>
      </c>
      <c r="R424" s="286" t="s">
        <v>2</v>
      </c>
      <c r="S424" s="266" t="s">
        <v>2</v>
      </c>
      <c r="T424" s="328" t="s">
        <v>183</v>
      </c>
      <c r="U424" s="327" t="s">
        <v>183</v>
      </c>
      <c r="V424" s="12"/>
      <c r="W424" s="70"/>
      <c r="X424" s="70"/>
      <c r="Y424" s="70"/>
      <c r="Z424" s="70"/>
      <c r="AA424" s="925" t="s">
        <v>1</v>
      </c>
      <c r="AB424" s="928"/>
      <c r="AC424" s="481" t="s">
        <v>12</v>
      </c>
      <c r="AD424" s="929" t="s">
        <v>13</v>
      </c>
      <c r="AE424" s="930"/>
      <c r="AF424" s="929" t="s">
        <v>2</v>
      </c>
      <c r="AG424" s="930"/>
      <c r="AH424" s="778"/>
      <c r="AI424" s="778"/>
    </row>
    <row r="425" spans="1:35" s="267" customFormat="1" ht="15.75" thickBot="1" x14ac:dyDescent="0.3">
      <c r="A425" s="931" t="s">
        <v>0</v>
      </c>
      <c r="B425" s="944"/>
      <c r="C425" s="298" t="s">
        <v>99</v>
      </c>
      <c r="D425" s="291" t="s">
        <v>100</v>
      </c>
      <c r="E425" s="298" t="s">
        <v>101</v>
      </c>
      <c r="F425" s="306" t="s">
        <v>102</v>
      </c>
      <c r="G425" s="306" t="s">
        <v>97</v>
      </c>
      <c r="H425" s="306" t="s">
        <v>104</v>
      </c>
      <c r="I425" s="306" t="s">
        <v>103</v>
      </c>
      <c r="J425" s="378" t="s">
        <v>178</v>
      </c>
      <c r="K425" s="378" t="s">
        <v>200</v>
      </c>
      <c r="L425" s="314" t="s">
        <v>207</v>
      </c>
      <c r="M425" s="298" t="s">
        <v>105</v>
      </c>
      <c r="N425" s="306" t="s">
        <v>107</v>
      </c>
      <c r="O425" s="312" t="s">
        <v>98</v>
      </c>
      <c r="P425" s="313" t="s">
        <v>106</v>
      </c>
      <c r="Q425" s="312" t="s">
        <v>179</v>
      </c>
      <c r="R425" s="312" t="s">
        <v>199</v>
      </c>
      <c r="S425" s="291" t="s">
        <v>208</v>
      </c>
      <c r="T425" s="317" t="s">
        <v>182</v>
      </c>
      <c r="U425" s="291" t="s">
        <v>184</v>
      </c>
      <c r="V425" s="12"/>
      <c r="W425" s="12"/>
      <c r="X425" s="12"/>
      <c r="Y425" s="12"/>
      <c r="Z425" s="12"/>
      <c r="AA425" s="931" t="s">
        <v>0</v>
      </c>
      <c r="AB425" s="945"/>
      <c r="AC425" s="317" t="s">
        <v>99</v>
      </c>
      <c r="AD425" s="298" t="s">
        <v>104</v>
      </c>
      <c r="AE425" s="291" t="s">
        <v>207</v>
      </c>
      <c r="AF425" s="396" t="s">
        <v>107</v>
      </c>
      <c r="AG425" s="392" t="s">
        <v>208</v>
      </c>
      <c r="AH425" s="779"/>
      <c r="AI425" s="779"/>
    </row>
    <row r="426" spans="1:35" s="267" customFormat="1" ht="15" customHeight="1" x14ac:dyDescent="0.25">
      <c r="A426" s="935" t="s">
        <v>9</v>
      </c>
      <c r="B426" s="19" t="s">
        <v>4</v>
      </c>
      <c r="C426" s="299">
        <v>143393</v>
      </c>
      <c r="D426" s="265">
        <v>150516.70000000001</v>
      </c>
      <c r="E426" s="299">
        <v>150516.70000000001</v>
      </c>
      <c r="F426" s="283">
        <v>181998.8</v>
      </c>
      <c r="G426" s="283">
        <v>165453.5</v>
      </c>
      <c r="H426" s="283">
        <v>132132.9</v>
      </c>
      <c r="I426" s="283">
        <v>170968.6</v>
      </c>
      <c r="J426" s="223">
        <v>165453.5</v>
      </c>
      <c r="K426" s="223">
        <v>92411.6</v>
      </c>
      <c r="L426" s="265">
        <f>83196.1+132070.4</f>
        <v>215266.5</v>
      </c>
      <c r="M426" s="299">
        <v>193029.1</v>
      </c>
      <c r="N426" s="283">
        <f>132132.9+292299.3</f>
        <v>424432.19999999995</v>
      </c>
      <c r="O426" s="283">
        <v>82726.600000000006</v>
      </c>
      <c r="P426" s="283">
        <v>275755</v>
      </c>
      <c r="Q426" s="223">
        <v>82726.600000000006</v>
      </c>
      <c r="R426" s="223">
        <v>188981.6</v>
      </c>
      <c r="S426" s="265">
        <f>83196.1+132070.4</f>
        <v>215266.5</v>
      </c>
      <c r="T426" s="318">
        <v>55151</v>
      </c>
      <c r="U426" s="265">
        <v>33090.5</v>
      </c>
      <c r="V426" s="70"/>
      <c r="W426" s="70"/>
      <c r="X426" s="70"/>
      <c r="Y426" s="70"/>
      <c r="Z426" s="70"/>
      <c r="AA426" s="478" t="s">
        <v>195</v>
      </c>
      <c r="AB426" s="2" t="s">
        <v>4</v>
      </c>
      <c r="AC426" s="318">
        <v>143392.20000000001</v>
      </c>
      <c r="AD426" s="299">
        <v>132132</v>
      </c>
      <c r="AE426" s="265">
        <v>83196.100000000006</v>
      </c>
      <c r="AF426" s="397">
        <v>132132.20000000001</v>
      </c>
      <c r="AG426" s="393">
        <v>83196.100000000006</v>
      </c>
      <c r="AH426" s="780"/>
      <c r="AI426" s="780"/>
    </row>
    <row r="427" spans="1:35" s="267" customFormat="1" x14ac:dyDescent="0.25">
      <c r="A427" s="936"/>
      <c r="B427" s="293" t="s">
        <v>5</v>
      </c>
      <c r="C427" s="300">
        <v>48280.3</v>
      </c>
      <c r="D427" s="264">
        <v>80659.399999999994</v>
      </c>
      <c r="E427" s="300">
        <v>82080.899999999994</v>
      </c>
      <c r="F427" s="307">
        <v>150832.20000000001</v>
      </c>
      <c r="G427" s="307">
        <v>119660.9</v>
      </c>
      <c r="H427" s="307">
        <v>64010.8</v>
      </c>
      <c r="I427" s="307">
        <v>101180.2</v>
      </c>
      <c r="J427" s="374">
        <v>24605</v>
      </c>
      <c r="K427" s="374">
        <v>46148.1</v>
      </c>
      <c r="L427" s="264">
        <f>658.5+632.2</f>
        <v>1290.7</v>
      </c>
      <c r="M427" s="300">
        <v>160878</v>
      </c>
      <c r="N427" s="307">
        <f xml:space="preserve"> 57519.3+100828</f>
        <v>158347.29999999999</v>
      </c>
      <c r="O427" s="307">
        <v>61495.7</v>
      </c>
      <c r="P427" s="307">
        <v>181595.5</v>
      </c>
      <c r="Q427" s="374">
        <v>12792.3</v>
      </c>
      <c r="R427" s="374">
        <v>72763</v>
      </c>
      <c r="S427" s="264">
        <f>26321.5+9983.2</f>
        <v>36304.699999999997</v>
      </c>
      <c r="T427" s="319">
        <v>12427</v>
      </c>
      <c r="U427" s="264">
        <v>6260</v>
      </c>
      <c r="V427" s="70"/>
      <c r="W427" s="70"/>
      <c r="X427" s="70"/>
      <c r="Y427" s="70"/>
      <c r="Z427" s="70"/>
      <c r="AA427" s="479"/>
      <c r="AB427" s="342" t="s">
        <v>5</v>
      </c>
      <c r="AC427" s="319">
        <v>43401.8</v>
      </c>
      <c r="AD427" s="300">
        <v>58695.3</v>
      </c>
      <c r="AE427" s="264">
        <v>4.7</v>
      </c>
      <c r="AF427" s="398">
        <v>55118.9</v>
      </c>
      <c r="AG427" s="394">
        <v>4.5</v>
      </c>
      <c r="AH427" s="781"/>
      <c r="AI427" s="781"/>
    </row>
    <row r="428" spans="1:35" s="267" customFormat="1" ht="15.75" thickBot="1" x14ac:dyDescent="0.3">
      <c r="A428" s="937"/>
      <c r="B428" s="294" t="s">
        <v>3</v>
      </c>
      <c r="C428" s="305">
        <f t="shared" ref="C428:L428" si="220">C427/C426</f>
        <v>0.3366991415201579</v>
      </c>
      <c r="D428" s="343">
        <f t="shared" si="220"/>
        <v>0.5358833936699382</v>
      </c>
      <c r="E428" s="305">
        <f t="shared" si="220"/>
        <v>0.54532752844036569</v>
      </c>
      <c r="F428" s="371">
        <f t="shared" si="220"/>
        <v>0.82875381595922626</v>
      </c>
      <c r="G428" s="278">
        <f t="shared" si="220"/>
        <v>0.7232297896387806</v>
      </c>
      <c r="H428" s="278">
        <f t="shared" si="220"/>
        <v>0.48444255745541048</v>
      </c>
      <c r="I428" s="278">
        <f t="shared" si="220"/>
        <v>0.59180574678625197</v>
      </c>
      <c r="J428" s="315">
        <f t="shared" si="220"/>
        <v>0.14871247812829586</v>
      </c>
      <c r="K428" s="315">
        <f t="shared" si="220"/>
        <v>0.49937561951097043</v>
      </c>
      <c r="L428" s="292">
        <f t="shared" si="220"/>
        <v>5.9958237812200227E-3</v>
      </c>
      <c r="M428" s="372">
        <f>M427/M426</f>
        <v>0.8334391032232964</v>
      </c>
      <c r="N428" s="278">
        <f>N427/N426</f>
        <v>0.37308031765733141</v>
      </c>
      <c r="O428" s="315">
        <f>O427/O426</f>
        <v>0.7433606602954792</v>
      </c>
      <c r="P428" s="278">
        <f>P427/P426</f>
        <v>0.65853928305923737</v>
      </c>
      <c r="Q428" s="315">
        <f>Q427/Q426</f>
        <v>0.15463345526106473</v>
      </c>
      <c r="R428" s="315">
        <f t="shared" ref="R428:S428" si="221">R427/R426</f>
        <v>0.38502690208993889</v>
      </c>
      <c r="S428" s="292">
        <f t="shared" si="221"/>
        <v>0.16865002218180719</v>
      </c>
      <c r="T428" s="320">
        <f>T427/T426</f>
        <v>0.22532682997588438</v>
      </c>
      <c r="U428" s="292">
        <f>U427/U426</f>
        <v>0.18917816291684925</v>
      </c>
      <c r="V428" s="70"/>
      <c r="W428" s="70"/>
      <c r="X428" s="70"/>
      <c r="Y428" s="70"/>
      <c r="Z428" s="70"/>
      <c r="AA428" s="480"/>
      <c r="AB428" s="347" t="s">
        <v>3</v>
      </c>
      <c r="AC428" s="395">
        <f>AC427/AC426</f>
        <v>0.302678946274623</v>
      </c>
      <c r="AD428" s="305">
        <f>AD427/AD426</f>
        <v>0.44421714648987376</v>
      </c>
      <c r="AE428" s="292">
        <f>AE427/AE426</f>
        <v>5.6493032726293656E-5</v>
      </c>
      <c r="AF428" s="399">
        <f>AF427/AF426</f>
        <v>0.41714964255495629</v>
      </c>
      <c r="AG428" s="343">
        <f>AG427/AG426</f>
        <v>5.4089073886876906E-5</v>
      </c>
      <c r="AH428" s="782"/>
      <c r="AI428" s="782"/>
    </row>
    <row r="429" spans="1:35" s="429" customFormat="1" ht="15" customHeight="1" x14ac:dyDescent="0.25">
      <c r="A429" s="938" t="s">
        <v>6</v>
      </c>
      <c r="B429" s="418" t="s">
        <v>7</v>
      </c>
      <c r="C429" s="419">
        <v>5870</v>
      </c>
      <c r="D429" s="420">
        <v>3333</v>
      </c>
      <c r="E429" s="419">
        <v>3330</v>
      </c>
      <c r="F429" s="421">
        <v>9457</v>
      </c>
      <c r="G429" s="421">
        <v>8432</v>
      </c>
      <c r="H429" s="421">
        <v>15703</v>
      </c>
      <c r="I429" s="421">
        <v>8166</v>
      </c>
      <c r="J429" s="423">
        <v>9599</v>
      </c>
      <c r="K429" s="423">
        <v>4073</v>
      </c>
      <c r="L429" s="420">
        <v>6399</v>
      </c>
      <c r="M429" s="419">
        <v>9092</v>
      </c>
      <c r="N429" s="421">
        <v>11923</v>
      </c>
      <c r="O429" s="421">
        <v>4356</v>
      </c>
      <c r="P429" s="421">
        <v>10790</v>
      </c>
      <c r="Q429" s="423">
        <v>4799</v>
      </c>
      <c r="R429" s="423">
        <v>7192</v>
      </c>
      <c r="S429" s="420">
        <v>6399</v>
      </c>
      <c r="T429" s="424">
        <v>2480</v>
      </c>
      <c r="U429" s="420">
        <v>1570</v>
      </c>
      <c r="V429" s="425" t="s">
        <v>198</v>
      </c>
      <c r="W429" s="426"/>
      <c r="X429" s="427"/>
      <c r="Y429" s="427"/>
      <c r="Z429" s="427"/>
      <c r="AA429" s="428" t="s">
        <v>191</v>
      </c>
      <c r="AB429" s="418" t="s">
        <v>4</v>
      </c>
      <c r="AC429" s="430">
        <v>9191.7999999999993</v>
      </c>
      <c r="AD429" s="431">
        <v>13787.7</v>
      </c>
      <c r="AE429" s="432">
        <v>8804.7999999999993</v>
      </c>
      <c r="AF429" s="433">
        <v>13787.7</v>
      </c>
      <c r="AG429" s="434">
        <v>8804.7999999999993</v>
      </c>
      <c r="AH429" s="783"/>
      <c r="AI429" s="783"/>
    </row>
    <row r="430" spans="1:35" s="267" customFormat="1" x14ac:dyDescent="0.25">
      <c r="A430" s="939"/>
      <c r="B430" s="295" t="s">
        <v>11</v>
      </c>
      <c r="C430" s="302">
        <f t="shared" ref="C430:L430" si="222">C429*33.717</f>
        <v>197918.78999999998</v>
      </c>
      <c r="D430" s="263">
        <f t="shared" si="222"/>
        <v>112378.761</v>
      </c>
      <c r="E430" s="302">
        <f t="shared" si="222"/>
        <v>112277.61</v>
      </c>
      <c r="F430" s="355">
        <f t="shared" si="222"/>
        <v>318861.66899999999</v>
      </c>
      <c r="G430" s="308">
        <f t="shared" si="222"/>
        <v>284301.74400000001</v>
      </c>
      <c r="H430" s="354">
        <f t="shared" si="222"/>
        <v>529458.05099999998</v>
      </c>
      <c r="I430" s="354">
        <f t="shared" si="222"/>
        <v>275333.022</v>
      </c>
      <c r="J430" s="355">
        <f t="shared" si="222"/>
        <v>323649.48300000001</v>
      </c>
      <c r="K430" s="375">
        <f t="shared" si="222"/>
        <v>137329.34099999999</v>
      </c>
      <c r="L430" s="263">
        <f t="shared" si="222"/>
        <v>215755.08299999998</v>
      </c>
      <c r="M430" s="322">
        <f>M429*33.717</f>
        <v>306554.96399999998</v>
      </c>
      <c r="N430" s="308">
        <f>N429*33.717</f>
        <v>402007.79099999997</v>
      </c>
      <c r="O430" s="308">
        <f>O429*33.717</f>
        <v>146871.25200000001</v>
      </c>
      <c r="P430" s="354">
        <f>P429*33.717</f>
        <v>363806.43</v>
      </c>
      <c r="Q430" s="355">
        <f>Q429*33.717</f>
        <v>161807.883</v>
      </c>
      <c r="R430" s="375">
        <f t="shared" ref="R430:S430" si="223">R429*33.717</f>
        <v>242492.66399999999</v>
      </c>
      <c r="S430" s="263">
        <f t="shared" si="223"/>
        <v>215755.08299999998</v>
      </c>
      <c r="T430" s="302">
        <f>T429*33.717</f>
        <v>83618.16</v>
      </c>
      <c r="U430" s="354">
        <f>U429*33.717</f>
        <v>52935.689999999995</v>
      </c>
      <c r="V430" s="70"/>
      <c r="W430" s="70"/>
      <c r="X430" s="70"/>
      <c r="Y430" s="70"/>
      <c r="Z430" s="70"/>
      <c r="AA430" s="479"/>
      <c r="AB430" s="293" t="s">
        <v>5</v>
      </c>
      <c r="AC430" s="319">
        <v>8835</v>
      </c>
      <c r="AD430" s="300">
        <v>13648.9</v>
      </c>
      <c r="AE430" s="264">
        <v>0</v>
      </c>
      <c r="AF430" s="398">
        <v>13649.5</v>
      </c>
      <c r="AG430" s="394">
        <v>30</v>
      </c>
      <c r="AH430" s="781"/>
      <c r="AI430" s="781"/>
    </row>
    <row r="431" spans="1:35" s="267" customFormat="1" ht="15.75" thickBot="1" x14ac:dyDescent="0.3">
      <c r="A431" s="939"/>
      <c r="B431" s="295" t="s">
        <v>79</v>
      </c>
      <c r="C431" s="302">
        <v>164000</v>
      </c>
      <c r="D431" s="263">
        <v>109880</v>
      </c>
      <c r="E431" s="302">
        <v>109880</v>
      </c>
      <c r="F431" s="308">
        <v>328000</v>
      </c>
      <c r="G431" s="308">
        <v>330905</v>
      </c>
      <c r="H431" s="308">
        <v>264264</v>
      </c>
      <c r="I431" s="308">
        <v>242663.6</v>
      </c>
      <c r="J431" s="375">
        <v>328000</v>
      </c>
      <c r="K431" s="375">
        <v>328000</v>
      </c>
      <c r="L431" s="263">
        <v>328000</v>
      </c>
      <c r="M431" s="302">
        <v>328000</v>
      </c>
      <c r="N431" s="308">
        <v>264264.40000000002</v>
      </c>
      <c r="O431" s="308">
        <v>328000</v>
      </c>
      <c r="P431" s="308">
        <v>352965.4</v>
      </c>
      <c r="Q431" s="375">
        <v>328000</v>
      </c>
      <c r="R431" s="375">
        <v>328000</v>
      </c>
      <c r="S431" s="263">
        <v>328000</v>
      </c>
      <c r="T431" s="322">
        <f>2*T426</f>
        <v>110302</v>
      </c>
      <c r="U431" s="263">
        <f>2*U426</f>
        <v>66181</v>
      </c>
      <c r="V431" s="70"/>
      <c r="W431" s="70"/>
      <c r="X431" s="70"/>
      <c r="Y431" s="70"/>
      <c r="Z431" s="70"/>
      <c r="AA431" s="480"/>
      <c r="AB431" s="344" t="s">
        <v>3</v>
      </c>
      <c r="AC431" s="395">
        <f>AC430/AC429</f>
        <v>0.96118279335929857</v>
      </c>
      <c r="AD431" s="301">
        <f>AD430/AD429</f>
        <v>0.98993305627479555</v>
      </c>
      <c r="AE431" s="401">
        <f>AE430/AE429</f>
        <v>0</v>
      </c>
      <c r="AF431" s="400">
        <f>AF430/AF429</f>
        <v>0.98997657332259903</v>
      </c>
      <c r="AG431" s="348">
        <f>AG430/AG429</f>
        <v>3.4072324186807199E-3</v>
      </c>
      <c r="AH431" s="782"/>
      <c r="AI431" s="782"/>
    </row>
    <row r="432" spans="1:35" s="267" customFormat="1" ht="15" customHeight="1" x14ac:dyDescent="0.25">
      <c r="A432" s="939"/>
      <c r="B432" s="293" t="s">
        <v>8</v>
      </c>
      <c r="C432" s="303">
        <f>SUM(C429-295)</f>
        <v>5575</v>
      </c>
      <c r="D432" s="262">
        <f>SUM(D429-468)</f>
        <v>2865</v>
      </c>
      <c r="E432" s="303">
        <f>SUM(E429-435)</f>
        <v>2895</v>
      </c>
      <c r="F432" s="309">
        <f>SUM(F429-1130)</f>
        <v>8327</v>
      </c>
      <c r="G432" s="309">
        <f>SUM(G429-4614)</f>
        <v>3818</v>
      </c>
      <c r="H432" s="309">
        <f>SUM(H429-2041)</f>
        <v>13662</v>
      </c>
      <c r="I432" s="309">
        <f>SUM(I429-(3756-2000))</f>
        <v>6410</v>
      </c>
      <c r="J432" s="316">
        <f>SUM(J429-9019)</f>
        <v>580</v>
      </c>
      <c r="K432" s="316">
        <f>SUM(K429-1197)</f>
        <v>2876</v>
      </c>
      <c r="L432" s="262">
        <f>SUM(L429-5342)</f>
        <v>1057</v>
      </c>
      <c r="M432" s="303">
        <f>SUM(M429-754)</f>
        <v>8338</v>
      </c>
      <c r="N432" s="309">
        <f>SUM(N429-1160)</f>
        <v>10763</v>
      </c>
      <c r="O432" s="316">
        <f>SUM(O429-300)</f>
        <v>4056</v>
      </c>
      <c r="P432" s="309">
        <f>SUM(P429-(5621-2614))</f>
        <v>7783</v>
      </c>
      <c r="Q432" s="316">
        <f>SUM(Q429-3771)</f>
        <v>1028</v>
      </c>
      <c r="R432" s="316">
        <f>SUM(R429-4480)</f>
        <v>2712</v>
      </c>
      <c r="S432" s="262">
        <f>SUM(S429-3427)</f>
        <v>2972</v>
      </c>
      <c r="T432" s="323">
        <f>SUM(T429-1010)</f>
        <v>1470</v>
      </c>
      <c r="U432" s="262">
        <f>SUM(U429-629)</f>
        <v>941</v>
      </c>
      <c r="V432" s="12" t="s">
        <v>176</v>
      </c>
      <c r="W432" s="70"/>
      <c r="X432" s="70"/>
      <c r="Y432" s="70"/>
      <c r="Z432" s="70"/>
      <c r="AA432" s="478" t="s">
        <v>192</v>
      </c>
      <c r="AB432" s="19" t="s">
        <v>4</v>
      </c>
      <c r="AC432" s="318">
        <v>97433.600000000006</v>
      </c>
      <c r="AD432" s="299">
        <v>243584.4</v>
      </c>
      <c r="AE432" s="265">
        <v>132070.29999999999</v>
      </c>
      <c r="AF432" s="397">
        <v>292299.3</v>
      </c>
      <c r="AG432" s="393">
        <v>132070.39999999999</v>
      </c>
      <c r="AH432" s="780"/>
      <c r="AI432" s="780"/>
    </row>
    <row r="433" spans="1:35" s="267" customFormat="1" x14ac:dyDescent="0.25">
      <c r="A433" s="939"/>
      <c r="B433" s="296" t="s">
        <v>77</v>
      </c>
      <c r="C433" s="302">
        <f>(C432*33.717)</f>
        <v>187972.27499999999</v>
      </c>
      <c r="D433" s="338">
        <f>(D432*33.717)</f>
        <v>96599.205000000002</v>
      </c>
      <c r="E433" s="302">
        <f>(E432*33.717)</f>
        <v>97610.714999999997</v>
      </c>
      <c r="F433" s="338">
        <f>(F432*33.717)</f>
        <v>280761.45899999997</v>
      </c>
      <c r="G433" s="280">
        <f>(G432*33.717)*2</f>
        <v>257463.01199999999</v>
      </c>
      <c r="H433" s="280">
        <f>(H432*33.717)</f>
        <v>460641.65399999998</v>
      </c>
      <c r="I433" s="280">
        <f>(I432*33.717)-(2000*33.717)</f>
        <v>148691.97</v>
      </c>
      <c r="J433" s="376">
        <f>J432*33.717</f>
        <v>19555.86</v>
      </c>
      <c r="K433" s="376">
        <f>K432*33.717</f>
        <v>96970.09199999999</v>
      </c>
      <c r="L433" s="261">
        <f>L432*33.717</f>
        <v>35638.868999999999</v>
      </c>
      <c r="M433" s="304">
        <f>M432*33.717</f>
        <v>281132.34599999996</v>
      </c>
      <c r="N433" s="280">
        <f>N432*33.717</f>
        <v>362896.071</v>
      </c>
      <c r="O433" s="280">
        <f>(O432*33.717)</f>
        <v>136756.152</v>
      </c>
      <c r="P433" s="280">
        <f t="shared" ref="P433:U433" si="224">P432*33.717</f>
        <v>262419.41099999996</v>
      </c>
      <c r="Q433" s="376">
        <f t="shared" si="224"/>
        <v>34661.076000000001</v>
      </c>
      <c r="R433" s="376">
        <f t="shared" si="224"/>
        <v>91440.504000000001</v>
      </c>
      <c r="S433" s="261">
        <f t="shared" si="224"/>
        <v>100206.924</v>
      </c>
      <c r="T433" s="324">
        <f t="shared" si="224"/>
        <v>49563.99</v>
      </c>
      <c r="U433" s="325">
        <f t="shared" si="224"/>
        <v>31727.697</v>
      </c>
      <c r="V433" s="63">
        <f>344240-H433</f>
        <v>-116401.65399999998</v>
      </c>
      <c r="W433" s="70" t="s">
        <v>177</v>
      </c>
      <c r="X433" s="70"/>
      <c r="Y433" s="70"/>
      <c r="Z433" s="70"/>
      <c r="AA433" s="479"/>
      <c r="AB433" s="293" t="s">
        <v>5</v>
      </c>
      <c r="AC433" s="319">
        <v>38973.199999999997</v>
      </c>
      <c r="AD433" s="300">
        <v>95895.7</v>
      </c>
      <c r="AE433" s="264">
        <v>0.1</v>
      </c>
      <c r="AF433" s="398">
        <v>93978.8</v>
      </c>
      <c r="AG433" s="394">
        <v>1</v>
      </c>
      <c r="AH433" s="781"/>
      <c r="AI433" s="781"/>
    </row>
    <row r="434" spans="1:35" s="267" customFormat="1" ht="15.75" thickBot="1" x14ac:dyDescent="0.3">
      <c r="A434" s="940"/>
      <c r="B434" s="294" t="s">
        <v>10</v>
      </c>
      <c r="C434" s="305">
        <f>C433/C426</f>
        <v>1.3108887811817871</v>
      </c>
      <c r="D434" s="292">
        <f t="shared" ref="D434:U434" si="225">D433/D426</f>
        <v>0.64178396815768612</v>
      </c>
      <c r="E434" s="310">
        <f t="shared" si="225"/>
        <v>0.64850421913315925</v>
      </c>
      <c r="F434" s="282">
        <f t="shared" si="225"/>
        <v>1.542655550476157</v>
      </c>
      <c r="G434" s="282">
        <f t="shared" si="225"/>
        <v>1.5561049600038681</v>
      </c>
      <c r="H434" s="282">
        <f t="shared" si="225"/>
        <v>3.4861995309268168</v>
      </c>
      <c r="I434" s="282">
        <f t="shared" si="225"/>
        <v>0.86970338413018533</v>
      </c>
      <c r="J434" s="377">
        <f t="shared" si="225"/>
        <v>0.11819550508148816</v>
      </c>
      <c r="K434" s="377">
        <f t="shared" si="225"/>
        <v>1.0493281362945777</v>
      </c>
      <c r="L434" s="311">
        <f t="shared" si="225"/>
        <v>0.16555696775856901</v>
      </c>
      <c r="M434" s="310">
        <f t="shared" si="225"/>
        <v>1.4564246841538397</v>
      </c>
      <c r="N434" s="282">
        <f t="shared" si="225"/>
        <v>0.85501540882147975</v>
      </c>
      <c r="O434" s="282">
        <f t="shared" si="225"/>
        <v>1.6531097857279278</v>
      </c>
      <c r="P434" s="260">
        <f t="shared" si="225"/>
        <v>0.9516397200413409</v>
      </c>
      <c r="Q434" s="377">
        <f t="shared" si="225"/>
        <v>0.41898344667857734</v>
      </c>
      <c r="R434" s="377">
        <f t="shared" si="225"/>
        <v>0.48385929635477737</v>
      </c>
      <c r="S434" s="311">
        <f t="shared" si="225"/>
        <v>0.46550171067026219</v>
      </c>
      <c r="T434" s="305">
        <f t="shared" si="225"/>
        <v>0.89869612518358688</v>
      </c>
      <c r="U434" s="292">
        <f t="shared" si="225"/>
        <v>0.95881588371284809</v>
      </c>
      <c r="V434" s="126"/>
      <c r="W434" s="70"/>
      <c r="X434" s="70"/>
      <c r="Y434" s="70"/>
      <c r="Z434" s="70"/>
      <c r="AA434" s="480"/>
      <c r="AB434" s="294" t="s">
        <v>3</v>
      </c>
      <c r="AC434" s="320">
        <f>AC433/AC432</f>
        <v>0.39999753678402516</v>
      </c>
      <c r="AD434" s="305">
        <f>AD433/AD432</f>
        <v>0.39368572043201455</v>
      </c>
      <c r="AE434" s="292">
        <f>AE433/AE432</f>
        <v>7.5717250585483648E-7</v>
      </c>
      <c r="AF434" s="399">
        <f>AF433/AF432</f>
        <v>0.32151565193621745</v>
      </c>
      <c r="AG434" s="343">
        <f>AG433/AG432</f>
        <v>7.5717193254506694E-6</v>
      </c>
      <c r="AH434" s="782"/>
      <c r="AI434" s="782"/>
    </row>
    <row r="435" spans="1:35" s="267" customFormat="1" ht="15.75" thickBot="1" x14ac:dyDescent="0.3">
      <c r="A435" s="924">
        <v>41548</v>
      </c>
      <c r="B435" s="924"/>
      <c r="C435" s="924"/>
      <c r="D435" s="276"/>
      <c r="E435" s="276"/>
      <c r="F435" s="276"/>
      <c r="G435" s="276"/>
      <c r="H435" s="276"/>
      <c r="I435" s="11"/>
      <c r="J435" s="281"/>
      <c r="K435" s="281"/>
      <c r="L435" s="276"/>
      <c r="M435" s="276"/>
      <c r="N435" s="13"/>
      <c r="R435" s="12"/>
      <c r="S435" s="70"/>
      <c r="T435" s="70"/>
      <c r="U435" s="70"/>
      <c r="V435" s="70"/>
      <c r="W435" s="70"/>
      <c r="X435" s="70"/>
      <c r="Y435" s="70"/>
      <c r="Z435" s="70"/>
      <c r="AA435" s="941"/>
      <c r="AB435" s="942"/>
      <c r="AH435" s="743"/>
      <c r="AI435" s="743"/>
    </row>
    <row r="436" spans="1:35" s="267" customFormat="1" x14ac:dyDescent="0.25">
      <c r="A436" s="925" t="s">
        <v>1</v>
      </c>
      <c r="B436" s="926"/>
      <c r="C436" s="297" t="s">
        <v>12</v>
      </c>
      <c r="D436" s="266" t="s">
        <v>12</v>
      </c>
      <c r="E436" s="297" t="s">
        <v>13</v>
      </c>
      <c r="F436" s="277" t="s">
        <v>13</v>
      </c>
      <c r="G436" s="277" t="s">
        <v>13</v>
      </c>
      <c r="H436" s="277" t="s">
        <v>13</v>
      </c>
      <c r="I436" s="277" t="s">
        <v>13</v>
      </c>
      <c r="J436" s="286" t="s">
        <v>13</v>
      </c>
      <c r="K436" s="286" t="s">
        <v>13</v>
      </c>
      <c r="L436" s="266" t="s">
        <v>13</v>
      </c>
      <c r="M436" s="297" t="s">
        <v>2</v>
      </c>
      <c r="N436" s="277" t="s">
        <v>2</v>
      </c>
      <c r="O436" s="286" t="s">
        <v>2</v>
      </c>
      <c r="P436" s="277" t="s">
        <v>2</v>
      </c>
      <c r="Q436" s="286" t="s">
        <v>2</v>
      </c>
      <c r="R436" s="286" t="s">
        <v>2</v>
      </c>
      <c r="S436" s="266" t="s">
        <v>2</v>
      </c>
      <c r="T436" s="328" t="s">
        <v>183</v>
      </c>
      <c r="U436" s="327" t="s">
        <v>183</v>
      </c>
      <c r="V436" s="12"/>
      <c r="W436" s="70"/>
      <c r="X436" s="70"/>
      <c r="Y436" s="70"/>
      <c r="Z436" s="70"/>
      <c r="AA436" s="925" t="s">
        <v>1</v>
      </c>
      <c r="AB436" s="928"/>
      <c r="AC436" s="477" t="s">
        <v>12</v>
      </c>
      <c r="AD436" s="929" t="s">
        <v>13</v>
      </c>
      <c r="AE436" s="930"/>
      <c r="AF436" s="929" t="s">
        <v>2</v>
      </c>
      <c r="AG436" s="930"/>
      <c r="AH436" s="778"/>
      <c r="AI436" s="778"/>
    </row>
    <row r="437" spans="1:35" s="267" customFormat="1" ht="15.75" thickBot="1" x14ac:dyDescent="0.3">
      <c r="A437" s="931" t="s">
        <v>0</v>
      </c>
      <c r="B437" s="944"/>
      <c r="C437" s="298" t="s">
        <v>99</v>
      </c>
      <c r="D437" s="291" t="s">
        <v>100</v>
      </c>
      <c r="E437" s="298" t="s">
        <v>101</v>
      </c>
      <c r="F437" s="306" t="s">
        <v>102</v>
      </c>
      <c r="G437" s="306" t="s">
        <v>97</v>
      </c>
      <c r="H437" s="306" t="s">
        <v>104</v>
      </c>
      <c r="I437" s="306" t="s">
        <v>103</v>
      </c>
      <c r="J437" s="378" t="s">
        <v>178</v>
      </c>
      <c r="K437" s="378" t="s">
        <v>200</v>
      </c>
      <c r="L437" s="314" t="s">
        <v>207</v>
      </c>
      <c r="M437" s="298" t="s">
        <v>105</v>
      </c>
      <c r="N437" s="306" t="s">
        <v>107</v>
      </c>
      <c r="O437" s="312" t="s">
        <v>98</v>
      </c>
      <c r="P437" s="313" t="s">
        <v>106</v>
      </c>
      <c r="Q437" s="312" t="s">
        <v>179</v>
      </c>
      <c r="R437" s="312" t="s">
        <v>199</v>
      </c>
      <c r="S437" s="291" t="s">
        <v>208</v>
      </c>
      <c r="T437" s="317" t="s">
        <v>182</v>
      </c>
      <c r="U437" s="291" t="s">
        <v>184</v>
      </c>
      <c r="V437" s="12"/>
      <c r="W437" s="12"/>
      <c r="X437" s="12"/>
      <c r="Y437" s="12"/>
      <c r="Z437" s="12"/>
      <c r="AA437" s="931" t="s">
        <v>0</v>
      </c>
      <c r="AB437" s="945"/>
      <c r="AC437" s="317" t="s">
        <v>99</v>
      </c>
      <c r="AD437" s="298" t="s">
        <v>104</v>
      </c>
      <c r="AE437" s="291" t="s">
        <v>207</v>
      </c>
      <c r="AF437" s="396" t="s">
        <v>107</v>
      </c>
      <c r="AG437" s="392" t="s">
        <v>208</v>
      </c>
      <c r="AH437" s="779"/>
      <c r="AI437" s="779"/>
    </row>
    <row r="438" spans="1:35" s="267" customFormat="1" ht="15" customHeight="1" x14ac:dyDescent="0.25">
      <c r="A438" s="935" t="s">
        <v>9</v>
      </c>
      <c r="B438" s="19" t="s">
        <v>4</v>
      </c>
      <c r="C438" s="299">
        <v>143393</v>
      </c>
      <c r="D438" s="265">
        <v>150516.70000000001</v>
      </c>
      <c r="E438" s="299">
        <v>150516.70000000001</v>
      </c>
      <c r="F438" s="283">
        <v>181998.8</v>
      </c>
      <c r="G438" s="283">
        <v>165453.5</v>
      </c>
      <c r="H438" s="283">
        <v>132132.9</v>
      </c>
      <c r="I438" s="283">
        <v>170968.6</v>
      </c>
      <c r="J438" s="223">
        <v>165453.5</v>
      </c>
      <c r="K438" s="223">
        <v>92411.6</v>
      </c>
      <c r="L438" s="265">
        <f>83196.1+132070.4</f>
        <v>215266.5</v>
      </c>
      <c r="M438" s="299">
        <v>193029.1</v>
      </c>
      <c r="N438" s="283">
        <f>132132.9+292299.3</f>
        <v>424432.19999999995</v>
      </c>
      <c r="O438" s="283">
        <v>82726.600000000006</v>
      </c>
      <c r="P438" s="283">
        <v>275755</v>
      </c>
      <c r="Q438" s="223">
        <v>82726.600000000006</v>
      </c>
      <c r="R438" s="223">
        <v>188981.6</v>
      </c>
      <c r="S438" s="265">
        <f>83196.1+132070.4</f>
        <v>215266.5</v>
      </c>
      <c r="T438" s="318">
        <v>55151</v>
      </c>
      <c r="U438" s="265">
        <v>33090.5</v>
      </c>
      <c r="V438" s="70"/>
      <c r="W438" s="70"/>
      <c r="X438" s="70"/>
      <c r="Y438" s="70"/>
      <c r="Z438" s="70"/>
      <c r="AA438" s="474" t="s">
        <v>195</v>
      </c>
      <c r="AB438" s="2" t="s">
        <v>4</v>
      </c>
      <c r="AC438" s="318">
        <v>143392.20000000001</v>
      </c>
      <c r="AD438" s="299">
        <v>132132</v>
      </c>
      <c r="AE438" s="265">
        <v>83196.100000000006</v>
      </c>
      <c r="AF438" s="397">
        <v>132132.20000000001</v>
      </c>
      <c r="AG438" s="393">
        <v>83196.100000000006</v>
      </c>
      <c r="AH438" s="780"/>
      <c r="AI438" s="780"/>
    </row>
    <row r="439" spans="1:35" s="267" customFormat="1" x14ac:dyDescent="0.25">
      <c r="A439" s="936"/>
      <c r="B439" s="293" t="s">
        <v>5</v>
      </c>
      <c r="C439" s="300">
        <v>48162.7</v>
      </c>
      <c r="D439" s="264">
        <v>80443.600000000006</v>
      </c>
      <c r="E439" s="300">
        <v>81921.5</v>
      </c>
      <c r="F439" s="307">
        <v>150425.4</v>
      </c>
      <c r="G439" s="307">
        <v>118511.9</v>
      </c>
      <c r="H439" s="307">
        <v>60121.3</v>
      </c>
      <c r="I439" s="307">
        <v>99458.3</v>
      </c>
      <c r="J439" s="374">
        <v>24373.3</v>
      </c>
      <c r="K439" s="374">
        <v>44685.4</v>
      </c>
      <c r="L439" s="264">
        <f>682.4+541.3</f>
        <v>1223.6999999999998</v>
      </c>
      <c r="M439" s="300">
        <v>160390.1</v>
      </c>
      <c r="N439" s="307">
        <f xml:space="preserve"> 61156.6+94731.4</f>
        <v>155888</v>
      </c>
      <c r="O439" s="307">
        <v>60922.8</v>
      </c>
      <c r="P439" s="307">
        <v>179332.3</v>
      </c>
      <c r="Q439" s="374">
        <v>12654.7</v>
      </c>
      <c r="R439" s="374">
        <v>70116.600000000006</v>
      </c>
      <c r="S439" s="264">
        <f>25681.3+10058.9</f>
        <v>35740.199999999997</v>
      </c>
      <c r="T439" s="319">
        <v>12198.3</v>
      </c>
      <c r="U439" s="264">
        <v>6107.6</v>
      </c>
      <c r="V439" s="70"/>
      <c r="W439" s="70"/>
      <c r="X439" s="70"/>
      <c r="Y439" s="70"/>
      <c r="Z439" s="70"/>
      <c r="AA439" s="475"/>
      <c r="AB439" s="342" t="s">
        <v>5</v>
      </c>
      <c r="AC439" s="319">
        <v>43401.8</v>
      </c>
      <c r="AD439" s="300">
        <v>58695.3</v>
      </c>
      <c r="AE439" s="264">
        <v>4.7</v>
      </c>
      <c r="AF439" s="398">
        <v>55118.9</v>
      </c>
      <c r="AG439" s="394">
        <v>4.5</v>
      </c>
      <c r="AH439" s="781"/>
      <c r="AI439" s="781"/>
    </row>
    <row r="440" spans="1:35" s="267" customFormat="1" ht="15.75" thickBot="1" x14ac:dyDescent="0.3">
      <c r="A440" s="937"/>
      <c r="B440" s="294" t="s">
        <v>3</v>
      </c>
      <c r="C440" s="305">
        <f t="shared" ref="C440:L440" si="226">C439/C438</f>
        <v>0.33587901780421636</v>
      </c>
      <c r="D440" s="343">
        <f t="shared" si="226"/>
        <v>0.53444966571815622</v>
      </c>
      <c r="E440" s="305">
        <f t="shared" si="226"/>
        <v>0.5442685097401152</v>
      </c>
      <c r="F440" s="371">
        <f t="shared" si="226"/>
        <v>0.8265186363866136</v>
      </c>
      <c r="G440" s="278">
        <f t="shared" si="226"/>
        <v>0.71628524026388074</v>
      </c>
      <c r="H440" s="278">
        <f t="shared" si="226"/>
        <v>0.45500628533847365</v>
      </c>
      <c r="I440" s="278">
        <f t="shared" si="226"/>
        <v>0.58173430676744153</v>
      </c>
      <c r="J440" s="315">
        <f t="shared" si="226"/>
        <v>0.14731208466427123</v>
      </c>
      <c r="K440" s="315">
        <f t="shared" si="226"/>
        <v>0.48354752000831064</v>
      </c>
      <c r="L440" s="292">
        <f t="shared" si="226"/>
        <v>5.6845816696977922E-3</v>
      </c>
      <c r="M440" s="372">
        <f>M439/M438</f>
        <v>0.83091150505286504</v>
      </c>
      <c r="N440" s="278">
        <f>N439/N438</f>
        <v>0.36728598819787944</v>
      </c>
      <c r="O440" s="315">
        <f>O439/O438</f>
        <v>0.73643543914532927</v>
      </c>
      <c r="P440" s="278">
        <f>P439/P438</f>
        <v>0.65033199760657101</v>
      </c>
      <c r="Q440" s="315">
        <f>Q439/Q438</f>
        <v>0.15297014503194861</v>
      </c>
      <c r="R440" s="315">
        <f t="shared" ref="R440:S440" si="227">R439/R438</f>
        <v>0.37102342238609476</v>
      </c>
      <c r="S440" s="292">
        <f t="shared" si="227"/>
        <v>0.16602769125711617</v>
      </c>
      <c r="T440" s="320">
        <f>T439/T438</f>
        <v>0.22118003300030822</v>
      </c>
      <c r="U440" s="292">
        <f>U439/U438</f>
        <v>0.18457261147459242</v>
      </c>
      <c r="V440" s="70"/>
      <c r="W440" s="70"/>
      <c r="X440" s="70"/>
      <c r="Y440" s="70"/>
      <c r="Z440" s="70"/>
      <c r="AA440" s="476"/>
      <c r="AB440" s="347" t="s">
        <v>3</v>
      </c>
      <c r="AC440" s="395">
        <f>AC439/AC438</f>
        <v>0.302678946274623</v>
      </c>
      <c r="AD440" s="305">
        <f>AD439/AD438</f>
        <v>0.44421714648987376</v>
      </c>
      <c r="AE440" s="292">
        <f>AE439/AE438</f>
        <v>5.6493032726293656E-5</v>
      </c>
      <c r="AF440" s="399">
        <f>AF439/AF438</f>
        <v>0.41714964255495629</v>
      </c>
      <c r="AG440" s="343">
        <f>AG439/AG438</f>
        <v>5.4089073886876906E-5</v>
      </c>
      <c r="AH440" s="782"/>
      <c r="AI440" s="782"/>
    </row>
    <row r="441" spans="1:35" s="429" customFormat="1" ht="15" customHeight="1" x14ac:dyDescent="0.25">
      <c r="A441" s="938" t="s">
        <v>6</v>
      </c>
      <c r="B441" s="418" t="s">
        <v>7</v>
      </c>
      <c r="C441" s="419">
        <v>5870</v>
      </c>
      <c r="D441" s="420">
        <v>3333</v>
      </c>
      <c r="E441" s="419">
        <v>3330</v>
      </c>
      <c r="F441" s="421">
        <v>9457</v>
      </c>
      <c r="G441" s="421">
        <v>8432</v>
      </c>
      <c r="H441" s="421">
        <v>15703</v>
      </c>
      <c r="I441" s="421">
        <v>8166</v>
      </c>
      <c r="J441" s="423">
        <v>9599</v>
      </c>
      <c r="K441" s="423">
        <v>4073</v>
      </c>
      <c r="L441" s="420">
        <v>6399</v>
      </c>
      <c r="M441" s="419">
        <v>9092</v>
      </c>
      <c r="N441" s="421">
        <v>11923</v>
      </c>
      <c r="O441" s="421">
        <v>4356</v>
      </c>
      <c r="P441" s="421">
        <v>10790</v>
      </c>
      <c r="Q441" s="423">
        <v>4799</v>
      </c>
      <c r="R441" s="423">
        <v>7192</v>
      </c>
      <c r="S441" s="420">
        <v>6399</v>
      </c>
      <c r="T441" s="424">
        <v>2480</v>
      </c>
      <c r="U441" s="420">
        <v>1570</v>
      </c>
      <c r="V441" s="425" t="s">
        <v>198</v>
      </c>
      <c r="W441" s="426"/>
      <c r="X441" s="427"/>
      <c r="Y441" s="427"/>
      <c r="Z441" s="427"/>
      <c r="AA441" s="428" t="s">
        <v>191</v>
      </c>
      <c r="AB441" s="418" t="s">
        <v>4</v>
      </c>
      <c r="AC441" s="430">
        <v>9191.7999999999993</v>
      </c>
      <c r="AD441" s="431">
        <v>13787.7</v>
      </c>
      <c r="AE441" s="432">
        <v>8804.7999999999993</v>
      </c>
      <c r="AF441" s="433">
        <v>13787.7</v>
      </c>
      <c r="AG441" s="434">
        <v>8804.7999999999993</v>
      </c>
      <c r="AH441" s="783"/>
      <c r="AI441" s="783"/>
    </row>
    <row r="442" spans="1:35" s="267" customFormat="1" x14ac:dyDescent="0.25">
      <c r="A442" s="939"/>
      <c r="B442" s="295" t="s">
        <v>11</v>
      </c>
      <c r="C442" s="302">
        <f t="shared" ref="C442:L442" si="228">C441*33.717</f>
        <v>197918.78999999998</v>
      </c>
      <c r="D442" s="263">
        <f t="shared" si="228"/>
        <v>112378.761</v>
      </c>
      <c r="E442" s="302">
        <f t="shared" si="228"/>
        <v>112277.61</v>
      </c>
      <c r="F442" s="355">
        <f t="shared" si="228"/>
        <v>318861.66899999999</v>
      </c>
      <c r="G442" s="308">
        <f t="shared" si="228"/>
        <v>284301.74400000001</v>
      </c>
      <c r="H442" s="354">
        <f t="shared" si="228"/>
        <v>529458.05099999998</v>
      </c>
      <c r="I442" s="354">
        <f t="shared" si="228"/>
        <v>275333.022</v>
      </c>
      <c r="J442" s="355">
        <f t="shared" si="228"/>
        <v>323649.48300000001</v>
      </c>
      <c r="K442" s="375">
        <f t="shared" si="228"/>
        <v>137329.34099999999</v>
      </c>
      <c r="L442" s="263">
        <f t="shared" si="228"/>
        <v>215755.08299999998</v>
      </c>
      <c r="M442" s="322">
        <f>M441*33.717</f>
        <v>306554.96399999998</v>
      </c>
      <c r="N442" s="308">
        <f>N441*33.717</f>
        <v>402007.79099999997</v>
      </c>
      <c r="O442" s="308">
        <f>O441*33.717</f>
        <v>146871.25200000001</v>
      </c>
      <c r="P442" s="354">
        <f>P441*33.717</f>
        <v>363806.43</v>
      </c>
      <c r="Q442" s="355">
        <f>Q441*33.717</f>
        <v>161807.883</v>
      </c>
      <c r="R442" s="375">
        <f t="shared" ref="R442:S442" si="229">R441*33.717</f>
        <v>242492.66399999999</v>
      </c>
      <c r="S442" s="263">
        <f t="shared" si="229"/>
        <v>215755.08299999998</v>
      </c>
      <c r="T442" s="302">
        <f>T441*33.717</f>
        <v>83618.16</v>
      </c>
      <c r="U442" s="354">
        <f>U441*33.717</f>
        <v>52935.689999999995</v>
      </c>
      <c r="V442" s="70"/>
      <c r="W442" s="70"/>
      <c r="X442" s="70"/>
      <c r="Y442" s="70"/>
      <c r="Z442" s="70"/>
      <c r="AA442" s="475"/>
      <c r="AB442" s="293" t="s">
        <v>5</v>
      </c>
      <c r="AC442" s="319">
        <v>8835</v>
      </c>
      <c r="AD442" s="300">
        <v>13648.9</v>
      </c>
      <c r="AE442" s="264">
        <v>0</v>
      </c>
      <c r="AF442" s="398">
        <v>13649.5</v>
      </c>
      <c r="AG442" s="394">
        <v>30</v>
      </c>
      <c r="AH442" s="781"/>
      <c r="AI442" s="781"/>
    </row>
    <row r="443" spans="1:35" s="267" customFormat="1" ht="15.75" thickBot="1" x14ac:dyDescent="0.3">
      <c r="A443" s="939"/>
      <c r="B443" s="295" t="s">
        <v>79</v>
      </c>
      <c r="C443" s="302">
        <v>164000</v>
      </c>
      <c r="D443" s="263">
        <v>109880</v>
      </c>
      <c r="E443" s="302">
        <v>109880</v>
      </c>
      <c r="F443" s="308">
        <v>328000</v>
      </c>
      <c r="G443" s="308">
        <v>330905</v>
      </c>
      <c r="H443" s="308">
        <v>264264</v>
      </c>
      <c r="I443" s="308">
        <v>242663.6</v>
      </c>
      <c r="J443" s="375">
        <v>328000</v>
      </c>
      <c r="K443" s="375">
        <v>328000</v>
      </c>
      <c r="L443" s="263">
        <v>328000</v>
      </c>
      <c r="M443" s="302">
        <v>328000</v>
      </c>
      <c r="N443" s="308">
        <v>264264.40000000002</v>
      </c>
      <c r="O443" s="308">
        <v>328000</v>
      </c>
      <c r="P443" s="308">
        <v>352965.4</v>
      </c>
      <c r="Q443" s="375">
        <v>328000</v>
      </c>
      <c r="R443" s="375">
        <v>328000</v>
      </c>
      <c r="S443" s="263">
        <v>328000</v>
      </c>
      <c r="T443" s="322">
        <f>2*T438</f>
        <v>110302</v>
      </c>
      <c r="U443" s="263">
        <f>2*U438</f>
        <v>66181</v>
      </c>
      <c r="V443" s="70"/>
      <c r="W443" s="70"/>
      <c r="X443" s="70"/>
      <c r="Y443" s="70"/>
      <c r="Z443" s="70"/>
      <c r="AA443" s="476"/>
      <c r="AB443" s="344" t="s">
        <v>3</v>
      </c>
      <c r="AC443" s="395">
        <f>AC442/AC441</f>
        <v>0.96118279335929857</v>
      </c>
      <c r="AD443" s="301">
        <f>AD442/AD441</f>
        <v>0.98993305627479555</v>
      </c>
      <c r="AE443" s="401">
        <f>AE442/AE441</f>
        <v>0</v>
      </c>
      <c r="AF443" s="400">
        <f>AF442/AF441</f>
        <v>0.98997657332259903</v>
      </c>
      <c r="AG443" s="348">
        <f>AG442/AG441</f>
        <v>3.4072324186807199E-3</v>
      </c>
      <c r="AH443" s="782"/>
      <c r="AI443" s="782"/>
    </row>
    <row r="444" spans="1:35" s="267" customFormat="1" ht="15" customHeight="1" x14ac:dyDescent="0.25">
      <c r="A444" s="939"/>
      <c r="B444" s="293" t="s">
        <v>8</v>
      </c>
      <c r="C444" s="303">
        <f>SUM(C441-295)</f>
        <v>5575</v>
      </c>
      <c r="D444" s="262">
        <f>SUM(D441-468)</f>
        <v>2865</v>
      </c>
      <c r="E444" s="303">
        <f>SUM(E441-435)</f>
        <v>2895</v>
      </c>
      <c r="F444" s="309">
        <f>SUM(F441-1130)</f>
        <v>8327</v>
      </c>
      <c r="G444" s="309">
        <f>SUM(G441-4523)</f>
        <v>3909</v>
      </c>
      <c r="H444" s="309">
        <f>SUM(H441-2022)</f>
        <v>13681</v>
      </c>
      <c r="I444" s="309">
        <f>SUM(I441-(3756-2000))</f>
        <v>6410</v>
      </c>
      <c r="J444" s="316">
        <f>SUM(J441-9019)</f>
        <v>580</v>
      </c>
      <c r="K444" s="316">
        <f>SUM(K441-1270)</f>
        <v>2803</v>
      </c>
      <c r="L444" s="262">
        <f>SUM(L441-5641)</f>
        <v>758</v>
      </c>
      <c r="M444" s="303">
        <f>SUM(M441-754)</f>
        <v>8338</v>
      </c>
      <c r="N444" s="309">
        <f>SUM(N441-1160)</f>
        <v>10763</v>
      </c>
      <c r="O444" s="316">
        <f>SUM(O441-300)</f>
        <v>4056</v>
      </c>
      <c r="P444" s="309">
        <f>SUM(P441-(5685-2614))</f>
        <v>7719</v>
      </c>
      <c r="Q444" s="316">
        <f>SUM(Q441-3771)</f>
        <v>1028</v>
      </c>
      <c r="R444" s="316">
        <f>SUM(R441-4636)</f>
        <v>2556</v>
      </c>
      <c r="S444" s="262">
        <f>SUM(S441-3281)</f>
        <v>3118</v>
      </c>
      <c r="T444" s="323">
        <f>SUM(T441-1010)</f>
        <v>1470</v>
      </c>
      <c r="U444" s="262">
        <f>SUM(U441-629)</f>
        <v>941</v>
      </c>
      <c r="V444" s="12" t="s">
        <v>176</v>
      </c>
      <c r="W444" s="70"/>
      <c r="X444" s="70"/>
      <c r="Y444" s="70"/>
      <c r="Z444" s="70"/>
      <c r="AA444" s="474" t="s">
        <v>192</v>
      </c>
      <c r="AB444" s="19" t="s">
        <v>4</v>
      </c>
      <c r="AC444" s="318">
        <v>97433.600000000006</v>
      </c>
      <c r="AD444" s="299">
        <v>243584.4</v>
      </c>
      <c r="AE444" s="265">
        <v>132070.29999999999</v>
      </c>
      <c r="AF444" s="397">
        <v>292299.3</v>
      </c>
      <c r="AG444" s="393">
        <v>132070.39999999999</v>
      </c>
      <c r="AH444" s="780"/>
      <c r="AI444" s="780"/>
    </row>
    <row r="445" spans="1:35" s="267" customFormat="1" x14ac:dyDescent="0.25">
      <c r="A445" s="939"/>
      <c r="B445" s="296" t="s">
        <v>77</v>
      </c>
      <c r="C445" s="302">
        <f>(C444*33.717)</f>
        <v>187972.27499999999</v>
      </c>
      <c r="D445" s="338">
        <f>(D444*33.717)</f>
        <v>96599.205000000002</v>
      </c>
      <c r="E445" s="302">
        <f>(E444*33.717)</f>
        <v>97610.714999999997</v>
      </c>
      <c r="F445" s="338">
        <f>(F444*33.717)</f>
        <v>280761.45899999997</v>
      </c>
      <c r="G445" s="280">
        <f>(G444*33.717)*2</f>
        <v>263599.50599999999</v>
      </c>
      <c r="H445" s="280">
        <f>(H444*33.717)</f>
        <v>461282.277</v>
      </c>
      <c r="I445" s="280">
        <f>(I444*33.717)-(2000*33.717)</f>
        <v>148691.97</v>
      </c>
      <c r="J445" s="376">
        <f>J444*33.717</f>
        <v>19555.86</v>
      </c>
      <c r="K445" s="376">
        <f>K444*33.717</f>
        <v>94508.750999999989</v>
      </c>
      <c r="L445" s="261">
        <f>L444*33.717</f>
        <v>25557.486000000001</v>
      </c>
      <c r="M445" s="304">
        <f>M444*33.717</f>
        <v>281132.34599999996</v>
      </c>
      <c r="N445" s="280">
        <f>N444*33.717</f>
        <v>362896.071</v>
      </c>
      <c r="O445" s="280">
        <f>(O444*33.717)</f>
        <v>136756.152</v>
      </c>
      <c r="P445" s="280">
        <f t="shared" ref="P445:U445" si="230">P444*33.717</f>
        <v>260261.52299999999</v>
      </c>
      <c r="Q445" s="376">
        <f t="shared" si="230"/>
        <v>34661.076000000001</v>
      </c>
      <c r="R445" s="376">
        <f t="shared" si="230"/>
        <v>86180.652000000002</v>
      </c>
      <c r="S445" s="261">
        <f t="shared" si="230"/>
        <v>105129.606</v>
      </c>
      <c r="T445" s="324">
        <f t="shared" si="230"/>
        <v>49563.99</v>
      </c>
      <c r="U445" s="325">
        <f t="shared" si="230"/>
        <v>31727.697</v>
      </c>
      <c r="V445" s="63">
        <f>344240-H445</f>
        <v>-117042.277</v>
      </c>
      <c r="W445" s="70" t="s">
        <v>177</v>
      </c>
      <c r="X445" s="70"/>
      <c r="Y445" s="70"/>
      <c r="Z445" s="70"/>
      <c r="AA445" s="475"/>
      <c r="AB445" s="293" t="s">
        <v>5</v>
      </c>
      <c r="AC445" s="319">
        <v>38973.199999999997</v>
      </c>
      <c r="AD445" s="300">
        <v>95895.7</v>
      </c>
      <c r="AE445" s="264">
        <v>0.1</v>
      </c>
      <c r="AF445" s="398">
        <v>93978.8</v>
      </c>
      <c r="AG445" s="394">
        <v>1</v>
      </c>
      <c r="AH445" s="781"/>
      <c r="AI445" s="781"/>
    </row>
    <row r="446" spans="1:35" s="267" customFormat="1" ht="15.75" thickBot="1" x14ac:dyDescent="0.3">
      <c r="A446" s="940"/>
      <c r="B446" s="294" t="s">
        <v>10</v>
      </c>
      <c r="C446" s="305">
        <f>C445/C438</f>
        <v>1.3108887811817871</v>
      </c>
      <c r="D446" s="292">
        <f t="shared" ref="D446:U446" si="231">D445/D438</f>
        <v>0.64178396815768612</v>
      </c>
      <c r="E446" s="310">
        <f t="shared" si="231"/>
        <v>0.64850421913315925</v>
      </c>
      <c r="F446" s="282">
        <f t="shared" si="231"/>
        <v>1.542655550476157</v>
      </c>
      <c r="G446" s="282">
        <f t="shared" si="231"/>
        <v>1.5931938943570247</v>
      </c>
      <c r="H446" s="282">
        <f t="shared" si="231"/>
        <v>3.4910478540923573</v>
      </c>
      <c r="I446" s="282">
        <f t="shared" si="231"/>
        <v>0.86970338413018533</v>
      </c>
      <c r="J446" s="377">
        <f t="shared" si="231"/>
        <v>0.11819550508148816</v>
      </c>
      <c r="K446" s="377">
        <f t="shared" si="231"/>
        <v>1.022693590415056</v>
      </c>
      <c r="L446" s="311">
        <f t="shared" si="231"/>
        <v>0.11872486429611667</v>
      </c>
      <c r="M446" s="310">
        <f t="shared" si="231"/>
        <v>1.4564246841538397</v>
      </c>
      <c r="N446" s="282">
        <f t="shared" si="231"/>
        <v>0.85501540882147975</v>
      </c>
      <c r="O446" s="282">
        <f t="shared" si="231"/>
        <v>1.6531097857279278</v>
      </c>
      <c r="P446" s="260">
        <f t="shared" si="231"/>
        <v>0.94381433881525267</v>
      </c>
      <c r="Q446" s="377">
        <f t="shared" si="231"/>
        <v>0.41898344667857734</v>
      </c>
      <c r="R446" s="377">
        <f t="shared" si="231"/>
        <v>0.45602668196268842</v>
      </c>
      <c r="S446" s="311">
        <f t="shared" si="231"/>
        <v>0.48836956052149311</v>
      </c>
      <c r="T446" s="305">
        <f t="shared" si="231"/>
        <v>0.89869612518358688</v>
      </c>
      <c r="U446" s="292">
        <f t="shared" si="231"/>
        <v>0.95881588371284809</v>
      </c>
      <c r="V446" s="126"/>
      <c r="W446" s="70"/>
      <c r="X446" s="70"/>
      <c r="Y446" s="70"/>
      <c r="Z446" s="70"/>
      <c r="AA446" s="476"/>
      <c r="AB446" s="294" t="s">
        <v>3</v>
      </c>
      <c r="AC446" s="320">
        <f>AC445/AC444</f>
        <v>0.39999753678402516</v>
      </c>
      <c r="AD446" s="305">
        <f>AD445/AD444</f>
        <v>0.39368572043201455</v>
      </c>
      <c r="AE446" s="292">
        <f>AE445/AE444</f>
        <v>7.5717250585483648E-7</v>
      </c>
      <c r="AF446" s="399">
        <f>AF445/AF444</f>
        <v>0.32151565193621745</v>
      </c>
      <c r="AG446" s="343">
        <f>AG445/AG444</f>
        <v>7.5717193254506694E-6</v>
      </c>
      <c r="AH446" s="782"/>
      <c r="AI446" s="782"/>
    </row>
    <row r="447" spans="1:35" s="267" customFormat="1" ht="15.75" thickBot="1" x14ac:dyDescent="0.3">
      <c r="A447" s="924">
        <v>41541</v>
      </c>
      <c r="B447" s="924"/>
      <c r="C447" s="924"/>
      <c r="D447" s="276"/>
      <c r="E447" s="276"/>
      <c r="F447" s="276"/>
      <c r="G447" s="276"/>
      <c r="H447" s="276"/>
      <c r="I447" s="11"/>
      <c r="J447" s="281"/>
      <c r="K447" s="281"/>
      <c r="L447" s="276"/>
      <c r="M447" s="276"/>
      <c r="N447" s="13"/>
      <c r="R447" s="12"/>
      <c r="S447" s="70"/>
      <c r="T447" s="70"/>
      <c r="U447" s="70"/>
      <c r="V447" s="70"/>
      <c r="W447" s="70"/>
      <c r="X447" s="70"/>
      <c r="Y447" s="70"/>
      <c r="Z447" s="70"/>
      <c r="AA447" s="941"/>
      <c r="AB447" s="942"/>
      <c r="AH447" s="743"/>
      <c r="AI447" s="743"/>
    </row>
    <row r="448" spans="1:35" s="267" customFormat="1" x14ac:dyDescent="0.25">
      <c r="A448" s="925" t="s">
        <v>1</v>
      </c>
      <c r="B448" s="926"/>
      <c r="C448" s="297" t="s">
        <v>12</v>
      </c>
      <c r="D448" s="266" t="s">
        <v>12</v>
      </c>
      <c r="E448" s="297" t="s">
        <v>13</v>
      </c>
      <c r="F448" s="277" t="s">
        <v>13</v>
      </c>
      <c r="G448" s="277" t="s">
        <v>13</v>
      </c>
      <c r="H448" s="277" t="s">
        <v>13</v>
      </c>
      <c r="I448" s="277" t="s">
        <v>13</v>
      </c>
      <c r="J448" s="286" t="s">
        <v>13</v>
      </c>
      <c r="K448" s="286" t="s">
        <v>13</v>
      </c>
      <c r="L448" s="266" t="s">
        <v>13</v>
      </c>
      <c r="M448" s="297" t="s">
        <v>2</v>
      </c>
      <c r="N448" s="277" t="s">
        <v>2</v>
      </c>
      <c r="O448" s="286" t="s">
        <v>2</v>
      </c>
      <c r="P448" s="277" t="s">
        <v>2</v>
      </c>
      <c r="Q448" s="286" t="s">
        <v>2</v>
      </c>
      <c r="R448" s="286" t="s">
        <v>2</v>
      </c>
      <c r="S448" s="266" t="s">
        <v>2</v>
      </c>
      <c r="T448" s="328" t="s">
        <v>183</v>
      </c>
      <c r="U448" s="327" t="s">
        <v>183</v>
      </c>
      <c r="V448" s="12"/>
      <c r="W448" s="70"/>
      <c r="X448" s="70"/>
      <c r="Y448" s="70"/>
      <c r="Z448" s="70"/>
      <c r="AA448" s="925" t="s">
        <v>1</v>
      </c>
      <c r="AB448" s="928"/>
      <c r="AC448" s="472" t="s">
        <v>12</v>
      </c>
      <c r="AD448" s="929" t="s">
        <v>13</v>
      </c>
      <c r="AE448" s="930"/>
      <c r="AF448" s="929" t="s">
        <v>2</v>
      </c>
      <c r="AG448" s="930"/>
      <c r="AH448" s="778"/>
      <c r="AI448" s="778"/>
    </row>
    <row r="449" spans="1:35" s="267" customFormat="1" ht="15.75" thickBot="1" x14ac:dyDescent="0.3">
      <c r="A449" s="931" t="s">
        <v>0</v>
      </c>
      <c r="B449" s="944"/>
      <c r="C449" s="298" t="s">
        <v>99</v>
      </c>
      <c r="D449" s="291" t="s">
        <v>100</v>
      </c>
      <c r="E449" s="298" t="s">
        <v>101</v>
      </c>
      <c r="F449" s="306" t="s">
        <v>102</v>
      </c>
      <c r="G449" s="306" t="s">
        <v>97</v>
      </c>
      <c r="H449" s="306" t="s">
        <v>104</v>
      </c>
      <c r="I449" s="306" t="s">
        <v>103</v>
      </c>
      <c r="J449" s="378" t="s">
        <v>178</v>
      </c>
      <c r="K449" s="378" t="s">
        <v>200</v>
      </c>
      <c r="L449" s="314" t="s">
        <v>207</v>
      </c>
      <c r="M449" s="298" t="s">
        <v>105</v>
      </c>
      <c r="N449" s="306" t="s">
        <v>107</v>
      </c>
      <c r="O449" s="312" t="s">
        <v>98</v>
      </c>
      <c r="P449" s="313" t="s">
        <v>106</v>
      </c>
      <c r="Q449" s="312" t="s">
        <v>179</v>
      </c>
      <c r="R449" s="312" t="s">
        <v>199</v>
      </c>
      <c r="S449" s="291" t="s">
        <v>208</v>
      </c>
      <c r="T449" s="317" t="s">
        <v>182</v>
      </c>
      <c r="U449" s="291" t="s">
        <v>184</v>
      </c>
      <c r="V449" s="12"/>
      <c r="W449" s="12"/>
      <c r="X449" s="12"/>
      <c r="Y449" s="12"/>
      <c r="Z449" s="12"/>
      <c r="AA449" s="931" t="s">
        <v>0</v>
      </c>
      <c r="AB449" s="945"/>
      <c r="AC449" s="317" t="s">
        <v>99</v>
      </c>
      <c r="AD449" s="298" t="s">
        <v>104</v>
      </c>
      <c r="AE449" s="291" t="s">
        <v>207</v>
      </c>
      <c r="AF449" s="396" t="s">
        <v>107</v>
      </c>
      <c r="AG449" s="392" t="s">
        <v>208</v>
      </c>
      <c r="AH449" s="779"/>
      <c r="AI449" s="779"/>
    </row>
    <row r="450" spans="1:35" s="267" customFormat="1" ht="15" customHeight="1" x14ac:dyDescent="0.25">
      <c r="A450" s="935" t="s">
        <v>9</v>
      </c>
      <c r="B450" s="19" t="s">
        <v>4</v>
      </c>
      <c r="C450" s="299">
        <v>143393</v>
      </c>
      <c r="D450" s="265">
        <v>150516.70000000001</v>
      </c>
      <c r="E450" s="299">
        <v>150516.70000000001</v>
      </c>
      <c r="F450" s="283">
        <v>181998.8</v>
      </c>
      <c r="G450" s="283">
        <v>165453.5</v>
      </c>
      <c r="H450" s="283">
        <v>132132.9</v>
      </c>
      <c r="I450" s="283">
        <v>170968.6</v>
      </c>
      <c r="J450" s="223">
        <v>165453.5</v>
      </c>
      <c r="K450" s="223">
        <v>92411.6</v>
      </c>
      <c r="L450" s="265">
        <v>82074.100000000006</v>
      </c>
      <c r="M450" s="299">
        <v>193029.1</v>
      </c>
      <c r="N450" s="283">
        <v>132132.9</v>
      </c>
      <c r="O450" s="283">
        <v>82726.600000000006</v>
      </c>
      <c r="P450" s="283">
        <v>275755</v>
      </c>
      <c r="Q450" s="223">
        <v>82726.600000000006</v>
      </c>
      <c r="R450" s="223">
        <v>188981.6</v>
      </c>
      <c r="S450" s="265">
        <v>83196.100000000006</v>
      </c>
      <c r="T450" s="318">
        <v>55151</v>
      </c>
      <c r="U450" s="265">
        <v>33090.5</v>
      </c>
      <c r="V450" s="70"/>
      <c r="W450" s="70"/>
      <c r="X450" s="70"/>
      <c r="Y450" s="70"/>
      <c r="Z450" s="70"/>
      <c r="AA450" s="469" t="s">
        <v>195</v>
      </c>
      <c r="AB450" s="2" t="s">
        <v>4</v>
      </c>
      <c r="AC450" s="318">
        <v>143392.20000000001</v>
      </c>
      <c r="AD450" s="299">
        <v>132132</v>
      </c>
      <c r="AE450" s="265">
        <v>83196.100000000006</v>
      </c>
      <c r="AF450" s="397">
        <v>132132.20000000001</v>
      </c>
      <c r="AG450" s="393">
        <v>83196.100000000006</v>
      </c>
      <c r="AH450" s="780"/>
      <c r="AI450" s="780"/>
    </row>
    <row r="451" spans="1:35" s="267" customFormat="1" x14ac:dyDescent="0.25">
      <c r="A451" s="936"/>
      <c r="B451" s="293" t="s">
        <v>5</v>
      </c>
      <c r="C451" s="300">
        <v>48057.1</v>
      </c>
      <c r="D451" s="264">
        <v>80415.100000000006</v>
      </c>
      <c r="E451" s="300">
        <v>81896.7</v>
      </c>
      <c r="F451" s="307">
        <v>150242.70000000001</v>
      </c>
      <c r="G451" s="307">
        <v>118186.2</v>
      </c>
      <c r="H451" s="307">
        <v>58557.1</v>
      </c>
      <c r="I451" s="307">
        <v>98101.9</v>
      </c>
      <c r="J451" s="374">
        <v>24354.400000000001</v>
      </c>
      <c r="K451" s="374">
        <v>44585.1</v>
      </c>
      <c r="L451" s="264">
        <v>1139.9000000000001</v>
      </c>
      <c r="M451" s="300">
        <v>160229.6</v>
      </c>
      <c r="N451" s="307">
        <v>58783.4</v>
      </c>
      <c r="O451" s="307">
        <v>60762.6</v>
      </c>
      <c r="P451" s="307">
        <v>179575.9</v>
      </c>
      <c r="Q451" s="374">
        <v>12645.2</v>
      </c>
      <c r="R451" s="374">
        <v>70054.399999999994</v>
      </c>
      <c r="S451" s="264">
        <v>28245.9</v>
      </c>
      <c r="T451" s="319">
        <v>12151.2</v>
      </c>
      <c r="U451" s="264">
        <v>6056.4</v>
      </c>
      <c r="V451" s="70"/>
      <c r="W451" s="70"/>
      <c r="X451" s="70"/>
      <c r="Y451" s="70"/>
      <c r="Z451" s="70"/>
      <c r="AA451" s="470"/>
      <c r="AB451" s="342" t="s">
        <v>5</v>
      </c>
      <c r="AC451" s="319">
        <v>43401.8</v>
      </c>
      <c r="AD451" s="300">
        <v>58695.3</v>
      </c>
      <c r="AE451" s="264">
        <v>4.7</v>
      </c>
      <c r="AF451" s="398">
        <v>55118.9</v>
      </c>
      <c r="AG451" s="394">
        <v>4.5</v>
      </c>
      <c r="AH451" s="781"/>
      <c r="AI451" s="781"/>
    </row>
    <row r="452" spans="1:35" s="267" customFormat="1" ht="15.75" thickBot="1" x14ac:dyDescent="0.3">
      <c r="A452" s="937"/>
      <c r="B452" s="294" t="s">
        <v>3</v>
      </c>
      <c r="C452" s="305">
        <f t="shared" ref="C452:L452" si="232">C451/C450</f>
        <v>0.33514258018173831</v>
      </c>
      <c r="D452" s="343">
        <f t="shared" si="232"/>
        <v>0.53426031795807372</v>
      </c>
      <c r="E452" s="305">
        <f t="shared" si="232"/>
        <v>0.5441037439699381</v>
      </c>
      <c r="F452" s="371">
        <f t="shared" si="232"/>
        <v>0.82551478361395803</v>
      </c>
      <c r="G452" s="278">
        <f t="shared" si="232"/>
        <v>0.71431671134185737</v>
      </c>
      <c r="H452" s="278">
        <f t="shared" si="232"/>
        <v>0.44316820413386826</v>
      </c>
      <c r="I452" s="278">
        <f t="shared" si="232"/>
        <v>0.57380068620787672</v>
      </c>
      <c r="J452" s="315">
        <f t="shared" si="232"/>
        <v>0.14719785317324807</v>
      </c>
      <c r="K452" s="315">
        <f t="shared" si="232"/>
        <v>0.48246215843032686</v>
      </c>
      <c r="L452" s="292">
        <f t="shared" si="232"/>
        <v>1.3888668897983651E-2</v>
      </c>
      <c r="M452" s="372">
        <f>M451/M450</f>
        <v>0.83008002420360449</v>
      </c>
      <c r="N452" s="278">
        <f>N451/N450</f>
        <v>0.44488087372637702</v>
      </c>
      <c r="O452" s="315">
        <f>O451/O450</f>
        <v>0.73449893988148907</v>
      </c>
      <c r="P452" s="278">
        <f>P451/P450</f>
        <v>0.65121539047342747</v>
      </c>
      <c r="Q452" s="315">
        <f>Q451/Q450</f>
        <v>0.15285530893328142</v>
      </c>
      <c r="R452" s="315">
        <f t="shared" ref="R452:S452" si="233">R451/R450</f>
        <v>0.37069428981445807</v>
      </c>
      <c r="S452" s="292">
        <f t="shared" si="233"/>
        <v>0.33950990491140809</v>
      </c>
      <c r="T452" s="320">
        <f>T451/T450</f>
        <v>0.22032601403419705</v>
      </c>
      <c r="U452" s="292">
        <f>U451/U450</f>
        <v>0.18302533959897854</v>
      </c>
      <c r="V452" s="70"/>
      <c r="W452" s="70"/>
      <c r="X452" s="70"/>
      <c r="Y452" s="70"/>
      <c r="Z452" s="70"/>
      <c r="AA452" s="471"/>
      <c r="AB452" s="347" t="s">
        <v>3</v>
      </c>
      <c r="AC452" s="395">
        <f>AC451/AC450</f>
        <v>0.302678946274623</v>
      </c>
      <c r="AD452" s="305">
        <f>AD451/AD450</f>
        <v>0.44421714648987376</v>
      </c>
      <c r="AE452" s="292">
        <f>AE451/AE450</f>
        <v>5.6493032726293656E-5</v>
      </c>
      <c r="AF452" s="399">
        <f>AF451/AF450</f>
        <v>0.41714964255495629</v>
      </c>
      <c r="AG452" s="343">
        <f>AG451/AG450</f>
        <v>5.4089073886876906E-5</v>
      </c>
      <c r="AH452" s="782"/>
      <c r="AI452" s="782"/>
    </row>
    <row r="453" spans="1:35" s="429" customFormat="1" ht="15" customHeight="1" x14ac:dyDescent="0.25">
      <c r="A453" s="938" t="s">
        <v>6</v>
      </c>
      <c r="B453" s="418" t="s">
        <v>7</v>
      </c>
      <c r="C453" s="419">
        <v>5870</v>
      </c>
      <c r="D453" s="420">
        <v>3333</v>
      </c>
      <c r="E453" s="419">
        <v>3330</v>
      </c>
      <c r="F453" s="421">
        <v>9457</v>
      </c>
      <c r="G453" s="421">
        <v>8432</v>
      </c>
      <c r="H453" s="421">
        <v>15703</v>
      </c>
      <c r="I453" s="421">
        <v>7403</v>
      </c>
      <c r="J453" s="423">
        <v>9599</v>
      </c>
      <c r="K453" s="423">
        <v>4073</v>
      </c>
      <c r="L453" s="420">
        <v>6399</v>
      </c>
      <c r="M453" s="419">
        <v>9092</v>
      </c>
      <c r="N453" s="421">
        <v>11763</v>
      </c>
      <c r="O453" s="421">
        <v>4356</v>
      </c>
      <c r="P453" s="421">
        <v>10027</v>
      </c>
      <c r="Q453" s="423">
        <v>4799</v>
      </c>
      <c r="R453" s="423">
        <v>7192</v>
      </c>
      <c r="S453" s="420">
        <v>6399</v>
      </c>
      <c r="T453" s="424">
        <v>2480</v>
      </c>
      <c r="U453" s="420">
        <v>1570</v>
      </c>
      <c r="V453" s="425" t="s">
        <v>198</v>
      </c>
      <c r="W453" s="426"/>
      <c r="X453" s="427"/>
      <c r="Y453" s="427"/>
      <c r="Z453" s="427"/>
      <c r="AA453" s="428" t="s">
        <v>191</v>
      </c>
      <c r="AB453" s="418" t="s">
        <v>4</v>
      </c>
      <c r="AC453" s="430">
        <v>9191.7999999999993</v>
      </c>
      <c r="AD453" s="431">
        <v>13787.7</v>
      </c>
      <c r="AE453" s="432">
        <v>8804.7999999999993</v>
      </c>
      <c r="AF453" s="433">
        <v>13787.7</v>
      </c>
      <c r="AG453" s="434">
        <v>8804.7999999999993</v>
      </c>
      <c r="AH453" s="783"/>
      <c r="AI453" s="783"/>
    </row>
    <row r="454" spans="1:35" s="267" customFormat="1" x14ac:dyDescent="0.25">
      <c r="A454" s="939"/>
      <c r="B454" s="295" t="s">
        <v>11</v>
      </c>
      <c r="C454" s="302">
        <f t="shared" ref="C454:L454" si="234">C453*33.717</f>
        <v>197918.78999999998</v>
      </c>
      <c r="D454" s="263">
        <f t="shared" si="234"/>
        <v>112378.761</v>
      </c>
      <c r="E454" s="302">
        <f t="shared" si="234"/>
        <v>112277.61</v>
      </c>
      <c r="F454" s="355">
        <f t="shared" si="234"/>
        <v>318861.66899999999</v>
      </c>
      <c r="G454" s="308">
        <f t="shared" si="234"/>
        <v>284301.74400000001</v>
      </c>
      <c r="H454" s="354">
        <f t="shared" si="234"/>
        <v>529458.05099999998</v>
      </c>
      <c r="I454" s="354">
        <f t="shared" si="234"/>
        <v>249606.951</v>
      </c>
      <c r="J454" s="355">
        <f t="shared" si="234"/>
        <v>323649.48300000001</v>
      </c>
      <c r="K454" s="375">
        <f t="shared" si="234"/>
        <v>137329.34099999999</v>
      </c>
      <c r="L454" s="263">
        <f t="shared" si="234"/>
        <v>215755.08299999998</v>
      </c>
      <c r="M454" s="322">
        <f>M453*33.717</f>
        <v>306554.96399999998</v>
      </c>
      <c r="N454" s="308">
        <f>N453*33.717</f>
        <v>396613.071</v>
      </c>
      <c r="O454" s="308">
        <f>O453*33.717</f>
        <v>146871.25200000001</v>
      </c>
      <c r="P454" s="354">
        <f>P453*33.717</f>
        <v>338080.359</v>
      </c>
      <c r="Q454" s="355">
        <f>Q453*33.717</f>
        <v>161807.883</v>
      </c>
      <c r="R454" s="375">
        <f t="shared" ref="R454:S454" si="235">R453*33.717</f>
        <v>242492.66399999999</v>
      </c>
      <c r="S454" s="263">
        <f t="shared" si="235"/>
        <v>215755.08299999998</v>
      </c>
      <c r="T454" s="302">
        <f>T453*33.717</f>
        <v>83618.16</v>
      </c>
      <c r="U454" s="354">
        <f>U453*33.717</f>
        <v>52935.689999999995</v>
      </c>
      <c r="V454" s="70"/>
      <c r="W454" s="70"/>
      <c r="X454" s="70"/>
      <c r="Y454" s="70"/>
      <c r="Z454" s="70"/>
      <c r="AA454" s="470"/>
      <c r="AB454" s="293" t="s">
        <v>5</v>
      </c>
      <c r="AC454" s="319">
        <v>8835</v>
      </c>
      <c r="AD454" s="300">
        <v>13648.9</v>
      </c>
      <c r="AE454" s="264">
        <v>0</v>
      </c>
      <c r="AF454" s="398">
        <v>13649.5</v>
      </c>
      <c r="AG454" s="394">
        <v>30</v>
      </c>
      <c r="AH454" s="781"/>
      <c r="AI454" s="781"/>
    </row>
    <row r="455" spans="1:35" s="267" customFormat="1" ht="15.75" thickBot="1" x14ac:dyDescent="0.3">
      <c r="A455" s="939"/>
      <c r="B455" s="295" t="s">
        <v>79</v>
      </c>
      <c r="C455" s="302">
        <v>164000</v>
      </c>
      <c r="D455" s="263">
        <v>109880</v>
      </c>
      <c r="E455" s="302">
        <v>109880</v>
      </c>
      <c r="F455" s="308">
        <v>328000</v>
      </c>
      <c r="G455" s="308">
        <v>330905</v>
      </c>
      <c r="H455" s="308">
        <v>264264</v>
      </c>
      <c r="I455" s="308">
        <v>242663.6</v>
      </c>
      <c r="J455" s="375">
        <v>328000</v>
      </c>
      <c r="K455" s="375">
        <v>328000</v>
      </c>
      <c r="L455" s="263">
        <v>328000</v>
      </c>
      <c r="M455" s="302">
        <v>328000</v>
      </c>
      <c r="N455" s="308">
        <v>264264.40000000002</v>
      </c>
      <c r="O455" s="308">
        <v>328000</v>
      </c>
      <c r="P455" s="308">
        <v>352965.4</v>
      </c>
      <c r="Q455" s="375">
        <v>328000</v>
      </c>
      <c r="R455" s="375">
        <v>328000</v>
      </c>
      <c r="S455" s="263">
        <v>328000</v>
      </c>
      <c r="T455" s="322">
        <f>2*T450</f>
        <v>110302</v>
      </c>
      <c r="U455" s="263">
        <f>2*U450</f>
        <v>66181</v>
      </c>
      <c r="V455" s="70"/>
      <c r="W455" s="70"/>
      <c r="X455" s="70"/>
      <c r="Y455" s="70"/>
      <c r="Z455" s="70"/>
      <c r="AA455" s="471"/>
      <c r="AB455" s="344" t="s">
        <v>3</v>
      </c>
      <c r="AC455" s="395">
        <f>AC454/AC453</f>
        <v>0.96118279335929857</v>
      </c>
      <c r="AD455" s="301">
        <f>AD454/AD453</f>
        <v>0.98993305627479555</v>
      </c>
      <c r="AE455" s="401">
        <f>AE454/AE453</f>
        <v>0</v>
      </c>
      <c r="AF455" s="400">
        <f>AF454/AF453</f>
        <v>0.98997657332259903</v>
      </c>
      <c r="AG455" s="348">
        <f>AG454/AG453</f>
        <v>3.4072324186807199E-3</v>
      </c>
      <c r="AH455" s="782"/>
      <c r="AI455" s="782"/>
    </row>
    <row r="456" spans="1:35" s="267" customFormat="1" ht="15" customHeight="1" x14ac:dyDescent="0.25">
      <c r="A456" s="939"/>
      <c r="B456" s="293" t="s">
        <v>8</v>
      </c>
      <c r="C456" s="303">
        <f>SUM(C453-295)</f>
        <v>5575</v>
      </c>
      <c r="D456" s="262">
        <f>SUM(D453-468)</f>
        <v>2865</v>
      </c>
      <c r="E456" s="303">
        <f>SUM(E453-435)</f>
        <v>2895</v>
      </c>
      <c r="F456" s="309">
        <f>SUM(F453-1130)</f>
        <v>8327</v>
      </c>
      <c r="G456" s="309">
        <f>SUM(G453-4523)</f>
        <v>3909</v>
      </c>
      <c r="H456" s="309">
        <f>SUM(H453-2022)</f>
        <v>13681</v>
      </c>
      <c r="I456" s="309">
        <f>SUM(I453-(3090-2000))</f>
        <v>6313</v>
      </c>
      <c r="J456" s="316">
        <f>SUM(J453-9019)</f>
        <v>580</v>
      </c>
      <c r="K456" s="316">
        <f>SUM(K453-1270)</f>
        <v>2803</v>
      </c>
      <c r="L456" s="262">
        <f>SUM(L453-5660)</f>
        <v>739</v>
      </c>
      <c r="M456" s="303">
        <f>SUM(M453-754)</f>
        <v>8338</v>
      </c>
      <c r="N456" s="309">
        <f>SUM(N453-1000)</f>
        <v>10763</v>
      </c>
      <c r="O456" s="316">
        <f>SUM(O453-300)</f>
        <v>4056</v>
      </c>
      <c r="P456" s="309">
        <f>SUM(P453-(5019-2614))</f>
        <v>7622</v>
      </c>
      <c r="Q456" s="316">
        <f>SUM(Q453-3771)</f>
        <v>1028</v>
      </c>
      <c r="R456" s="316">
        <f>SUM(R453-4636)</f>
        <v>2556</v>
      </c>
      <c r="S456" s="262">
        <f>SUM(S453-3285)</f>
        <v>3114</v>
      </c>
      <c r="T456" s="323">
        <f>SUM(T453-1010)</f>
        <v>1470</v>
      </c>
      <c r="U456" s="262">
        <f>SUM(U453-629)</f>
        <v>941</v>
      </c>
      <c r="V456" s="12" t="s">
        <v>176</v>
      </c>
      <c r="W456" s="70"/>
      <c r="X456" s="70"/>
      <c r="Y456" s="70"/>
      <c r="Z456" s="70"/>
      <c r="AA456" s="469" t="s">
        <v>192</v>
      </c>
      <c r="AB456" s="19" t="s">
        <v>4</v>
      </c>
      <c r="AC456" s="318">
        <v>97433.600000000006</v>
      </c>
      <c r="AD456" s="299">
        <v>243584.4</v>
      </c>
      <c r="AE456" s="265">
        <v>132070.29999999999</v>
      </c>
      <c r="AF456" s="397">
        <v>292299.3</v>
      </c>
      <c r="AG456" s="393">
        <v>132070.39999999999</v>
      </c>
      <c r="AH456" s="780"/>
      <c r="AI456" s="780"/>
    </row>
    <row r="457" spans="1:35" s="267" customFormat="1" x14ac:dyDescent="0.25">
      <c r="A457" s="939"/>
      <c r="B457" s="296" t="s">
        <v>77</v>
      </c>
      <c r="C457" s="302">
        <f>(C456*33.717)</f>
        <v>187972.27499999999</v>
      </c>
      <c r="D457" s="338">
        <f>(D456*33.717)</f>
        <v>96599.205000000002</v>
      </c>
      <c r="E457" s="302">
        <f>(E456*33.717)</f>
        <v>97610.714999999997</v>
      </c>
      <c r="F457" s="338">
        <f>(F456*33.717)</f>
        <v>280761.45899999997</v>
      </c>
      <c r="G457" s="280">
        <f>(G456*33.717)*2</f>
        <v>263599.50599999999</v>
      </c>
      <c r="H457" s="280">
        <f>(H456*33.717)</f>
        <v>461282.277</v>
      </c>
      <c r="I457" s="280">
        <f>(I456*33.717)-(2000*33.717)</f>
        <v>145421.421</v>
      </c>
      <c r="J457" s="376">
        <f>J456*33.717</f>
        <v>19555.86</v>
      </c>
      <c r="K457" s="376">
        <f>K456*33.717</f>
        <v>94508.750999999989</v>
      </c>
      <c r="L457" s="261">
        <f>L456*33.717</f>
        <v>24916.862999999998</v>
      </c>
      <c r="M457" s="304">
        <f>M456*33.717</f>
        <v>281132.34599999996</v>
      </c>
      <c r="N457" s="280">
        <f>N456*33.717</f>
        <v>362896.071</v>
      </c>
      <c r="O457" s="280">
        <f>(O456*33.717)</f>
        <v>136756.152</v>
      </c>
      <c r="P457" s="280">
        <f t="shared" ref="P457:U457" si="236">P456*33.717</f>
        <v>256990.97399999999</v>
      </c>
      <c r="Q457" s="376">
        <f t="shared" si="236"/>
        <v>34661.076000000001</v>
      </c>
      <c r="R457" s="376">
        <f t="shared" si="236"/>
        <v>86180.652000000002</v>
      </c>
      <c r="S457" s="261">
        <f t="shared" si="236"/>
        <v>104994.738</v>
      </c>
      <c r="T457" s="324">
        <f t="shared" si="236"/>
        <v>49563.99</v>
      </c>
      <c r="U457" s="325">
        <f t="shared" si="236"/>
        <v>31727.697</v>
      </c>
      <c r="V457" s="63">
        <f>344240-H457</f>
        <v>-117042.277</v>
      </c>
      <c r="W457" s="70" t="s">
        <v>177</v>
      </c>
      <c r="X457" s="70"/>
      <c r="Y457" s="70"/>
      <c r="Z457" s="70"/>
      <c r="AA457" s="470"/>
      <c r="AB457" s="293" t="s">
        <v>5</v>
      </c>
      <c r="AC457" s="319">
        <v>38973.199999999997</v>
      </c>
      <c r="AD457" s="300">
        <v>95895.7</v>
      </c>
      <c r="AE457" s="264">
        <v>0.1</v>
      </c>
      <c r="AF457" s="398">
        <v>93978.8</v>
      </c>
      <c r="AG457" s="394">
        <v>1</v>
      </c>
      <c r="AH457" s="781"/>
      <c r="AI457" s="781"/>
    </row>
    <row r="458" spans="1:35" s="267" customFormat="1" ht="15.75" thickBot="1" x14ac:dyDescent="0.3">
      <c r="A458" s="940"/>
      <c r="B458" s="294" t="s">
        <v>10</v>
      </c>
      <c r="C458" s="305">
        <f>C457/C450</f>
        <v>1.3108887811817871</v>
      </c>
      <c r="D458" s="292">
        <f t="shared" ref="D458:U458" si="237">D457/D450</f>
        <v>0.64178396815768612</v>
      </c>
      <c r="E458" s="310">
        <f t="shared" si="237"/>
        <v>0.64850421913315925</v>
      </c>
      <c r="F458" s="282">
        <f t="shared" si="237"/>
        <v>1.542655550476157</v>
      </c>
      <c r="G458" s="282">
        <f t="shared" si="237"/>
        <v>1.5931938943570247</v>
      </c>
      <c r="H458" s="282">
        <f t="shared" si="237"/>
        <v>3.4910478540923573</v>
      </c>
      <c r="I458" s="282">
        <f t="shared" si="237"/>
        <v>0.85057385391235585</v>
      </c>
      <c r="J458" s="377">
        <f t="shared" si="237"/>
        <v>0.11819550508148816</v>
      </c>
      <c r="K458" s="377">
        <f t="shared" si="237"/>
        <v>1.022693590415056</v>
      </c>
      <c r="L458" s="311">
        <f t="shared" si="237"/>
        <v>0.30358984137505007</v>
      </c>
      <c r="M458" s="310">
        <f t="shared" si="237"/>
        <v>1.4564246841538397</v>
      </c>
      <c r="N458" s="282">
        <f t="shared" si="237"/>
        <v>2.7464474858267698</v>
      </c>
      <c r="O458" s="282">
        <f t="shared" si="237"/>
        <v>1.6531097857279278</v>
      </c>
      <c r="P458" s="260">
        <f t="shared" si="237"/>
        <v>0.93195399539446244</v>
      </c>
      <c r="Q458" s="377">
        <f t="shared" si="237"/>
        <v>0.41898344667857734</v>
      </c>
      <c r="R458" s="377">
        <f t="shared" si="237"/>
        <v>0.45602668196268842</v>
      </c>
      <c r="S458" s="311">
        <f t="shared" si="237"/>
        <v>1.2620151425367294</v>
      </c>
      <c r="T458" s="305">
        <f t="shared" si="237"/>
        <v>0.89869612518358688</v>
      </c>
      <c r="U458" s="292">
        <f t="shared" si="237"/>
        <v>0.95881588371284809</v>
      </c>
      <c r="V458" s="126"/>
      <c r="W458" s="70"/>
      <c r="X458" s="70"/>
      <c r="Y458" s="70"/>
      <c r="Z458" s="70"/>
      <c r="AA458" s="471"/>
      <c r="AB458" s="294" t="s">
        <v>3</v>
      </c>
      <c r="AC458" s="320">
        <f>AC457/AC456</f>
        <v>0.39999753678402516</v>
      </c>
      <c r="AD458" s="305">
        <f>AD457/AD456</f>
        <v>0.39368572043201455</v>
      </c>
      <c r="AE458" s="292">
        <f>AE457/AE456</f>
        <v>7.5717250585483648E-7</v>
      </c>
      <c r="AF458" s="399">
        <f>AF457/AF456</f>
        <v>0.32151565193621745</v>
      </c>
      <c r="AG458" s="343">
        <f>AG457/AG456</f>
        <v>7.5717193254506694E-6</v>
      </c>
      <c r="AH458" s="782"/>
      <c r="AI458" s="782"/>
    </row>
    <row r="459" spans="1:35" s="267" customFormat="1" ht="15.75" thickBot="1" x14ac:dyDescent="0.3">
      <c r="A459" s="924">
        <v>41534</v>
      </c>
      <c r="B459" s="924"/>
      <c r="C459" s="924"/>
      <c r="D459" s="276"/>
      <c r="E459" s="276"/>
      <c r="F459" s="276"/>
      <c r="G459" s="276"/>
      <c r="H459" s="276"/>
      <c r="I459" s="11"/>
      <c r="J459" s="281"/>
      <c r="K459" s="281"/>
      <c r="L459" s="276"/>
      <c r="M459" s="276"/>
      <c r="N459" s="13"/>
      <c r="R459" s="12"/>
      <c r="S459" s="70"/>
      <c r="T459" s="70"/>
      <c r="U459" s="70"/>
      <c r="V459" s="70"/>
      <c r="W459" s="70"/>
      <c r="X459" s="70"/>
      <c r="Y459" s="70"/>
      <c r="Z459" s="70"/>
      <c r="AA459" s="941"/>
      <c r="AB459" s="942"/>
      <c r="AH459" s="743"/>
      <c r="AI459" s="743"/>
    </row>
    <row r="460" spans="1:35" s="267" customFormat="1" x14ac:dyDescent="0.25">
      <c r="A460" s="925" t="s">
        <v>1</v>
      </c>
      <c r="B460" s="926"/>
      <c r="C460" s="297" t="s">
        <v>12</v>
      </c>
      <c r="D460" s="266" t="s">
        <v>12</v>
      </c>
      <c r="E460" s="297" t="s">
        <v>13</v>
      </c>
      <c r="F460" s="277" t="s">
        <v>13</v>
      </c>
      <c r="G460" s="277" t="s">
        <v>13</v>
      </c>
      <c r="H460" s="277" t="s">
        <v>13</v>
      </c>
      <c r="I460" s="277" t="s">
        <v>13</v>
      </c>
      <c r="J460" s="286" t="s">
        <v>13</v>
      </c>
      <c r="K460" s="286" t="s">
        <v>13</v>
      </c>
      <c r="L460" s="266" t="s">
        <v>13</v>
      </c>
      <c r="M460" s="297" t="s">
        <v>2</v>
      </c>
      <c r="N460" s="277" t="s">
        <v>2</v>
      </c>
      <c r="O460" s="286" t="s">
        <v>2</v>
      </c>
      <c r="P460" s="277" t="s">
        <v>2</v>
      </c>
      <c r="Q460" s="286" t="s">
        <v>2</v>
      </c>
      <c r="R460" s="286" t="s">
        <v>2</v>
      </c>
      <c r="S460" s="266" t="s">
        <v>2</v>
      </c>
      <c r="T460" s="328" t="s">
        <v>183</v>
      </c>
      <c r="U460" s="327" t="s">
        <v>183</v>
      </c>
      <c r="V460" s="12"/>
      <c r="W460" s="70"/>
      <c r="X460" s="70"/>
      <c r="Y460" s="70"/>
      <c r="Z460" s="70"/>
      <c r="AA460" s="925" t="s">
        <v>1</v>
      </c>
      <c r="AB460" s="928"/>
      <c r="AC460" s="467" t="s">
        <v>12</v>
      </c>
      <c r="AD460" s="929" t="s">
        <v>13</v>
      </c>
      <c r="AE460" s="930"/>
      <c r="AF460" s="929" t="s">
        <v>2</v>
      </c>
      <c r="AG460" s="930"/>
      <c r="AH460" s="778"/>
      <c r="AI460" s="778"/>
    </row>
    <row r="461" spans="1:35" s="267" customFormat="1" ht="15.75" thickBot="1" x14ac:dyDescent="0.3">
      <c r="A461" s="931" t="s">
        <v>0</v>
      </c>
      <c r="B461" s="944"/>
      <c r="C461" s="298" t="s">
        <v>99</v>
      </c>
      <c r="D461" s="291" t="s">
        <v>100</v>
      </c>
      <c r="E461" s="298" t="s">
        <v>101</v>
      </c>
      <c r="F461" s="306" t="s">
        <v>102</v>
      </c>
      <c r="G461" s="306" t="s">
        <v>97</v>
      </c>
      <c r="H461" s="306" t="s">
        <v>104</v>
      </c>
      <c r="I461" s="306" t="s">
        <v>103</v>
      </c>
      <c r="J461" s="378" t="s">
        <v>178</v>
      </c>
      <c r="K461" s="378" t="s">
        <v>200</v>
      </c>
      <c r="L461" s="314" t="s">
        <v>207</v>
      </c>
      <c r="M461" s="298" t="s">
        <v>105</v>
      </c>
      <c r="N461" s="306" t="s">
        <v>107</v>
      </c>
      <c r="O461" s="312" t="s">
        <v>98</v>
      </c>
      <c r="P461" s="313" t="s">
        <v>106</v>
      </c>
      <c r="Q461" s="312" t="s">
        <v>179</v>
      </c>
      <c r="R461" s="312" t="s">
        <v>199</v>
      </c>
      <c r="S461" s="291" t="s">
        <v>208</v>
      </c>
      <c r="T461" s="317" t="s">
        <v>182</v>
      </c>
      <c r="U461" s="291" t="s">
        <v>184</v>
      </c>
      <c r="V461" s="12"/>
      <c r="W461" s="12"/>
      <c r="X461" s="12"/>
      <c r="Y461" s="12"/>
      <c r="Z461" s="12"/>
      <c r="AA461" s="931" t="s">
        <v>0</v>
      </c>
      <c r="AB461" s="945"/>
      <c r="AC461" s="317" t="s">
        <v>99</v>
      </c>
      <c r="AD461" s="298" t="s">
        <v>104</v>
      </c>
      <c r="AE461" s="291" t="s">
        <v>207</v>
      </c>
      <c r="AF461" s="396" t="s">
        <v>107</v>
      </c>
      <c r="AG461" s="392" t="s">
        <v>208</v>
      </c>
      <c r="AH461" s="779"/>
      <c r="AI461" s="779"/>
    </row>
    <row r="462" spans="1:35" s="267" customFormat="1" ht="15" customHeight="1" x14ac:dyDescent="0.25">
      <c r="A462" s="935" t="s">
        <v>9</v>
      </c>
      <c r="B462" s="19" t="s">
        <v>4</v>
      </c>
      <c r="C462" s="299">
        <v>143393</v>
      </c>
      <c r="D462" s="265">
        <v>150516.70000000001</v>
      </c>
      <c r="E462" s="299">
        <v>150516.70000000001</v>
      </c>
      <c r="F462" s="283">
        <v>181998.8</v>
      </c>
      <c r="G462" s="283">
        <v>165453.5</v>
      </c>
      <c r="H462" s="283">
        <v>132132.9</v>
      </c>
      <c r="I462" s="283">
        <v>170968.6</v>
      </c>
      <c r="J462" s="223">
        <v>165453.5</v>
      </c>
      <c r="K462" s="223">
        <v>92411.6</v>
      </c>
      <c r="L462" s="265">
        <v>82074.100000000006</v>
      </c>
      <c r="M462" s="299">
        <v>193029.1</v>
      </c>
      <c r="N462" s="283">
        <v>132132.9</v>
      </c>
      <c r="O462" s="283">
        <v>82726.600000000006</v>
      </c>
      <c r="P462" s="283">
        <v>275755</v>
      </c>
      <c r="Q462" s="223">
        <v>82726.600000000006</v>
      </c>
      <c r="R462" s="223">
        <v>188981.6</v>
      </c>
      <c r="S462" s="265">
        <v>83196.100000000006</v>
      </c>
      <c r="T462" s="318">
        <v>55151</v>
      </c>
      <c r="U462" s="265">
        <v>33090.5</v>
      </c>
      <c r="V462" s="70"/>
      <c r="W462" s="70"/>
      <c r="X462" s="70"/>
      <c r="Y462" s="70"/>
      <c r="Z462" s="70"/>
      <c r="AA462" s="464" t="s">
        <v>195</v>
      </c>
      <c r="AB462" s="2" t="s">
        <v>4</v>
      </c>
      <c r="AC462" s="318">
        <v>143392.20000000001</v>
      </c>
      <c r="AD462" s="299">
        <v>132132</v>
      </c>
      <c r="AE462" s="265">
        <v>83196.100000000006</v>
      </c>
      <c r="AF462" s="397">
        <v>132132.20000000001</v>
      </c>
      <c r="AG462" s="393">
        <v>83196.100000000006</v>
      </c>
      <c r="AH462" s="780"/>
      <c r="AI462" s="780"/>
    </row>
    <row r="463" spans="1:35" s="267" customFormat="1" x14ac:dyDescent="0.25">
      <c r="A463" s="936"/>
      <c r="B463" s="293" t="s">
        <v>5</v>
      </c>
      <c r="C463" s="300">
        <v>47892.4</v>
      </c>
      <c r="D463" s="264">
        <v>80317.600000000006</v>
      </c>
      <c r="E463" s="300">
        <v>81798.600000000006</v>
      </c>
      <c r="F463" s="307">
        <v>149519.5</v>
      </c>
      <c r="G463" s="307">
        <v>117760.6</v>
      </c>
      <c r="H463" s="307">
        <v>58787.9</v>
      </c>
      <c r="I463" s="307">
        <v>97414.2</v>
      </c>
      <c r="J463" s="374">
        <v>24306.400000000001</v>
      </c>
      <c r="K463" s="374">
        <v>43853.5</v>
      </c>
      <c r="L463" s="264">
        <v>1120.8</v>
      </c>
      <c r="M463" s="300">
        <v>160090.6</v>
      </c>
      <c r="N463" s="307">
        <v>57849.2</v>
      </c>
      <c r="O463" s="307">
        <v>60550.7</v>
      </c>
      <c r="P463" s="307">
        <v>178041.7</v>
      </c>
      <c r="Q463" s="374">
        <v>12619.9</v>
      </c>
      <c r="R463" s="374">
        <v>68642.100000000006</v>
      </c>
      <c r="S463" s="264">
        <v>23785.1</v>
      </c>
      <c r="T463" s="319">
        <v>12080.2</v>
      </c>
      <c r="U463" s="264">
        <v>5965.6</v>
      </c>
      <c r="V463" s="70"/>
      <c r="W463" s="70"/>
      <c r="X463" s="70"/>
      <c r="Y463" s="70"/>
      <c r="Z463" s="70"/>
      <c r="AA463" s="465"/>
      <c r="AB463" s="342" t="s">
        <v>5</v>
      </c>
      <c r="AC463" s="319">
        <v>43401.8</v>
      </c>
      <c r="AD463" s="300">
        <v>58695.3</v>
      </c>
      <c r="AE463" s="264">
        <v>4.7</v>
      </c>
      <c r="AF463" s="398">
        <v>55118.9</v>
      </c>
      <c r="AG463" s="394">
        <v>4.5</v>
      </c>
      <c r="AH463" s="781"/>
      <c r="AI463" s="781"/>
    </row>
    <row r="464" spans="1:35" s="267" customFormat="1" ht="15.75" thickBot="1" x14ac:dyDescent="0.3">
      <c r="A464" s="937"/>
      <c r="B464" s="294" t="s">
        <v>3</v>
      </c>
      <c r="C464" s="305">
        <f t="shared" ref="C464:L464" si="238">C463/C462</f>
        <v>0.3339939885489529</v>
      </c>
      <c r="D464" s="343">
        <f t="shared" si="238"/>
        <v>0.53361254930516011</v>
      </c>
      <c r="E464" s="305">
        <f t="shared" si="238"/>
        <v>0.54345198904839132</v>
      </c>
      <c r="F464" s="371">
        <f t="shared" si="238"/>
        <v>0.82154113104042448</v>
      </c>
      <c r="G464" s="278">
        <f t="shared" si="238"/>
        <v>0.71174438739585444</v>
      </c>
      <c r="H464" s="278">
        <f t="shared" si="238"/>
        <v>0.44491493034664342</v>
      </c>
      <c r="I464" s="278">
        <f t="shared" si="238"/>
        <v>0.56977831016923575</v>
      </c>
      <c r="J464" s="315">
        <f t="shared" si="238"/>
        <v>0.14690774145001467</v>
      </c>
      <c r="K464" s="315">
        <f t="shared" si="238"/>
        <v>0.47454540339091628</v>
      </c>
      <c r="L464" s="292">
        <f t="shared" si="238"/>
        <v>1.3655952364996995E-2</v>
      </c>
      <c r="M464" s="372">
        <f>M463/M462</f>
        <v>0.82935992552418258</v>
      </c>
      <c r="N464" s="278">
        <f>N463/N462</f>
        <v>0.43781071935906957</v>
      </c>
      <c r="O464" s="315">
        <f>O463/O462</f>
        <v>0.73193749048069179</v>
      </c>
      <c r="P464" s="278">
        <f>P463/P462</f>
        <v>0.64565175608783165</v>
      </c>
      <c r="Q464" s="315">
        <f>Q463/Q462</f>
        <v>0.15254948227051515</v>
      </c>
      <c r="R464" s="315">
        <f t="shared" ref="R464:S464" si="239">R463/R462</f>
        <v>0.36322107549094729</v>
      </c>
      <c r="S464" s="292">
        <f t="shared" si="239"/>
        <v>0.28589200695705685</v>
      </c>
      <c r="T464" s="320">
        <f>T463/T462</f>
        <v>0.21903863937190624</v>
      </c>
      <c r="U464" s="292">
        <f>U463/U462</f>
        <v>0.18028134963206963</v>
      </c>
      <c r="V464" s="70"/>
      <c r="W464" s="70"/>
      <c r="X464" s="70"/>
      <c r="Y464" s="70"/>
      <c r="Z464" s="70"/>
      <c r="AA464" s="466"/>
      <c r="AB464" s="347" t="s">
        <v>3</v>
      </c>
      <c r="AC464" s="395">
        <f>AC463/AC462</f>
        <v>0.302678946274623</v>
      </c>
      <c r="AD464" s="305">
        <f>AD463/AD462</f>
        <v>0.44421714648987376</v>
      </c>
      <c r="AE464" s="292">
        <f>AE463/AE462</f>
        <v>5.6493032726293656E-5</v>
      </c>
      <c r="AF464" s="399">
        <f>AF463/AF462</f>
        <v>0.41714964255495629</v>
      </c>
      <c r="AG464" s="343">
        <f>AG463/AG462</f>
        <v>5.4089073886876906E-5</v>
      </c>
      <c r="AH464" s="782"/>
      <c r="AI464" s="782"/>
    </row>
    <row r="465" spans="1:35" s="429" customFormat="1" ht="15" customHeight="1" x14ac:dyDescent="0.25">
      <c r="A465" s="938" t="s">
        <v>6</v>
      </c>
      <c r="B465" s="418" t="s">
        <v>7</v>
      </c>
      <c r="C465" s="419">
        <v>5870</v>
      </c>
      <c r="D465" s="420">
        <v>3333</v>
      </c>
      <c r="E465" s="419">
        <v>3330</v>
      </c>
      <c r="F465" s="421">
        <v>9457</v>
      </c>
      <c r="G465" s="421">
        <v>8432</v>
      </c>
      <c r="H465" s="421">
        <v>15703</v>
      </c>
      <c r="I465" s="421">
        <v>7403</v>
      </c>
      <c r="J465" s="423">
        <v>9599</v>
      </c>
      <c r="K465" s="423">
        <v>4073</v>
      </c>
      <c r="L465" s="420">
        <v>6399</v>
      </c>
      <c r="M465" s="419">
        <v>9092</v>
      </c>
      <c r="N465" s="421">
        <v>11763</v>
      </c>
      <c r="O465" s="421">
        <v>4356</v>
      </c>
      <c r="P465" s="421">
        <v>10027</v>
      </c>
      <c r="Q465" s="423">
        <v>4799</v>
      </c>
      <c r="R465" s="423">
        <v>7192</v>
      </c>
      <c r="S465" s="420">
        <v>6399</v>
      </c>
      <c r="T465" s="424">
        <v>2480</v>
      </c>
      <c r="U465" s="420">
        <v>1570</v>
      </c>
      <c r="V465" s="425" t="s">
        <v>198</v>
      </c>
      <c r="W465" s="426"/>
      <c r="X465" s="427"/>
      <c r="Y465" s="427"/>
      <c r="Z465" s="427"/>
      <c r="AA465" s="428" t="s">
        <v>191</v>
      </c>
      <c r="AB465" s="418" t="s">
        <v>4</v>
      </c>
      <c r="AC465" s="430">
        <v>9191.7999999999993</v>
      </c>
      <c r="AD465" s="431">
        <v>13787.7</v>
      </c>
      <c r="AE465" s="432">
        <v>8804.7999999999993</v>
      </c>
      <c r="AF465" s="433">
        <v>13787.7</v>
      </c>
      <c r="AG465" s="434">
        <v>8804.7999999999993</v>
      </c>
      <c r="AH465" s="783"/>
      <c r="AI465" s="783"/>
    </row>
    <row r="466" spans="1:35" s="267" customFormat="1" x14ac:dyDescent="0.25">
      <c r="A466" s="939"/>
      <c r="B466" s="295" t="s">
        <v>11</v>
      </c>
      <c r="C466" s="302">
        <f t="shared" ref="C466:L466" si="240">C465*33.717</f>
        <v>197918.78999999998</v>
      </c>
      <c r="D466" s="263">
        <f t="shared" si="240"/>
        <v>112378.761</v>
      </c>
      <c r="E466" s="302">
        <f t="shared" si="240"/>
        <v>112277.61</v>
      </c>
      <c r="F466" s="355">
        <f t="shared" si="240"/>
        <v>318861.66899999999</v>
      </c>
      <c r="G466" s="308">
        <f t="shared" si="240"/>
        <v>284301.74400000001</v>
      </c>
      <c r="H466" s="354">
        <f t="shared" si="240"/>
        <v>529458.05099999998</v>
      </c>
      <c r="I466" s="354">
        <f t="shared" si="240"/>
        <v>249606.951</v>
      </c>
      <c r="J466" s="355">
        <f t="shared" si="240"/>
        <v>323649.48300000001</v>
      </c>
      <c r="K466" s="375">
        <f t="shared" si="240"/>
        <v>137329.34099999999</v>
      </c>
      <c r="L466" s="263">
        <f t="shared" si="240"/>
        <v>215755.08299999998</v>
      </c>
      <c r="M466" s="322">
        <f>M465*33.717</f>
        <v>306554.96399999998</v>
      </c>
      <c r="N466" s="308">
        <f>N465*33.717</f>
        <v>396613.071</v>
      </c>
      <c r="O466" s="308">
        <f>O465*33.717</f>
        <v>146871.25200000001</v>
      </c>
      <c r="P466" s="354">
        <f>P465*33.717</f>
        <v>338080.359</v>
      </c>
      <c r="Q466" s="355">
        <f>Q465*33.717</f>
        <v>161807.883</v>
      </c>
      <c r="R466" s="375">
        <f t="shared" ref="R466:S466" si="241">R465*33.717</f>
        <v>242492.66399999999</v>
      </c>
      <c r="S466" s="263">
        <f t="shared" si="241"/>
        <v>215755.08299999998</v>
      </c>
      <c r="T466" s="302">
        <f>T465*33.717</f>
        <v>83618.16</v>
      </c>
      <c r="U466" s="354">
        <f>U465*33.717</f>
        <v>52935.689999999995</v>
      </c>
      <c r="V466" s="70"/>
      <c r="W466" s="70"/>
      <c r="X466" s="70"/>
      <c r="Y466" s="70"/>
      <c r="Z466" s="70"/>
      <c r="AA466" s="465"/>
      <c r="AB466" s="293" t="s">
        <v>5</v>
      </c>
      <c r="AC466" s="319">
        <v>8835</v>
      </c>
      <c r="AD466" s="300">
        <v>13648.9</v>
      </c>
      <c r="AE466" s="264">
        <v>0</v>
      </c>
      <c r="AF466" s="398">
        <v>13649.5</v>
      </c>
      <c r="AG466" s="394">
        <v>30</v>
      </c>
      <c r="AH466" s="781"/>
      <c r="AI466" s="781"/>
    </row>
    <row r="467" spans="1:35" s="267" customFormat="1" ht="15.75" thickBot="1" x14ac:dyDescent="0.3">
      <c r="A467" s="939"/>
      <c r="B467" s="295" t="s">
        <v>79</v>
      </c>
      <c r="C467" s="302">
        <v>164000</v>
      </c>
      <c r="D467" s="263">
        <v>109880</v>
      </c>
      <c r="E467" s="302">
        <v>109880</v>
      </c>
      <c r="F467" s="308">
        <v>328000</v>
      </c>
      <c r="G467" s="308">
        <v>330905</v>
      </c>
      <c r="H467" s="308">
        <v>264264</v>
      </c>
      <c r="I467" s="308">
        <v>242663.6</v>
      </c>
      <c r="J467" s="375">
        <v>328000</v>
      </c>
      <c r="K467" s="375">
        <v>328000</v>
      </c>
      <c r="L467" s="263">
        <v>328000</v>
      </c>
      <c r="M467" s="302">
        <v>328000</v>
      </c>
      <c r="N467" s="308">
        <v>264264.40000000002</v>
      </c>
      <c r="O467" s="308">
        <v>328000</v>
      </c>
      <c r="P467" s="308">
        <v>352965.4</v>
      </c>
      <c r="Q467" s="375">
        <v>328000</v>
      </c>
      <c r="R467" s="375">
        <v>328000</v>
      </c>
      <c r="S467" s="263">
        <v>328000</v>
      </c>
      <c r="T467" s="322">
        <f>2*T462</f>
        <v>110302</v>
      </c>
      <c r="U467" s="263">
        <f>2*U462</f>
        <v>66181</v>
      </c>
      <c r="V467" s="70"/>
      <c r="W467" s="70"/>
      <c r="X467" s="70"/>
      <c r="Y467" s="70"/>
      <c r="Z467" s="70"/>
      <c r="AA467" s="466"/>
      <c r="AB467" s="344" t="s">
        <v>3</v>
      </c>
      <c r="AC467" s="395">
        <f>AC466/AC465</f>
        <v>0.96118279335929857</v>
      </c>
      <c r="AD467" s="301">
        <f>AD466/AD465</f>
        <v>0.98993305627479555</v>
      </c>
      <c r="AE467" s="401">
        <f>AE466/AE465</f>
        <v>0</v>
      </c>
      <c r="AF467" s="400">
        <f>AF466/AF465</f>
        <v>0.98997657332259903</v>
      </c>
      <c r="AG467" s="348">
        <f>AG466/AG465</f>
        <v>3.4072324186807199E-3</v>
      </c>
      <c r="AH467" s="782"/>
      <c r="AI467" s="782"/>
    </row>
    <row r="468" spans="1:35" s="267" customFormat="1" ht="15" customHeight="1" x14ac:dyDescent="0.25">
      <c r="A468" s="939"/>
      <c r="B468" s="293" t="s">
        <v>8</v>
      </c>
      <c r="C468" s="303">
        <f>SUM(C465-302)</f>
        <v>5568</v>
      </c>
      <c r="D468" s="262">
        <f>SUM(D465-468)</f>
        <v>2865</v>
      </c>
      <c r="E468" s="303">
        <f>SUM(E465-435)</f>
        <v>2895</v>
      </c>
      <c r="F468" s="309">
        <f>SUM(F465-1130)</f>
        <v>8327</v>
      </c>
      <c r="G468" s="309">
        <f>SUM(G465-4523)</f>
        <v>3909</v>
      </c>
      <c r="H468" s="309">
        <f>SUM(H465-2022)</f>
        <v>13681</v>
      </c>
      <c r="I468" s="309">
        <f>SUM(I465-(3090-2000))</f>
        <v>6313</v>
      </c>
      <c r="J468" s="316">
        <f>SUM(J465-9019)</f>
        <v>580</v>
      </c>
      <c r="K468" s="316">
        <f>SUM(K465-1270)</f>
        <v>2803</v>
      </c>
      <c r="L468" s="262">
        <f>SUM(L465-5837)</f>
        <v>562</v>
      </c>
      <c r="M468" s="303">
        <f>SUM(M465-954)</f>
        <v>8138</v>
      </c>
      <c r="N468" s="309">
        <f>SUM(N465-1000)</f>
        <v>10763</v>
      </c>
      <c r="O468" s="316">
        <f>SUM(O465-300)</f>
        <v>4056</v>
      </c>
      <c r="P468" s="309">
        <f>SUM(P465-(5019-2614))</f>
        <v>7622</v>
      </c>
      <c r="Q468" s="316">
        <f>SUM(Q465-3771)</f>
        <v>1028</v>
      </c>
      <c r="R468" s="316">
        <f>SUM(R465-4636)</f>
        <v>2556</v>
      </c>
      <c r="S468" s="262">
        <f>SUM(S465-3328)</f>
        <v>3071</v>
      </c>
      <c r="T468" s="323">
        <f>SUM(T465-1010)</f>
        <v>1470</v>
      </c>
      <c r="U468" s="262">
        <f>SUM(U465-629)</f>
        <v>941</v>
      </c>
      <c r="V468" s="12" t="s">
        <v>176</v>
      </c>
      <c r="W468" s="70"/>
      <c r="X468" s="70"/>
      <c r="Y468" s="70"/>
      <c r="Z468" s="70"/>
      <c r="AA468" s="464" t="s">
        <v>192</v>
      </c>
      <c r="AB468" s="19" t="s">
        <v>4</v>
      </c>
      <c r="AC468" s="318">
        <v>97433.600000000006</v>
      </c>
      <c r="AD468" s="299">
        <v>243584.4</v>
      </c>
      <c r="AE468" s="265">
        <v>132070.29999999999</v>
      </c>
      <c r="AF468" s="397">
        <v>292299.3</v>
      </c>
      <c r="AG468" s="393">
        <v>132070.39999999999</v>
      </c>
      <c r="AH468" s="780"/>
      <c r="AI468" s="780"/>
    </row>
    <row r="469" spans="1:35" s="267" customFormat="1" x14ac:dyDescent="0.25">
      <c r="A469" s="939"/>
      <c r="B469" s="296" t="s">
        <v>77</v>
      </c>
      <c r="C469" s="302">
        <f>(C468*33.717)</f>
        <v>187736.25599999999</v>
      </c>
      <c r="D469" s="338">
        <f>(D468*33.717)</f>
        <v>96599.205000000002</v>
      </c>
      <c r="E469" s="302">
        <f>(E468*33.717)</f>
        <v>97610.714999999997</v>
      </c>
      <c r="F469" s="338">
        <f>(F468*33.717)</f>
        <v>280761.45899999997</v>
      </c>
      <c r="G469" s="280">
        <f>(G468*33.717)*2</f>
        <v>263599.50599999999</v>
      </c>
      <c r="H469" s="280">
        <f>(H468*33.717)</f>
        <v>461282.277</v>
      </c>
      <c r="I469" s="280">
        <f>(I468*33.717)-(2000*33.717)</f>
        <v>145421.421</v>
      </c>
      <c r="J469" s="376">
        <f>J468*33.717</f>
        <v>19555.86</v>
      </c>
      <c r="K469" s="376">
        <f>K468*33.717</f>
        <v>94508.750999999989</v>
      </c>
      <c r="L469" s="261">
        <f>L468*33.717</f>
        <v>18948.953999999998</v>
      </c>
      <c r="M469" s="304">
        <f>M468*33.717</f>
        <v>274388.946</v>
      </c>
      <c r="N469" s="280">
        <f>N468*33.717</f>
        <v>362896.071</v>
      </c>
      <c r="O469" s="280">
        <f>(O468*33.717)</f>
        <v>136756.152</v>
      </c>
      <c r="P469" s="280">
        <f t="shared" ref="P469:U469" si="242">P468*33.717</f>
        <v>256990.97399999999</v>
      </c>
      <c r="Q469" s="376">
        <f t="shared" si="242"/>
        <v>34661.076000000001</v>
      </c>
      <c r="R469" s="376">
        <f t="shared" si="242"/>
        <v>86180.652000000002</v>
      </c>
      <c r="S469" s="261">
        <f t="shared" si="242"/>
        <v>103544.90699999999</v>
      </c>
      <c r="T469" s="324">
        <f t="shared" si="242"/>
        <v>49563.99</v>
      </c>
      <c r="U469" s="325">
        <f t="shared" si="242"/>
        <v>31727.697</v>
      </c>
      <c r="V469" s="63">
        <f>344240-H469</f>
        <v>-117042.277</v>
      </c>
      <c r="W469" s="70" t="s">
        <v>177</v>
      </c>
      <c r="X469" s="70"/>
      <c r="Y469" s="70"/>
      <c r="Z469" s="70"/>
      <c r="AA469" s="465"/>
      <c r="AB469" s="293" t="s">
        <v>5</v>
      </c>
      <c r="AC469" s="319">
        <v>38973.199999999997</v>
      </c>
      <c r="AD469" s="300">
        <v>95895.7</v>
      </c>
      <c r="AE469" s="264">
        <v>0.1</v>
      </c>
      <c r="AF469" s="398">
        <v>93978.8</v>
      </c>
      <c r="AG469" s="394">
        <v>1</v>
      </c>
      <c r="AH469" s="781"/>
      <c r="AI469" s="781"/>
    </row>
    <row r="470" spans="1:35" s="267" customFormat="1" ht="15.75" thickBot="1" x14ac:dyDescent="0.3">
      <c r="A470" s="940"/>
      <c r="B470" s="294" t="s">
        <v>10</v>
      </c>
      <c r="C470" s="305">
        <f>C469/C462</f>
        <v>1.3092428221740251</v>
      </c>
      <c r="D470" s="292">
        <f t="shared" ref="D470:U470" si="243">D469/D462</f>
        <v>0.64178396815768612</v>
      </c>
      <c r="E470" s="310">
        <f t="shared" si="243"/>
        <v>0.64850421913315925</v>
      </c>
      <c r="F470" s="282">
        <f t="shared" si="243"/>
        <v>1.542655550476157</v>
      </c>
      <c r="G470" s="282">
        <f t="shared" si="243"/>
        <v>1.5931938943570247</v>
      </c>
      <c r="H470" s="282">
        <f t="shared" si="243"/>
        <v>3.4910478540923573</v>
      </c>
      <c r="I470" s="282">
        <f t="shared" si="243"/>
        <v>0.85057385391235585</v>
      </c>
      <c r="J470" s="377">
        <f t="shared" si="243"/>
        <v>0.11819550508148816</v>
      </c>
      <c r="K470" s="377">
        <f t="shared" si="243"/>
        <v>1.022693590415056</v>
      </c>
      <c r="L470" s="311">
        <f t="shared" si="243"/>
        <v>0.23087617165463886</v>
      </c>
      <c r="M470" s="310">
        <f t="shared" si="243"/>
        <v>1.4214900551264031</v>
      </c>
      <c r="N470" s="282">
        <f t="shared" si="243"/>
        <v>2.7464474858267698</v>
      </c>
      <c r="O470" s="282">
        <f t="shared" si="243"/>
        <v>1.6531097857279278</v>
      </c>
      <c r="P470" s="260">
        <f t="shared" si="243"/>
        <v>0.93195399539446244</v>
      </c>
      <c r="Q470" s="377">
        <f t="shared" si="243"/>
        <v>0.41898344667857734</v>
      </c>
      <c r="R470" s="377">
        <f t="shared" si="243"/>
        <v>0.45602668196268842</v>
      </c>
      <c r="S470" s="311">
        <f t="shared" si="243"/>
        <v>1.2445884722961771</v>
      </c>
      <c r="T470" s="305">
        <f t="shared" si="243"/>
        <v>0.89869612518358688</v>
      </c>
      <c r="U470" s="292">
        <f t="shared" si="243"/>
        <v>0.95881588371284809</v>
      </c>
      <c r="V470" s="126"/>
      <c r="W470" s="70"/>
      <c r="X470" s="70"/>
      <c r="Y470" s="70"/>
      <c r="Z470" s="70"/>
      <c r="AA470" s="466"/>
      <c r="AB470" s="294" t="s">
        <v>3</v>
      </c>
      <c r="AC470" s="320">
        <f>AC469/AC468</f>
        <v>0.39999753678402516</v>
      </c>
      <c r="AD470" s="305">
        <f>AD469/AD468</f>
        <v>0.39368572043201455</v>
      </c>
      <c r="AE470" s="292">
        <f>AE469/AE468</f>
        <v>7.5717250585483648E-7</v>
      </c>
      <c r="AF470" s="399">
        <f>AF469/AF468</f>
        <v>0.32151565193621745</v>
      </c>
      <c r="AG470" s="343">
        <f>AG469/AG468</f>
        <v>7.5717193254506694E-6</v>
      </c>
      <c r="AH470" s="782"/>
      <c r="AI470" s="782"/>
    </row>
    <row r="471" spans="1:35" s="267" customFormat="1" ht="15.75" thickBot="1" x14ac:dyDescent="0.3">
      <c r="A471" s="924">
        <v>41519</v>
      </c>
      <c r="B471" s="924"/>
      <c r="C471" s="924"/>
      <c r="D471" s="276"/>
      <c r="E471" s="276"/>
      <c r="F471" s="276"/>
      <c r="G471" s="276"/>
      <c r="H471" s="276"/>
      <c r="I471" s="11"/>
      <c r="J471" s="281"/>
      <c r="K471" s="281"/>
      <c r="L471" s="276"/>
      <c r="M471" s="276"/>
      <c r="N471" s="13"/>
      <c r="R471" s="12"/>
      <c r="S471" s="70"/>
      <c r="T471" s="70"/>
      <c r="U471" s="70"/>
      <c r="V471" s="70"/>
      <c r="W471" s="70"/>
      <c r="X471" s="70"/>
      <c r="Y471" s="70"/>
      <c r="Z471" s="70"/>
      <c r="AA471" s="941"/>
      <c r="AB471" s="942"/>
      <c r="AH471" s="743"/>
      <c r="AI471" s="743"/>
    </row>
    <row r="472" spans="1:35" s="267" customFormat="1" x14ac:dyDescent="0.25">
      <c r="A472" s="925" t="s">
        <v>1</v>
      </c>
      <c r="B472" s="926"/>
      <c r="C472" s="297" t="s">
        <v>12</v>
      </c>
      <c r="D472" s="266" t="s">
        <v>12</v>
      </c>
      <c r="E472" s="297" t="s">
        <v>13</v>
      </c>
      <c r="F472" s="277" t="s">
        <v>13</v>
      </c>
      <c r="G472" s="277" t="s">
        <v>13</v>
      </c>
      <c r="H472" s="277" t="s">
        <v>13</v>
      </c>
      <c r="I472" s="277" t="s">
        <v>13</v>
      </c>
      <c r="J472" s="286" t="s">
        <v>13</v>
      </c>
      <c r="K472" s="286" t="s">
        <v>13</v>
      </c>
      <c r="L472" s="266" t="s">
        <v>13</v>
      </c>
      <c r="M472" s="297" t="s">
        <v>2</v>
      </c>
      <c r="N472" s="277" t="s">
        <v>2</v>
      </c>
      <c r="O472" s="286" t="s">
        <v>2</v>
      </c>
      <c r="P472" s="277" t="s">
        <v>2</v>
      </c>
      <c r="Q472" s="286" t="s">
        <v>2</v>
      </c>
      <c r="R472" s="286" t="s">
        <v>2</v>
      </c>
      <c r="S472" s="266" t="s">
        <v>2</v>
      </c>
      <c r="T472" s="328" t="s">
        <v>183</v>
      </c>
      <c r="U472" s="327" t="s">
        <v>183</v>
      </c>
      <c r="V472" s="12"/>
      <c r="W472" s="70"/>
      <c r="X472" s="70"/>
      <c r="Y472" s="70"/>
      <c r="Z472" s="70"/>
      <c r="AA472" s="925" t="s">
        <v>1</v>
      </c>
      <c r="AB472" s="928"/>
      <c r="AC472" s="462" t="s">
        <v>12</v>
      </c>
      <c r="AD472" s="929" t="s">
        <v>13</v>
      </c>
      <c r="AE472" s="930"/>
      <c r="AF472" s="929" t="s">
        <v>2</v>
      </c>
      <c r="AG472" s="930"/>
      <c r="AH472" s="778"/>
      <c r="AI472" s="778"/>
    </row>
    <row r="473" spans="1:35" s="267" customFormat="1" ht="15.75" thickBot="1" x14ac:dyDescent="0.3">
      <c r="A473" s="931" t="s">
        <v>0</v>
      </c>
      <c r="B473" s="944"/>
      <c r="C473" s="298" t="s">
        <v>99</v>
      </c>
      <c r="D473" s="291" t="s">
        <v>100</v>
      </c>
      <c r="E473" s="298" t="s">
        <v>101</v>
      </c>
      <c r="F473" s="306" t="s">
        <v>102</v>
      </c>
      <c r="G473" s="306" t="s">
        <v>97</v>
      </c>
      <c r="H473" s="306" t="s">
        <v>104</v>
      </c>
      <c r="I473" s="306" t="s">
        <v>103</v>
      </c>
      <c r="J473" s="378" t="s">
        <v>178</v>
      </c>
      <c r="K473" s="378" t="s">
        <v>200</v>
      </c>
      <c r="L473" s="314" t="s">
        <v>207</v>
      </c>
      <c r="M473" s="298" t="s">
        <v>105</v>
      </c>
      <c r="N473" s="306" t="s">
        <v>107</v>
      </c>
      <c r="O473" s="312" t="s">
        <v>98</v>
      </c>
      <c r="P473" s="313" t="s">
        <v>106</v>
      </c>
      <c r="Q473" s="312" t="s">
        <v>179</v>
      </c>
      <c r="R473" s="312" t="s">
        <v>199</v>
      </c>
      <c r="S473" s="291" t="s">
        <v>208</v>
      </c>
      <c r="T473" s="317" t="s">
        <v>182</v>
      </c>
      <c r="U473" s="291" t="s">
        <v>184</v>
      </c>
      <c r="V473" s="12"/>
      <c r="W473" s="12"/>
      <c r="X473" s="12"/>
      <c r="Y473" s="12"/>
      <c r="Z473" s="12"/>
      <c r="AA473" s="931" t="s">
        <v>0</v>
      </c>
      <c r="AB473" s="945"/>
      <c r="AC473" s="317" t="s">
        <v>99</v>
      </c>
      <c r="AD473" s="298" t="s">
        <v>104</v>
      </c>
      <c r="AE473" s="291" t="s">
        <v>207</v>
      </c>
      <c r="AF473" s="396" t="s">
        <v>107</v>
      </c>
      <c r="AG473" s="392" t="s">
        <v>208</v>
      </c>
      <c r="AH473" s="779"/>
      <c r="AI473" s="779"/>
    </row>
    <row r="474" spans="1:35" s="267" customFormat="1" ht="15" customHeight="1" x14ac:dyDescent="0.25">
      <c r="A474" s="935" t="s">
        <v>9</v>
      </c>
      <c r="B474" s="19" t="s">
        <v>4</v>
      </c>
      <c r="C474" s="299">
        <v>143393</v>
      </c>
      <c r="D474" s="265">
        <v>150516.70000000001</v>
      </c>
      <c r="E474" s="299">
        <v>150516.70000000001</v>
      </c>
      <c r="F474" s="283">
        <v>181998.8</v>
      </c>
      <c r="G474" s="283">
        <v>165453.5</v>
      </c>
      <c r="H474" s="283">
        <v>132132.9</v>
      </c>
      <c r="I474" s="283">
        <v>170968.6</v>
      </c>
      <c r="J474" s="223">
        <v>165453.5</v>
      </c>
      <c r="K474" s="223">
        <v>92411.6</v>
      </c>
      <c r="L474" s="265">
        <f>83196.1+132070.4</f>
        <v>215266.5</v>
      </c>
      <c r="M474" s="299">
        <v>193029.1</v>
      </c>
      <c r="N474" s="283">
        <v>132132.9</v>
      </c>
      <c r="O474" s="283">
        <v>82726.600000000006</v>
      </c>
      <c r="P474" s="283">
        <v>275755</v>
      </c>
      <c r="Q474" s="223">
        <v>82726.600000000006</v>
      </c>
      <c r="R474" s="223">
        <v>188981.6</v>
      </c>
      <c r="S474" s="265">
        <f>83196.1+132070.4</f>
        <v>215266.5</v>
      </c>
      <c r="T474" s="318">
        <v>55151</v>
      </c>
      <c r="U474" s="265">
        <v>33090.5</v>
      </c>
      <c r="V474" s="70"/>
      <c r="W474" s="70"/>
      <c r="X474" s="70"/>
      <c r="Y474" s="70"/>
      <c r="Z474" s="70"/>
      <c r="AA474" s="459" t="s">
        <v>195</v>
      </c>
      <c r="AB474" s="2" t="s">
        <v>4</v>
      </c>
      <c r="AC474" s="318">
        <v>143392.20000000001</v>
      </c>
      <c r="AD474" s="299">
        <v>132132</v>
      </c>
      <c r="AE474" s="265">
        <v>83196.100000000006</v>
      </c>
      <c r="AF474" s="397">
        <v>132132.20000000001</v>
      </c>
      <c r="AG474" s="393">
        <v>83196.100000000006</v>
      </c>
      <c r="AH474" s="780"/>
      <c r="AI474" s="780"/>
    </row>
    <row r="475" spans="1:35" s="267" customFormat="1" x14ac:dyDescent="0.25">
      <c r="A475" s="936"/>
      <c r="B475" s="293" t="s">
        <v>5</v>
      </c>
      <c r="C475" s="300">
        <v>47016.2</v>
      </c>
      <c r="D475" s="264">
        <v>79570.2</v>
      </c>
      <c r="E475" s="300">
        <v>81051.100000000006</v>
      </c>
      <c r="F475" s="307">
        <v>147917.20000000001</v>
      </c>
      <c r="G475" s="307">
        <v>117072.1</v>
      </c>
      <c r="H475" s="307">
        <v>59959.199999999997</v>
      </c>
      <c r="I475" s="307">
        <v>93570.4</v>
      </c>
      <c r="J475" s="374">
        <v>24250.2</v>
      </c>
      <c r="K475" s="374">
        <v>33208.6</v>
      </c>
      <c r="L475" s="264">
        <f xml:space="preserve">  928.4+90.3</f>
        <v>1018.6999999999999</v>
      </c>
      <c r="M475" s="300">
        <v>159487.29999999999</v>
      </c>
      <c r="N475" s="307">
        <v>54212.2</v>
      </c>
      <c r="O475" s="307">
        <v>60550.2</v>
      </c>
      <c r="P475" s="307">
        <v>169137.4</v>
      </c>
      <c r="Q475" s="374">
        <v>12589.9</v>
      </c>
      <c r="R475" s="374">
        <v>58931.5</v>
      </c>
      <c r="S475" s="264">
        <f xml:space="preserve"> 20195.2+14215.3</f>
        <v>34410.5</v>
      </c>
      <c r="T475" s="319">
        <v>12025</v>
      </c>
      <c r="U475" s="264">
        <v>5873.2</v>
      </c>
      <c r="V475" s="70"/>
      <c r="W475" s="70"/>
      <c r="X475" s="70"/>
      <c r="Y475" s="70"/>
      <c r="Z475" s="70"/>
      <c r="AA475" s="460"/>
      <c r="AB475" s="342" t="s">
        <v>5</v>
      </c>
      <c r="AC475" s="319">
        <v>43401.8</v>
      </c>
      <c r="AD475" s="300">
        <v>58695.3</v>
      </c>
      <c r="AE475" s="264">
        <v>4.7</v>
      </c>
      <c r="AF475" s="398">
        <v>55118.9</v>
      </c>
      <c r="AG475" s="394">
        <v>4.5</v>
      </c>
      <c r="AH475" s="781"/>
      <c r="AI475" s="781"/>
    </row>
    <row r="476" spans="1:35" s="267" customFormat="1" ht="15.75" thickBot="1" x14ac:dyDescent="0.3">
      <c r="A476" s="937"/>
      <c r="B476" s="294" t="s">
        <v>3</v>
      </c>
      <c r="C476" s="305">
        <f t="shared" ref="C476:L476" si="244">C475/C474</f>
        <v>0.32788350895789892</v>
      </c>
      <c r="D476" s="343">
        <f t="shared" si="244"/>
        <v>0.52864698734426141</v>
      </c>
      <c r="E476" s="305">
        <f t="shared" si="244"/>
        <v>0.53848576270938708</v>
      </c>
      <c r="F476" s="371">
        <f t="shared" si="244"/>
        <v>0.81273722683885841</v>
      </c>
      <c r="G476" s="278">
        <f t="shared" si="244"/>
        <v>0.70758309736572511</v>
      </c>
      <c r="H476" s="278">
        <f t="shared" si="244"/>
        <v>0.453779490195099</v>
      </c>
      <c r="I476" s="278">
        <f t="shared" si="244"/>
        <v>0.54729581923230342</v>
      </c>
      <c r="J476" s="315">
        <f t="shared" si="244"/>
        <v>0.14656806897406222</v>
      </c>
      <c r="K476" s="315">
        <f t="shared" si="244"/>
        <v>0.35935531902921275</v>
      </c>
      <c r="L476" s="292">
        <f t="shared" si="244"/>
        <v>4.7322737165327623E-3</v>
      </c>
      <c r="M476" s="372">
        <f>M475/M474</f>
        <v>0.82623449003284988</v>
      </c>
      <c r="N476" s="278">
        <f>N475/N474</f>
        <v>0.41028540204597036</v>
      </c>
      <c r="O476" s="315">
        <f>O475/O474</f>
        <v>0.73193144647549868</v>
      </c>
      <c r="P476" s="278">
        <f>P475/P474</f>
        <v>0.61336113579082885</v>
      </c>
      <c r="Q476" s="315">
        <f>Q475/Q474</f>
        <v>0.15218684195893459</v>
      </c>
      <c r="R476" s="315">
        <f t="shared" ref="R476:S476" si="245">R475/R474</f>
        <v>0.31183723706434913</v>
      </c>
      <c r="S476" s="292">
        <f t="shared" si="245"/>
        <v>0.15985069669456231</v>
      </c>
      <c r="T476" s="320">
        <f>T475/T474</f>
        <v>0.21803775090206887</v>
      </c>
      <c r="U476" s="292">
        <f>U475/U474</f>
        <v>0.17748900741904775</v>
      </c>
      <c r="V476" s="70"/>
      <c r="W476" s="70"/>
      <c r="X476" s="70"/>
      <c r="Y476" s="70"/>
      <c r="Z476" s="70"/>
      <c r="AA476" s="461"/>
      <c r="AB476" s="347" t="s">
        <v>3</v>
      </c>
      <c r="AC476" s="395">
        <f>AC475/AC474</f>
        <v>0.302678946274623</v>
      </c>
      <c r="AD476" s="305">
        <f>AD475/AD474</f>
        <v>0.44421714648987376</v>
      </c>
      <c r="AE476" s="292">
        <f>AE475/AE474</f>
        <v>5.6493032726293656E-5</v>
      </c>
      <c r="AF476" s="399">
        <f>AF475/AF474</f>
        <v>0.41714964255495629</v>
      </c>
      <c r="AG476" s="343">
        <f>AG475/AG474</f>
        <v>5.4089073886876906E-5</v>
      </c>
      <c r="AH476" s="782"/>
      <c r="AI476" s="782"/>
    </row>
    <row r="477" spans="1:35" s="429" customFormat="1" ht="15" customHeight="1" x14ac:dyDescent="0.25">
      <c r="A477" s="938" t="s">
        <v>6</v>
      </c>
      <c r="B477" s="418" t="s">
        <v>7</v>
      </c>
      <c r="C477" s="419">
        <v>5870</v>
      </c>
      <c r="D477" s="420">
        <v>3333</v>
      </c>
      <c r="E477" s="419">
        <v>3330</v>
      </c>
      <c r="F477" s="421">
        <v>9457</v>
      </c>
      <c r="G477" s="421">
        <v>8432</v>
      </c>
      <c r="H477" s="421">
        <v>15703</v>
      </c>
      <c r="I477" s="421">
        <v>7403</v>
      </c>
      <c r="J477" s="423">
        <v>9599</v>
      </c>
      <c r="K477" s="423">
        <v>4073</v>
      </c>
      <c r="L477" s="420">
        <v>6399</v>
      </c>
      <c r="M477" s="419">
        <v>9092</v>
      </c>
      <c r="N477" s="421">
        <v>11763</v>
      </c>
      <c r="O477" s="421">
        <v>4356</v>
      </c>
      <c r="P477" s="421">
        <v>10027</v>
      </c>
      <c r="Q477" s="423">
        <v>4799</v>
      </c>
      <c r="R477" s="423">
        <v>7192</v>
      </c>
      <c r="S477" s="420">
        <v>6399</v>
      </c>
      <c r="T477" s="424">
        <v>2480</v>
      </c>
      <c r="U477" s="420">
        <v>1570</v>
      </c>
      <c r="V477" s="425" t="s">
        <v>198</v>
      </c>
      <c r="W477" s="426"/>
      <c r="X477" s="427"/>
      <c r="Y477" s="427"/>
      <c r="Z477" s="427"/>
      <c r="AA477" s="428" t="s">
        <v>191</v>
      </c>
      <c r="AB477" s="418" t="s">
        <v>4</v>
      </c>
      <c r="AC477" s="430">
        <v>9191.7999999999993</v>
      </c>
      <c r="AD477" s="431">
        <v>13787.7</v>
      </c>
      <c r="AE477" s="432">
        <v>8804.7999999999993</v>
      </c>
      <c r="AF477" s="433">
        <v>13787.7</v>
      </c>
      <c r="AG477" s="434">
        <v>8804.7999999999993</v>
      </c>
      <c r="AH477" s="783"/>
      <c r="AI477" s="783"/>
    </row>
    <row r="478" spans="1:35" s="267" customFormat="1" x14ac:dyDescent="0.25">
      <c r="A478" s="939"/>
      <c r="B478" s="295" t="s">
        <v>11</v>
      </c>
      <c r="C478" s="302">
        <f t="shared" ref="C478:L478" si="246">C477*33.717</f>
        <v>197918.78999999998</v>
      </c>
      <c r="D478" s="263">
        <f t="shared" si="246"/>
        <v>112378.761</v>
      </c>
      <c r="E478" s="302">
        <f t="shared" si="246"/>
        <v>112277.61</v>
      </c>
      <c r="F478" s="355">
        <f t="shared" si="246"/>
        <v>318861.66899999999</v>
      </c>
      <c r="G478" s="308">
        <f t="shared" si="246"/>
        <v>284301.74400000001</v>
      </c>
      <c r="H478" s="354">
        <f t="shared" si="246"/>
        <v>529458.05099999998</v>
      </c>
      <c r="I478" s="354">
        <f t="shared" si="246"/>
        <v>249606.951</v>
      </c>
      <c r="J478" s="355">
        <f t="shared" si="246"/>
        <v>323649.48300000001</v>
      </c>
      <c r="K478" s="375">
        <f t="shared" si="246"/>
        <v>137329.34099999999</v>
      </c>
      <c r="L478" s="263">
        <f t="shared" si="246"/>
        <v>215755.08299999998</v>
      </c>
      <c r="M478" s="322">
        <f>M477*33.717</f>
        <v>306554.96399999998</v>
      </c>
      <c r="N478" s="308">
        <f>N477*33.717</f>
        <v>396613.071</v>
      </c>
      <c r="O478" s="308">
        <f>O477*33.717</f>
        <v>146871.25200000001</v>
      </c>
      <c r="P478" s="354">
        <f>P477*33.717</f>
        <v>338080.359</v>
      </c>
      <c r="Q478" s="355">
        <f>Q477*33.717</f>
        <v>161807.883</v>
      </c>
      <c r="R478" s="375">
        <f t="shared" ref="R478:S478" si="247">R477*33.717</f>
        <v>242492.66399999999</v>
      </c>
      <c r="S478" s="263">
        <f t="shared" si="247"/>
        <v>215755.08299999998</v>
      </c>
      <c r="T478" s="302">
        <f>T477*33.717</f>
        <v>83618.16</v>
      </c>
      <c r="U478" s="354">
        <f>U477*33.717</f>
        <v>52935.689999999995</v>
      </c>
      <c r="V478" s="70"/>
      <c r="W478" s="70"/>
      <c r="X478" s="70"/>
      <c r="Y478" s="70"/>
      <c r="Z478" s="70"/>
      <c r="AA478" s="460"/>
      <c r="AB478" s="293" t="s">
        <v>5</v>
      </c>
      <c r="AC478" s="319">
        <v>8835</v>
      </c>
      <c r="AD478" s="300">
        <v>13648.9</v>
      </c>
      <c r="AE478" s="264">
        <v>0</v>
      </c>
      <c r="AF478" s="398">
        <v>13649.5</v>
      </c>
      <c r="AG478" s="394">
        <v>30</v>
      </c>
      <c r="AH478" s="781"/>
      <c r="AI478" s="781"/>
    </row>
    <row r="479" spans="1:35" s="267" customFormat="1" ht="15.75" thickBot="1" x14ac:dyDescent="0.3">
      <c r="A479" s="939"/>
      <c r="B479" s="295" t="s">
        <v>79</v>
      </c>
      <c r="C479" s="302">
        <v>164000</v>
      </c>
      <c r="D479" s="263">
        <v>109880</v>
      </c>
      <c r="E479" s="302">
        <v>109880</v>
      </c>
      <c r="F479" s="308">
        <v>328000</v>
      </c>
      <c r="G479" s="308">
        <v>330905</v>
      </c>
      <c r="H479" s="308">
        <v>264264</v>
      </c>
      <c r="I479" s="308">
        <v>242663.6</v>
      </c>
      <c r="J479" s="375">
        <v>328000</v>
      </c>
      <c r="K479" s="375">
        <v>328000</v>
      </c>
      <c r="L479" s="263">
        <v>328000</v>
      </c>
      <c r="M479" s="302">
        <v>328000</v>
      </c>
      <c r="N479" s="308">
        <v>264264.40000000002</v>
      </c>
      <c r="O479" s="308">
        <v>328000</v>
      </c>
      <c r="P479" s="308">
        <v>352965.4</v>
      </c>
      <c r="Q479" s="375">
        <v>328000</v>
      </c>
      <c r="R479" s="375">
        <v>328000</v>
      </c>
      <c r="S479" s="263">
        <v>328000</v>
      </c>
      <c r="T479" s="322">
        <f>2*T474</f>
        <v>110302</v>
      </c>
      <c r="U479" s="263">
        <f>2*U474</f>
        <v>66181</v>
      </c>
      <c r="V479" s="70"/>
      <c r="W479" s="70"/>
      <c r="X479" s="70"/>
      <c r="Y479" s="70"/>
      <c r="Z479" s="70"/>
      <c r="AA479" s="461"/>
      <c r="AB479" s="344" t="s">
        <v>3</v>
      </c>
      <c r="AC479" s="395">
        <f>AC478/AC477</f>
        <v>0.96118279335929857</v>
      </c>
      <c r="AD479" s="301">
        <f>AD478/AD477</f>
        <v>0.98993305627479555</v>
      </c>
      <c r="AE479" s="401">
        <f>AE478/AE477</f>
        <v>0</v>
      </c>
      <c r="AF479" s="400">
        <f>AF478/AF477</f>
        <v>0.98997657332259903</v>
      </c>
      <c r="AG479" s="348">
        <f>AG478/AG477</f>
        <v>3.4072324186807199E-3</v>
      </c>
      <c r="AH479" s="782"/>
      <c r="AI479" s="782"/>
    </row>
    <row r="480" spans="1:35" s="267" customFormat="1" ht="15" customHeight="1" x14ac:dyDescent="0.25">
      <c r="A480" s="939"/>
      <c r="B480" s="293" t="s">
        <v>8</v>
      </c>
      <c r="C480" s="303">
        <f>SUM(C477-362)</f>
        <v>5508</v>
      </c>
      <c r="D480" s="262">
        <f>SUM(D477-532)</f>
        <v>2801</v>
      </c>
      <c r="E480" s="303">
        <f>SUM(E477-499)</f>
        <v>2831</v>
      </c>
      <c r="F480" s="309">
        <f>SUM(F477-1130)</f>
        <v>8327</v>
      </c>
      <c r="G480" s="309">
        <f>SUM(G477-4523)</f>
        <v>3909</v>
      </c>
      <c r="H480" s="309">
        <f>SUM(H477-2024)</f>
        <v>13679</v>
      </c>
      <c r="I480" s="309">
        <f>SUM(I477-(3120-2000))</f>
        <v>6283</v>
      </c>
      <c r="J480" s="316">
        <f>SUM(J477-9019)</f>
        <v>580</v>
      </c>
      <c r="K480" s="316">
        <f>SUM(K477-1448)</f>
        <v>2625</v>
      </c>
      <c r="L480" s="262">
        <f>SUM(L477-5949)</f>
        <v>450</v>
      </c>
      <c r="M480" s="303">
        <f>SUM(M477-921)</f>
        <v>8171</v>
      </c>
      <c r="N480" s="309">
        <f>SUM(N477-1000)</f>
        <v>10763</v>
      </c>
      <c r="O480" s="316">
        <f>SUM(O477-300)</f>
        <v>4056</v>
      </c>
      <c r="P480" s="309">
        <f>SUM(P477-(5049-2614))</f>
        <v>7592</v>
      </c>
      <c r="Q480" s="316">
        <f>SUM(Q477-3771)</f>
        <v>1028</v>
      </c>
      <c r="R480" s="316">
        <f>SUM(R477-4826)</f>
        <v>2366</v>
      </c>
      <c r="S480" s="262">
        <f>SUM(S477-3418)</f>
        <v>2981</v>
      </c>
      <c r="T480" s="323">
        <f>SUM(T477-1078)</f>
        <v>1402</v>
      </c>
      <c r="U480" s="262">
        <f>SUM(U477-663)</f>
        <v>907</v>
      </c>
      <c r="V480" s="12" t="s">
        <v>176</v>
      </c>
      <c r="W480" s="70"/>
      <c r="X480" s="70"/>
      <c r="Y480" s="70"/>
      <c r="Z480" s="70"/>
      <c r="AA480" s="459" t="s">
        <v>192</v>
      </c>
      <c r="AB480" s="19" t="s">
        <v>4</v>
      </c>
      <c r="AC480" s="318">
        <v>97433.600000000006</v>
      </c>
      <c r="AD480" s="299">
        <v>243584.4</v>
      </c>
      <c r="AE480" s="265">
        <v>132070.29999999999</v>
      </c>
      <c r="AF480" s="397">
        <v>292299.3</v>
      </c>
      <c r="AG480" s="393">
        <v>132070.39999999999</v>
      </c>
      <c r="AH480" s="780"/>
      <c r="AI480" s="780"/>
    </row>
    <row r="481" spans="1:35" s="267" customFormat="1" x14ac:dyDescent="0.25">
      <c r="A481" s="939"/>
      <c r="B481" s="296" t="s">
        <v>77</v>
      </c>
      <c r="C481" s="302">
        <f>(C480*33.717)</f>
        <v>185713.236</v>
      </c>
      <c r="D481" s="338">
        <f>(D480*33.717)</f>
        <v>94441.316999999995</v>
      </c>
      <c r="E481" s="302">
        <f>(E480*33.717)</f>
        <v>95452.82699999999</v>
      </c>
      <c r="F481" s="338">
        <f>(F480*33.717)</f>
        <v>280761.45899999997</v>
      </c>
      <c r="G481" s="280">
        <f>(G480*33.717)*2</f>
        <v>263599.50599999999</v>
      </c>
      <c r="H481" s="280">
        <f>(H480*33.717)</f>
        <v>461214.84299999999</v>
      </c>
      <c r="I481" s="280">
        <f>(I480*33.717)-(2000*33.717)</f>
        <v>144409.91099999999</v>
      </c>
      <c r="J481" s="376">
        <f>J480*33.717</f>
        <v>19555.86</v>
      </c>
      <c r="K481" s="376">
        <f>K480*33.717</f>
        <v>88507.125</v>
      </c>
      <c r="L481" s="261">
        <f>L480*33.717</f>
        <v>15172.65</v>
      </c>
      <c r="M481" s="304">
        <f>M480*33.717</f>
        <v>275501.60700000002</v>
      </c>
      <c r="N481" s="280">
        <f>N480*33.717</f>
        <v>362896.071</v>
      </c>
      <c r="O481" s="280">
        <f>(O480*33.717)</f>
        <v>136756.152</v>
      </c>
      <c r="P481" s="280">
        <f t="shared" ref="P481:U481" si="248">P480*33.717</f>
        <v>255979.46399999998</v>
      </c>
      <c r="Q481" s="376">
        <f t="shared" si="248"/>
        <v>34661.076000000001</v>
      </c>
      <c r="R481" s="376">
        <f t="shared" si="248"/>
        <v>79774.421999999991</v>
      </c>
      <c r="S481" s="261">
        <f t="shared" si="248"/>
        <v>100510.37699999999</v>
      </c>
      <c r="T481" s="324">
        <f t="shared" si="248"/>
        <v>47271.233999999997</v>
      </c>
      <c r="U481" s="325">
        <f t="shared" si="248"/>
        <v>30581.319</v>
      </c>
      <c r="V481" s="63">
        <f>344240-H481</f>
        <v>-116974.84299999999</v>
      </c>
      <c r="W481" s="70" t="s">
        <v>177</v>
      </c>
      <c r="X481" s="70"/>
      <c r="Y481" s="70"/>
      <c r="Z481" s="70"/>
      <c r="AA481" s="460"/>
      <c r="AB481" s="293" t="s">
        <v>5</v>
      </c>
      <c r="AC481" s="319">
        <v>38973.199999999997</v>
      </c>
      <c r="AD481" s="300">
        <v>95895.7</v>
      </c>
      <c r="AE481" s="264">
        <v>0.1</v>
      </c>
      <c r="AF481" s="398">
        <v>93978.8</v>
      </c>
      <c r="AG481" s="394">
        <v>1</v>
      </c>
      <c r="AH481" s="781"/>
      <c r="AI481" s="781"/>
    </row>
    <row r="482" spans="1:35" s="267" customFormat="1" ht="15.75" thickBot="1" x14ac:dyDescent="0.3">
      <c r="A482" s="940"/>
      <c r="B482" s="294" t="s">
        <v>10</v>
      </c>
      <c r="C482" s="305">
        <f>C481/C474</f>
        <v>1.2951346021074948</v>
      </c>
      <c r="D482" s="292">
        <f t="shared" ref="D482:U482" si="249">D481/D474</f>
        <v>0.62744743274334336</v>
      </c>
      <c r="E482" s="310">
        <f t="shared" si="249"/>
        <v>0.63416768371881649</v>
      </c>
      <c r="F482" s="282">
        <f t="shared" si="249"/>
        <v>1.542655550476157</v>
      </c>
      <c r="G482" s="282">
        <f t="shared" si="249"/>
        <v>1.5931938943570247</v>
      </c>
      <c r="H482" s="282">
        <f t="shared" si="249"/>
        <v>3.4905375042854581</v>
      </c>
      <c r="I482" s="282">
        <f t="shared" si="249"/>
        <v>0.84465750436044973</v>
      </c>
      <c r="J482" s="377">
        <f t="shared" si="249"/>
        <v>0.11819550508148816</v>
      </c>
      <c r="K482" s="377">
        <f t="shared" si="249"/>
        <v>0.95774908128416769</v>
      </c>
      <c r="L482" s="311">
        <f t="shared" si="249"/>
        <v>7.0483098856533644E-2</v>
      </c>
      <c r="M482" s="310">
        <f t="shared" si="249"/>
        <v>1.4272542689159304</v>
      </c>
      <c r="N482" s="282">
        <f t="shared" si="249"/>
        <v>2.7464474858267698</v>
      </c>
      <c r="O482" s="282">
        <f t="shared" si="249"/>
        <v>1.6531097857279278</v>
      </c>
      <c r="P482" s="260">
        <f t="shared" si="249"/>
        <v>0.92828584794473346</v>
      </c>
      <c r="Q482" s="377">
        <f t="shared" si="249"/>
        <v>0.41898344667857734</v>
      </c>
      <c r="R482" s="377">
        <f t="shared" si="249"/>
        <v>0.42212798494668258</v>
      </c>
      <c r="S482" s="311">
        <f t="shared" si="249"/>
        <v>0.46691137264739285</v>
      </c>
      <c r="T482" s="305">
        <f t="shared" si="249"/>
        <v>0.85712378741999229</v>
      </c>
      <c r="U482" s="292">
        <f t="shared" si="249"/>
        <v>0.92417216421631587</v>
      </c>
      <c r="V482" s="126"/>
      <c r="W482" s="70"/>
      <c r="X482" s="70"/>
      <c r="Y482" s="70"/>
      <c r="Z482" s="70"/>
      <c r="AA482" s="461"/>
      <c r="AB482" s="294" t="s">
        <v>3</v>
      </c>
      <c r="AC482" s="320">
        <f>AC481/AC480</f>
        <v>0.39999753678402516</v>
      </c>
      <c r="AD482" s="305">
        <f>AD481/AD480</f>
        <v>0.39368572043201455</v>
      </c>
      <c r="AE482" s="292">
        <f>AE481/AE480</f>
        <v>7.5717250585483648E-7</v>
      </c>
      <c r="AF482" s="399">
        <f>AF481/AF480</f>
        <v>0.32151565193621745</v>
      </c>
      <c r="AG482" s="343">
        <f>AG481/AG480</f>
        <v>7.5717193254506694E-6</v>
      </c>
      <c r="AH482" s="782"/>
      <c r="AI482" s="782"/>
    </row>
    <row r="483" spans="1:35" s="267" customFormat="1" ht="15.75" thickBot="1" x14ac:dyDescent="0.3">
      <c r="A483" s="924">
        <v>41513</v>
      </c>
      <c r="B483" s="924"/>
      <c r="C483" s="924"/>
      <c r="D483" s="276"/>
      <c r="E483" s="276"/>
      <c r="F483" s="276"/>
      <c r="G483" s="276"/>
      <c r="H483" s="276"/>
      <c r="I483" s="11"/>
      <c r="J483" s="281"/>
      <c r="K483" s="281"/>
      <c r="L483" s="276"/>
      <c r="M483" s="276"/>
      <c r="N483" s="13"/>
      <c r="R483" s="12"/>
      <c r="S483" s="70"/>
      <c r="T483" s="70"/>
      <c r="U483" s="70"/>
      <c r="V483" s="70"/>
      <c r="W483" s="70"/>
      <c r="X483" s="70"/>
      <c r="Y483" s="70"/>
      <c r="Z483" s="70"/>
      <c r="AA483" s="941"/>
      <c r="AB483" s="942"/>
      <c r="AH483" s="743"/>
      <c r="AI483" s="743"/>
    </row>
    <row r="484" spans="1:35" s="267" customFormat="1" x14ac:dyDescent="0.25">
      <c r="A484" s="925" t="s">
        <v>1</v>
      </c>
      <c r="B484" s="926"/>
      <c r="C484" s="297" t="s">
        <v>12</v>
      </c>
      <c r="D484" s="266" t="s">
        <v>12</v>
      </c>
      <c r="E484" s="297" t="s">
        <v>13</v>
      </c>
      <c r="F484" s="277" t="s">
        <v>13</v>
      </c>
      <c r="G484" s="277" t="s">
        <v>13</v>
      </c>
      <c r="H484" s="277" t="s">
        <v>13</v>
      </c>
      <c r="I484" s="277" t="s">
        <v>13</v>
      </c>
      <c r="J484" s="286" t="s">
        <v>13</v>
      </c>
      <c r="K484" s="286" t="s">
        <v>13</v>
      </c>
      <c r="L484" s="266" t="s">
        <v>13</v>
      </c>
      <c r="M484" s="297" t="s">
        <v>2</v>
      </c>
      <c r="N484" s="277" t="s">
        <v>2</v>
      </c>
      <c r="O484" s="286" t="s">
        <v>2</v>
      </c>
      <c r="P484" s="277" t="s">
        <v>2</v>
      </c>
      <c r="Q484" s="286" t="s">
        <v>2</v>
      </c>
      <c r="R484" s="286" t="s">
        <v>2</v>
      </c>
      <c r="S484" s="266" t="s">
        <v>2</v>
      </c>
      <c r="T484" s="328" t="s">
        <v>183</v>
      </c>
      <c r="U484" s="327" t="s">
        <v>183</v>
      </c>
      <c r="V484" s="12"/>
      <c r="W484" s="70"/>
      <c r="X484" s="70"/>
      <c r="Y484" s="70"/>
      <c r="Z484" s="70"/>
      <c r="AA484" s="925" t="s">
        <v>1</v>
      </c>
      <c r="AB484" s="928"/>
      <c r="AC484" s="457" t="s">
        <v>12</v>
      </c>
      <c r="AD484" s="929" t="s">
        <v>13</v>
      </c>
      <c r="AE484" s="930"/>
      <c r="AF484" s="929" t="s">
        <v>2</v>
      </c>
      <c r="AG484" s="930"/>
      <c r="AH484" s="778"/>
      <c r="AI484" s="778"/>
    </row>
    <row r="485" spans="1:35" s="267" customFormat="1" ht="15.75" thickBot="1" x14ac:dyDescent="0.3">
      <c r="A485" s="931" t="s">
        <v>0</v>
      </c>
      <c r="B485" s="944"/>
      <c r="C485" s="298" t="s">
        <v>99</v>
      </c>
      <c r="D485" s="291" t="s">
        <v>100</v>
      </c>
      <c r="E485" s="298" t="s">
        <v>101</v>
      </c>
      <c r="F485" s="306" t="s">
        <v>102</v>
      </c>
      <c r="G485" s="306" t="s">
        <v>97</v>
      </c>
      <c r="H485" s="306" t="s">
        <v>104</v>
      </c>
      <c r="I485" s="306" t="s">
        <v>103</v>
      </c>
      <c r="J485" s="378" t="s">
        <v>178</v>
      </c>
      <c r="K485" s="378" t="s">
        <v>200</v>
      </c>
      <c r="L485" s="314" t="s">
        <v>207</v>
      </c>
      <c r="M485" s="298" t="s">
        <v>105</v>
      </c>
      <c r="N485" s="306" t="s">
        <v>107</v>
      </c>
      <c r="O485" s="312" t="s">
        <v>98</v>
      </c>
      <c r="P485" s="313" t="s">
        <v>106</v>
      </c>
      <c r="Q485" s="312" t="s">
        <v>179</v>
      </c>
      <c r="R485" s="312" t="s">
        <v>199</v>
      </c>
      <c r="S485" s="291" t="s">
        <v>208</v>
      </c>
      <c r="T485" s="317" t="s">
        <v>182</v>
      </c>
      <c r="U485" s="291" t="s">
        <v>184</v>
      </c>
      <c r="V485" s="12"/>
      <c r="W485" s="12"/>
      <c r="X485" s="12"/>
      <c r="Y485" s="12"/>
      <c r="Z485" s="12"/>
      <c r="AA485" s="931" t="s">
        <v>0</v>
      </c>
      <c r="AB485" s="945"/>
      <c r="AC485" s="317" t="s">
        <v>99</v>
      </c>
      <c r="AD485" s="298" t="s">
        <v>104</v>
      </c>
      <c r="AE485" s="291" t="s">
        <v>207</v>
      </c>
      <c r="AF485" s="396" t="s">
        <v>107</v>
      </c>
      <c r="AG485" s="392" t="s">
        <v>208</v>
      </c>
      <c r="AH485" s="779"/>
      <c r="AI485" s="779"/>
    </row>
    <row r="486" spans="1:35" s="267" customFormat="1" ht="15" customHeight="1" x14ac:dyDescent="0.25">
      <c r="A486" s="935" t="s">
        <v>9</v>
      </c>
      <c r="B486" s="19" t="s">
        <v>4</v>
      </c>
      <c r="C486" s="299">
        <v>143393</v>
      </c>
      <c r="D486" s="265">
        <v>150516.70000000001</v>
      </c>
      <c r="E486" s="299">
        <v>150516.70000000001</v>
      </c>
      <c r="F486" s="283">
        <v>181998.8</v>
      </c>
      <c r="G486" s="283">
        <v>165453.5</v>
      </c>
      <c r="H486" s="283">
        <v>132132.9</v>
      </c>
      <c r="I486" s="283">
        <v>170968.6</v>
      </c>
      <c r="J486" s="223">
        <v>165453.5</v>
      </c>
      <c r="K486" s="223">
        <v>92411.6</v>
      </c>
      <c r="L486" s="265">
        <f>83196.1+132070.4</f>
        <v>215266.5</v>
      </c>
      <c r="M486" s="299">
        <v>193029.1</v>
      </c>
      <c r="N486" s="283">
        <v>132132.9</v>
      </c>
      <c r="O486" s="283">
        <v>82726.600000000006</v>
      </c>
      <c r="P486" s="283">
        <v>275755</v>
      </c>
      <c r="Q486" s="223">
        <v>82726.600000000006</v>
      </c>
      <c r="R486" s="223">
        <v>188981.6</v>
      </c>
      <c r="S486" s="265">
        <f>83196.1+132070.4</f>
        <v>215266.5</v>
      </c>
      <c r="T486" s="318">
        <v>55151</v>
      </c>
      <c r="U486" s="265">
        <v>33090.5</v>
      </c>
      <c r="V486" s="70"/>
      <c r="W486" s="70"/>
      <c r="X486" s="70"/>
      <c r="Y486" s="70"/>
      <c r="Z486" s="70"/>
      <c r="AA486" s="454" t="s">
        <v>195</v>
      </c>
      <c r="AB486" s="2" t="s">
        <v>4</v>
      </c>
      <c r="AC486" s="318">
        <v>143392.20000000001</v>
      </c>
      <c r="AD486" s="299">
        <v>132132</v>
      </c>
      <c r="AE486" s="265">
        <v>83196.100000000006</v>
      </c>
      <c r="AF486" s="397">
        <v>132132.20000000001</v>
      </c>
      <c r="AG486" s="393">
        <v>83196.100000000006</v>
      </c>
      <c r="AH486" s="780"/>
      <c r="AI486" s="780"/>
    </row>
    <row r="487" spans="1:35" s="267" customFormat="1" x14ac:dyDescent="0.25">
      <c r="A487" s="936"/>
      <c r="B487" s="293" t="s">
        <v>5</v>
      </c>
      <c r="C487" s="300">
        <v>46567.7</v>
      </c>
      <c r="D487" s="264">
        <v>79461.100000000006</v>
      </c>
      <c r="E487" s="300">
        <v>80684.899999999994</v>
      </c>
      <c r="F487" s="307">
        <v>147629.1</v>
      </c>
      <c r="G487" s="307">
        <v>116888.9</v>
      </c>
      <c r="H487" s="307">
        <v>58802.400000000001</v>
      </c>
      <c r="I487" s="307">
        <v>93316.7</v>
      </c>
      <c r="J487" s="374">
        <v>23503.8</v>
      </c>
      <c r="K487" s="374">
        <v>33098.5</v>
      </c>
      <c r="L487" s="264">
        <f xml:space="preserve"> 677.5+77.2</f>
        <v>754.7</v>
      </c>
      <c r="M487" s="300">
        <v>159187.9</v>
      </c>
      <c r="N487" s="307">
        <v>52559.6</v>
      </c>
      <c r="O487" s="307">
        <v>60086</v>
      </c>
      <c r="P487" s="307">
        <v>168633.8</v>
      </c>
      <c r="Q487" s="374">
        <v>12215.8</v>
      </c>
      <c r="R487" s="374">
        <v>58625.599999999999</v>
      </c>
      <c r="S487" s="264">
        <f xml:space="preserve"> 18555.1+14846.8</f>
        <v>33401.899999999994</v>
      </c>
      <c r="T487" s="319">
        <v>11980.8</v>
      </c>
      <c r="U487" s="264">
        <v>5866.1</v>
      </c>
      <c r="V487" s="70"/>
      <c r="W487" s="70"/>
      <c r="X487" s="70"/>
      <c r="Y487" s="70"/>
      <c r="Z487" s="70"/>
      <c r="AA487" s="455"/>
      <c r="AB487" s="342" t="s">
        <v>5</v>
      </c>
      <c r="AC487" s="319">
        <v>43401.8</v>
      </c>
      <c r="AD487" s="300">
        <v>58695.3</v>
      </c>
      <c r="AE487" s="264">
        <v>4.7</v>
      </c>
      <c r="AF487" s="398">
        <v>55118.9</v>
      </c>
      <c r="AG487" s="394">
        <v>4.5</v>
      </c>
      <c r="AH487" s="781"/>
      <c r="AI487" s="781"/>
    </row>
    <row r="488" spans="1:35" s="267" customFormat="1" ht="15.75" thickBot="1" x14ac:dyDescent="0.3">
      <c r="A488" s="937"/>
      <c r="B488" s="294" t="s">
        <v>3</v>
      </c>
      <c r="C488" s="305">
        <f t="shared" ref="C488:L488" si="250">C487/C486</f>
        <v>0.32475574121470363</v>
      </c>
      <c r="D488" s="343">
        <f t="shared" si="250"/>
        <v>0.52792215083110383</v>
      </c>
      <c r="E488" s="305">
        <f t="shared" si="250"/>
        <v>0.53605281008685401</v>
      </c>
      <c r="F488" s="371">
        <f t="shared" si="250"/>
        <v>0.81115424936867719</v>
      </c>
      <c r="G488" s="278">
        <f t="shared" si="250"/>
        <v>0.70647583762205091</v>
      </c>
      <c r="H488" s="278">
        <f t="shared" si="250"/>
        <v>0.44502466834527965</v>
      </c>
      <c r="I488" s="278">
        <f t="shared" si="250"/>
        <v>0.54581192101941522</v>
      </c>
      <c r="J488" s="315">
        <f t="shared" si="250"/>
        <v>0.14205683167778257</v>
      </c>
      <c r="K488" s="315">
        <f t="shared" si="250"/>
        <v>0.35816391015846494</v>
      </c>
      <c r="L488" s="292">
        <f t="shared" si="250"/>
        <v>3.5058868890421872E-3</v>
      </c>
      <c r="M488" s="372">
        <f>M487/M486</f>
        <v>0.82468342856077137</v>
      </c>
      <c r="N488" s="278">
        <f>N487/N486</f>
        <v>0.39777829745657595</v>
      </c>
      <c r="O488" s="315">
        <f>O487/O486</f>
        <v>0.72632019205430898</v>
      </c>
      <c r="P488" s="278">
        <f>P487/P486</f>
        <v>0.61153487697412556</v>
      </c>
      <c r="Q488" s="315">
        <f>Q487/Q486</f>
        <v>0.14766471727352506</v>
      </c>
      <c r="R488" s="315">
        <f t="shared" ref="R488:S488" si="251">R487/R486</f>
        <v>0.3102185609604321</v>
      </c>
      <c r="S488" s="292">
        <f t="shared" si="251"/>
        <v>0.15516534156499034</v>
      </c>
      <c r="T488" s="320">
        <f>T487/T486</f>
        <v>0.21723631484469907</v>
      </c>
      <c r="U488" s="292">
        <f>U487/U486</f>
        <v>0.17727444432692163</v>
      </c>
      <c r="V488" s="70"/>
      <c r="W488" s="70"/>
      <c r="X488" s="70"/>
      <c r="Y488" s="70"/>
      <c r="Z488" s="70"/>
      <c r="AA488" s="456"/>
      <c r="AB488" s="347" t="s">
        <v>3</v>
      </c>
      <c r="AC488" s="395">
        <f>AC487/AC486</f>
        <v>0.302678946274623</v>
      </c>
      <c r="AD488" s="305">
        <f>AD487/AD486</f>
        <v>0.44421714648987376</v>
      </c>
      <c r="AE488" s="292">
        <f>AE487/AE486</f>
        <v>5.6493032726293656E-5</v>
      </c>
      <c r="AF488" s="399">
        <f>AF487/AF486</f>
        <v>0.41714964255495629</v>
      </c>
      <c r="AG488" s="343">
        <f>AG487/AG486</f>
        <v>5.4089073886876906E-5</v>
      </c>
      <c r="AH488" s="782"/>
      <c r="AI488" s="782"/>
    </row>
    <row r="489" spans="1:35" s="429" customFormat="1" ht="15" customHeight="1" x14ac:dyDescent="0.25">
      <c r="A489" s="938" t="s">
        <v>6</v>
      </c>
      <c r="B489" s="418" t="s">
        <v>7</v>
      </c>
      <c r="C489" s="419">
        <v>5870</v>
      </c>
      <c r="D489" s="420">
        <v>3333</v>
      </c>
      <c r="E489" s="419">
        <v>3330</v>
      </c>
      <c r="F489" s="421">
        <v>9457</v>
      </c>
      <c r="G489" s="421">
        <v>8432</v>
      </c>
      <c r="H489" s="421">
        <v>15703</v>
      </c>
      <c r="I489" s="421">
        <v>7403</v>
      </c>
      <c r="J489" s="423">
        <v>9599</v>
      </c>
      <c r="K489" s="423">
        <v>4073</v>
      </c>
      <c r="L489" s="420">
        <v>6399</v>
      </c>
      <c r="M489" s="419">
        <v>9092</v>
      </c>
      <c r="N489" s="421">
        <v>11763</v>
      </c>
      <c r="O489" s="421">
        <v>4356</v>
      </c>
      <c r="P489" s="421">
        <v>10027</v>
      </c>
      <c r="Q489" s="423">
        <v>4799</v>
      </c>
      <c r="R489" s="423">
        <v>7192</v>
      </c>
      <c r="S489" s="420">
        <v>6399</v>
      </c>
      <c r="T489" s="424">
        <v>2480</v>
      </c>
      <c r="U489" s="420">
        <v>1570</v>
      </c>
      <c r="V489" s="425" t="s">
        <v>198</v>
      </c>
      <c r="W489" s="426"/>
      <c r="X489" s="427"/>
      <c r="Y489" s="427"/>
      <c r="Z489" s="427"/>
      <c r="AA489" s="428" t="s">
        <v>191</v>
      </c>
      <c r="AB489" s="418" t="s">
        <v>4</v>
      </c>
      <c r="AC489" s="430">
        <v>9191.7999999999993</v>
      </c>
      <c r="AD489" s="431">
        <v>13787.7</v>
      </c>
      <c r="AE489" s="432">
        <v>8804.7999999999993</v>
      </c>
      <c r="AF489" s="433">
        <v>13787.7</v>
      </c>
      <c r="AG489" s="434">
        <v>8804.7999999999993</v>
      </c>
      <c r="AH489" s="783"/>
      <c r="AI489" s="783"/>
    </row>
    <row r="490" spans="1:35" s="267" customFormat="1" x14ac:dyDescent="0.25">
      <c r="A490" s="939"/>
      <c r="B490" s="295" t="s">
        <v>11</v>
      </c>
      <c r="C490" s="302">
        <f t="shared" ref="C490:L490" si="252">C489*33.717</f>
        <v>197918.78999999998</v>
      </c>
      <c r="D490" s="263">
        <f t="shared" si="252"/>
        <v>112378.761</v>
      </c>
      <c r="E490" s="302">
        <f t="shared" si="252"/>
        <v>112277.61</v>
      </c>
      <c r="F490" s="355">
        <f t="shared" si="252"/>
        <v>318861.66899999999</v>
      </c>
      <c r="G490" s="308">
        <f t="shared" si="252"/>
        <v>284301.74400000001</v>
      </c>
      <c r="H490" s="354">
        <f t="shared" si="252"/>
        <v>529458.05099999998</v>
      </c>
      <c r="I490" s="354">
        <f t="shared" si="252"/>
        <v>249606.951</v>
      </c>
      <c r="J490" s="355">
        <f t="shared" si="252"/>
        <v>323649.48300000001</v>
      </c>
      <c r="K490" s="375">
        <f t="shared" si="252"/>
        <v>137329.34099999999</v>
      </c>
      <c r="L490" s="263">
        <f t="shared" si="252"/>
        <v>215755.08299999998</v>
      </c>
      <c r="M490" s="322">
        <f>M489*33.717</f>
        <v>306554.96399999998</v>
      </c>
      <c r="N490" s="308">
        <f>N489*33.717</f>
        <v>396613.071</v>
      </c>
      <c r="O490" s="308">
        <f>O489*33.717</f>
        <v>146871.25200000001</v>
      </c>
      <c r="P490" s="354">
        <f>P489*33.717</f>
        <v>338080.359</v>
      </c>
      <c r="Q490" s="355">
        <f>Q489*33.717</f>
        <v>161807.883</v>
      </c>
      <c r="R490" s="375">
        <f t="shared" ref="R490:S490" si="253">R489*33.717</f>
        <v>242492.66399999999</v>
      </c>
      <c r="S490" s="263">
        <f t="shared" si="253"/>
        <v>215755.08299999998</v>
      </c>
      <c r="T490" s="302">
        <f>T489*33.717</f>
        <v>83618.16</v>
      </c>
      <c r="U490" s="354">
        <f>U489*33.717</f>
        <v>52935.689999999995</v>
      </c>
      <c r="V490" s="70"/>
      <c r="W490" s="70"/>
      <c r="X490" s="70"/>
      <c r="Y490" s="70"/>
      <c r="Z490" s="70"/>
      <c r="AA490" s="455"/>
      <c r="AB490" s="293" t="s">
        <v>5</v>
      </c>
      <c r="AC490" s="319">
        <v>8835</v>
      </c>
      <c r="AD490" s="300">
        <v>13648.9</v>
      </c>
      <c r="AE490" s="264">
        <v>0</v>
      </c>
      <c r="AF490" s="398">
        <v>13649.5</v>
      </c>
      <c r="AG490" s="394">
        <v>30</v>
      </c>
      <c r="AH490" s="781"/>
      <c r="AI490" s="781"/>
    </row>
    <row r="491" spans="1:35" s="267" customFormat="1" ht="15.75" thickBot="1" x14ac:dyDescent="0.3">
      <c r="A491" s="939"/>
      <c r="B491" s="295" t="s">
        <v>79</v>
      </c>
      <c r="C491" s="302">
        <v>164000</v>
      </c>
      <c r="D491" s="263">
        <v>109880</v>
      </c>
      <c r="E491" s="302">
        <v>109880</v>
      </c>
      <c r="F491" s="308">
        <v>328000</v>
      </c>
      <c r="G491" s="308">
        <v>330905</v>
      </c>
      <c r="H491" s="308">
        <v>264264</v>
      </c>
      <c r="I491" s="308">
        <v>242663.6</v>
      </c>
      <c r="J491" s="375">
        <v>328000</v>
      </c>
      <c r="K491" s="375">
        <v>328000</v>
      </c>
      <c r="L491" s="263">
        <v>328000</v>
      </c>
      <c r="M491" s="302">
        <v>328000</v>
      </c>
      <c r="N491" s="308">
        <v>264264.40000000002</v>
      </c>
      <c r="O491" s="308">
        <v>328000</v>
      </c>
      <c r="P491" s="308">
        <v>352965.4</v>
      </c>
      <c r="Q491" s="375">
        <v>328000</v>
      </c>
      <c r="R491" s="375">
        <v>328000</v>
      </c>
      <c r="S491" s="263">
        <v>328000</v>
      </c>
      <c r="T491" s="322">
        <f>2*T486</f>
        <v>110302</v>
      </c>
      <c r="U491" s="263">
        <f>2*U486</f>
        <v>66181</v>
      </c>
      <c r="V491" s="70"/>
      <c r="W491" s="70"/>
      <c r="X491" s="70"/>
      <c r="Y491" s="70"/>
      <c r="Z491" s="70"/>
      <c r="AA491" s="456"/>
      <c r="AB491" s="344" t="s">
        <v>3</v>
      </c>
      <c r="AC491" s="395">
        <f>AC490/AC489</f>
        <v>0.96118279335929857</v>
      </c>
      <c r="AD491" s="301">
        <f>AD490/AD489</f>
        <v>0.98993305627479555</v>
      </c>
      <c r="AE491" s="401">
        <f>AE490/AE489</f>
        <v>0</v>
      </c>
      <c r="AF491" s="400">
        <f>AF490/AF489</f>
        <v>0.98997657332259903</v>
      </c>
      <c r="AG491" s="348">
        <f>AG490/AG489</f>
        <v>3.4072324186807199E-3</v>
      </c>
      <c r="AH491" s="782"/>
      <c r="AI491" s="782"/>
    </row>
    <row r="492" spans="1:35" s="267" customFormat="1" ht="15" customHeight="1" x14ac:dyDescent="0.25">
      <c r="A492" s="939"/>
      <c r="B492" s="293" t="s">
        <v>8</v>
      </c>
      <c r="C492" s="303">
        <f>SUM(C489-386)</f>
        <v>5484</v>
      </c>
      <c r="D492" s="262">
        <f>SUM(D489-544)</f>
        <v>2789</v>
      </c>
      <c r="E492" s="303">
        <f>SUM(E489-528)</f>
        <v>2802</v>
      </c>
      <c r="F492" s="309">
        <f>SUM(F489-1130)</f>
        <v>8327</v>
      </c>
      <c r="G492" s="309">
        <f>SUM(G489-4533)</f>
        <v>3899</v>
      </c>
      <c r="H492" s="309">
        <f>SUM(H489-2031)</f>
        <v>13672</v>
      </c>
      <c r="I492" s="309">
        <f>SUM(I489-(3127-2000))</f>
        <v>6276</v>
      </c>
      <c r="J492" s="316">
        <f>SUM(J489-9035)</f>
        <v>564</v>
      </c>
      <c r="K492" s="316">
        <f>SUM(K489-1448)</f>
        <v>2625</v>
      </c>
      <c r="L492" s="262">
        <f>SUM(L489-5949)</f>
        <v>450</v>
      </c>
      <c r="M492" s="303">
        <f>SUM(M489-928)</f>
        <v>8164</v>
      </c>
      <c r="N492" s="309">
        <f>SUM(N489-1000)</f>
        <v>10763</v>
      </c>
      <c r="O492" s="316">
        <f>SUM(O489-310)</f>
        <v>4046</v>
      </c>
      <c r="P492" s="309">
        <f>SUM(P489-(5056-2614))</f>
        <v>7585</v>
      </c>
      <c r="Q492" s="316">
        <f>SUM(Q489-3787)</f>
        <v>1012</v>
      </c>
      <c r="R492" s="316">
        <f>SUM(R489-4826)</f>
        <v>2366</v>
      </c>
      <c r="S492" s="262">
        <f>SUM(S489-3418)</f>
        <v>2981</v>
      </c>
      <c r="T492" s="323">
        <f>SUM(T489-1078)</f>
        <v>1402</v>
      </c>
      <c r="U492" s="262">
        <f>SUM(U489-663)</f>
        <v>907</v>
      </c>
      <c r="V492" s="12" t="s">
        <v>176</v>
      </c>
      <c r="W492" s="70"/>
      <c r="X492" s="70"/>
      <c r="Y492" s="70"/>
      <c r="Z492" s="70"/>
      <c r="AA492" s="454" t="s">
        <v>192</v>
      </c>
      <c r="AB492" s="19" t="s">
        <v>4</v>
      </c>
      <c r="AC492" s="318">
        <v>97433.600000000006</v>
      </c>
      <c r="AD492" s="299">
        <v>243584.4</v>
      </c>
      <c r="AE492" s="265">
        <v>132070.29999999999</v>
      </c>
      <c r="AF492" s="397">
        <v>292299.3</v>
      </c>
      <c r="AG492" s="393">
        <v>132070.39999999999</v>
      </c>
      <c r="AH492" s="780"/>
      <c r="AI492" s="780"/>
    </row>
    <row r="493" spans="1:35" s="267" customFormat="1" x14ac:dyDescent="0.25">
      <c r="A493" s="939"/>
      <c r="B493" s="296" t="s">
        <v>77</v>
      </c>
      <c r="C493" s="302">
        <f>(C492*33.717)</f>
        <v>184904.02799999999</v>
      </c>
      <c r="D493" s="338">
        <f>(D492*33.717)</f>
        <v>94036.713000000003</v>
      </c>
      <c r="E493" s="302">
        <f>(E492*33.717)</f>
        <v>94475.034</v>
      </c>
      <c r="F493" s="338">
        <f>(F492*33.717)</f>
        <v>280761.45899999997</v>
      </c>
      <c r="G493" s="280">
        <f>(G492*33.717)*2</f>
        <v>262925.16599999997</v>
      </c>
      <c r="H493" s="280">
        <f>(H492*33.717)</f>
        <v>460978.82399999996</v>
      </c>
      <c r="I493" s="280">
        <f>(I492*33.717)-(2000*33.717)</f>
        <v>144173.89199999999</v>
      </c>
      <c r="J493" s="376">
        <f>J492*33.717</f>
        <v>19016.387999999999</v>
      </c>
      <c r="K493" s="376">
        <f>K492*33.717</f>
        <v>88507.125</v>
      </c>
      <c r="L493" s="261">
        <f>L492*33.717</f>
        <v>15172.65</v>
      </c>
      <c r="M493" s="304">
        <f>M492*33.717</f>
        <v>275265.58799999999</v>
      </c>
      <c r="N493" s="280">
        <f>N492*33.717</f>
        <v>362896.071</v>
      </c>
      <c r="O493" s="280">
        <f>(O492*33.717)</f>
        <v>136418.98199999999</v>
      </c>
      <c r="P493" s="280">
        <f t="shared" ref="P493:U493" si="254">P492*33.717</f>
        <v>255743.44499999998</v>
      </c>
      <c r="Q493" s="376">
        <f t="shared" si="254"/>
        <v>34121.603999999999</v>
      </c>
      <c r="R493" s="376">
        <f t="shared" si="254"/>
        <v>79774.421999999991</v>
      </c>
      <c r="S493" s="261">
        <f t="shared" si="254"/>
        <v>100510.37699999999</v>
      </c>
      <c r="T493" s="324">
        <f t="shared" si="254"/>
        <v>47271.233999999997</v>
      </c>
      <c r="U493" s="325">
        <f t="shared" si="254"/>
        <v>30581.319</v>
      </c>
      <c r="V493" s="63">
        <f>344240-H493</f>
        <v>-116738.82399999996</v>
      </c>
      <c r="W493" s="70" t="s">
        <v>177</v>
      </c>
      <c r="X493" s="70"/>
      <c r="Y493" s="70"/>
      <c r="Z493" s="70"/>
      <c r="AA493" s="455"/>
      <c r="AB493" s="293" t="s">
        <v>5</v>
      </c>
      <c r="AC493" s="319">
        <v>38973.199999999997</v>
      </c>
      <c r="AD493" s="300">
        <v>95895.7</v>
      </c>
      <c r="AE493" s="264">
        <v>0.1</v>
      </c>
      <c r="AF493" s="398">
        <v>93978.8</v>
      </c>
      <c r="AG493" s="394">
        <v>1</v>
      </c>
      <c r="AH493" s="781"/>
      <c r="AI493" s="781"/>
    </row>
    <row r="494" spans="1:35" s="267" customFormat="1" ht="15.75" thickBot="1" x14ac:dyDescent="0.3">
      <c r="A494" s="940"/>
      <c r="B494" s="294" t="s">
        <v>10</v>
      </c>
      <c r="C494" s="305">
        <f>C493/C486</f>
        <v>1.2894913140808826</v>
      </c>
      <c r="D494" s="292">
        <f t="shared" ref="D494:U494" si="255">D493/D486</f>
        <v>0.62475933235315417</v>
      </c>
      <c r="E494" s="310">
        <f t="shared" si="255"/>
        <v>0.62767144110919249</v>
      </c>
      <c r="F494" s="282">
        <f t="shared" si="255"/>
        <v>1.542655550476157</v>
      </c>
      <c r="G494" s="282">
        <f t="shared" si="255"/>
        <v>1.5891181872852491</v>
      </c>
      <c r="H494" s="282">
        <f t="shared" si="255"/>
        <v>3.4887512799613116</v>
      </c>
      <c r="I494" s="282">
        <f t="shared" si="255"/>
        <v>0.84327702279833838</v>
      </c>
      <c r="J494" s="377">
        <f t="shared" si="255"/>
        <v>0.11493493942406778</v>
      </c>
      <c r="K494" s="377">
        <f t="shared" si="255"/>
        <v>0.95774908128416769</v>
      </c>
      <c r="L494" s="311">
        <f t="shared" si="255"/>
        <v>7.0483098856533644E-2</v>
      </c>
      <c r="M494" s="310">
        <f t="shared" si="255"/>
        <v>1.42603155689997</v>
      </c>
      <c r="N494" s="282">
        <f t="shared" si="255"/>
        <v>2.7464474858267698</v>
      </c>
      <c r="O494" s="282">
        <f t="shared" si="255"/>
        <v>1.6490340712660738</v>
      </c>
      <c r="P494" s="260">
        <f t="shared" si="255"/>
        <v>0.92742994687313007</v>
      </c>
      <c r="Q494" s="377">
        <f t="shared" si="255"/>
        <v>0.41246230353961116</v>
      </c>
      <c r="R494" s="377">
        <f t="shared" si="255"/>
        <v>0.42212798494668258</v>
      </c>
      <c r="S494" s="311">
        <f t="shared" si="255"/>
        <v>0.46691137264739285</v>
      </c>
      <c r="T494" s="305">
        <f t="shared" si="255"/>
        <v>0.85712378741999229</v>
      </c>
      <c r="U494" s="292">
        <f t="shared" si="255"/>
        <v>0.92417216421631587</v>
      </c>
      <c r="V494" s="126"/>
      <c r="W494" s="70"/>
      <c r="X494" s="70"/>
      <c r="Y494" s="70"/>
      <c r="Z494" s="70"/>
      <c r="AA494" s="456"/>
      <c r="AB494" s="294" t="s">
        <v>3</v>
      </c>
      <c r="AC494" s="320">
        <f>AC493/AC492</f>
        <v>0.39999753678402516</v>
      </c>
      <c r="AD494" s="305">
        <f>AD493/AD492</f>
        <v>0.39368572043201455</v>
      </c>
      <c r="AE494" s="292">
        <f>AE493/AE492</f>
        <v>7.5717250585483648E-7</v>
      </c>
      <c r="AF494" s="399">
        <f>AF493/AF492</f>
        <v>0.32151565193621745</v>
      </c>
      <c r="AG494" s="343">
        <f>AG493/AG492</f>
        <v>7.5717193254506694E-6</v>
      </c>
      <c r="AH494" s="782"/>
      <c r="AI494" s="782"/>
    </row>
    <row r="495" spans="1:35" s="267" customFormat="1" ht="15.75" thickBot="1" x14ac:dyDescent="0.3">
      <c r="A495" s="924">
        <v>41498</v>
      </c>
      <c r="B495" s="924"/>
      <c r="C495" s="924"/>
      <c r="D495" s="276"/>
      <c r="E495" s="276"/>
      <c r="F495" s="276"/>
      <c r="G495" s="276"/>
      <c r="H495" s="276"/>
      <c r="I495" s="11"/>
      <c r="J495" s="281"/>
      <c r="K495" s="281"/>
      <c r="L495" s="276"/>
      <c r="M495" s="276"/>
      <c r="N495" s="13"/>
      <c r="R495" s="12"/>
      <c r="S495" s="70"/>
      <c r="T495" s="70"/>
      <c r="U495" s="70"/>
      <c r="V495" s="70"/>
      <c r="W495" s="70"/>
      <c r="X495" s="70"/>
      <c r="Y495" s="70"/>
      <c r="Z495" s="70"/>
      <c r="AA495" s="941"/>
      <c r="AB495" s="942"/>
      <c r="AH495" s="743"/>
      <c r="AI495" s="743"/>
    </row>
    <row r="496" spans="1:35" s="267" customFormat="1" x14ac:dyDescent="0.25">
      <c r="A496" s="925" t="s">
        <v>1</v>
      </c>
      <c r="B496" s="926"/>
      <c r="C496" s="297" t="s">
        <v>12</v>
      </c>
      <c r="D496" s="266" t="s">
        <v>12</v>
      </c>
      <c r="E496" s="297" t="s">
        <v>13</v>
      </c>
      <c r="F496" s="277" t="s">
        <v>13</v>
      </c>
      <c r="G496" s="277" t="s">
        <v>13</v>
      </c>
      <c r="H496" s="277" t="s">
        <v>13</v>
      </c>
      <c r="I496" s="277" t="s">
        <v>13</v>
      </c>
      <c r="J496" s="286" t="s">
        <v>13</v>
      </c>
      <c r="K496" s="286" t="s">
        <v>13</v>
      </c>
      <c r="L496" s="266" t="s">
        <v>13</v>
      </c>
      <c r="M496" s="297" t="s">
        <v>2</v>
      </c>
      <c r="N496" s="277" t="s">
        <v>2</v>
      </c>
      <c r="O496" s="286" t="s">
        <v>2</v>
      </c>
      <c r="P496" s="277" t="s">
        <v>2</v>
      </c>
      <c r="Q496" s="286" t="s">
        <v>2</v>
      </c>
      <c r="R496" s="286" t="s">
        <v>2</v>
      </c>
      <c r="S496" s="266" t="s">
        <v>2</v>
      </c>
      <c r="T496" s="328" t="s">
        <v>183</v>
      </c>
      <c r="U496" s="327" t="s">
        <v>183</v>
      </c>
      <c r="V496" s="12"/>
      <c r="W496" s="70"/>
      <c r="X496" s="70"/>
      <c r="Y496" s="70"/>
      <c r="Z496" s="70"/>
      <c r="AA496" s="925" t="s">
        <v>1</v>
      </c>
      <c r="AB496" s="928"/>
      <c r="AC496" s="452" t="s">
        <v>12</v>
      </c>
      <c r="AD496" s="929" t="s">
        <v>13</v>
      </c>
      <c r="AE496" s="930"/>
      <c r="AF496" s="929" t="s">
        <v>2</v>
      </c>
      <c r="AG496" s="930"/>
      <c r="AH496" s="778"/>
      <c r="AI496" s="778"/>
    </row>
    <row r="497" spans="1:35" s="267" customFormat="1" ht="15.75" thickBot="1" x14ac:dyDescent="0.3">
      <c r="A497" s="931" t="s">
        <v>0</v>
      </c>
      <c r="B497" s="944"/>
      <c r="C497" s="298" t="s">
        <v>99</v>
      </c>
      <c r="D497" s="291" t="s">
        <v>100</v>
      </c>
      <c r="E497" s="298" t="s">
        <v>101</v>
      </c>
      <c r="F497" s="306" t="s">
        <v>102</v>
      </c>
      <c r="G497" s="306" t="s">
        <v>97</v>
      </c>
      <c r="H497" s="306" t="s">
        <v>104</v>
      </c>
      <c r="I497" s="306" t="s">
        <v>103</v>
      </c>
      <c r="J497" s="378" t="s">
        <v>178</v>
      </c>
      <c r="K497" s="378" t="s">
        <v>200</v>
      </c>
      <c r="L497" s="314" t="s">
        <v>207</v>
      </c>
      <c r="M497" s="298" t="s">
        <v>105</v>
      </c>
      <c r="N497" s="306" t="s">
        <v>107</v>
      </c>
      <c r="O497" s="312" t="s">
        <v>98</v>
      </c>
      <c r="P497" s="313" t="s">
        <v>106</v>
      </c>
      <c r="Q497" s="312" t="s">
        <v>179</v>
      </c>
      <c r="R497" s="312" t="s">
        <v>199</v>
      </c>
      <c r="S497" s="291" t="s">
        <v>208</v>
      </c>
      <c r="T497" s="317" t="s">
        <v>182</v>
      </c>
      <c r="U497" s="291" t="s">
        <v>184</v>
      </c>
      <c r="V497" s="12"/>
      <c r="W497" s="12"/>
      <c r="X497" s="12"/>
      <c r="Y497" s="12"/>
      <c r="Z497" s="12"/>
      <c r="AA497" s="931" t="s">
        <v>0</v>
      </c>
      <c r="AB497" s="945"/>
      <c r="AC497" s="317" t="s">
        <v>99</v>
      </c>
      <c r="AD497" s="298" t="s">
        <v>104</v>
      </c>
      <c r="AE497" s="291" t="s">
        <v>207</v>
      </c>
      <c r="AF497" s="396" t="s">
        <v>107</v>
      </c>
      <c r="AG497" s="392" t="s">
        <v>208</v>
      </c>
      <c r="AH497" s="779"/>
      <c r="AI497" s="779"/>
    </row>
    <row r="498" spans="1:35" s="267" customFormat="1" ht="15" customHeight="1" x14ac:dyDescent="0.25">
      <c r="A498" s="935" t="s">
        <v>9</v>
      </c>
      <c r="B498" s="19" t="s">
        <v>4</v>
      </c>
      <c r="C498" s="299">
        <v>143393</v>
      </c>
      <c r="D498" s="265">
        <v>150516.70000000001</v>
      </c>
      <c r="E498" s="299">
        <v>150516.70000000001</v>
      </c>
      <c r="F498" s="283">
        <v>181998.8</v>
      </c>
      <c r="G498" s="283">
        <v>165453.5</v>
      </c>
      <c r="H498" s="283">
        <v>132132.9</v>
      </c>
      <c r="I498" s="283">
        <v>170968.6</v>
      </c>
      <c r="J498" s="223">
        <v>165453.5</v>
      </c>
      <c r="K498" s="223">
        <v>92411.6</v>
      </c>
      <c r="L498" s="265">
        <f>83196.1+132070.4</f>
        <v>215266.5</v>
      </c>
      <c r="M498" s="299">
        <v>193029.1</v>
      </c>
      <c r="N498" s="283">
        <v>132132.9</v>
      </c>
      <c r="O498" s="283">
        <v>82726.600000000006</v>
      </c>
      <c r="P498" s="283">
        <v>275755</v>
      </c>
      <c r="Q498" s="223">
        <v>82726.600000000006</v>
      </c>
      <c r="R498" s="223">
        <v>188981.6</v>
      </c>
      <c r="S498" s="265">
        <f>83196.1+132070.4</f>
        <v>215266.5</v>
      </c>
      <c r="T498" s="318">
        <v>55151</v>
      </c>
      <c r="U498" s="265">
        <v>33090.5</v>
      </c>
      <c r="V498" s="70"/>
      <c r="W498" s="70"/>
      <c r="X498" s="70"/>
      <c r="Y498" s="70"/>
      <c r="Z498" s="70"/>
      <c r="AA498" s="449" t="s">
        <v>195</v>
      </c>
      <c r="AB498" s="2" t="s">
        <v>4</v>
      </c>
      <c r="AC498" s="318">
        <v>143392.20000000001</v>
      </c>
      <c r="AD498" s="299">
        <v>132132</v>
      </c>
      <c r="AE498" s="265">
        <v>83196.100000000006</v>
      </c>
      <c r="AF498" s="397">
        <v>132132.20000000001</v>
      </c>
      <c r="AG498" s="393">
        <v>83196.100000000006</v>
      </c>
      <c r="AH498" s="780"/>
      <c r="AI498" s="780"/>
    </row>
    <row r="499" spans="1:35" s="267" customFormat="1" x14ac:dyDescent="0.25">
      <c r="A499" s="936"/>
      <c r="B499" s="293" t="s">
        <v>5</v>
      </c>
      <c r="C499" s="300">
        <v>45746.5</v>
      </c>
      <c r="D499" s="264">
        <v>79203.3</v>
      </c>
      <c r="E499" s="300">
        <v>80684.899999999994</v>
      </c>
      <c r="F499" s="307">
        <v>146273.5</v>
      </c>
      <c r="G499" s="307">
        <v>115836.9</v>
      </c>
      <c r="H499" s="307">
        <v>56759.1</v>
      </c>
      <c r="I499" s="307">
        <v>92658.3</v>
      </c>
      <c r="J499" s="374">
        <v>22900.3</v>
      </c>
      <c r="K499" s="374">
        <v>23639.4</v>
      </c>
      <c r="L499" s="264">
        <f>554.5+30.6</f>
        <v>585.1</v>
      </c>
      <c r="M499" s="300">
        <v>158648.5</v>
      </c>
      <c r="N499" s="307">
        <v>59678.3</v>
      </c>
      <c r="O499" s="307">
        <v>59465.1</v>
      </c>
      <c r="P499" s="307">
        <v>167883.3</v>
      </c>
      <c r="Q499" s="374">
        <v>11914.5</v>
      </c>
      <c r="R499" s="374">
        <v>40381</v>
      </c>
      <c r="S499" s="264">
        <f>17470.2+16507.7</f>
        <v>33977.9</v>
      </c>
      <c r="T499" s="319">
        <v>11881.3</v>
      </c>
      <c r="U499" s="264">
        <v>5777.7</v>
      </c>
      <c r="V499" s="70"/>
      <c r="W499" s="70"/>
      <c r="X499" s="70"/>
      <c r="Y499" s="70"/>
      <c r="Z499" s="70"/>
      <c r="AA499" s="450"/>
      <c r="AB499" s="342" t="s">
        <v>5</v>
      </c>
      <c r="AC499" s="319">
        <v>43401.8</v>
      </c>
      <c r="AD499" s="300">
        <v>58695.3</v>
      </c>
      <c r="AE499" s="264">
        <v>4.7</v>
      </c>
      <c r="AF499" s="398">
        <v>55118.9</v>
      </c>
      <c r="AG499" s="394">
        <v>4.5</v>
      </c>
      <c r="AH499" s="781"/>
      <c r="AI499" s="781"/>
    </row>
    <row r="500" spans="1:35" s="267" customFormat="1" ht="15.75" thickBot="1" x14ac:dyDescent="0.3">
      <c r="A500" s="937"/>
      <c r="B500" s="294" t="s">
        <v>3</v>
      </c>
      <c r="C500" s="305">
        <f t="shared" ref="C500:L500" si="256">C499/C498</f>
        <v>0.319028822885357</v>
      </c>
      <c r="D500" s="343">
        <f t="shared" si="256"/>
        <v>0.52620938407498963</v>
      </c>
      <c r="E500" s="305">
        <f t="shared" si="256"/>
        <v>0.53605281008685401</v>
      </c>
      <c r="F500" s="371">
        <f t="shared" si="256"/>
        <v>0.80370584860999084</v>
      </c>
      <c r="G500" s="278">
        <f t="shared" si="256"/>
        <v>0.70011755568785183</v>
      </c>
      <c r="H500" s="278">
        <f t="shared" si="256"/>
        <v>0.42956069230297678</v>
      </c>
      <c r="I500" s="278">
        <f t="shared" si="256"/>
        <v>0.54196092147914876</v>
      </c>
      <c r="J500" s="315">
        <f t="shared" si="256"/>
        <v>0.13840928115754578</v>
      </c>
      <c r="K500" s="315">
        <f t="shared" si="256"/>
        <v>0.25580554822121898</v>
      </c>
      <c r="L500" s="292">
        <f t="shared" si="256"/>
        <v>2.7180262604724844E-3</v>
      </c>
      <c r="M500" s="372">
        <f>M499/M498</f>
        <v>0.82188903123933121</v>
      </c>
      <c r="N500" s="278">
        <f>N499/N498</f>
        <v>0.45165360027669116</v>
      </c>
      <c r="O500" s="315">
        <f>O499/O498</f>
        <v>0.71881474640563003</v>
      </c>
      <c r="P500" s="278">
        <f>P499/P498</f>
        <v>0.60881325814581777</v>
      </c>
      <c r="Q500" s="315">
        <f>Q499/Q498</f>
        <v>0.14402259974421769</v>
      </c>
      <c r="R500" s="315">
        <f t="shared" ref="R500:S500" si="257">R499/R498</f>
        <v>0.21367688706202084</v>
      </c>
      <c r="S500" s="292">
        <f t="shared" si="257"/>
        <v>0.15784109464315163</v>
      </c>
      <c r="T500" s="320">
        <f>T499/T498</f>
        <v>0.21543217711374227</v>
      </c>
      <c r="U500" s="292">
        <f>U499/U498</f>
        <v>0.17460298272918209</v>
      </c>
      <c r="V500" s="70"/>
      <c r="W500" s="70"/>
      <c r="X500" s="70"/>
      <c r="Y500" s="70"/>
      <c r="Z500" s="70"/>
      <c r="AA500" s="451"/>
      <c r="AB500" s="347" t="s">
        <v>3</v>
      </c>
      <c r="AC500" s="395">
        <f>AC499/AC498</f>
        <v>0.302678946274623</v>
      </c>
      <c r="AD500" s="305">
        <f>AD499/AD498</f>
        <v>0.44421714648987376</v>
      </c>
      <c r="AE500" s="292">
        <f>AE499/AE498</f>
        <v>5.6493032726293656E-5</v>
      </c>
      <c r="AF500" s="399">
        <f>AF499/AF498</f>
        <v>0.41714964255495629</v>
      </c>
      <c r="AG500" s="343">
        <f>AG499/AG498</f>
        <v>5.4089073886876906E-5</v>
      </c>
      <c r="AH500" s="782"/>
      <c r="AI500" s="782"/>
    </row>
    <row r="501" spans="1:35" s="429" customFormat="1" ht="15" customHeight="1" x14ac:dyDescent="0.25">
      <c r="A501" s="938" t="s">
        <v>6</v>
      </c>
      <c r="B501" s="418" t="s">
        <v>7</v>
      </c>
      <c r="C501" s="419">
        <v>5870</v>
      </c>
      <c r="D501" s="420">
        <v>3333</v>
      </c>
      <c r="E501" s="419">
        <v>3330</v>
      </c>
      <c r="F501" s="421">
        <v>9457</v>
      </c>
      <c r="G501" s="421">
        <v>8432</v>
      </c>
      <c r="H501" s="421">
        <v>15703</v>
      </c>
      <c r="I501" s="421">
        <v>7403</v>
      </c>
      <c r="J501" s="423">
        <v>9599</v>
      </c>
      <c r="K501" s="423">
        <v>4073</v>
      </c>
      <c r="L501" s="420">
        <v>6399</v>
      </c>
      <c r="M501" s="419">
        <v>9092</v>
      </c>
      <c r="N501" s="421">
        <v>12295</v>
      </c>
      <c r="O501" s="421">
        <v>4356</v>
      </c>
      <c r="P501" s="421">
        <v>10027</v>
      </c>
      <c r="Q501" s="423">
        <v>4799</v>
      </c>
      <c r="R501" s="423">
        <v>7192</v>
      </c>
      <c r="S501" s="420">
        <v>6399</v>
      </c>
      <c r="T501" s="424">
        <v>2000</v>
      </c>
      <c r="U501" s="420">
        <v>1250</v>
      </c>
      <c r="V501" s="425" t="s">
        <v>198</v>
      </c>
      <c r="W501" s="426"/>
      <c r="X501" s="427"/>
      <c r="Y501" s="427"/>
      <c r="Z501" s="427"/>
      <c r="AA501" s="428" t="s">
        <v>191</v>
      </c>
      <c r="AB501" s="418" t="s">
        <v>4</v>
      </c>
      <c r="AC501" s="430">
        <v>9191.7999999999993</v>
      </c>
      <c r="AD501" s="431">
        <v>13787.7</v>
      </c>
      <c r="AE501" s="432">
        <v>8804.7999999999993</v>
      </c>
      <c r="AF501" s="433">
        <v>13787.7</v>
      </c>
      <c r="AG501" s="434">
        <v>8804.7999999999993</v>
      </c>
      <c r="AH501" s="783"/>
      <c r="AI501" s="783"/>
    </row>
    <row r="502" spans="1:35" s="267" customFormat="1" x14ac:dyDescent="0.25">
      <c r="A502" s="939"/>
      <c r="B502" s="295" t="s">
        <v>11</v>
      </c>
      <c r="C502" s="302">
        <f t="shared" ref="C502:L502" si="258">C501*33.717</f>
        <v>197918.78999999998</v>
      </c>
      <c r="D502" s="263">
        <f t="shared" si="258"/>
        <v>112378.761</v>
      </c>
      <c r="E502" s="302">
        <f t="shared" si="258"/>
        <v>112277.61</v>
      </c>
      <c r="F502" s="355">
        <f t="shared" si="258"/>
        <v>318861.66899999999</v>
      </c>
      <c r="G502" s="308">
        <f t="shared" si="258"/>
        <v>284301.74400000001</v>
      </c>
      <c r="H502" s="354">
        <f t="shared" si="258"/>
        <v>529458.05099999998</v>
      </c>
      <c r="I502" s="354">
        <f t="shared" si="258"/>
        <v>249606.951</v>
      </c>
      <c r="J502" s="355">
        <f t="shared" si="258"/>
        <v>323649.48300000001</v>
      </c>
      <c r="K502" s="375">
        <f t="shared" si="258"/>
        <v>137329.34099999999</v>
      </c>
      <c r="L502" s="263">
        <f t="shared" si="258"/>
        <v>215755.08299999998</v>
      </c>
      <c r="M502" s="322">
        <f>M501*33.717</f>
        <v>306554.96399999998</v>
      </c>
      <c r="N502" s="308">
        <f>N501*33.717</f>
        <v>414550.51499999996</v>
      </c>
      <c r="O502" s="308">
        <f>O501*33.717</f>
        <v>146871.25200000001</v>
      </c>
      <c r="P502" s="354">
        <f>P501*33.717</f>
        <v>338080.359</v>
      </c>
      <c r="Q502" s="355">
        <f>Q501*33.717</f>
        <v>161807.883</v>
      </c>
      <c r="R502" s="375">
        <f t="shared" ref="R502:S502" si="259">R501*33.717</f>
        <v>242492.66399999999</v>
      </c>
      <c r="S502" s="263">
        <f t="shared" si="259"/>
        <v>215755.08299999998</v>
      </c>
      <c r="T502" s="302">
        <f>T501*33.717</f>
        <v>67434</v>
      </c>
      <c r="U502" s="354">
        <f>U501*33.717</f>
        <v>42146.25</v>
      </c>
      <c r="V502" s="70"/>
      <c r="W502" s="70"/>
      <c r="X502" s="70"/>
      <c r="Y502" s="70"/>
      <c r="Z502" s="70"/>
      <c r="AA502" s="450"/>
      <c r="AB502" s="293" t="s">
        <v>5</v>
      </c>
      <c r="AC502" s="319">
        <v>8835</v>
      </c>
      <c r="AD502" s="300">
        <v>13648.9</v>
      </c>
      <c r="AE502" s="264">
        <v>0</v>
      </c>
      <c r="AF502" s="398">
        <v>13649.5</v>
      </c>
      <c r="AG502" s="394">
        <v>30</v>
      </c>
      <c r="AH502" s="781"/>
      <c r="AI502" s="781"/>
    </row>
    <row r="503" spans="1:35" s="267" customFormat="1" ht="15.75" thickBot="1" x14ac:dyDescent="0.3">
      <c r="A503" s="939"/>
      <c r="B503" s="295" t="s">
        <v>79</v>
      </c>
      <c r="C503" s="302">
        <v>164000</v>
      </c>
      <c r="D503" s="263">
        <v>109880</v>
      </c>
      <c r="E503" s="302">
        <v>109880</v>
      </c>
      <c r="F503" s="308">
        <v>328000</v>
      </c>
      <c r="G503" s="308">
        <v>330905</v>
      </c>
      <c r="H503" s="308">
        <v>264264</v>
      </c>
      <c r="I503" s="308">
        <v>242663.6</v>
      </c>
      <c r="J503" s="375">
        <v>328000</v>
      </c>
      <c r="K503" s="375">
        <v>328000</v>
      </c>
      <c r="L503" s="263">
        <v>328000</v>
      </c>
      <c r="M503" s="302">
        <v>328000</v>
      </c>
      <c r="N503" s="308">
        <v>264264.40000000002</v>
      </c>
      <c r="O503" s="308">
        <v>328000</v>
      </c>
      <c r="P503" s="308">
        <v>352965.4</v>
      </c>
      <c r="Q503" s="375">
        <v>328000</v>
      </c>
      <c r="R503" s="375">
        <v>328000</v>
      </c>
      <c r="S503" s="263">
        <v>328000</v>
      </c>
      <c r="T503" s="322">
        <f>2*T498</f>
        <v>110302</v>
      </c>
      <c r="U503" s="263">
        <f>2*U498</f>
        <v>66181</v>
      </c>
      <c r="V503" s="70"/>
      <c r="W503" s="70"/>
      <c r="X503" s="70"/>
      <c r="Y503" s="70"/>
      <c r="Z503" s="70"/>
      <c r="AA503" s="451"/>
      <c r="AB503" s="344" t="s">
        <v>3</v>
      </c>
      <c r="AC503" s="395">
        <f>AC502/AC501</f>
        <v>0.96118279335929857</v>
      </c>
      <c r="AD503" s="301">
        <f>AD502/AD501</f>
        <v>0.98993305627479555</v>
      </c>
      <c r="AE503" s="401">
        <f>AE502/AE501</f>
        <v>0</v>
      </c>
      <c r="AF503" s="400">
        <f>AF502/AF501</f>
        <v>0.98997657332259903</v>
      </c>
      <c r="AG503" s="348">
        <f>AG502/AG501</f>
        <v>3.4072324186807199E-3</v>
      </c>
      <c r="AH503" s="782"/>
      <c r="AI503" s="782"/>
    </row>
    <row r="504" spans="1:35" s="267" customFormat="1" ht="15" customHeight="1" x14ac:dyDescent="0.25">
      <c r="A504" s="939"/>
      <c r="B504" s="293" t="s">
        <v>8</v>
      </c>
      <c r="C504" s="303">
        <f>SUM(C501-401)</f>
        <v>5469</v>
      </c>
      <c r="D504" s="262">
        <f>SUM(D501-562)</f>
        <v>2771</v>
      </c>
      <c r="E504" s="303">
        <f>SUM(E501-528)</f>
        <v>2802</v>
      </c>
      <c r="F504" s="309">
        <f>SUM(F501-1187)</f>
        <v>8270</v>
      </c>
      <c r="G504" s="309">
        <f>SUM(G501-4533)</f>
        <v>3899</v>
      </c>
      <c r="H504" s="309">
        <f>SUM(H501-2114)</f>
        <v>13589</v>
      </c>
      <c r="I504" s="309">
        <f>SUM(I501-(3157-2000))</f>
        <v>6246</v>
      </c>
      <c r="J504" s="316">
        <f>SUM(J501-9051)</f>
        <v>548</v>
      </c>
      <c r="K504" s="316">
        <f>SUM(K501-2266)</f>
        <v>1807</v>
      </c>
      <c r="L504" s="262">
        <f>SUM(L501-6055)</f>
        <v>344</v>
      </c>
      <c r="M504" s="303">
        <f>SUM(M501-928)</f>
        <v>8164</v>
      </c>
      <c r="N504" s="309">
        <f>SUM(N501-1570)</f>
        <v>10725</v>
      </c>
      <c r="O504" s="316">
        <f>SUM(O501-310)</f>
        <v>4046</v>
      </c>
      <c r="P504" s="309">
        <f>SUM(P501-(5086-2614))</f>
        <v>7555</v>
      </c>
      <c r="Q504" s="316">
        <f>SUM(Q501-3803)</f>
        <v>996</v>
      </c>
      <c r="R504" s="316">
        <f>SUM(R501-5270)</f>
        <v>1922</v>
      </c>
      <c r="S504" s="262">
        <f>SUM(S501-3561)</f>
        <v>2838</v>
      </c>
      <c r="T504" s="323">
        <f>SUM(T501-886)</f>
        <v>1114</v>
      </c>
      <c r="U504" s="262">
        <f>SUM(U501-727)</f>
        <v>523</v>
      </c>
      <c r="V504" s="12" t="s">
        <v>176</v>
      </c>
      <c r="W504" s="70"/>
      <c r="X504" s="70"/>
      <c r="Y504" s="70"/>
      <c r="Z504" s="70"/>
      <c r="AA504" s="449" t="s">
        <v>192</v>
      </c>
      <c r="AB504" s="19" t="s">
        <v>4</v>
      </c>
      <c r="AC504" s="318">
        <v>97433.600000000006</v>
      </c>
      <c r="AD504" s="299">
        <v>243584.4</v>
      </c>
      <c r="AE504" s="265">
        <v>132070.29999999999</v>
      </c>
      <c r="AF504" s="397">
        <v>292299.3</v>
      </c>
      <c r="AG504" s="393">
        <v>132070.39999999999</v>
      </c>
      <c r="AH504" s="780"/>
      <c r="AI504" s="780"/>
    </row>
    <row r="505" spans="1:35" s="267" customFormat="1" x14ac:dyDescent="0.25">
      <c r="A505" s="939"/>
      <c r="B505" s="296" t="s">
        <v>77</v>
      </c>
      <c r="C505" s="302">
        <f>(C504*33.717)</f>
        <v>184398.27299999999</v>
      </c>
      <c r="D505" s="338">
        <f>(D504*33.717)</f>
        <v>93429.807000000001</v>
      </c>
      <c r="E505" s="302">
        <f>(E504*33.717)</f>
        <v>94475.034</v>
      </c>
      <c r="F505" s="338">
        <f>(F504*33.717)</f>
        <v>278839.58999999997</v>
      </c>
      <c r="G505" s="280">
        <f>(G504*33.717)*2</f>
        <v>262925.16599999997</v>
      </c>
      <c r="H505" s="280">
        <f>(H504*33.717)</f>
        <v>458180.31299999997</v>
      </c>
      <c r="I505" s="280">
        <f>(I504*33.717)-(2000*33.717)</f>
        <v>143162.38199999998</v>
      </c>
      <c r="J505" s="376">
        <f>J504*33.717</f>
        <v>18476.916000000001</v>
      </c>
      <c r="K505" s="376">
        <f>K504*33.717</f>
        <v>60926.618999999999</v>
      </c>
      <c r="L505" s="261">
        <f>L504*33.717</f>
        <v>11598.647999999999</v>
      </c>
      <c r="M505" s="304">
        <f>M504*33.717</f>
        <v>275265.58799999999</v>
      </c>
      <c r="N505" s="280">
        <f>N504*33.717</f>
        <v>361614.82500000001</v>
      </c>
      <c r="O505" s="280">
        <f>(O504*33.717)</f>
        <v>136418.98199999999</v>
      </c>
      <c r="P505" s="280">
        <f t="shared" ref="P505:U505" si="260">P504*33.717</f>
        <v>254731.935</v>
      </c>
      <c r="Q505" s="376">
        <f t="shared" si="260"/>
        <v>33582.131999999998</v>
      </c>
      <c r="R505" s="376">
        <f t="shared" si="260"/>
        <v>64804.074000000001</v>
      </c>
      <c r="S505" s="261">
        <f t="shared" si="260"/>
        <v>95688.84599999999</v>
      </c>
      <c r="T505" s="324">
        <f t="shared" si="260"/>
        <v>37560.737999999998</v>
      </c>
      <c r="U505" s="325">
        <f t="shared" si="260"/>
        <v>17633.990999999998</v>
      </c>
      <c r="V505" s="63">
        <f>344240-H505</f>
        <v>-113940.31299999997</v>
      </c>
      <c r="W505" s="70" t="s">
        <v>177</v>
      </c>
      <c r="X505" s="70"/>
      <c r="Y505" s="70"/>
      <c r="Z505" s="70"/>
      <c r="AA505" s="450"/>
      <c r="AB505" s="293" t="s">
        <v>5</v>
      </c>
      <c r="AC505" s="319">
        <v>38973.199999999997</v>
      </c>
      <c r="AD505" s="300">
        <v>95895.7</v>
      </c>
      <c r="AE505" s="264">
        <v>0.1</v>
      </c>
      <c r="AF505" s="398">
        <v>93978.8</v>
      </c>
      <c r="AG505" s="394">
        <v>1</v>
      </c>
      <c r="AH505" s="781"/>
      <c r="AI505" s="781"/>
    </row>
    <row r="506" spans="1:35" s="267" customFormat="1" ht="15.75" thickBot="1" x14ac:dyDescent="0.3">
      <c r="A506" s="940"/>
      <c r="B506" s="294" t="s">
        <v>10</v>
      </c>
      <c r="C506" s="305">
        <f>C505/C498</f>
        <v>1.2859642590642499</v>
      </c>
      <c r="D506" s="292">
        <f t="shared" ref="D506:U506" si="261">D505/D498</f>
        <v>0.62072718176787023</v>
      </c>
      <c r="E506" s="310">
        <f t="shared" si="261"/>
        <v>0.62767144110919249</v>
      </c>
      <c r="F506" s="282">
        <f t="shared" si="261"/>
        <v>1.532095761070952</v>
      </c>
      <c r="G506" s="282">
        <f t="shared" si="261"/>
        <v>1.5891181872852491</v>
      </c>
      <c r="H506" s="282">
        <f t="shared" si="261"/>
        <v>3.4675717629750045</v>
      </c>
      <c r="I506" s="282">
        <f t="shared" si="261"/>
        <v>0.83736067324643226</v>
      </c>
      <c r="J506" s="377">
        <f t="shared" si="261"/>
        <v>0.11167437376664743</v>
      </c>
      <c r="K506" s="377">
        <f t="shared" si="261"/>
        <v>0.6592962247163775</v>
      </c>
      <c r="L506" s="311">
        <f t="shared" si="261"/>
        <v>5.388041334810572E-2</v>
      </c>
      <c r="M506" s="310">
        <f t="shared" si="261"/>
        <v>1.42603155689997</v>
      </c>
      <c r="N506" s="282">
        <f t="shared" si="261"/>
        <v>2.7367508394956896</v>
      </c>
      <c r="O506" s="282">
        <f t="shared" si="261"/>
        <v>1.6490340712660738</v>
      </c>
      <c r="P506" s="260">
        <f t="shared" si="261"/>
        <v>0.9237617994234012</v>
      </c>
      <c r="Q506" s="377">
        <f t="shared" si="261"/>
        <v>0.40594116040064498</v>
      </c>
      <c r="R506" s="377">
        <f t="shared" si="261"/>
        <v>0.34291208244612176</v>
      </c>
      <c r="S506" s="311">
        <f t="shared" si="261"/>
        <v>0.44451341012187212</v>
      </c>
      <c r="T506" s="305">
        <f t="shared" si="261"/>
        <v>0.68105270983300392</v>
      </c>
      <c r="U506" s="292">
        <f t="shared" si="261"/>
        <v>0.53290192049077523</v>
      </c>
      <c r="V506" s="126"/>
      <c r="W506" s="70"/>
      <c r="X506" s="70"/>
      <c r="Y506" s="70"/>
      <c r="Z506" s="70"/>
      <c r="AA506" s="451"/>
      <c r="AB506" s="294" t="s">
        <v>3</v>
      </c>
      <c r="AC506" s="320">
        <f>AC505/AC504</f>
        <v>0.39999753678402516</v>
      </c>
      <c r="AD506" s="305">
        <f>AD505/AD504</f>
        <v>0.39368572043201455</v>
      </c>
      <c r="AE506" s="292">
        <f>AE505/AE504</f>
        <v>7.5717250585483648E-7</v>
      </c>
      <c r="AF506" s="399">
        <f>AF505/AF504</f>
        <v>0.32151565193621745</v>
      </c>
      <c r="AG506" s="343">
        <f>AG505/AG504</f>
        <v>7.5717193254506694E-6</v>
      </c>
      <c r="AH506" s="782"/>
      <c r="AI506" s="782"/>
    </row>
    <row r="507" spans="1:35" s="267" customFormat="1" ht="15.75" thickBot="1" x14ac:dyDescent="0.3">
      <c r="A507" s="924">
        <v>41491</v>
      </c>
      <c r="B507" s="924"/>
      <c r="C507" s="924"/>
      <c r="D507" s="276"/>
      <c r="E507" s="276"/>
      <c r="F507" s="276"/>
      <c r="G507" s="276"/>
      <c r="H507" s="276"/>
      <c r="I507" s="11"/>
      <c r="J507" s="281"/>
      <c r="K507" s="281"/>
      <c r="L507" s="276"/>
      <c r="M507" s="276"/>
      <c r="N507" s="13"/>
      <c r="R507" s="12"/>
      <c r="S507" s="70"/>
      <c r="T507" s="70"/>
      <c r="U507" s="70"/>
      <c r="V507" s="70"/>
      <c r="W507" s="70"/>
      <c r="X507" s="70"/>
      <c r="Y507" s="70"/>
      <c r="Z507" s="70"/>
      <c r="AA507" s="941"/>
      <c r="AB507" s="942"/>
      <c r="AH507" s="743"/>
      <c r="AI507" s="743"/>
    </row>
    <row r="508" spans="1:35" s="267" customFormat="1" x14ac:dyDescent="0.25">
      <c r="A508" s="925" t="s">
        <v>1</v>
      </c>
      <c r="B508" s="926"/>
      <c r="C508" s="297" t="s">
        <v>12</v>
      </c>
      <c r="D508" s="266" t="s">
        <v>12</v>
      </c>
      <c r="E508" s="297" t="s">
        <v>13</v>
      </c>
      <c r="F508" s="277" t="s">
        <v>13</v>
      </c>
      <c r="G508" s="277" t="s">
        <v>13</v>
      </c>
      <c r="H508" s="277" t="s">
        <v>13</v>
      </c>
      <c r="I508" s="277" t="s">
        <v>13</v>
      </c>
      <c r="J508" s="286" t="s">
        <v>13</v>
      </c>
      <c r="K508" s="286" t="s">
        <v>13</v>
      </c>
      <c r="L508" s="266" t="s">
        <v>13</v>
      </c>
      <c r="M508" s="297" t="s">
        <v>2</v>
      </c>
      <c r="N508" s="277" t="s">
        <v>2</v>
      </c>
      <c r="O508" s="286" t="s">
        <v>2</v>
      </c>
      <c r="P508" s="277" t="s">
        <v>2</v>
      </c>
      <c r="Q508" s="286" t="s">
        <v>2</v>
      </c>
      <c r="R508" s="286" t="s">
        <v>2</v>
      </c>
      <c r="S508" s="266" t="s">
        <v>2</v>
      </c>
      <c r="T508" s="328" t="s">
        <v>183</v>
      </c>
      <c r="U508" s="327" t="s">
        <v>183</v>
      </c>
      <c r="V508" s="12"/>
      <c r="W508" s="70"/>
      <c r="X508" s="70"/>
      <c r="Y508" s="70"/>
      <c r="Z508" s="70"/>
      <c r="AA508" s="925" t="s">
        <v>1</v>
      </c>
      <c r="AB508" s="928"/>
      <c r="AC508" s="442" t="s">
        <v>12</v>
      </c>
      <c r="AD508" s="929" t="s">
        <v>13</v>
      </c>
      <c r="AE508" s="930"/>
      <c r="AF508" s="929" t="s">
        <v>2</v>
      </c>
      <c r="AG508" s="930"/>
      <c r="AH508" s="778"/>
      <c r="AI508" s="778"/>
    </row>
    <row r="509" spans="1:35" s="267" customFormat="1" ht="15.75" thickBot="1" x14ac:dyDescent="0.3">
      <c r="A509" s="931" t="s">
        <v>0</v>
      </c>
      <c r="B509" s="944"/>
      <c r="C509" s="298" t="s">
        <v>99</v>
      </c>
      <c r="D509" s="291" t="s">
        <v>100</v>
      </c>
      <c r="E509" s="298" t="s">
        <v>101</v>
      </c>
      <c r="F509" s="306" t="s">
        <v>102</v>
      </c>
      <c r="G509" s="306" t="s">
        <v>97</v>
      </c>
      <c r="H509" s="306" t="s">
        <v>104</v>
      </c>
      <c r="I509" s="306" t="s">
        <v>103</v>
      </c>
      <c r="J509" s="378" t="s">
        <v>178</v>
      </c>
      <c r="K509" s="378" t="s">
        <v>200</v>
      </c>
      <c r="L509" s="314" t="s">
        <v>207</v>
      </c>
      <c r="M509" s="298" t="s">
        <v>105</v>
      </c>
      <c r="N509" s="306" t="s">
        <v>107</v>
      </c>
      <c r="O509" s="312" t="s">
        <v>98</v>
      </c>
      <c r="P509" s="313" t="s">
        <v>106</v>
      </c>
      <c r="Q509" s="312" t="s">
        <v>179</v>
      </c>
      <c r="R509" s="312" t="s">
        <v>199</v>
      </c>
      <c r="S509" s="291" t="s">
        <v>208</v>
      </c>
      <c r="T509" s="317" t="s">
        <v>182</v>
      </c>
      <c r="U509" s="291" t="s">
        <v>184</v>
      </c>
      <c r="V509" s="12"/>
      <c r="W509" s="12"/>
      <c r="X509" s="12"/>
      <c r="Y509" s="12"/>
      <c r="Z509" s="12"/>
      <c r="AA509" s="931" t="s">
        <v>0</v>
      </c>
      <c r="AB509" s="945"/>
      <c r="AC509" s="317" t="s">
        <v>99</v>
      </c>
      <c r="AD509" s="298" t="s">
        <v>104</v>
      </c>
      <c r="AE509" s="291" t="s">
        <v>207</v>
      </c>
      <c r="AF509" s="396" t="s">
        <v>107</v>
      </c>
      <c r="AG509" s="392" t="s">
        <v>208</v>
      </c>
      <c r="AH509" s="779"/>
      <c r="AI509" s="779"/>
    </row>
    <row r="510" spans="1:35" s="267" customFormat="1" ht="15" customHeight="1" x14ac:dyDescent="0.25">
      <c r="A510" s="935" t="s">
        <v>9</v>
      </c>
      <c r="B510" s="19" t="s">
        <v>4</v>
      </c>
      <c r="C510" s="299">
        <v>143393</v>
      </c>
      <c r="D510" s="265">
        <v>150516.70000000001</v>
      </c>
      <c r="E510" s="299">
        <v>150516.70000000001</v>
      </c>
      <c r="F510" s="283">
        <v>181998.8</v>
      </c>
      <c r="G510" s="283">
        <v>165453.5</v>
      </c>
      <c r="H510" s="283">
        <v>132132.9</v>
      </c>
      <c r="I510" s="283">
        <v>170968.6</v>
      </c>
      <c r="J510" s="223">
        <v>165453.5</v>
      </c>
      <c r="K510" s="223">
        <v>92411.6</v>
      </c>
      <c r="L510" s="265">
        <f>83196.1+132070.4</f>
        <v>215266.5</v>
      </c>
      <c r="M510" s="299">
        <v>193029.1</v>
      </c>
      <c r="N510" s="283">
        <v>132132.9</v>
      </c>
      <c r="O510" s="283">
        <v>82726.600000000006</v>
      </c>
      <c r="P510" s="283">
        <v>275755</v>
      </c>
      <c r="Q510" s="223">
        <v>82726.600000000006</v>
      </c>
      <c r="R510" s="223">
        <v>188981.6</v>
      </c>
      <c r="S510" s="265">
        <f>83196.1+132070.4</f>
        <v>215266.5</v>
      </c>
      <c r="T510" s="318">
        <v>55151</v>
      </c>
      <c r="U510" s="265">
        <v>33090.5</v>
      </c>
      <c r="V510" s="70"/>
      <c r="W510" s="70"/>
      <c r="X510" s="70"/>
      <c r="Y510" s="70"/>
      <c r="Z510" s="70"/>
      <c r="AA510" s="439" t="s">
        <v>195</v>
      </c>
      <c r="AB510" s="2" t="s">
        <v>4</v>
      </c>
      <c r="AC510" s="318">
        <v>143392.20000000001</v>
      </c>
      <c r="AD510" s="299">
        <v>132132</v>
      </c>
      <c r="AE510" s="265">
        <v>83196.100000000006</v>
      </c>
      <c r="AF510" s="397">
        <v>132132.20000000001</v>
      </c>
      <c r="AG510" s="393">
        <v>83196.100000000006</v>
      </c>
      <c r="AH510" s="780"/>
      <c r="AI510" s="780"/>
    </row>
    <row r="511" spans="1:35" s="267" customFormat="1" x14ac:dyDescent="0.25">
      <c r="A511" s="936"/>
      <c r="B511" s="293" t="s">
        <v>5</v>
      </c>
      <c r="C511" s="300">
        <v>45618.2</v>
      </c>
      <c r="D511" s="264">
        <v>79129.3</v>
      </c>
      <c r="E511" s="300">
        <v>80610.3</v>
      </c>
      <c r="F511" s="307">
        <v>145565.20000000001</v>
      </c>
      <c r="G511" s="307">
        <v>114713.8</v>
      </c>
      <c r="H511" s="307">
        <v>56908.4</v>
      </c>
      <c r="I511" s="307">
        <v>92262.7</v>
      </c>
      <c r="J511" s="374">
        <v>22712.1</v>
      </c>
      <c r="K511" s="374">
        <v>23455.8</v>
      </c>
      <c r="L511" s="264">
        <f>552.9+30.3</f>
        <v>583.19999999999993</v>
      </c>
      <c r="M511" s="300">
        <v>158355.6</v>
      </c>
      <c r="N511" s="307">
        <v>62993.2</v>
      </c>
      <c r="O511" s="307">
        <v>58902.9</v>
      </c>
      <c r="P511" s="307">
        <v>167159.20000000001</v>
      </c>
      <c r="Q511" s="374">
        <v>11817.6</v>
      </c>
      <c r="R511" s="374">
        <v>40122</v>
      </c>
      <c r="S511" s="264">
        <f>34425.4+655.7</f>
        <v>35081.1</v>
      </c>
      <c r="T511" s="319">
        <v>11819.8</v>
      </c>
      <c r="U511" s="264">
        <v>5722.2</v>
      </c>
      <c r="V511" s="70"/>
      <c r="W511" s="70"/>
      <c r="X511" s="70"/>
      <c r="Y511" s="70"/>
      <c r="Z511" s="70"/>
      <c r="AA511" s="440"/>
      <c r="AB511" s="342" t="s">
        <v>5</v>
      </c>
      <c r="AC511" s="319">
        <v>43401.8</v>
      </c>
      <c r="AD511" s="300">
        <v>58695.3</v>
      </c>
      <c r="AE511" s="264">
        <v>4.7</v>
      </c>
      <c r="AF511" s="398">
        <v>55118.9</v>
      </c>
      <c r="AG511" s="394">
        <v>4.5</v>
      </c>
      <c r="AH511" s="781"/>
      <c r="AI511" s="781"/>
    </row>
    <row r="512" spans="1:35" s="267" customFormat="1" ht="15.75" thickBot="1" x14ac:dyDescent="0.3">
      <c r="A512" s="937"/>
      <c r="B512" s="294" t="s">
        <v>3</v>
      </c>
      <c r="C512" s="305">
        <f t="shared" ref="C512:L512" si="262">C511/C510</f>
        <v>0.3181340790694106</v>
      </c>
      <c r="D512" s="343">
        <f t="shared" si="262"/>
        <v>0.52571774427688089</v>
      </c>
      <c r="E512" s="305">
        <f t="shared" si="262"/>
        <v>0.53555718402011199</v>
      </c>
      <c r="F512" s="371">
        <f t="shared" si="262"/>
        <v>0.79981406470811911</v>
      </c>
      <c r="G512" s="278">
        <f t="shared" si="262"/>
        <v>0.69332954576361339</v>
      </c>
      <c r="H512" s="278">
        <f t="shared" si="262"/>
        <v>0.43069061528203806</v>
      </c>
      <c r="I512" s="278">
        <f t="shared" si="262"/>
        <v>0.53964704629972982</v>
      </c>
      <c r="J512" s="315">
        <f t="shared" si="262"/>
        <v>0.1372718014427014</v>
      </c>
      <c r="K512" s="315">
        <f t="shared" si="262"/>
        <v>0.25381878465474028</v>
      </c>
      <c r="L512" s="292">
        <f t="shared" si="262"/>
        <v>2.7091999916382713E-3</v>
      </c>
      <c r="M512" s="372">
        <f>M511/M510</f>
        <v>0.82037164344650626</v>
      </c>
      <c r="N512" s="278">
        <f>N511/N510</f>
        <v>0.47674122039249878</v>
      </c>
      <c r="O512" s="315">
        <f>O511/O510</f>
        <v>0.71201886696661043</v>
      </c>
      <c r="P512" s="278">
        <f>P511/P510</f>
        <v>0.60618737647549459</v>
      </c>
      <c r="Q512" s="315">
        <f>Q511/Q510</f>
        <v>0.14285127153781249</v>
      </c>
      <c r="R512" s="315">
        <f t="shared" ref="R512:S512" si="263">R511/R510</f>
        <v>0.21230638326694237</v>
      </c>
      <c r="S512" s="292">
        <f t="shared" si="263"/>
        <v>0.16296590505257436</v>
      </c>
      <c r="T512" s="320">
        <f>T511/T510</f>
        <v>0.21431705680767346</v>
      </c>
      <c r="U512" s="292">
        <f>U511/U510</f>
        <v>0.17292576419213973</v>
      </c>
      <c r="V512" s="70"/>
      <c r="W512" s="70"/>
      <c r="X512" s="70"/>
      <c r="Y512" s="70"/>
      <c r="Z512" s="70"/>
      <c r="AA512" s="441"/>
      <c r="AB512" s="347" t="s">
        <v>3</v>
      </c>
      <c r="AC512" s="395">
        <f>AC511/AC510</f>
        <v>0.302678946274623</v>
      </c>
      <c r="AD512" s="305">
        <f>AD511/AD510</f>
        <v>0.44421714648987376</v>
      </c>
      <c r="AE512" s="292">
        <f>AE511/AE510</f>
        <v>5.6493032726293656E-5</v>
      </c>
      <c r="AF512" s="399">
        <f>AF511/AF510</f>
        <v>0.41714964255495629</v>
      </c>
      <c r="AG512" s="343">
        <f>AG511/AG510</f>
        <v>5.4089073886876906E-5</v>
      </c>
      <c r="AH512" s="782"/>
      <c r="AI512" s="782"/>
    </row>
    <row r="513" spans="1:35" s="429" customFormat="1" ht="15" customHeight="1" x14ac:dyDescent="0.25">
      <c r="A513" s="938" t="s">
        <v>6</v>
      </c>
      <c r="B513" s="418" t="s">
        <v>7</v>
      </c>
      <c r="C513" s="419">
        <v>5870</v>
      </c>
      <c r="D513" s="420">
        <v>3333</v>
      </c>
      <c r="E513" s="419">
        <v>3330</v>
      </c>
      <c r="F513" s="421">
        <v>9457</v>
      </c>
      <c r="G513" s="422">
        <v>8432</v>
      </c>
      <c r="H513" s="421">
        <v>15703</v>
      </c>
      <c r="I513" s="421">
        <v>7403</v>
      </c>
      <c r="J513" s="423">
        <v>9599</v>
      </c>
      <c r="K513" s="423">
        <v>4073</v>
      </c>
      <c r="L513" s="420">
        <v>6399</v>
      </c>
      <c r="M513" s="419">
        <v>9092</v>
      </c>
      <c r="N513" s="421">
        <v>12295</v>
      </c>
      <c r="O513" s="422">
        <v>4356</v>
      </c>
      <c r="P513" s="421">
        <v>10027</v>
      </c>
      <c r="Q513" s="423">
        <v>4799</v>
      </c>
      <c r="R513" s="423">
        <v>7192</v>
      </c>
      <c r="S513" s="420">
        <v>6399</v>
      </c>
      <c r="T513" s="424">
        <v>2000</v>
      </c>
      <c r="U513" s="420">
        <v>1250</v>
      </c>
      <c r="V513" s="425" t="s">
        <v>198</v>
      </c>
      <c r="W513" s="426"/>
      <c r="X513" s="427"/>
      <c r="Y513" s="427"/>
      <c r="Z513" s="427"/>
      <c r="AA513" s="428" t="s">
        <v>191</v>
      </c>
      <c r="AB513" s="418" t="s">
        <v>4</v>
      </c>
      <c r="AC513" s="430">
        <v>9191.7999999999993</v>
      </c>
      <c r="AD513" s="431">
        <v>13787.7</v>
      </c>
      <c r="AE513" s="432">
        <v>8804.7999999999993</v>
      </c>
      <c r="AF513" s="433">
        <v>13787.7</v>
      </c>
      <c r="AG513" s="434">
        <v>8804.7999999999993</v>
      </c>
      <c r="AH513" s="783"/>
      <c r="AI513" s="783"/>
    </row>
    <row r="514" spans="1:35" s="267" customFormat="1" x14ac:dyDescent="0.25">
      <c r="A514" s="939"/>
      <c r="B514" s="295" t="s">
        <v>11</v>
      </c>
      <c r="C514" s="302">
        <f t="shared" ref="C514:L514" si="264">C513*33.717</f>
        <v>197918.78999999998</v>
      </c>
      <c r="D514" s="263">
        <f t="shared" si="264"/>
        <v>112378.761</v>
      </c>
      <c r="E514" s="302">
        <f t="shared" si="264"/>
        <v>112277.61</v>
      </c>
      <c r="F514" s="355">
        <f t="shared" si="264"/>
        <v>318861.66899999999</v>
      </c>
      <c r="G514" s="308">
        <f t="shared" si="264"/>
        <v>284301.74400000001</v>
      </c>
      <c r="H514" s="354">
        <f t="shared" si="264"/>
        <v>529458.05099999998</v>
      </c>
      <c r="I514" s="354">
        <f t="shared" si="264"/>
        <v>249606.951</v>
      </c>
      <c r="J514" s="355">
        <f t="shared" si="264"/>
        <v>323649.48300000001</v>
      </c>
      <c r="K514" s="375">
        <f t="shared" si="264"/>
        <v>137329.34099999999</v>
      </c>
      <c r="L514" s="263">
        <f t="shared" si="264"/>
        <v>215755.08299999998</v>
      </c>
      <c r="M514" s="322">
        <f>M513*33.717</f>
        <v>306554.96399999998</v>
      </c>
      <c r="N514" s="308">
        <f>N513*33.717</f>
        <v>414550.51499999996</v>
      </c>
      <c r="O514" s="308">
        <f>O513*33.717</f>
        <v>146871.25200000001</v>
      </c>
      <c r="P514" s="354">
        <f>P513*33.717</f>
        <v>338080.359</v>
      </c>
      <c r="Q514" s="355">
        <f>Q513*33.717</f>
        <v>161807.883</v>
      </c>
      <c r="R514" s="375">
        <f t="shared" ref="R514:S514" si="265">R513*33.717</f>
        <v>242492.66399999999</v>
      </c>
      <c r="S514" s="263">
        <f t="shared" si="265"/>
        <v>215755.08299999998</v>
      </c>
      <c r="T514" s="302">
        <f>T513*33.717</f>
        <v>67434</v>
      </c>
      <c r="U514" s="354">
        <f>U513*33.717</f>
        <v>42146.25</v>
      </c>
      <c r="V514" s="70"/>
      <c r="W514" s="70"/>
      <c r="X514" s="70"/>
      <c r="Y514" s="70"/>
      <c r="Z514" s="70"/>
      <c r="AA514" s="440"/>
      <c r="AB514" s="293" t="s">
        <v>5</v>
      </c>
      <c r="AC514" s="319">
        <v>8835</v>
      </c>
      <c r="AD514" s="300">
        <v>13648.9</v>
      </c>
      <c r="AE514" s="264">
        <v>0</v>
      </c>
      <c r="AF514" s="398">
        <v>13649.5</v>
      </c>
      <c r="AG514" s="394">
        <v>30</v>
      </c>
      <c r="AH514" s="781"/>
      <c r="AI514" s="781"/>
    </row>
    <row r="515" spans="1:35" s="267" customFormat="1" ht="15.75" thickBot="1" x14ac:dyDescent="0.3">
      <c r="A515" s="939"/>
      <c r="B515" s="295" t="s">
        <v>79</v>
      </c>
      <c r="C515" s="302">
        <v>164000</v>
      </c>
      <c r="D515" s="263">
        <v>109880</v>
      </c>
      <c r="E515" s="302">
        <v>109880</v>
      </c>
      <c r="F515" s="308">
        <v>328000</v>
      </c>
      <c r="G515" s="308">
        <v>330905</v>
      </c>
      <c r="H515" s="308">
        <v>264264</v>
      </c>
      <c r="I515" s="308">
        <v>242663.6</v>
      </c>
      <c r="J515" s="375">
        <v>328000</v>
      </c>
      <c r="K515" s="375">
        <v>328000</v>
      </c>
      <c r="L515" s="263">
        <v>328000</v>
      </c>
      <c r="M515" s="302">
        <v>328000</v>
      </c>
      <c r="N515" s="308">
        <v>264264.40000000002</v>
      </c>
      <c r="O515" s="308">
        <v>328000</v>
      </c>
      <c r="P515" s="308">
        <v>352965.4</v>
      </c>
      <c r="Q515" s="375">
        <v>328000</v>
      </c>
      <c r="R515" s="375">
        <v>328000</v>
      </c>
      <c r="S515" s="263">
        <v>328000</v>
      </c>
      <c r="T515" s="322">
        <f>2*T510</f>
        <v>110302</v>
      </c>
      <c r="U515" s="263">
        <f>2*U510</f>
        <v>66181</v>
      </c>
      <c r="V515" s="70"/>
      <c r="W515" s="70"/>
      <c r="X515" s="70"/>
      <c r="Y515" s="70"/>
      <c r="Z515" s="70"/>
      <c r="AA515" s="441"/>
      <c r="AB515" s="344" t="s">
        <v>3</v>
      </c>
      <c r="AC515" s="395">
        <f>AC514/AC513</f>
        <v>0.96118279335929857</v>
      </c>
      <c r="AD515" s="301">
        <f>AD514/AD513</f>
        <v>0.98993305627479555</v>
      </c>
      <c r="AE515" s="401">
        <f>AE514/AE513</f>
        <v>0</v>
      </c>
      <c r="AF515" s="400">
        <f>AF514/AF513</f>
        <v>0.98997657332259903</v>
      </c>
      <c r="AG515" s="348">
        <f>AG514/AG513</f>
        <v>3.4072324186807199E-3</v>
      </c>
      <c r="AH515" s="782"/>
      <c r="AI515" s="782"/>
    </row>
    <row r="516" spans="1:35" s="267" customFormat="1" ht="15" customHeight="1" x14ac:dyDescent="0.25">
      <c r="A516" s="939"/>
      <c r="B516" s="293" t="s">
        <v>8</v>
      </c>
      <c r="C516" s="303">
        <f>SUM(C513-401)</f>
        <v>5469</v>
      </c>
      <c r="D516" s="262">
        <f>SUM(D513-538)</f>
        <v>2795</v>
      </c>
      <c r="E516" s="303">
        <f>SUM(E513-504)</f>
        <v>2826</v>
      </c>
      <c r="F516" s="309">
        <f>SUM(F513-1202)</f>
        <v>8255</v>
      </c>
      <c r="G516" s="309">
        <f>SUM(G513-4533)</f>
        <v>3899</v>
      </c>
      <c r="H516" s="309">
        <f>SUM(H513-2114)</f>
        <v>13589</v>
      </c>
      <c r="I516" s="309">
        <f>SUM(I513-(3203-2000))</f>
        <v>6200</v>
      </c>
      <c r="J516" s="316">
        <f>SUM(J513-9051)</f>
        <v>548</v>
      </c>
      <c r="K516" s="316">
        <f>SUM(K513-2516)</f>
        <v>1557</v>
      </c>
      <c r="L516" s="262">
        <f>SUM(L513-6053)</f>
        <v>346</v>
      </c>
      <c r="M516" s="303">
        <f>SUM(M513-928)</f>
        <v>8164</v>
      </c>
      <c r="N516" s="309">
        <f>SUM(N513-1651)</f>
        <v>10644</v>
      </c>
      <c r="O516" s="316">
        <f>SUM(O513-310)</f>
        <v>4046</v>
      </c>
      <c r="P516" s="309">
        <f>SUM(P513-(5132-2614))</f>
        <v>7509</v>
      </c>
      <c r="Q516" s="316">
        <f>SUM(Q513-3803)</f>
        <v>996</v>
      </c>
      <c r="R516" s="316">
        <f>SUM(R513-5514)</f>
        <v>1678</v>
      </c>
      <c r="S516" s="262">
        <f>SUM(S513-3889)</f>
        <v>2510</v>
      </c>
      <c r="T516" s="323">
        <f>SUM(T513-886)</f>
        <v>1114</v>
      </c>
      <c r="U516" s="262">
        <f>SUM(U513-727)</f>
        <v>523</v>
      </c>
      <c r="V516" s="12" t="s">
        <v>176</v>
      </c>
      <c r="W516" s="70"/>
      <c r="X516" s="70"/>
      <c r="Y516" s="70"/>
      <c r="Z516" s="70"/>
      <c r="AA516" s="439" t="s">
        <v>192</v>
      </c>
      <c r="AB516" s="19" t="s">
        <v>4</v>
      </c>
      <c r="AC516" s="318">
        <v>97433.600000000006</v>
      </c>
      <c r="AD516" s="299">
        <v>243584.4</v>
      </c>
      <c r="AE516" s="265">
        <v>132070.29999999999</v>
      </c>
      <c r="AF516" s="397">
        <v>292299.3</v>
      </c>
      <c r="AG516" s="393">
        <v>132070.39999999999</v>
      </c>
      <c r="AH516" s="780"/>
      <c r="AI516" s="780"/>
    </row>
    <row r="517" spans="1:35" s="267" customFormat="1" x14ac:dyDescent="0.25">
      <c r="A517" s="939"/>
      <c r="B517" s="296" t="s">
        <v>77</v>
      </c>
      <c r="C517" s="302">
        <f>(C516*33.717)</f>
        <v>184398.27299999999</v>
      </c>
      <c r="D517" s="338">
        <f>(D516*33.717)</f>
        <v>94239.014999999999</v>
      </c>
      <c r="E517" s="302">
        <f>(E516*33.717)</f>
        <v>95284.241999999998</v>
      </c>
      <c r="F517" s="338">
        <f>(F516*33.717)</f>
        <v>278333.83499999996</v>
      </c>
      <c r="G517" s="280">
        <f>(G516*33.717)*2</f>
        <v>262925.16599999997</v>
      </c>
      <c r="H517" s="280">
        <f>(H516*33.717)</f>
        <v>458180.31299999997</v>
      </c>
      <c r="I517" s="280">
        <f>(I516*33.717)-(2000*33.717)</f>
        <v>141611.4</v>
      </c>
      <c r="J517" s="376">
        <f>J516*33.717</f>
        <v>18476.916000000001</v>
      </c>
      <c r="K517" s="376">
        <f>K516*33.717</f>
        <v>52497.368999999999</v>
      </c>
      <c r="L517" s="261">
        <f>L516*33.717</f>
        <v>11666.082</v>
      </c>
      <c r="M517" s="304">
        <f>M516*33.717</f>
        <v>275265.58799999999</v>
      </c>
      <c r="N517" s="280">
        <f>N516*33.717</f>
        <v>358883.74799999996</v>
      </c>
      <c r="O517" s="280">
        <f>(O516*33.717)</f>
        <v>136418.98199999999</v>
      </c>
      <c r="P517" s="280">
        <f t="shared" ref="P517:U517" si="266">P516*33.717</f>
        <v>253180.95299999998</v>
      </c>
      <c r="Q517" s="376">
        <f t="shared" si="266"/>
        <v>33582.131999999998</v>
      </c>
      <c r="R517" s="376">
        <f t="shared" si="266"/>
        <v>56577.125999999997</v>
      </c>
      <c r="S517" s="261">
        <f t="shared" si="266"/>
        <v>84629.67</v>
      </c>
      <c r="T517" s="324">
        <f t="shared" si="266"/>
        <v>37560.737999999998</v>
      </c>
      <c r="U517" s="325">
        <f t="shared" si="266"/>
        <v>17633.990999999998</v>
      </c>
      <c r="V517" s="63">
        <f>344240-H517</f>
        <v>-113940.31299999997</v>
      </c>
      <c r="W517" s="70" t="s">
        <v>177</v>
      </c>
      <c r="X517" s="70"/>
      <c r="Y517" s="70"/>
      <c r="Z517" s="70"/>
      <c r="AA517" s="440"/>
      <c r="AB517" s="293" t="s">
        <v>5</v>
      </c>
      <c r="AC517" s="319">
        <v>38973.199999999997</v>
      </c>
      <c r="AD517" s="300">
        <v>95895.7</v>
      </c>
      <c r="AE517" s="264">
        <v>0.1</v>
      </c>
      <c r="AF517" s="398">
        <v>93978.8</v>
      </c>
      <c r="AG517" s="394">
        <v>1</v>
      </c>
      <c r="AH517" s="781"/>
      <c r="AI517" s="781"/>
    </row>
    <row r="518" spans="1:35" s="267" customFormat="1" ht="15.75" thickBot="1" x14ac:dyDescent="0.3">
      <c r="A518" s="940"/>
      <c r="B518" s="294" t="s">
        <v>10</v>
      </c>
      <c r="C518" s="305">
        <f>C517/C510</f>
        <v>1.2859642590642499</v>
      </c>
      <c r="D518" s="292">
        <f t="shared" ref="D518:U518" si="267">D517/D510</f>
        <v>0.62610338254824871</v>
      </c>
      <c r="E518" s="310">
        <f t="shared" si="267"/>
        <v>0.63304764188957097</v>
      </c>
      <c r="F518" s="282">
        <f t="shared" si="267"/>
        <v>1.5293168691222139</v>
      </c>
      <c r="G518" s="282">
        <f t="shared" si="267"/>
        <v>1.5891181872852491</v>
      </c>
      <c r="H518" s="282">
        <f t="shared" si="267"/>
        <v>3.4675717629750045</v>
      </c>
      <c r="I518" s="282">
        <f t="shared" si="267"/>
        <v>0.82828893726684305</v>
      </c>
      <c r="J518" s="377">
        <f t="shared" si="267"/>
        <v>0.11167437376664743</v>
      </c>
      <c r="K518" s="377">
        <f t="shared" si="267"/>
        <v>0.56808202649883777</v>
      </c>
      <c r="L518" s="311">
        <f t="shared" si="267"/>
        <v>5.419367156524587E-2</v>
      </c>
      <c r="M518" s="310">
        <f t="shared" si="267"/>
        <v>1.42603155689997</v>
      </c>
      <c r="N518" s="282">
        <f t="shared" si="267"/>
        <v>2.7160816723162813</v>
      </c>
      <c r="O518" s="282">
        <f t="shared" si="267"/>
        <v>1.6490340712660738</v>
      </c>
      <c r="P518" s="260">
        <f t="shared" si="267"/>
        <v>0.9181373066671501</v>
      </c>
      <c r="Q518" s="377">
        <f t="shared" si="267"/>
        <v>0.40594116040064498</v>
      </c>
      <c r="R518" s="377">
        <f t="shared" si="267"/>
        <v>0.29937901890977742</v>
      </c>
      <c r="S518" s="311">
        <f t="shared" si="267"/>
        <v>0.39313906251088765</v>
      </c>
      <c r="T518" s="305">
        <f t="shared" si="267"/>
        <v>0.68105270983300392</v>
      </c>
      <c r="U518" s="292">
        <f t="shared" si="267"/>
        <v>0.53290192049077523</v>
      </c>
      <c r="V518" s="126"/>
      <c r="W518" s="70"/>
      <c r="X518" s="70"/>
      <c r="Y518" s="70"/>
      <c r="Z518" s="70"/>
      <c r="AA518" s="441"/>
      <c r="AB518" s="294" t="s">
        <v>3</v>
      </c>
      <c r="AC518" s="320">
        <f>AC517/AC516</f>
        <v>0.39999753678402516</v>
      </c>
      <c r="AD518" s="305">
        <f>AD517/AD516</f>
        <v>0.39368572043201455</v>
      </c>
      <c r="AE518" s="292">
        <f>AE517/AE516</f>
        <v>7.5717250585483648E-7</v>
      </c>
      <c r="AF518" s="399">
        <f>AF517/AF516</f>
        <v>0.32151565193621745</v>
      </c>
      <c r="AG518" s="343">
        <f>AG517/AG516</f>
        <v>7.5717193254506694E-6</v>
      </c>
      <c r="AH518" s="782"/>
      <c r="AI518" s="782"/>
    </row>
    <row r="519" spans="1:35" s="267" customFormat="1" ht="15.75" thickBot="1" x14ac:dyDescent="0.3">
      <c r="A519" s="924">
        <v>41485</v>
      </c>
      <c r="B519" s="924"/>
      <c r="C519" s="924"/>
      <c r="D519" s="276"/>
      <c r="E519" s="276"/>
      <c r="F519" s="276"/>
      <c r="G519" s="276"/>
      <c r="H519" s="276"/>
      <c r="I519" s="11"/>
      <c r="J519" s="281"/>
      <c r="K519" s="281"/>
      <c r="L519" s="276"/>
      <c r="M519" s="276"/>
      <c r="N519" s="13"/>
      <c r="R519" s="12"/>
      <c r="S519" s="70"/>
      <c r="T519" s="70"/>
      <c r="U519" s="70"/>
      <c r="V519" s="70"/>
      <c r="W519" s="70"/>
      <c r="X519" s="70"/>
      <c r="Y519" s="70"/>
      <c r="Z519" s="70"/>
      <c r="AA519" s="941"/>
      <c r="AB519" s="942"/>
      <c r="AH519" s="743"/>
      <c r="AI519" s="743"/>
    </row>
    <row r="520" spans="1:35" s="267" customFormat="1" x14ac:dyDescent="0.25">
      <c r="A520" s="925" t="s">
        <v>1</v>
      </c>
      <c r="B520" s="926"/>
      <c r="C520" s="297" t="s">
        <v>12</v>
      </c>
      <c r="D520" s="266" t="s">
        <v>12</v>
      </c>
      <c r="E520" s="297" t="s">
        <v>13</v>
      </c>
      <c r="F520" s="277" t="s">
        <v>13</v>
      </c>
      <c r="G520" s="277" t="s">
        <v>13</v>
      </c>
      <c r="H520" s="277" t="s">
        <v>13</v>
      </c>
      <c r="I520" s="277" t="s">
        <v>13</v>
      </c>
      <c r="J520" s="286" t="s">
        <v>13</v>
      </c>
      <c r="K520" s="286" t="s">
        <v>13</v>
      </c>
      <c r="L520" s="266" t="s">
        <v>13</v>
      </c>
      <c r="M520" s="297" t="s">
        <v>2</v>
      </c>
      <c r="N520" s="277" t="s">
        <v>2</v>
      </c>
      <c r="O520" s="286" t="s">
        <v>2</v>
      </c>
      <c r="P520" s="277" t="s">
        <v>2</v>
      </c>
      <c r="Q520" s="286" t="s">
        <v>2</v>
      </c>
      <c r="R520" s="286" t="s">
        <v>2</v>
      </c>
      <c r="S520" s="266" t="s">
        <v>2</v>
      </c>
      <c r="T520" s="328" t="s">
        <v>183</v>
      </c>
      <c r="U520" s="327" t="s">
        <v>183</v>
      </c>
      <c r="V520" s="12"/>
      <c r="W520" s="70"/>
      <c r="X520" s="70"/>
      <c r="Y520" s="70"/>
      <c r="Z520" s="70"/>
      <c r="AA520" s="925" t="s">
        <v>1</v>
      </c>
      <c r="AB520" s="928"/>
      <c r="AC520" s="447" t="s">
        <v>12</v>
      </c>
      <c r="AD520" s="929" t="s">
        <v>13</v>
      </c>
      <c r="AE520" s="930"/>
      <c r="AF520" s="929" t="s">
        <v>2</v>
      </c>
      <c r="AG520" s="930"/>
      <c r="AH520" s="778"/>
      <c r="AI520" s="778"/>
    </row>
    <row r="521" spans="1:35" s="267" customFormat="1" ht="15.75" thickBot="1" x14ac:dyDescent="0.3">
      <c r="A521" s="931" t="s">
        <v>0</v>
      </c>
      <c r="B521" s="944"/>
      <c r="C521" s="298" t="s">
        <v>99</v>
      </c>
      <c r="D521" s="291" t="s">
        <v>100</v>
      </c>
      <c r="E521" s="298" t="s">
        <v>101</v>
      </c>
      <c r="F521" s="306" t="s">
        <v>102</v>
      </c>
      <c r="G521" s="306" t="s">
        <v>97</v>
      </c>
      <c r="H521" s="306" t="s">
        <v>104</v>
      </c>
      <c r="I521" s="306" t="s">
        <v>103</v>
      </c>
      <c r="J521" s="378" t="s">
        <v>178</v>
      </c>
      <c r="K521" s="378" t="s">
        <v>200</v>
      </c>
      <c r="L521" s="314" t="s">
        <v>207</v>
      </c>
      <c r="M521" s="298" t="s">
        <v>105</v>
      </c>
      <c r="N521" s="306" t="s">
        <v>107</v>
      </c>
      <c r="O521" s="312" t="s">
        <v>98</v>
      </c>
      <c r="P521" s="313" t="s">
        <v>106</v>
      </c>
      <c r="Q521" s="312" t="s">
        <v>179</v>
      </c>
      <c r="R521" s="312" t="s">
        <v>199</v>
      </c>
      <c r="S521" s="291" t="s">
        <v>208</v>
      </c>
      <c r="T521" s="317" t="s">
        <v>182</v>
      </c>
      <c r="U521" s="291" t="s">
        <v>184</v>
      </c>
      <c r="V521" s="12"/>
      <c r="W521" s="12"/>
      <c r="X521" s="12"/>
      <c r="Y521" s="12"/>
      <c r="Z521" s="12"/>
      <c r="AA521" s="931" t="s">
        <v>0</v>
      </c>
      <c r="AB521" s="945"/>
      <c r="AC521" s="317" t="s">
        <v>99</v>
      </c>
      <c r="AD521" s="298" t="s">
        <v>104</v>
      </c>
      <c r="AE521" s="291" t="s">
        <v>207</v>
      </c>
      <c r="AF521" s="396" t="s">
        <v>107</v>
      </c>
      <c r="AG521" s="392" t="s">
        <v>208</v>
      </c>
      <c r="AH521" s="779"/>
      <c r="AI521" s="779"/>
    </row>
    <row r="522" spans="1:35" s="267" customFormat="1" ht="15" customHeight="1" x14ac:dyDescent="0.25">
      <c r="A522" s="935" t="s">
        <v>9</v>
      </c>
      <c r="B522" s="19" t="s">
        <v>4</v>
      </c>
      <c r="C522" s="299">
        <v>143393</v>
      </c>
      <c r="D522" s="265">
        <v>150516.70000000001</v>
      </c>
      <c r="E522" s="299">
        <v>150516.70000000001</v>
      </c>
      <c r="F522" s="283">
        <v>181998.8</v>
      </c>
      <c r="G522" s="283">
        <v>165453.5</v>
      </c>
      <c r="H522" s="283">
        <v>132132.9</v>
      </c>
      <c r="I522" s="283">
        <v>170968.6</v>
      </c>
      <c r="J522" s="223">
        <v>165453.5</v>
      </c>
      <c r="K522" s="223">
        <v>92411.6</v>
      </c>
      <c r="L522" s="265">
        <f>83196.1+132070.4</f>
        <v>215266.5</v>
      </c>
      <c r="M522" s="299">
        <v>193029.1</v>
      </c>
      <c r="N522" s="283">
        <v>132132.9</v>
      </c>
      <c r="O522" s="283">
        <v>82726.600000000006</v>
      </c>
      <c r="P522" s="283">
        <v>275755</v>
      </c>
      <c r="Q522" s="223">
        <v>82726.600000000006</v>
      </c>
      <c r="R522" s="223">
        <v>188981.6</v>
      </c>
      <c r="S522" s="265">
        <f>83196.1+132070.4</f>
        <v>215266.5</v>
      </c>
      <c r="T522" s="318">
        <v>55151</v>
      </c>
      <c r="U522" s="265">
        <v>33090.5</v>
      </c>
      <c r="V522" s="70"/>
      <c r="W522" s="70"/>
      <c r="X522" s="70"/>
      <c r="Y522" s="70"/>
      <c r="Z522" s="70"/>
      <c r="AA522" s="444" t="s">
        <v>195</v>
      </c>
      <c r="AB522" s="2" t="s">
        <v>4</v>
      </c>
      <c r="AC522" s="318">
        <v>143392.20000000001</v>
      </c>
      <c r="AD522" s="299">
        <v>132132</v>
      </c>
      <c r="AE522" s="265">
        <v>83196.100000000006</v>
      </c>
      <c r="AF522" s="397">
        <v>132132.20000000001</v>
      </c>
      <c r="AG522" s="393">
        <v>83196.100000000006</v>
      </c>
      <c r="AH522" s="780"/>
      <c r="AI522" s="780"/>
    </row>
    <row r="523" spans="1:35" s="267" customFormat="1" x14ac:dyDescent="0.25">
      <c r="A523" s="936"/>
      <c r="B523" s="293" t="s">
        <v>5</v>
      </c>
      <c r="C523" s="300">
        <v>45701.9</v>
      </c>
      <c r="D523" s="264">
        <v>78962</v>
      </c>
      <c r="E523" s="300">
        <v>80443</v>
      </c>
      <c r="F523" s="307">
        <v>145162.6</v>
      </c>
      <c r="G523" s="307">
        <v>114309.6</v>
      </c>
      <c r="H523" s="307">
        <v>56691.9</v>
      </c>
      <c r="I523" s="307">
        <v>91873.2</v>
      </c>
      <c r="J523" s="374">
        <v>22708.400000000001</v>
      </c>
      <c r="K523" s="374">
        <v>20868.5</v>
      </c>
      <c r="L523" s="264">
        <f>549.7+22.2</f>
        <v>571.90000000000009</v>
      </c>
      <c r="M523" s="300">
        <v>157858.6</v>
      </c>
      <c r="N523" s="307">
        <v>64973.4</v>
      </c>
      <c r="O523" s="307">
        <v>58690.6</v>
      </c>
      <c r="P523" s="307">
        <v>166478.1</v>
      </c>
      <c r="Q523" s="374">
        <v>11814.7</v>
      </c>
      <c r="R523" s="374">
        <v>34844.300000000003</v>
      </c>
      <c r="S523" s="264">
        <f>34373.2+645.9</f>
        <v>35019.1</v>
      </c>
      <c r="T523" s="319">
        <v>11746.9</v>
      </c>
      <c r="U523" s="264">
        <v>5658.3</v>
      </c>
      <c r="V523" s="70"/>
      <c r="W523" s="70"/>
      <c r="X523" s="70"/>
      <c r="Y523" s="70"/>
      <c r="Z523" s="70"/>
      <c r="AA523" s="445"/>
      <c r="AB523" s="342" t="s">
        <v>5</v>
      </c>
      <c r="AC523" s="319">
        <v>43401.8</v>
      </c>
      <c r="AD523" s="300">
        <v>58695.3</v>
      </c>
      <c r="AE523" s="264">
        <v>4.7</v>
      </c>
      <c r="AF523" s="398">
        <v>55118.9</v>
      </c>
      <c r="AG523" s="394">
        <v>4.5</v>
      </c>
      <c r="AH523" s="781"/>
      <c r="AI523" s="781"/>
    </row>
    <row r="524" spans="1:35" s="267" customFormat="1" ht="15.75" thickBot="1" x14ac:dyDescent="0.3">
      <c r="A524" s="937"/>
      <c r="B524" s="294" t="s">
        <v>3</v>
      </c>
      <c r="C524" s="305">
        <f t="shared" ref="C524:L524" si="268">C523/C522</f>
        <v>0.31871778957131802</v>
      </c>
      <c r="D524" s="343">
        <f t="shared" si="268"/>
        <v>0.52460623970629172</v>
      </c>
      <c r="E524" s="305">
        <f t="shared" si="268"/>
        <v>0.53444567944952281</v>
      </c>
      <c r="F524" s="371">
        <f t="shared" si="268"/>
        <v>0.79760196221073998</v>
      </c>
      <c r="G524" s="278">
        <f t="shared" si="268"/>
        <v>0.6908865632942186</v>
      </c>
      <c r="H524" s="278">
        <f t="shared" si="268"/>
        <v>0.42905211344033167</v>
      </c>
      <c r="I524" s="278">
        <f t="shared" si="268"/>
        <v>0.53736885018652547</v>
      </c>
      <c r="J524" s="315">
        <f t="shared" si="268"/>
        <v>0.13724943866403552</v>
      </c>
      <c r="K524" s="315">
        <f t="shared" si="268"/>
        <v>0.22582121724978249</v>
      </c>
      <c r="L524" s="292">
        <f t="shared" si="268"/>
        <v>2.6567069190979557E-3</v>
      </c>
      <c r="M524" s="372">
        <f>M523/M522</f>
        <v>0.81779690212512002</v>
      </c>
      <c r="N524" s="278">
        <f>N523/N522</f>
        <v>0.49172764693728815</v>
      </c>
      <c r="O524" s="315">
        <f>O523/O522</f>
        <v>0.70945258236165865</v>
      </c>
      <c r="P524" s="278">
        <f>P523/P522</f>
        <v>0.60371743032764591</v>
      </c>
      <c r="Q524" s="315">
        <f>Q523/Q522</f>
        <v>0.14281621630769306</v>
      </c>
      <c r="R524" s="315">
        <f t="shared" ref="R524:S524" si="269">R523/R522</f>
        <v>0.18437932581796324</v>
      </c>
      <c r="S524" s="292">
        <f t="shared" si="269"/>
        <v>0.16267788996430005</v>
      </c>
      <c r="T524" s="320">
        <f>T523/T522</f>
        <v>0.21299523127413827</v>
      </c>
      <c r="U524" s="292">
        <f>U523/U522</f>
        <v>0.17099469636300449</v>
      </c>
      <c r="V524" s="70"/>
      <c r="W524" s="70"/>
      <c r="X524" s="70"/>
      <c r="Y524" s="70"/>
      <c r="Z524" s="70"/>
      <c r="AA524" s="446"/>
      <c r="AB524" s="347" t="s">
        <v>3</v>
      </c>
      <c r="AC524" s="395">
        <f>AC523/AC522</f>
        <v>0.302678946274623</v>
      </c>
      <c r="AD524" s="305">
        <f>AD523/AD522</f>
        <v>0.44421714648987376</v>
      </c>
      <c r="AE524" s="292">
        <f>AE523/AE522</f>
        <v>5.6493032726293656E-5</v>
      </c>
      <c r="AF524" s="399">
        <f>AF523/AF522</f>
        <v>0.41714964255495629</v>
      </c>
      <c r="AG524" s="343">
        <f>AG523/AG522</f>
        <v>5.4089073886876906E-5</v>
      </c>
      <c r="AH524" s="782"/>
      <c r="AI524" s="782"/>
    </row>
    <row r="525" spans="1:35" s="429" customFormat="1" ht="15" customHeight="1" x14ac:dyDescent="0.25">
      <c r="A525" s="938" t="s">
        <v>6</v>
      </c>
      <c r="B525" s="418" t="s">
        <v>7</v>
      </c>
      <c r="C525" s="419">
        <v>5870</v>
      </c>
      <c r="D525" s="420">
        <v>3333</v>
      </c>
      <c r="E525" s="419">
        <v>3330</v>
      </c>
      <c r="F525" s="421">
        <v>9457</v>
      </c>
      <c r="G525" s="422">
        <v>8432</v>
      </c>
      <c r="H525" s="421">
        <v>15703</v>
      </c>
      <c r="I525" s="421">
        <v>7403</v>
      </c>
      <c r="J525" s="423">
        <v>9599</v>
      </c>
      <c r="K525" s="423">
        <v>4073</v>
      </c>
      <c r="L525" s="420">
        <v>6399</v>
      </c>
      <c r="M525" s="419">
        <v>9097</v>
      </c>
      <c r="N525" s="421">
        <v>12295</v>
      </c>
      <c r="O525" s="422">
        <v>4356</v>
      </c>
      <c r="P525" s="421">
        <v>10027</v>
      </c>
      <c r="Q525" s="423">
        <v>4799</v>
      </c>
      <c r="R525" s="423">
        <v>7192</v>
      </c>
      <c r="S525" s="420">
        <v>6399</v>
      </c>
      <c r="T525" s="424">
        <v>2000</v>
      </c>
      <c r="U525" s="420">
        <v>1250</v>
      </c>
      <c r="V525" s="425" t="s">
        <v>198</v>
      </c>
      <c r="W525" s="426"/>
      <c r="X525" s="427"/>
      <c r="Y525" s="427"/>
      <c r="Z525" s="427"/>
      <c r="AA525" s="428" t="s">
        <v>191</v>
      </c>
      <c r="AB525" s="418" t="s">
        <v>4</v>
      </c>
      <c r="AC525" s="430">
        <v>9191.7999999999993</v>
      </c>
      <c r="AD525" s="431">
        <v>13787.7</v>
      </c>
      <c r="AE525" s="432">
        <v>8804.7999999999993</v>
      </c>
      <c r="AF525" s="433">
        <v>13787.7</v>
      </c>
      <c r="AG525" s="434">
        <v>8804.7999999999993</v>
      </c>
      <c r="AH525" s="783"/>
      <c r="AI525" s="783"/>
    </row>
    <row r="526" spans="1:35" s="267" customFormat="1" x14ac:dyDescent="0.25">
      <c r="A526" s="939"/>
      <c r="B526" s="295" t="s">
        <v>11</v>
      </c>
      <c r="C526" s="302">
        <f t="shared" ref="C526:L526" si="270">C525*33.717</f>
        <v>197918.78999999998</v>
      </c>
      <c r="D526" s="263">
        <f t="shared" si="270"/>
        <v>112378.761</v>
      </c>
      <c r="E526" s="302">
        <f t="shared" si="270"/>
        <v>112277.61</v>
      </c>
      <c r="F526" s="355">
        <f t="shared" si="270"/>
        <v>318861.66899999999</v>
      </c>
      <c r="G526" s="308">
        <f t="shared" si="270"/>
        <v>284301.74400000001</v>
      </c>
      <c r="H526" s="354">
        <f t="shared" si="270"/>
        <v>529458.05099999998</v>
      </c>
      <c r="I526" s="354">
        <f t="shared" si="270"/>
        <v>249606.951</v>
      </c>
      <c r="J526" s="355">
        <f t="shared" si="270"/>
        <v>323649.48300000001</v>
      </c>
      <c r="K526" s="375">
        <f t="shared" si="270"/>
        <v>137329.34099999999</v>
      </c>
      <c r="L526" s="263">
        <f t="shared" si="270"/>
        <v>215755.08299999998</v>
      </c>
      <c r="M526" s="322">
        <f>M525*33.717</f>
        <v>306723.549</v>
      </c>
      <c r="N526" s="308">
        <f>N525*33.717</f>
        <v>414550.51499999996</v>
      </c>
      <c r="O526" s="308">
        <f>O525*33.717</f>
        <v>146871.25200000001</v>
      </c>
      <c r="P526" s="354">
        <f>P525*33.717</f>
        <v>338080.359</v>
      </c>
      <c r="Q526" s="355">
        <f>Q525*33.717</f>
        <v>161807.883</v>
      </c>
      <c r="R526" s="375">
        <f t="shared" ref="R526:S526" si="271">R525*33.717</f>
        <v>242492.66399999999</v>
      </c>
      <c r="S526" s="263">
        <f t="shared" si="271"/>
        <v>215755.08299999998</v>
      </c>
      <c r="T526" s="302">
        <f>T525*33.717</f>
        <v>67434</v>
      </c>
      <c r="U526" s="354">
        <f>U525*33.717</f>
        <v>42146.25</v>
      </c>
      <c r="V526" s="70"/>
      <c r="W526" s="70"/>
      <c r="X526" s="70"/>
      <c r="Y526" s="70"/>
      <c r="Z526" s="70"/>
      <c r="AA526" s="445"/>
      <c r="AB526" s="293" t="s">
        <v>5</v>
      </c>
      <c r="AC526" s="319">
        <v>8835</v>
      </c>
      <c r="AD526" s="300">
        <v>13648.9</v>
      </c>
      <c r="AE526" s="264">
        <v>0</v>
      </c>
      <c r="AF526" s="398">
        <v>13649.5</v>
      </c>
      <c r="AG526" s="394">
        <v>30</v>
      </c>
      <c r="AH526" s="781"/>
      <c r="AI526" s="781"/>
    </row>
    <row r="527" spans="1:35" s="267" customFormat="1" ht="15.75" thickBot="1" x14ac:dyDescent="0.3">
      <c r="A527" s="939"/>
      <c r="B527" s="295" t="s">
        <v>79</v>
      </c>
      <c r="C527" s="302">
        <v>164000</v>
      </c>
      <c r="D527" s="263">
        <v>109880</v>
      </c>
      <c r="E527" s="302">
        <v>109880</v>
      </c>
      <c r="F527" s="308">
        <v>328000</v>
      </c>
      <c r="G527" s="308">
        <v>330905</v>
      </c>
      <c r="H527" s="308">
        <v>264264</v>
      </c>
      <c r="I527" s="308">
        <v>242663.6</v>
      </c>
      <c r="J527" s="375">
        <v>328000</v>
      </c>
      <c r="K527" s="375">
        <v>328000</v>
      </c>
      <c r="L527" s="263">
        <v>328000</v>
      </c>
      <c r="M527" s="302">
        <v>328000</v>
      </c>
      <c r="N527" s="308">
        <v>264264.40000000002</v>
      </c>
      <c r="O527" s="308">
        <v>328000</v>
      </c>
      <c r="P527" s="308">
        <v>352965.4</v>
      </c>
      <c r="Q527" s="375">
        <v>328000</v>
      </c>
      <c r="R527" s="375">
        <v>328000</v>
      </c>
      <c r="S527" s="263">
        <v>328000</v>
      </c>
      <c r="T527" s="322">
        <f>2*T522</f>
        <v>110302</v>
      </c>
      <c r="U527" s="263">
        <f>2*U522</f>
        <v>66181</v>
      </c>
      <c r="V527" s="70"/>
      <c r="W527" s="70"/>
      <c r="X527" s="70"/>
      <c r="Y527" s="70"/>
      <c r="Z527" s="70"/>
      <c r="AA527" s="446"/>
      <c r="AB527" s="344" t="s">
        <v>3</v>
      </c>
      <c r="AC527" s="395">
        <f>AC526/AC525</f>
        <v>0.96118279335929857</v>
      </c>
      <c r="AD527" s="301">
        <f>AD526/AD525</f>
        <v>0.98993305627479555</v>
      </c>
      <c r="AE527" s="401">
        <f>AE526/AE525</f>
        <v>0</v>
      </c>
      <c r="AF527" s="400">
        <f>AF526/AF525</f>
        <v>0.98997657332259903</v>
      </c>
      <c r="AG527" s="348">
        <f>AG526/AG525</f>
        <v>3.4072324186807199E-3</v>
      </c>
      <c r="AH527" s="782"/>
      <c r="AI527" s="782"/>
    </row>
    <row r="528" spans="1:35" s="267" customFormat="1" ht="15" customHeight="1" x14ac:dyDescent="0.25">
      <c r="A528" s="939"/>
      <c r="B528" s="293" t="s">
        <v>8</v>
      </c>
      <c r="C528" s="303">
        <f>SUM(C525-401)</f>
        <v>5469</v>
      </c>
      <c r="D528" s="262">
        <f>SUM(D525-544)</f>
        <v>2789</v>
      </c>
      <c r="E528" s="303">
        <f>SUM(E525-510)</f>
        <v>2820</v>
      </c>
      <c r="F528" s="309">
        <f>SUM(F525-1202)</f>
        <v>8255</v>
      </c>
      <c r="G528" s="309">
        <f>SUM(G525-4537)</f>
        <v>3895</v>
      </c>
      <c r="H528" s="309">
        <f>SUM(H525-2103)</f>
        <v>13600</v>
      </c>
      <c r="I528" s="309">
        <f>SUM(I525-(3203-2000))</f>
        <v>6200</v>
      </c>
      <c r="J528" s="316">
        <f>SUM(J525-9051)</f>
        <v>548</v>
      </c>
      <c r="K528" s="316">
        <f>SUM(K525-2835)</f>
        <v>1238</v>
      </c>
      <c r="L528" s="262">
        <f>SUM(L525-6099)</f>
        <v>300</v>
      </c>
      <c r="M528" s="303">
        <f>SUM(M525-928)</f>
        <v>8169</v>
      </c>
      <c r="N528" s="309">
        <f>SUM(N525-1149)</f>
        <v>11146</v>
      </c>
      <c r="O528" s="316">
        <f>SUM(O525-314)</f>
        <v>4042</v>
      </c>
      <c r="P528" s="309">
        <f>SUM(P525-(5132-2614))</f>
        <v>7509</v>
      </c>
      <c r="Q528" s="316">
        <f>SUM(Q525-3803)</f>
        <v>996</v>
      </c>
      <c r="R528" s="316">
        <f>SUM(R525-5881)</f>
        <v>1311</v>
      </c>
      <c r="S528" s="262">
        <f>SUM(S525-3984)</f>
        <v>2415</v>
      </c>
      <c r="T528" s="323">
        <f>SUM(T525-886)</f>
        <v>1114</v>
      </c>
      <c r="U528" s="262">
        <f>SUM(U525-727)</f>
        <v>523</v>
      </c>
      <c r="V528" s="12" t="s">
        <v>176</v>
      </c>
      <c r="W528" s="70"/>
      <c r="X528" s="70"/>
      <c r="Y528" s="70"/>
      <c r="Z528" s="70"/>
      <c r="AA528" s="444" t="s">
        <v>192</v>
      </c>
      <c r="AB528" s="19" t="s">
        <v>4</v>
      </c>
      <c r="AC528" s="318">
        <v>97433.600000000006</v>
      </c>
      <c r="AD528" s="299">
        <v>243584.4</v>
      </c>
      <c r="AE528" s="265">
        <v>132070.29999999999</v>
      </c>
      <c r="AF528" s="397">
        <v>292299.3</v>
      </c>
      <c r="AG528" s="393">
        <v>132070.39999999999</v>
      </c>
      <c r="AH528" s="780"/>
      <c r="AI528" s="780"/>
    </row>
    <row r="529" spans="1:35" s="267" customFormat="1" x14ac:dyDescent="0.25">
      <c r="A529" s="939"/>
      <c r="B529" s="296" t="s">
        <v>77</v>
      </c>
      <c r="C529" s="302">
        <f>(C528*33.717)</f>
        <v>184398.27299999999</v>
      </c>
      <c r="D529" s="338">
        <f>(D528*33.717)</f>
        <v>94036.713000000003</v>
      </c>
      <c r="E529" s="302">
        <f>(E528*33.717)</f>
        <v>95081.94</v>
      </c>
      <c r="F529" s="338">
        <f>(F528*33.717)</f>
        <v>278333.83499999996</v>
      </c>
      <c r="G529" s="280">
        <f>(G528*33.717)*2</f>
        <v>262655.43</v>
      </c>
      <c r="H529" s="280">
        <f>(H528*33.717)</f>
        <v>458551.2</v>
      </c>
      <c r="I529" s="280">
        <f>(I528*33.717)-(2000*33.717)</f>
        <v>141611.4</v>
      </c>
      <c r="J529" s="376">
        <f>J528*33.717</f>
        <v>18476.916000000001</v>
      </c>
      <c r="K529" s="376">
        <f>K528*33.717</f>
        <v>41741.646000000001</v>
      </c>
      <c r="L529" s="261">
        <f>L528*33.717</f>
        <v>10115.1</v>
      </c>
      <c r="M529" s="304">
        <f>M528*33.717</f>
        <v>275434.17300000001</v>
      </c>
      <c r="N529" s="280">
        <f>N528*33.717</f>
        <v>375809.68199999997</v>
      </c>
      <c r="O529" s="280">
        <f>(O528*33.717)</f>
        <v>136284.114</v>
      </c>
      <c r="P529" s="280">
        <f t="shared" ref="P529:U529" si="272">P528*33.717</f>
        <v>253180.95299999998</v>
      </c>
      <c r="Q529" s="376">
        <f t="shared" si="272"/>
        <v>33582.131999999998</v>
      </c>
      <c r="R529" s="376">
        <f t="shared" si="272"/>
        <v>44202.987000000001</v>
      </c>
      <c r="S529" s="261">
        <f t="shared" si="272"/>
        <v>81426.554999999993</v>
      </c>
      <c r="T529" s="324">
        <f t="shared" si="272"/>
        <v>37560.737999999998</v>
      </c>
      <c r="U529" s="325">
        <f t="shared" si="272"/>
        <v>17633.990999999998</v>
      </c>
      <c r="V529" s="63">
        <f>344240-H529</f>
        <v>-114311.20000000001</v>
      </c>
      <c r="W529" s="70" t="s">
        <v>177</v>
      </c>
      <c r="X529" s="70"/>
      <c r="Y529" s="70"/>
      <c r="Z529" s="70"/>
      <c r="AA529" s="445"/>
      <c r="AB529" s="293" t="s">
        <v>5</v>
      </c>
      <c r="AC529" s="319">
        <v>38973.199999999997</v>
      </c>
      <c r="AD529" s="300">
        <v>95895.7</v>
      </c>
      <c r="AE529" s="264">
        <v>0.1</v>
      </c>
      <c r="AF529" s="398">
        <v>93978.8</v>
      </c>
      <c r="AG529" s="394">
        <v>1</v>
      </c>
      <c r="AH529" s="781"/>
      <c r="AI529" s="781"/>
    </row>
    <row r="530" spans="1:35" s="267" customFormat="1" ht="15.75" thickBot="1" x14ac:dyDescent="0.3">
      <c r="A530" s="940"/>
      <c r="B530" s="294" t="s">
        <v>10</v>
      </c>
      <c r="C530" s="305">
        <f>C529/C522</f>
        <v>1.2859642590642499</v>
      </c>
      <c r="D530" s="292">
        <f t="shared" ref="D530:U530" si="273">D529/D522</f>
        <v>0.62475933235315417</v>
      </c>
      <c r="E530" s="310">
        <f t="shared" si="273"/>
        <v>0.63170359169447643</v>
      </c>
      <c r="F530" s="282">
        <f t="shared" si="273"/>
        <v>1.5293168691222139</v>
      </c>
      <c r="G530" s="282">
        <f t="shared" si="273"/>
        <v>1.5874879044565391</v>
      </c>
      <c r="H530" s="282">
        <f t="shared" si="273"/>
        <v>3.4703786869129494</v>
      </c>
      <c r="I530" s="282">
        <f t="shared" si="273"/>
        <v>0.82828893726684305</v>
      </c>
      <c r="J530" s="377">
        <f t="shared" si="273"/>
        <v>0.11167437376664743</v>
      </c>
      <c r="K530" s="377">
        <f t="shared" si="273"/>
        <v>0.45169270957325702</v>
      </c>
      <c r="L530" s="311">
        <f t="shared" si="273"/>
        <v>4.6988732571022429E-2</v>
      </c>
      <c r="M530" s="310">
        <f t="shared" si="273"/>
        <v>1.4269049226256558</v>
      </c>
      <c r="N530" s="282">
        <f t="shared" si="273"/>
        <v>2.8441794738479214</v>
      </c>
      <c r="O530" s="282">
        <f t="shared" si="273"/>
        <v>1.6474037854813324</v>
      </c>
      <c r="P530" s="260">
        <f t="shared" si="273"/>
        <v>0.9181373066671501</v>
      </c>
      <c r="Q530" s="377">
        <f t="shared" si="273"/>
        <v>0.40594116040064498</v>
      </c>
      <c r="R530" s="377">
        <f t="shared" si="273"/>
        <v>0.23390100941043995</v>
      </c>
      <c r="S530" s="311">
        <f t="shared" si="273"/>
        <v>0.37825929719673052</v>
      </c>
      <c r="T530" s="305">
        <f t="shared" si="273"/>
        <v>0.68105270983300392</v>
      </c>
      <c r="U530" s="292">
        <f t="shared" si="273"/>
        <v>0.53290192049077523</v>
      </c>
      <c r="V530" s="126"/>
      <c r="W530" s="70"/>
      <c r="X530" s="70"/>
      <c r="Y530" s="70"/>
      <c r="Z530" s="70"/>
      <c r="AA530" s="446"/>
      <c r="AB530" s="294" t="s">
        <v>3</v>
      </c>
      <c r="AC530" s="320">
        <f>AC529/AC528</f>
        <v>0.39999753678402516</v>
      </c>
      <c r="AD530" s="305">
        <f>AD529/AD528</f>
        <v>0.39368572043201455</v>
      </c>
      <c r="AE530" s="292">
        <f>AE529/AE528</f>
        <v>7.5717250585483648E-7</v>
      </c>
      <c r="AF530" s="399">
        <f>AF529/AF528</f>
        <v>0.32151565193621745</v>
      </c>
      <c r="AG530" s="343">
        <f>AG529/AG528</f>
        <v>7.5717193254506694E-6</v>
      </c>
      <c r="AH530" s="782"/>
      <c r="AI530" s="782"/>
    </row>
    <row r="531" spans="1:35" s="267" customFormat="1" ht="15.75" thickBot="1" x14ac:dyDescent="0.3">
      <c r="A531" s="924">
        <v>41478</v>
      </c>
      <c r="B531" s="924"/>
      <c r="C531" s="924"/>
      <c r="D531" s="276"/>
      <c r="E531" s="276"/>
      <c r="F531" s="276"/>
      <c r="G531" s="276"/>
      <c r="H531" s="276"/>
      <c r="I531" s="11"/>
      <c r="J531" s="281"/>
      <c r="K531" s="281"/>
      <c r="L531" s="276"/>
      <c r="M531" s="276"/>
      <c r="N531" s="13"/>
      <c r="R531" s="12"/>
      <c r="S531" s="70"/>
      <c r="T531" s="70"/>
      <c r="U531" s="70"/>
      <c r="V531" s="70"/>
      <c r="W531" s="70"/>
      <c r="X531" s="70"/>
      <c r="Y531" s="70"/>
      <c r="Z531" s="70"/>
      <c r="AA531" s="941"/>
      <c r="AB531" s="942"/>
      <c r="AH531" s="743"/>
      <c r="AI531" s="743"/>
    </row>
    <row r="532" spans="1:35" s="267" customFormat="1" x14ac:dyDescent="0.25">
      <c r="A532" s="925" t="s">
        <v>1</v>
      </c>
      <c r="B532" s="926"/>
      <c r="C532" s="297" t="s">
        <v>12</v>
      </c>
      <c r="D532" s="266" t="s">
        <v>12</v>
      </c>
      <c r="E532" s="297" t="s">
        <v>13</v>
      </c>
      <c r="F532" s="277" t="s">
        <v>13</v>
      </c>
      <c r="G532" s="277" t="s">
        <v>13</v>
      </c>
      <c r="H532" s="277" t="s">
        <v>13</v>
      </c>
      <c r="I532" s="277" t="s">
        <v>13</v>
      </c>
      <c r="J532" s="286" t="s">
        <v>13</v>
      </c>
      <c r="K532" s="286" t="s">
        <v>13</v>
      </c>
      <c r="L532" s="266" t="s">
        <v>13</v>
      </c>
      <c r="M532" s="297" t="s">
        <v>2</v>
      </c>
      <c r="N532" s="277" t="s">
        <v>2</v>
      </c>
      <c r="O532" s="286" t="s">
        <v>2</v>
      </c>
      <c r="P532" s="277" t="s">
        <v>2</v>
      </c>
      <c r="Q532" s="286" t="s">
        <v>2</v>
      </c>
      <c r="R532" s="286" t="s">
        <v>2</v>
      </c>
      <c r="S532" s="266" t="s">
        <v>2</v>
      </c>
      <c r="T532" s="328" t="s">
        <v>183</v>
      </c>
      <c r="U532" s="327" t="s">
        <v>183</v>
      </c>
      <c r="V532" s="12"/>
      <c r="W532" s="70"/>
      <c r="X532" s="70"/>
      <c r="Y532" s="70"/>
      <c r="Z532" s="70"/>
      <c r="AA532" s="925" t="s">
        <v>1</v>
      </c>
      <c r="AB532" s="928"/>
      <c r="AC532" s="438" t="s">
        <v>12</v>
      </c>
      <c r="AD532" s="929" t="s">
        <v>13</v>
      </c>
      <c r="AE532" s="930"/>
      <c r="AF532" s="929" t="s">
        <v>2</v>
      </c>
      <c r="AG532" s="930"/>
      <c r="AH532" s="778"/>
      <c r="AI532" s="778"/>
    </row>
    <row r="533" spans="1:35" s="267" customFormat="1" ht="15.75" thickBot="1" x14ac:dyDescent="0.3">
      <c r="A533" s="931" t="s">
        <v>0</v>
      </c>
      <c r="B533" s="944"/>
      <c r="C533" s="298" t="s">
        <v>99</v>
      </c>
      <c r="D533" s="291" t="s">
        <v>100</v>
      </c>
      <c r="E533" s="298" t="s">
        <v>101</v>
      </c>
      <c r="F533" s="306" t="s">
        <v>102</v>
      </c>
      <c r="G533" s="306" t="s">
        <v>97</v>
      </c>
      <c r="H533" s="306" t="s">
        <v>104</v>
      </c>
      <c r="I533" s="306" t="s">
        <v>103</v>
      </c>
      <c r="J533" s="378" t="s">
        <v>178</v>
      </c>
      <c r="K533" s="378" t="s">
        <v>200</v>
      </c>
      <c r="L533" s="314" t="s">
        <v>207</v>
      </c>
      <c r="M533" s="298" t="s">
        <v>105</v>
      </c>
      <c r="N533" s="306" t="s">
        <v>107</v>
      </c>
      <c r="O533" s="312" t="s">
        <v>98</v>
      </c>
      <c r="P533" s="313" t="s">
        <v>106</v>
      </c>
      <c r="Q533" s="312" t="s">
        <v>179</v>
      </c>
      <c r="R533" s="312" t="s">
        <v>199</v>
      </c>
      <c r="S533" s="291" t="s">
        <v>208</v>
      </c>
      <c r="T533" s="317" t="s">
        <v>182</v>
      </c>
      <c r="U533" s="291" t="s">
        <v>184</v>
      </c>
      <c r="V533" s="12"/>
      <c r="W533" s="12"/>
      <c r="X533" s="12"/>
      <c r="Y533" s="12"/>
      <c r="Z533" s="12"/>
      <c r="AA533" s="931" t="s">
        <v>0</v>
      </c>
      <c r="AB533" s="945"/>
      <c r="AC533" s="317" t="s">
        <v>99</v>
      </c>
      <c r="AD533" s="298" t="s">
        <v>104</v>
      </c>
      <c r="AE533" s="291" t="s">
        <v>207</v>
      </c>
      <c r="AF533" s="396" t="s">
        <v>107</v>
      </c>
      <c r="AG533" s="392" t="s">
        <v>208</v>
      </c>
      <c r="AH533" s="779"/>
      <c r="AI533" s="779"/>
    </row>
    <row r="534" spans="1:35" s="267" customFormat="1" ht="15" customHeight="1" x14ac:dyDescent="0.25">
      <c r="A534" s="935" t="s">
        <v>9</v>
      </c>
      <c r="B534" s="19" t="s">
        <v>4</v>
      </c>
      <c r="C534" s="299">
        <v>143393</v>
      </c>
      <c r="D534" s="265">
        <v>150516.70000000001</v>
      </c>
      <c r="E534" s="299">
        <v>150516.70000000001</v>
      </c>
      <c r="F534" s="283">
        <v>181998.8</v>
      </c>
      <c r="G534" s="283">
        <v>165453.5</v>
      </c>
      <c r="H534" s="283">
        <v>132132.9</v>
      </c>
      <c r="I534" s="283">
        <v>170968.6</v>
      </c>
      <c r="J534" s="223">
        <v>165453.5</v>
      </c>
      <c r="K534" s="223">
        <v>92411.6</v>
      </c>
      <c r="L534" s="265">
        <f>83196.1+132070.4</f>
        <v>215266.5</v>
      </c>
      <c r="M534" s="299">
        <v>193029.1</v>
      </c>
      <c r="N534" s="283">
        <v>132132.9</v>
      </c>
      <c r="O534" s="283">
        <v>82726.600000000006</v>
      </c>
      <c r="P534" s="283">
        <v>275755</v>
      </c>
      <c r="Q534" s="223">
        <v>82726.600000000006</v>
      </c>
      <c r="R534" s="223">
        <v>188981.6</v>
      </c>
      <c r="S534" s="265">
        <f>83196.1+132070.4</f>
        <v>215266.5</v>
      </c>
      <c r="T534" s="318">
        <v>55151</v>
      </c>
      <c r="U534" s="265">
        <v>33090.5</v>
      </c>
      <c r="V534" s="70"/>
      <c r="W534" s="70"/>
      <c r="X534" s="70"/>
      <c r="Y534" s="70"/>
      <c r="Z534" s="70"/>
      <c r="AA534" s="435" t="s">
        <v>195</v>
      </c>
      <c r="AB534" s="2" t="s">
        <v>4</v>
      </c>
      <c r="AC534" s="318">
        <v>143392.20000000001</v>
      </c>
      <c r="AD534" s="299">
        <v>132132</v>
      </c>
      <c r="AE534" s="265">
        <v>83196.100000000006</v>
      </c>
      <c r="AF534" s="397">
        <v>132132.20000000001</v>
      </c>
      <c r="AG534" s="393">
        <v>83196.100000000006</v>
      </c>
      <c r="AH534" s="780"/>
      <c r="AI534" s="780"/>
    </row>
    <row r="535" spans="1:35" s="267" customFormat="1" x14ac:dyDescent="0.25">
      <c r="A535" s="936"/>
      <c r="B535" s="293" t="s">
        <v>5</v>
      </c>
      <c r="C535" s="300">
        <v>45451.6</v>
      </c>
      <c r="D535" s="264">
        <v>78906.7</v>
      </c>
      <c r="E535" s="300">
        <v>80388.3</v>
      </c>
      <c r="F535" s="307">
        <v>145061.70000000001</v>
      </c>
      <c r="G535" s="307">
        <v>113435.7</v>
      </c>
      <c r="H535" s="307">
        <v>59418.1</v>
      </c>
      <c r="I535" s="307">
        <v>91117.9</v>
      </c>
      <c r="J535" s="374">
        <v>22685.599999999999</v>
      </c>
      <c r="K535" s="374">
        <v>19444.5</v>
      </c>
      <c r="L535" s="264">
        <f>364.4+13.9</f>
        <v>378.29999999999995</v>
      </c>
      <c r="M535" s="300">
        <v>157667.9</v>
      </c>
      <c r="N535" s="307">
        <v>55967.199999999997</v>
      </c>
      <c r="O535" s="307">
        <v>58245.1</v>
      </c>
      <c r="P535" s="307">
        <v>164960</v>
      </c>
      <c r="Q535" s="374">
        <v>11802.5</v>
      </c>
      <c r="R535" s="374">
        <v>31923.4</v>
      </c>
      <c r="S535" s="264">
        <f>30714.9+625</f>
        <v>31339.9</v>
      </c>
      <c r="T535" s="319">
        <v>11646.6</v>
      </c>
      <c r="U535" s="264">
        <v>5592.8</v>
      </c>
      <c r="V535" s="70"/>
      <c r="W535" s="70"/>
      <c r="X535" s="70"/>
      <c r="Y535" s="70"/>
      <c r="Z535" s="70"/>
      <c r="AA535" s="436"/>
      <c r="AB535" s="342" t="s">
        <v>5</v>
      </c>
      <c r="AC535" s="319">
        <v>43401.8</v>
      </c>
      <c r="AD535" s="300">
        <v>58695.3</v>
      </c>
      <c r="AE535" s="264">
        <v>4.7</v>
      </c>
      <c r="AF535" s="398">
        <v>55118.9</v>
      </c>
      <c r="AG535" s="394">
        <v>4.5</v>
      </c>
      <c r="AH535" s="781"/>
      <c r="AI535" s="781"/>
    </row>
    <row r="536" spans="1:35" s="267" customFormat="1" ht="15.75" thickBot="1" x14ac:dyDescent="0.3">
      <c r="A536" s="937"/>
      <c r="B536" s="294" t="s">
        <v>3</v>
      </c>
      <c r="C536" s="305">
        <f t="shared" ref="C536:L536" si="274">C535/C534</f>
        <v>0.31697223713849348</v>
      </c>
      <c r="D536" s="343">
        <f t="shared" si="274"/>
        <v>0.52423883861392118</v>
      </c>
      <c r="E536" s="305">
        <f t="shared" si="274"/>
        <v>0.53408226462578567</v>
      </c>
      <c r="F536" s="371">
        <f t="shared" si="274"/>
        <v>0.79704756295096457</v>
      </c>
      <c r="G536" s="278">
        <f t="shared" si="274"/>
        <v>0.68560471673310019</v>
      </c>
      <c r="H536" s="278">
        <f t="shared" si="274"/>
        <v>0.44968437081150875</v>
      </c>
      <c r="I536" s="278">
        <f t="shared" si="274"/>
        <v>0.53295107990590085</v>
      </c>
      <c r="J536" s="315">
        <f t="shared" si="274"/>
        <v>0.13711163559549963</v>
      </c>
      <c r="K536" s="315">
        <f t="shared" si="274"/>
        <v>0.21041189634201765</v>
      </c>
      <c r="L536" s="292">
        <f t="shared" si="274"/>
        <v>1.7573565789381997E-3</v>
      </c>
      <c r="M536" s="372">
        <f>M535/M534</f>
        <v>0.81680896818148141</v>
      </c>
      <c r="N536" s="278">
        <f>N535/N534</f>
        <v>0.4235674839498717</v>
      </c>
      <c r="O536" s="315">
        <f>O535/O534</f>
        <v>0.70406737373468742</v>
      </c>
      <c r="P536" s="278">
        <f>P535/P534</f>
        <v>0.59821218110279051</v>
      </c>
      <c r="Q536" s="315">
        <f>Q535/Q534</f>
        <v>0.14266874258098361</v>
      </c>
      <c r="R536" s="315">
        <f t="shared" ref="R536:S536" si="275">R535/R534</f>
        <v>0.16892332375215366</v>
      </c>
      <c r="S536" s="292">
        <f t="shared" si="275"/>
        <v>0.14558651717754506</v>
      </c>
      <c r="T536" s="320">
        <f>T535/T534</f>
        <v>0.21117658791318381</v>
      </c>
      <c r="U536" s="292">
        <f>U535/U534</f>
        <v>0.16901527628775631</v>
      </c>
      <c r="V536" s="70"/>
      <c r="W536" s="70"/>
      <c r="X536" s="70"/>
      <c r="Y536" s="70"/>
      <c r="Z536" s="70"/>
      <c r="AA536" s="437"/>
      <c r="AB536" s="347" t="s">
        <v>3</v>
      </c>
      <c r="AC536" s="395">
        <f>AC535/AC534</f>
        <v>0.302678946274623</v>
      </c>
      <c r="AD536" s="305">
        <f>AD535/AD534</f>
        <v>0.44421714648987376</v>
      </c>
      <c r="AE536" s="292">
        <f>AE535/AE534</f>
        <v>5.6493032726293656E-5</v>
      </c>
      <c r="AF536" s="399">
        <f>AF535/AF534</f>
        <v>0.41714964255495629</v>
      </c>
      <c r="AG536" s="343">
        <f>AG535/AG534</f>
        <v>5.4089073886876906E-5</v>
      </c>
      <c r="AH536" s="782"/>
      <c r="AI536" s="782"/>
    </row>
    <row r="537" spans="1:35" s="429" customFormat="1" ht="15" customHeight="1" x14ac:dyDescent="0.25">
      <c r="A537" s="938" t="s">
        <v>6</v>
      </c>
      <c r="B537" s="418" t="s">
        <v>7</v>
      </c>
      <c r="C537" s="419">
        <v>5870</v>
      </c>
      <c r="D537" s="420">
        <v>3333</v>
      </c>
      <c r="E537" s="419">
        <v>3330</v>
      </c>
      <c r="F537" s="421">
        <v>9457</v>
      </c>
      <c r="G537" s="422">
        <v>8432</v>
      </c>
      <c r="H537" s="421">
        <v>15703</v>
      </c>
      <c r="I537" s="421">
        <v>7403</v>
      </c>
      <c r="J537" s="423">
        <v>9599</v>
      </c>
      <c r="K537" s="423">
        <v>4073</v>
      </c>
      <c r="L537" s="420">
        <v>6399</v>
      </c>
      <c r="M537" s="419">
        <v>9097</v>
      </c>
      <c r="N537" s="421">
        <v>12295</v>
      </c>
      <c r="O537" s="422">
        <v>4356</v>
      </c>
      <c r="P537" s="421">
        <v>10027</v>
      </c>
      <c r="Q537" s="423">
        <v>4799</v>
      </c>
      <c r="R537" s="423">
        <v>7192</v>
      </c>
      <c r="S537" s="420">
        <v>6399</v>
      </c>
      <c r="T537" s="424">
        <v>2000</v>
      </c>
      <c r="U537" s="420">
        <v>1250</v>
      </c>
      <c r="V537" s="425" t="s">
        <v>198</v>
      </c>
      <c r="W537" s="426"/>
      <c r="X537" s="427"/>
      <c r="Y537" s="427"/>
      <c r="Z537" s="427"/>
      <c r="AA537" s="428" t="s">
        <v>191</v>
      </c>
      <c r="AB537" s="418" t="s">
        <v>4</v>
      </c>
      <c r="AC537" s="430">
        <v>9191.7999999999993</v>
      </c>
      <c r="AD537" s="431">
        <v>13787.7</v>
      </c>
      <c r="AE537" s="432">
        <v>8804.7999999999993</v>
      </c>
      <c r="AF537" s="433">
        <v>13787.7</v>
      </c>
      <c r="AG537" s="434">
        <v>8804.7999999999993</v>
      </c>
      <c r="AH537" s="783"/>
      <c r="AI537" s="783"/>
    </row>
    <row r="538" spans="1:35" s="267" customFormat="1" x14ac:dyDescent="0.25">
      <c r="A538" s="939"/>
      <c r="B538" s="295" t="s">
        <v>11</v>
      </c>
      <c r="C538" s="302">
        <f t="shared" ref="C538:L538" si="276">C537*33.717</f>
        <v>197918.78999999998</v>
      </c>
      <c r="D538" s="263">
        <f t="shared" si="276"/>
        <v>112378.761</v>
      </c>
      <c r="E538" s="302">
        <f t="shared" si="276"/>
        <v>112277.61</v>
      </c>
      <c r="F538" s="355">
        <f t="shared" si="276"/>
        <v>318861.66899999999</v>
      </c>
      <c r="G538" s="308">
        <f t="shared" si="276"/>
        <v>284301.74400000001</v>
      </c>
      <c r="H538" s="354">
        <f t="shared" si="276"/>
        <v>529458.05099999998</v>
      </c>
      <c r="I538" s="354">
        <f t="shared" si="276"/>
        <v>249606.951</v>
      </c>
      <c r="J538" s="355">
        <f t="shared" si="276"/>
        <v>323649.48300000001</v>
      </c>
      <c r="K538" s="375">
        <f t="shared" si="276"/>
        <v>137329.34099999999</v>
      </c>
      <c r="L538" s="263">
        <f t="shared" si="276"/>
        <v>215755.08299999998</v>
      </c>
      <c r="M538" s="322">
        <f>M537*33.717</f>
        <v>306723.549</v>
      </c>
      <c r="N538" s="308">
        <f>N537*33.717</f>
        <v>414550.51499999996</v>
      </c>
      <c r="O538" s="308">
        <f>O537*33.717</f>
        <v>146871.25200000001</v>
      </c>
      <c r="P538" s="354">
        <f>P537*33.717</f>
        <v>338080.359</v>
      </c>
      <c r="Q538" s="355">
        <f>Q537*33.717</f>
        <v>161807.883</v>
      </c>
      <c r="R538" s="375">
        <f t="shared" ref="R538:S538" si="277">R537*33.717</f>
        <v>242492.66399999999</v>
      </c>
      <c r="S538" s="263">
        <f t="shared" si="277"/>
        <v>215755.08299999998</v>
      </c>
      <c r="T538" s="302">
        <f>T537*33.717</f>
        <v>67434</v>
      </c>
      <c r="U538" s="354">
        <f>U537*33.717</f>
        <v>42146.25</v>
      </c>
      <c r="V538" s="70"/>
      <c r="W538" s="70"/>
      <c r="X538" s="70"/>
      <c r="Y538" s="70"/>
      <c r="Z538" s="70"/>
      <c r="AA538" s="436"/>
      <c r="AB538" s="293" t="s">
        <v>5</v>
      </c>
      <c r="AC538" s="319">
        <v>8835</v>
      </c>
      <c r="AD538" s="300">
        <v>13648.9</v>
      </c>
      <c r="AE538" s="264">
        <v>0</v>
      </c>
      <c r="AF538" s="398">
        <v>13649.5</v>
      </c>
      <c r="AG538" s="394">
        <v>30</v>
      </c>
      <c r="AH538" s="781"/>
      <c r="AI538" s="781"/>
    </row>
    <row r="539" spans="1:35" s="267" customFormat="1" ht="15.75" thickBot="1" x14ac:dyDescent="0.3">
      <c r="A539" s="939"/>
      <c r="B539" s="295" t="s">
        <v>79</v>
      </c>
      <c r="C539" s="302">
        <v>164000</v>
      </c>
      <c r="D539" s="263">
        <v>109880</v>
      </c>
      <c r="E539" s="302">
        <v>109880</v>
      </c>
      <c r="F539" s="308">
        <v>328000</v>
      </c>
      <c r="G539" s="308">
        <v>330905</v>
      </c>
      <c r="H539" s="308">
        <v>264264</v>
      </c>
      <c r="I539" s="308">
        <v>242663.6</v>
      </c>
      <c r="J539" s="375">
        <v>328000</v>
      </c>
      <c r="K539" s="375">
        <v>328000</v>
      </c>
      <c r="L539" s="263">
        <v>328000</v>
      </c>
      <c r="M539" s="302">
        <v>328000</v>
      </c>
      <c r="N539" s="308">
        <v>264264.40000000002</v>
      </c>
      <c r="O539" s="308">
        <v>328000</v>
      </c>
      <c r="P539" s="308">
        <v>352965.4</v>
      </c>
      <c r="Q539" s="375">
        <v>328000</v>
      </c>
      <c r="R539" s="375">
        <v>328000</v>
      </c>
      <c r="S539" s="263">
        <v>328000</v>
      </c>
      <c r="T539" s="322">
        <f>2*T534</f>
        <v>110302</v>
      </c>
      <c r="U539" s="263">
        <f>2*U534</f>
        <v>66181</v>
      </c>
      <c r="V539" s="70"/>
      <c r="W539" s="70"/>
      <c r="X539" s="70"/>
      <c r="Y539" s="70"/>
      <c r="Z539" s="70"/>
      <c r="AA539" s="437"/>
      <c r="AB539" s="344" t="s">
        <v>3</v>
      </c>
      <c r="AC539" s="395">
        <f>AC538/AC537</f>
        <v>0.96118279335929857</v>
      </c>
      <c r="AD539" s="301">
        <f>AD538/AD537</f>
        <v>0.98993305627479555</v>
      </c>
      <c r="AE539" s="401">
        <f>AE538/AE537</f>
        <v>0</v>
      </c>
      <c r="AF539" s="400">
        <f>AF538/AF537</f>
        <v>0.98997657332259903</v>
      </c>
      <c r="AG539" s="348">
        <f>AG538/AG537</f>
        <v>3.4072324186807199E-3</v>
      </c>
      <c r="AH539" s="782"/>
      <c r="AI539" s="782"/>
    </row>
    <row r="540" spans="1:35" s="267" customFormat="1" ht="15" customHeight="1" x14ac:dyDescent="0.25">
      <c r="A540" s="939"/>
      <c r="B540" s="293" t="s">
        <v>8</v>
      </c>
      <c r="C540" s="303">
        <f>SUM(C537-401)</f>
        <v>5469</v>
      </c>
      <c r="D540" s="262">
        <f>SUM(D537-551)</f>
        <v>2782</v>
      </c>
      <c r="E540" s="303">
        <f>SUM(E537-517)</f>
        <v>2813</v>
      </c>
      <c r="F540" s="309">
        <f>SUM(F537-1202)</f>
        <v>8255</v>
      </c>
      <c r="G540" s="309">
        <f>SUM(G537-4537)</f>
        <v>3895</v>
      </c>
      <c r="H540" s="309">
        <f>SUM(H537-2103)</f>
        <v>13600</v>
      </c>
      <c r="I540" s="309">
        <f>SUM(I537-(3203-2000))</f>
        <v>6200</v>
      </c>
      <c r="J540" s="316">
        <f>SUM(J537-9051)</f>
        <v>548</v>
      </c>
      <c r="K540" s="316">
        <f>SUM(K537-3088)</f>
        <v>985</v>
      </c>
      <c r="L540" s="262">
        <f>SUM(L537-6099)</f>
        <v>300</v>
      </c>
      <c r="M540" s="303">
        <f>SUM(M537-933)</f>
        <v>8164</v>
      </c>
      <c r="N540" s="309">
        <f>SUM(N537-1149)</f>
        <v>11146</v>
      </c>
      <c r="O540" s="316">
        <f>SUM(O537-314)</f>
        <v>4042</v>
      </c>
      <c r="P540" s="309">
        <f>SUM(P537-(5132-2614))</f>
        <v>7509</v>
      </c>
      <c r="Q540" s="316">
        <f>SUM(Q537-3803)</f>
        <v>996</v>
      </c>
      <c r="R540" s="316">
        <f>SUM(R537-6080)</f>
        <v>1112</v>
      </c>
      <c r="S540" s="262">
        <f>SUM(S537-3984)</f>
        <v>2415</v>
      </c>
      <c r="T540" s="323">
        <f>SUM(T537-887)</f>
        <v>1113</v>
      </c>
      <c r="U540" s="262">
        <f>SUM(U537-727)</f>
        <v>523</v>
      </c>
      <c r="V540" s="12" t="s">
        <v>176</v>
      </c>
      <c r="W540" s="70"/>
      <c r="X540" s="70"/>
      <c r="Y540" s="70"/>
      <c r="Z540" s="70"/>
      <c r="AA540" s="435" t="s">
        <v>192</v>
      </c>
      <c r="AB540" s="19" t="s">
        <v>4</v>
      </c>
      <c r="AC540" s="318">
        <v>97433.600000000006</v>
      </c>
      <c r="AD540" s="299">
        <v>243584.4</v>
      </c>
      <c r="AE540" s="265">
        <v>132070.29999999999</v>
      </c>
      <c r="AF540" s="397">
        <v>292299.3</v>
      </c>
      <c r="AG540" s="393">
        <v>132070.39999999999</v>
      </c>
      <c r="AH540" s="780"/>
      <c r="AI540" s="780"/>
    </row>
    <row r="541" spans="1:35" s="267" customFormat="1" x14ac:dyDescent="0.25">
      <c r="A541" s="939"/>
      <c r="B541" s="296" t="s">
        <v>77</v>
      </c>
      <c r="C541" s="302">
        <f>(C540*33.717)</f>
        <v>184398.27299999999</v>
      </c>
      <c r="D541" s="338">
        <f>(D540*33.717)</f>
        <v>93800.694000000003</v>
      </c>
      <c r="E541" s="302">
        <f>(E540*33.717)</f>
        <v>94845.921000000002</v>
      </c>
      <c r="F541" s="338">
        <f>(F540*33.717)</f>
        <v>278333.83499999996</v>
      </c>
      <c r="G541" s="280">
        <f>(G540*33.717)*2</f>
        <v>262655.43</v>
      </c>
      <c r="H541" s="280">
        <f>(H540*33.717)</f>
        <v>458551.2</v>
      </c>
      <c r="I541" s="280">
        <f>(I540*33.717)-(2000*33.717)</f>
        <v>141611.4</v>
      </c>
      <c r="J541" s="376">
        <f>J540*33.717</f>
        <v>18476.916000000001</v>
      </c>
      <c r="K541" s="376">
        <f>K540*33.717</f>
        <v>33211.244999999995</v>
      </c>
      <c r="L541" s="261">
        <f>L540*33.717</f>
        <v>10115.1</v>
      </c>
      <c r="M541" s="304">
        <f>M540*33.717</f>
        <v>275265.58799999999</v>
      </c>
      <c r="N541" s="280">
        <f>N540*33.717</f>
        <v>375809.68199999997</v>
      </c>
      <c r="O541" s="280">
        <f>(O540*33.717)</f>
        <v>136284.114</v>
      </c>
      <c r="P541" s="280">
        <f t="shared" ref="P541:U541" si="278">P540*33.717</f>
        <v>253180.95299999998</v>
      </c>
      <c r="Q541" s="376">
        <f t="shared" si="278"/>
        <v>33582.131999999998</v>
      </c>
      <c r="R541" s="376">
        <f t="shared" si="278"/>
        <v>37493.303999999996</v>
      </c>
      <c r="S541" s="261">
        <f t="shared" si="278"/>
        <v>81426.554999999993</v>
      </c>
      <c r="T541" s="324">
        <f t="shared" si="278"/>
        <v>37527.021000000001</v>
      </c>
      <c r="U541" s="325">
        <f t="shared" si="278"/>
        <v>17633.990999999998</v>
      </c>
      <c r="V541" s="63">
        <f>344240-H541</f>
        <v>-114311.20000000001</v>
      </c>
      <c r="W541" s="70" t="s">
        <v>177</v>
      </c>
      <c r="X541" s="70"/>
      <c r="Y541" s="70"/>
      <c r="Z541" s="70"/>
      <c r="AA541" s="436"/>
      <c r="AB541" s="293" t="s">
        <v>5</v>
      </c>
      <c r="AC541" s="319">
        <v>38973.199999999997</v>
      </c>
      <c r="AD541" s="300">
        <v>95895.7</v>
      </c>
      <c r="AE541" s="264">
        <v>0.1</v>
      </c>
      <c r="AF541" s="398">
        <v>93978.8</v>
      </c>
      <c r="AG541" s="394">
        <v>1</v>
      </c>
      <c r="AH541" s="781"/>
      <c r="AI541" s="781"/>
    </row>
    <row r="542" spans="1:35" s="267" customFormat="1" ht="15.75" thickBot="1" x14ac:dyDescent="0.3">
      <c r="A542" s="940"/>
      <c r="B542" s="294" t="s">
        <v>10</v>
      </c>
      <c r="C542" s="305">
        <f>C541/C534</f>
        <v>1.2859642590642499</v>
      </c>
      <c r="D542" s="292">
        <f t="shared" ref="D542:U542" si="279">D541/D534</f>
        <v>0.6231912737922104</v>
      </c>
      <c r="E542" s="310">
        <f t="shared" si="279"/>
        <v>0.63013553313353265</v>
      </c>
      <c r="F542" s="282">
        <f t="shared" si="279"/>
        <v>1.5293168691222139</v>
      </c>
      <c r="G542" s="282">
        <f t="shared" si="279"/>
        <v>1.5874879044565391</v>
      </c>
      <c r="H542" s="282">
        <f t="shared" si="279"/>
        <v>3.4703786869129494</v>
      </c>
      <c r="I542" s="282">
        <f t="shared" si="279"/>
        <v>0.82828893726684305</v>
      </c>
      <c r="J542" s="377">
        <f t="shared" si="279"/>
        <v>0.11167437376664743</v>
      </c>
      <c r="K542" s="377">
        <f t="shared" si="279"/>
        <v>0.35938394097710669</v>
      </c>
      <c r="L542" s="311">
        <f t="shared" si="279"/>
        <v>4.6988732571022429E-2</v>
      </c>
      <c r="M542" s="310">
        <f t="shared" si="279"/>
        <v>1.42603155689997</v>
      </c>
      <c r="N542" s="282">
        <f t="shared" si="279"/>
        <v>2.8441794738479214</v>
      </c>
      <c r="O542" s="282">
        <f t="shared" si="279"/>
        <v>1.6474037854813324</v>
      </c>
      <c r="P542" s="260">
        <f t="shared" si="279"/>
        <v>0.9181373066671501</v>
      </c>
      <c r="Q542" s="377">
        <f t="shared" si="279"/>
        <v>0.40594116040064498</v>
      </c>
      <c r="R542" s="377">
        <f t="shared" si="279"/>
        <v>0.1983965846410444</v>
      </c>
      <c r="S542" s="311">
        <f t="shared" si="279"/>
        <v>0.37825929719673052</v>
      </c>
      <c r="T542" s="305">
        <f t="shared" si="279"/>
        <v>0.68044135192471578</v>
      </c>
      <c r="U542" s="292">
        <f t="shared" si="279"/>
        <v>0.53290192049077523</v>
      </c>
      <c r="V542" s="126"/>
      <c r="W542" s="70"/>
      <c r="X542" s="70"/>
      <c r="Y542" s="70"/>
      <c r="Z542" s="70"/>
      <c r="AA542" s="437"/>
      <c r="AB542" s="294" t="s">
        <v>3</v>
      </c>
      <c r="AC542" s="320">
        <f>AC541/AC540</f>
        <v>0.39999753678402516</v>
      </c>
      <c r="AD542" s="305">
        <f>AD541/AD540</f>
        <v>0.39368572043201455</v>
      </c>
      <c r="AE542" s="292">
        <f>AE541/AE540</f>
        <v>7.5717250585483648E-7</v>
      </c>
      <c r="AF542" s="399">
        <f>AF541/AF540</f>
        <v>0.32151565193621745</v>
      </c>
      <c r="AG542" s="343">
        <f>AG541/AG540</f>
        <v>7.5717193254506694E-6</v>
      </c>
      <c r="AH542" s="782"/>
      <c r="AI542" s="782"/>
    </row>
    <row r="543" spans="1:35" s="267" customFormat="1" ht="15.75" thickBot="1" x14ac:dyDescent="0.3">
      <c r="A543" s="924">
        <v>41470</v>
      </c>
      <c r="B543" s="924"/>
      <c r="C543" s="924"/>
      <c r="D543" s="276"/>
      <c r="E543" s="276"/>
      <c r="F543" s="276"/>
      <c r="G543" s="276"/>
      <c r="H543" s="276"/>
      <c r="I543" s="11"/>
      <c r="J543" s="281"/>
      <c r="K543" s="281"/>
      <c r="L543" s="276"/>
      <c r="M543" s="276"/>
      <c r="N543" s="13"/>
      <c r="R543" s="12"/>
      <c r="S543" s="70"/>
      <c r="T543" s="70"/>
      <c r="U543" s="70"/>
      <c r="V543" s="70"/>
      <c r="W543" s="70"/>
      <c r="X543" s="70"/>
      <c r="Y543" s="70"/>
      <c r="Z543" s="70"/>
      <c r="AA543" s="941"/>
      <c r="AB543" s="942"/>
      <c r="AH543" s="743"/>
      <c r="AI543" s="743"/>
    </row>
    <row r="544" spans="1:35" s="267" customFormat="1" x14ac:dyDescent="0.25">
      <c r="A544" s="925" t="s">
        <v>1</v>
      </c>
      <c r="B544" s="926"/>
      <c r="C544" s="297" t="s">
        <v>12</v>
      </c>
      <c r="D544" s="266" t="s">
        <v>12</v>
      </c>
      <c r="E544" s="297" t="s">
        <v>13</v>
      </c>
      <c r="F544" s="277" t="s">
        <v>13</v>
      </c>
      <c r="G544" s="277" t="s">
        <v>13</v>
      </c>
      <c r="H544" s="277" t="s">
        <v>13</v>
      </c>
      <c r="I544" s="277" t="s">
        <v>13</v>
      </c>
      <c r="J544" s="286" t="s">
        <v>13</v>
      </c>
      <c r="K544" s="286" t="s">
        <v>13</v>
      </c>
      <c r="L544" s="266" t="s">
        <v>13</v>
      </c>
      <c r="M544" s="297" t="s">
        <v>2</v>
      </c>
      <c r="N544" s="277" t="s">
        <v>2</v>
      </c>
      <c r="O544" s="286" t="s">
        <v>2</v>
      </c>
      <c r="P544" s="277" t="s">
        <v>2</v>
      </c>
      <c r="Q544" s="286" t="s">
        <v>2</v>
      </c>
      <c r="R544" s="286" t="s">
        <v>2</v>
      </c>
      <c r="S544" s="266" t="s">
        <v>2</v>
      </c>
      <c r="T544" s="328" t="s">
        <v>183</v>
      </c>
      <c r="U544" s="327" t="s">
        <v>183</v>
      </c>
      <c r="V544" s="12"/>
      <c r="W544" s="70"/>
      <c r="X544" s="70"/>
      <c r="Y544" s="70"/>
      <c r="Z544" s="70"/>
      <c r="AA544" s="925" t="s">
        <v>1</v>
      </c>
      <c r="AB544" s="928"/>
      <c r="AC544" s="411" t="s">
        <v>12</v>
      </c>
      <c r="AD544" s="929" t="s">
        <v>13</v>
      </c>
      <c r="AE544" s="930"/>
      <c r="AF544" s="929" t="s">
        <v>2</v>
      </c>
      <c r="AG544" s="930"/>
      <c r="AH544" s="778"/>
      <c r="AI544" s="778"/>
    </row>
    <row r="545" spans="1:35" s="267" customFormat="1" ht="15.75" thickBot="1" x14ac:dyDescent="0.3">
      <c r="A545" s="931" t="s">
        <v>0</v>
      </c>
      <c r="B545" s="944"/>
      <c r="C545" s="298" t="s">
        <v>99</v>
      </c>
      <c r="D545" s="291" t="s">
        <v>100</v>
      </c>
      <c r="E545" s="298" t="s">
        <v>101</v>
      </c>
      <c r="F545" s="306" t="s">
        <v>102</v>
      </c>
      <c r="G545" s="306" t="s">
        <v>97</v>
      </c>
      <c r="H545" s="306" t="s">
        <v>104</v>
      </c>
      <c r="I545" s="306" t="s">
        <v>103</v>
      </c>
      <c r="J545" s="378" t="s">
        <v>178</v>
      </c>
      <c r="K545" s="378" t="s">
        <v>200</v>
      </c>
      <c r="L545" s="314" t="s">
        <v>207</v>
      </c>
      <c r="M545" s="298" t="s">
        <v>105</v>
      </c>
      <c r="N545" s="306" t="s">
        <v>107</v>
      </c>
      <c r="O545" s="312" t="s">
        <v>98</v>
      </c>
      <c r="P545" s="313" t="s">
        <v>106</v>
      </c>
      <c r="Q545" s="312" t="s">
        <v>179</v>
      </c>
      <c r="R545" s="312" t="s">
        <v>199</v>
      </c>
      <c r="S545" s="291" t="s">
        <v>208</v>
      </c>
      <c r="T545" s="317" t="s">
        <v>182</v>
      </c>
      <c r="U545" s="291" t="s">
        <v>184</v>
      </c>
      <c r="V545" s="12"/>
      <c r="W545" s="12"/>
      <c r="X545" s="12"/>
      <c r="Y545" s="12"/>
      <c r="Z545" s="12"/>
      <c r="AA545" s="931" t="s">
        <v>0</v>
      </c>
      <c r="AB545" s="945"/>
      <c r="AC545" s="317" t="s">
        <v>99</v>
      </c>
      <c r="AD545" s="298" t="s">
        <v>104</v>
      </c>
      <c r="AE545" s="291" t="s">
        <v>207</v>
      </c>
      <c r="AF545" s="396" t="s">
        <v>107</v>
      </c>
      <c r="AG545" s="392" t="s">
        <v>208</v>
      </c>
      <c r="AH545" s="779"/>
      <c r="AI545" s="779"/>
    </row>
    <row r="546" spans="1:35" s="267" customFormat="1" ht="15" customHeight="1" x14ac:dyDescent="0.25">
      <c r="A546" s="935" t="s">
        <v>9</v>
      </c>
      <c r="B546" s="19" t="s">
        <v>4</v>
      </c>
      <c r="C546" s="299">
        <v>143393</v>
      </c>
      <c r="D546" s="265">
        <v>150516.70000000001</v>
      </c>
      <c r="E546" s="299">
        <v>150516.70000000001</v>
      </c>
      <c r="F546" s="283">
        <v>181998.8</v>
      </c>
      <c r="G546" s="283">
        <v>165453.5</v>
      </c>
      <c r="H546" s="283">
        <v>132132.9</v>
      </c>
      <c r="I546" s="283">
        <v>170968.6</v>
      </c>
      <c r="J546" s="223">
        <v>165453.5</v>
      </c>
      <c r="K546" s="223">
        <v>92411.6</v>
      </c>
      <c r="L546" s="265">
        <f>83196.1+132070.4</f>
        <v>215266.5</v>
      </c>
      <c r="M546" s="299">
        <v>193029.1</v>
      </c>
      <c r="N546" s="283">
        <v>132132.9</v>
      </c>
      <c r="O546" s="283">
        <v>82726.600000000006</v>
      </c>
      <c r="P546" s="283">
        <v>275755</v>
      </c>
      <c r="Q546" s="223">
        <v>82726.600000000006</v>
      </c>
      <c r="R546" s="223">
        <v>188981.6</v>
      </c>
      <c r="S546" s="265">
        <f>83196.1+132070.4</f>
        <v>215266.5</v>
      </c>
      <c r="T546" s="318">
        <v>55151</v>
      </c>
      <c r="U546" s="265">
        <v>33090.5</v>
      </c>
      <c r="V546" s="70"/>
      <c r="W546" s="70"/>
      <c r="X546" s="70"/>
      <c r="Y546" s="70"/>
      <c r="Z546" s="70"/>
      <c r="AA546" s="408" t="s">
        <v>195</v>
      </c>
      <c r="AB546" s="2" t="s">
        <v>4</v>
      </c>
      <c r="AC546" s="318">
        <v>143392.20000000001</v>
      </c>
      <c r="AD546" s="299">
        <v>132132</v>
      </c>
      <c r="AE546" s="265">
        <v>83196.100000000006</v>
      </c>
      <c r="AF546" s="397">
        <v>132132.20000000001</v>
      </c>
      <c r="AG546" s="393">
        <v>83196.100000000006</v>
      </c>
      <c r="AH546" s="780"/>
      <c r="AI546" s="780"/>
    </row>
    <row r="547" spans="1:35" s="267" customFormat="1" x14ac:dyDescent="0.25">
      <c r="A547" s="936"/>
      <c r="B547" s="293" t="s">
        <v>5</v>
      </c>
      <c r="C547" s="300">
        <v>44801.1</v>
      </c>
      <c r="D547" s="264">
        <v>78796.600000000006</v>
      </c>
      <c r="E547" s="300">
        <v>80278.2</v>
      </c>
      <c r="F547" s="307">
        <v>144491.4</v>
      </c>
      <c r="G547" s="307">
        <v>112161.5</v>
      </c>
      <c r="H547" s="307">
        <v>59880.2</v>
      </c>
      <c r="I547" s="307">
        <v>90156.4</v>
      </c>
      <c r="J547" s="374">
        <v>22184.3</v>
      </c>
      <c r="K547" s="374">
        <v>11114</v>
      </c>
      <c r="L547" s="264">
        <f>60.1+2.3</f>
        <v>62.4</v>
      </c>
      <c r="M547" s="300">
        <v>156967.70000000001</v>
      </c>
      <c r="N547" s="307">
        <v>55348</v>
      </c>
      <c r="O547" s="307">
        <v>57552</v>
      </c>
      <c r="P547" s="307">
        <v>164115.5</v>
      </c>
      <c r="Q547" s="374">
        <v>71181.7</v>
      </c>
      <c r="R547" s="374">
        <v>18020.3</v>
      </c>
      <c r="S547" s="264">
        <f>19241.2+504.7</f>
        <v>19745.900000000001</v>
      </c>
      <c r="T547" s="319">
        <v>11450</v>
      </c>
      <c r="U547" s="264">
        <v>5551.7</v>
      </c>
      <c r="V547" s="70"/>
      <c r="W547" s="70"/>
      <c r="X547" s="70"/>
      <c r="Y547" s="70"/>
      <c r="Z547" s="70"/>
      <c r="AA547" s="409"/>
      <c r="AB547" s="342" t="s">
        <v>5</v>
      </c>
      <c r="AC547" s="319">
        <v>43401.8</v>
      </c>
      <c r="AD547" s="300">
        <v>58695.3</v>
      </c>
      <c r="AE547" s="264">
        <v>4.7</v>
      </c>
      <c r="AF547" s="398">
        <v>55118.9</v>
      </c>
      <c r="AG547" s="394">
        <v>4.5</v>
      </c>
      <c r="AH547" s="781"/>
      <c r="AI547" s="781"/>
    </row>
    <row r="548" spans="1:35" s="267" customFormat="1" ht="15.75" thickBot="1" x14ac:dyDescent="0.3">
      <c r="A548" s="937"/>
      <c r="B548" s="294" t="s">
        <v>3</v>
      </c>
      <c r="C548" s="305">
        <f t="shared" ref="C548:L548" si="280">C547/C546</f>
        <v>0.31243575348866404</v>
      </c>
      <c r="D548" s="343">
        <f t="shared" si="280"/>
        <v>0.52350735831970807</v>
      </c>
      <c r="E548" s="305">
        <f t="shared" si="280"/>
        <v>0.53335078433157246</v>
      </c>
      <c r="F548" s="371">
        <f t="shared" si="280"/>
        <v>0.79391402580676362</v>
      </c>
      <c r="G548" s="278">
        <f t="shared" si="280"/>
        <v>0.67790345928009987</v>
      </c>
      <c r="H548" s="278">
        <f t="shared" si="280"/>
        <v>0.45318160730597756</v>
      </c>
      <c r="I548" s="278">
        <f t="shared" si="280"/>
        <v>0.5273272402066812</v>
      </c>
      <c r="J548" s="315">
        <f t="shared" si="280"/>
        <v>0.13408178128598064</v>
      </c>
      <c r="K548" s="315">
        <f t="shared" si="280"/>
        <v>0.12026628691636114</v>
      </c>
      <c r="L548" s="292">
        <f t="shared" si="280"/>
        <v>2.8987325013413607E-4</v>
      </c>
      <c r="M548" s="372">
        <f>M547/M546</f>
        <v>0.81318153584096908</v>
      </c>
      <c r="N548" s="278">
        <f>N547/N546</f>
        <v>0.41888129300121318</v>
      </c>
      <c r="O548" s="315">
        <f>O547/O546</f>
        <v>0.69568917373613803</v>
      </c>
      <c r="P548" s="278">
        <f>P547/P546</f>
        <v>0.59514967996953816</v>
      </c>
      <c r="Q548" s="315">
        <f>Q547/Q546</f>
        <v>0.86044512889445468</v>
      </c>
      <c r="R548" s="315">
        <f t="shared" ref="R548:S548" si="281">R547/R546</f>
        <v>9.5354785862750646E-2</v>
      </c>
      <c r="S548" s="292">
        <f t="shared" si="281"/>
        <v>9.1727695670250603E-2</v>
      </c>
      <c r="T548" s="320">
        <f>T547/T546</f>
        <v>0.20761182934126307</v>
      </c>
      <c r="U548" s="292">
        <f>U547/U546</f>
        <v>0.16777322796573035</v>
      </c>
      <c r="V548" s="70"/>
      <c r="W548" s="70"/>
      <c r="X548" s="70"/>
      <c r="Y548" s="70"/>
      <c r="Z548" s="70"/>
      <c r="AA548" s="410"/>
      <c r="AB548" s="347" t="s">
        <v>3</v>
      </c>
      <c r="AC548" s="395">
        <f>AC547/AC546</f>
        <v>0.302678946274623</v>
      </c>
      <c r="AD548" s="305">
        <f>AD547/AD546</f>
        <v>0.44421714648987376</v>
      </c>
      <c r="AE548" s="292">
        <f>AE547/AE546</f>
        <v>5.6493032726293656E-5</v>
      </c>
      <c r="AF548" s="399">
        <f>AF547/AF546</f>
        <v>0.41714964255495629</v>
      </c>
      <c r="AG548" s="343">
        <f>AG547/AG546</f>
        <v>5.4089073886876906E-5</v>
      </c>
      <c r="AH548" s="782"/>
      <c r="AI548" s="782"/>
    </row>
    <row r="549" spans="1:35" s="429" customFormat="1" ht="15" customHeight="1" x14ac:dyDescent="0.25">
      <c r="A549" s="938" t="s">
        <v>6</v>
      </c>
      <c r="B549" s="418" t="s">
        <v>7</v>
      </c>
      <c r="C549" s="419">
        <v>5870</v>
      </c>
      <c r="D549" s="420">
        <v>3333</v>
      </c>
      <c r="E549" s="419">
        <v>3330</v>
      </c>
      <c r="F549" s="421">
        <v>9457</v>
      </c>
      <c r="G549" s="422">
        <v>8428</v>
      </c>
      <c r="H549" s="421">
        <v>15703</v>
      </c>
      <c r="I549" s="421">
        <v>7403</v>
      </c>
      <c r="J549" s="423">
        <v>9599</v>
      </c>
      <c r="K549" s="423">
        <v>4073</v>
      </c>
      <c r="L549" s="420">
        <v>6399</v>
      </c>
      <c r="M549" s="419">
        <v>9097</v>
      </c>
      <c r="N549" s="421">
        <v>12295</v>
      </c>
      <c r="O549" s="422">
        <v>4354</v>
      </c>
      <c r="P549" s="421">
        <v>10027</v>
      </c>
      <c r="Q549" s="423">
        <v>4799</v>
      </c>
      <c r="R549" s="423">
        <v>7192</v>
      </c>
      <c r="S549" s="420">
        <v>6399</v>
      </c>
      <c r="T549" s="424">
        <v>2000</v>
      </c>
      <c r="U549" s="420">
        <v>1250</v>
      </c>
      <c r="V549" s="425" t="s">
        <v>198</v>
      </c>
      <c r="W549" s="426"/>
      <c r="X549" s="427"/>
      <c r="Y549" s="427"/>
      <c r="Z549" s="427"/>
      <c r="AA549" s="428" t="s">
        <v>191</v>
      </c>
      <c r="AB549" s="418" t="s">
        <v>4</v>
      </c>
      <c r="AC549" s="430">
        <v>9191.7999999999993</v>
      </c>
      <c r="AD549" s="431">
        <v>13787.7</v>
      </c>
      <c r="AE549" s="432">
        <v>8804.7999999999993</v>
      </c>
      <c r="AF549" s="433">
        <v>13787.7</v>
      </c>
      <c r="AG549" s="434">
        <v>8804.7999999999993</v>
      </c>
      <c r="AH549" s="783"/>
      <c r="AI549" s="783"/>
    </row>
    <row r="550" spans="1:35" s="267" customFormat="1" x14ac:dyDescent="0.25">
      <c r="A550" s="939"/>
      <c r="B550" s="295" t="s">
        <v>11</v>
      </c>
      <c r="C550" s="302">
        <f t="shared" ref="C550:L550" si="282">C549*33.717</f>
        <v>197918.78999999998</v>
      </c>
      <c r="D550" s="263">
        <f t="shared" si="282"/>
        <v>112378.761</v>
      </c>
      <c r="E550" s="302">
        <f t="shared" si="282"/>
        <v>112277.61</v>
      </c>
      <c r="F550" s="355">
        <f t="shared" si="282"/>
        <v>318861.66899999999</v>
      </c>
      <c r="G550" s="308">
        <f t="shared" si="282"/>
        <v>284166.87599999999</v>
      </c>
      <c r="H550" s="354">
        <f t="shared" si="282"/>
        <v>529458.05099999998</v>
      </c>
      <c r="I550" s="354">
        <f t="shared" si="282"/>
        <v>249606.951</v>
      </c>
      <c r="J550" s="355">
        <f t="shared" si="282"/>
        <v>323649.48300000001</v>
      </c>
      <c r="K550" s="375">
        <f t="shared" si="282"/>
        <v>137329.34099999999</v>
      </c>
      <c r="L550" s="263">
        <f t="shared" si="282"/>
        <v>215755.08299999998</v>
      </c>
      <c r="M550" s="322">
        <f>M549*33.717</f>
        <v>306723.549</v>
      </c>
      <c r="N550" s="308">
        <f>N549*33.717</f>
        <v>414550.51499999996</v>
      </c>
      <c r="O550" s="308">
        <f>O549*33.717</f>
        <v>146803.818</v>
      </c>
      <c r="P550" s="354">
        <f>P549*33.717</f>
        <v>338080.359</v>
      </c>
      <c r="Q550" s="355">
        <f>Q549*33.717</f>
        <v>161807.883</v>
      </c>
      <c r="R550" s="375">
        <f t="shared" ref="R550:S550" si="283">R549*33.717</f>
        <v>242492.66399999999</v>
      </c>
      <c r="S550" s="263">
        <f t="shared" si="283"/>
        <v>215755.08299999998</v>
      </c>
      <c r="T550" s="302">
        <f>T549*33.717</f>
        <v>67434</v>
      </c>
      <c r="U550" s="354">
        <f>U549*33.717</f>
        <v>42146.25</v>
      </c>
      <c r="V550" s="70"/>
      <c r="W550" s="70"/>
      <c r="X550" s="70"/>
      <c r="Y550" s="70"/>
      <c r="Z550" s="70"/>
      <c r="AA550" s="409"/>
      <c r="AB550" s="293" t="s">
        <v>5</v>
      </c>
      <c r="AC550" s="319">
        <v>8835</v>
      </c>
      <c r="AD550" s="300">
        <v>13648.9</v>
      </c>
      <c r="AE550" s="264">
        <v>0</v>
      </c>
      <c r="AF550" s="398">
        <v>13649.5</v>
      </c>
      <c r="AG550" s="394">
        <v>30</v>
      </c>
      <c r="AH550" s="781"/>
      <c r="AI550" s="781"/>
    </row>
    <row r="551" spans="1:35" s="267" customFormat="1" ht="15.75" thickBot="1" x14ac:dyDescent="0.3">
      <c r="A551" s="939"/>
      <c r="B551" s="295" t="s">
        <v>79</v>
      </c>
      <c r="C551" s="302">
        <v>164000</v>
      </c>
      <c r="D551" s="263">
        <v>109880</v>
      </c>
      <c r="E551" s="302">
        <v>109880</v>
      </c>
      <c r="F551" s="308">
        <v>328000</v>
      </c>
      <c r="G551" s="308">
        <v>330905</v>
      </c>
      <c r="H551" s="308">
        <v>264264</v>
      </c>
      <c r="I551" s="308">
        <v>242663.6</v>
      </c>
      <c r="J551" s="375">
        <v>328000</v>
      </c>
      <c r="K551" s="375">
        <v>328000</v>
      </c>
      <c r="L551" s="263">
        <v>328000</v>
      </c>
      <c r="M551" s="302">
        <v>328000</v>
      </c>
      <c r="N551" s="308">
        <v>264264.40000000002</v>
      </c>
      <c r="O551" s="308">
        <v>328000</v>
      </c>
      <c r="P551" s="308">
        <v>352965.4</v>
      </c>
      <c r="Q551" s="375">
        <v>328000</v>
      </c>
      <c r="R551" s="375">
        <v>328000</v>
      </c>
      <c r="S551" s="263">
        <v>328000</v>
      </c>
      <c r="T551" s="322">
        <f>2*T546</f>
        <v>110302</v>
      </c>
      <c r="U551" s="263">
        <f>2*U546</f>
        <v>66181</v>
      </c>
      <c r="V551" s="70"/>
      <c r="W551" s="70"/>
      <c r="X551" s="70"/>
      <c r="Y551" s="70"/>
      <c r="Z551" s="70"/>
      <c r="AA551" s="410"/>
      <c r="AB551" s="344" t="s">
        <v>3</v>
      </c>
      <c r="AC551" s="395">
        <f>AC550/AC549</f>
        <v>0.96118279335929857</v>
      </c>
      <c r="AD551" s="301">
        <f>AD550/AD549</f>
        <v>0.98993305627479555</v>
      </c>
      <c r="AE551" s="401">
        <f>AE550/AE549</f>
        <v>0</v>
      </c>
      <c r="AF551" s="400">
        <f>AF550/AF549</f>
        <v>0.98997657332259903</v>
      </c>
      <c r="AG551" s="348">
        <f>AG550/AG549</f>
        <v>3.4072324186807199E-3</v>
      </c>
      <c r="AH551" s="782"/>
      <c r="AI551" s="782"/>
    </row>
    <row r="552" spans="1:35" s="267" customFormat="1" ht="15" customHeight="1" x14ac:dyDescent="0.25">
      <c r="A552" s="939"/>
      <c r="B552" s="293" t="s">
        <v>8</v>
      </c>
      <c r="C552" s="303">
        <f>SUM(C549-401)</f>
        <v>5469</v>
      </c>
      <c r="D552" s="262">
        <f>SUM(D549-551)</f>
        <v>2782</v>
      </c>
      <c r="E552" s="303">
        <f>SUM(E549-517)</f>
        <v>2813</v>
      </c>
      <c r="F552" s="309">
        <f>SUM(F549-1195)</f>
        <v>8262</v>
      </c>
      <c r="G552" s="309">
        <f>SUM(G549-4548)</f>
        <v>3880</v>
      </c>
      <c r="H552" s="309">
        <f>SUM(H549-2103)</f>
        <v>13600</v>
      </c>
      <c r="I552" s="309">
        <f>SUM(I549-(3203-2000))</f>
        <v>6200</v>
      </c>
      <c r="J552" s="316">
        <f>SUM(J549-9081)</f>
        <v>518</v>
      </c>
      <c r="K552" s="316">
        <f>SUM(K549-3475)</f>
        <v>598</v>
      </c>
      <c r="L552" s="262">
        <f>SUM(L549-6190)</f>
        <v>209</v>
      </c>
      <c r="M552" s="303">
        <f>SUM(M549-927)</f>
        <v>8170</v>
      </c>
      <c r="N552" s="309">
        <f>SUM(N549-1149)</f>
        <v>11146</v>
      </c>
      <c r="O552" s="316">
        <f>SUM(O549-327)</f>
        <v>4027</v>
      </c>
      <c r="P552" s="309">
        <f>SUM(P549-(5132-2614))</f>
        <v>7509</v>
      </c>
      <c r="Q552" s="316">
        <f>SUM(Q549-3839)</f>
        <v>960</v>
      </c>
      <c r="R552" s="316">
        <f>SUM(R549-6505)</f>
        <v>687</v>
      </c>
      <c r="S552" s="262">
        <f>SUM(S549-4940)</f>
        <v>1459</v>
      </c>
      <c r="T552" s="323">
        <f>SUM(T549-887)</f>
        <v>1113</v>
      </c>
      <c r="U552" s="262">
        <f>SUM(U549-752)</f>
        <v>498</v>
      </c>
      <c r="V552" s="12" t="s">
        <v>176</v>
      </c>
      <c r="W552" s="70"/>
      <c r="X552" s="70"/>
      <c r="Y552" s="70"/>
      <c r="Z552" s="70"/>
      <c r="AA552" s="408" t="s">
        <v>192</v>
      </c>
      <c r="AB552" s="19" t="s">
        <v>4</v>
      </c>
      <c r="AC552" s="318">
        <v>97433.600000000006</v>
      </c>
      <c r="AD552" s="299">
        <v>243584.4</v>
      </c>
      <c r="AE552" s="265">
        <v>132070.29999999999</v>
      </c>
      <c r="AF552" s="397">
        <v>292299.3</v>
      </c>
      <c r="AG552" s="393">
        <v>132070.39999999999</v>
      </c>
      <c r="AH552" s="780"/>
      <c r="AI552" s="780"/>
    </row>
    <row r="553" spans="1:35" s="267" customFormat="1" x14ac:dyDescent="0.25">
      <c r="A553" s="939"/>
      <c r="B553" s="296" t="s">
        <v>77</v>
      </c>
      <c r="C553" s="302">
        <f>(C552*33.717)</f>
        <v>184398.27299999999</v>
      </c>
      <c r="D553" s="338">
        <f>(D552*33.717)</f>
        <v>93800.694000000003</v>
      </c>
      <c r="E553" s="302">
        <f>(E552*33.717)</f>
        <v>94845.921000000002</v>
      </c>
      <c r="F553" s="338">
        <f>(F552*33.717)</f>
        <v>278569.85399999999</v>
      </c>
      <c r="G553" s="280">
        <f>(G552*33.717)*2</f>
        <v>261643.91999999998</v>
      </c>
      <c r="H553" s="280">
        <f>(H552*33.717)</f>
        <v>458551.2</v>
      </c>
      <c r="I553" s="280">
        <f>(I552*33.717)-(2000*33.717)</f>
        <v>141611.4</v>
      </c>
      <c r="J553" s="376">
        <f>J552*33.717</f>
        <v>17465.405999999999</v>
      </c>
      <c r="K553" s="376">
        <f>K552*33.717</f>
        <v>20162.766</v>
      </c>
      <c r="L553" s="261">
        <f>L552*33.717</f>
        <v>7046.8530000000001</v>
      </c>
      <c r="M553" s="304">
        <f>M552*33.717</f>
        <v>275467.89</v>
      </c>
      <c r="N553" s="280">
        <f>N552*33.717</f>
        <v>375809.68199999997</v>
      </c>
      <c r="O553" s="280">
        <f>(O552*33.717)</f>
        <v>135778.359</v>
      </c>
      <c r="P553" s="280">
        <f t="shared" ref="P553:U553" si="284">P552*33.717</f>
        <v>253180.95299999998</v>
      </c>
      <c r="Q553" s="376">
        <f t="shared" si="284"/>
        <v>32368.32</v>
      </c>
      <c r="R553" s="376">
        <f t="shared" si="284"/>
        <v>23163.578999999998</v>
      </c>
      <c r="S553" s="261">
        <f t="shared" si="284"/>
        <v>49193.102999999996</v>
      </c>
      <c r="T553" s="324">
        <f t="shared" si="284"/>
        <v>37527.021000000001</v>
      </c>
      <c r="U553" s="325">
        <f t="shared" si="284"/>
        <v>16791.065999999999</v>
      </c>
      <c r="V553" s="63">
        <f>344240-H553</f>
        <v>-114311.20000000001</v>
      </c>
      <c r="W553" s="70" t="s">
        <v>177</v>
      </c>
      <c r="X553" s="70"/>
      <c r="Y553" s="70"/>
      <c r="Z553" s="70"/>
      <c r="AA553" s="409"/>
      <c r="AB553" s="293" t="s">
        <v>5</v>
      </c>
      <c r="AC553" s="319">
        <v>38973.199999999997</v>
      </c>
      <c r="AD553" s="300">
        <v>95895.7</v>
      </c>
      <c r="AE553" s="264">
        <v>0.1</v>
      </c>
      <c r="AF553" s="398">
        <v>93978.8</v>
      </c>
      <c r="AG553" s="394">
        <v>1</v>
      </c>
      <c r="AH553" s="781"/>
      <c r="AI553" s="781"/>
    </row>
    <row r="554" spans="1:35" s="267" customFormat="1" ht="15.75" thickBot="1" x14ac:dyDescent="0.3">
      <c r="A554" s="940"/>
      <c r="B554" s="294" t="s">
        <v>10</v>
      </c>
      <c r="C554" s="305">
        <f>C553/C546</f>
        <v>1.2859642590642499</v>
      </c>
      <c r="D554" s="292">
        <f t="shared" ref="D554:U554" si="285">D553/D546</f>
        <v>0.6231912737922104</v>
      </c>
      <c r="E554" s="310">
        <f t="shared" si="285"/>
        <v>0.63013553313353265</v>
      </c>
      <c r="F554" s="282">
        <f t="shared" si="285"/>
        <v>1.5306136853649586</v>
      </c>
      <c r="G554" s="282">
        <f t="shared" si="285"/>
        <v>1.5813743438488759</v>
      </c>
      <c r="H554" s="282">
        <f t="shared" si="285"/>
        <v>3.4703786869129494</v>
      </c>
      <c r="I554" s="282">
        <f t="shared" si="285"/>
        <v>0.82828893726684305</v>
      </c>
      <c r="J554" s="377">
        <f t="shared" si="285"/>
        <v>0.10556081315898425</v>
      </c>
      <c r="K554" s="377">
        <f t="shared" si="285"/>
        <v>0.21818436213635517</v>
      </c>
      <c r="L554" s="311">
        <f t="shared" si="285"/>
        <v>3.273548369114563E-2</v>
      </c>
      <c r="M554" s="310">
        <f t="shared" si="285"/>
        <v>1.4270795957707931</v>
      </c>
      <c r="N554" s="282">
        <f t="shared" si="285"/>
        <v>2.8441794738479214</v>
      </c>
      <c r="O554" s="282">
        <f t="shared" si="285"/>
        <v>1.6412902137885514</v>
      </c>
      <c r="P554" s="260">
        <f t="shared" si="285"/>
        <v>0.9181373066671501</v>
      </c>
      <c r="Q554" s="377">
        <f t="shared" si="285"/>
        <v>0.39126858833797107</v>
      </c>
      <c r="R554" s="377">
        <f t="shared" si="285"/>
        <v>0.12257055184208408</v>
      </c>
      <c r="S554" s="311">
        <f t="shared" si="285"/>
        <v>0.22852186940373906</v>
      </c>
      <c r="T554" s="305">
        <f t="shared" si="285"/>
        <v>0.68044135192471578</v>
      </c>
      <c r="U554" s="292">
        <f t="shared" si="285"/>
        <v>0.50742859733156043</v>
      </c>
      <c r="V554" s="126"/>
      <c r="W554" s="70"/>
      <c r="X554" s="70"/>
      <c r="Y554" s="70"/>
      <c r="Z554" s="70"/>
      <c r="AA554" s="410"/>
      <c r="AB554" s="294" t="s">
        <v>3</v>
      </c>
      <c r="AC554" s="320">
        <f>AC553/AC552</f>
        <v>0.39999753678402516</v>
      </c>
      <c r="AD554" s="305">
        <f>AD553/AD552</f>
        <v>0.39368572043201455</v>
      </c>
      <c r="AE554" s="292">
        <f>AE553/AE552</f>
        <v>7.5717250585483648E-7</v>
      </c>
      <c r="AF554" s="399">
        <f>AF553/AF552</f>
        <v>0.32151565193621745</v>
      </c>
      <c r="AG554" s="343">
        <f>AG553/AG552</f>
        <v>7.5717193254506694E-6</v>
      </c>
      <c r="AH554" s="782"/>
      <c r="AI554" s="782"/>
    </row>
    <row r="555" spans="1:35" s="267" customFormat="1" ht="15.75" thickBot="1" x14ac:dyDescent="0.3">
      <c r="A555" s="924">
        <v>41464</v>
      </c>
      <c r="B555" s="924"/>
      <c r="C555" s="924"/>
      <c r="D555" s="276"/>
      <c r="E555" s="276"/>
      <c r="F555" s="276"/>
      <c r="G555" s="276"/>
      <c r="H555" s="276"/>
      <c r="I555" s="11"/>
      <c r="J555" s="281"/>
      <c r="K555" s="281"/>
      <c r="L555" s="276"/>
      <c r="M555" s="276"/>
      <c r="N555" s="13"/>
      <c r="R555" s="12"/>
      <c r="S555" s="70"/>
      <c r="T555" s="70"/>
      <c r="U555" s="70"/>
      <c r="V555" s="70"/>
      <c r="W555" s="70"/>
      <c r="X555" s="70"/>
      <c r="Y555" s="70"/>
      <c r="Z555" s="70"/>
      <c r="AA555" s="941"/>
      <c r="AB555" s="942"/>
      <c r="AH555" s="743"/>
      <c r="AI555" s="743"/>
    </row>
    <row r="556" spans="1:35" s="267" customFormat="1" x14ac:dyDescent="0.25">
      <c r="A556" s="925" t="s">
        <v>1</v>
      </c>
      <c r="B556" s="926"/>
      <c r="C556" s="297" t="s">
        <v>12</v>
      </c>
      <c r="D556" s="266" t="s">
        <v>12</v>
      </c>
      <c r="E556" s="297" t="s">
        <v>13</v>
      </c>
      <c r="F556" s="277" t="s">
        <v>13</v>
      </c>
      <c r="G556" s="277" t="s">
        <v>13</v>
      </c>
      <c r="H556" s="277" t="s">
        <v>13</v>
      </c>
      <c r="I556" s="277" t="s">
        <v>13</v>
      </c>
      <c r="J556" s="286" t="s">
        <v>13</v>
      </c>
      <c r="K556" s="286" t="s">
        <v>13</v>
      </c>
      <c r="L556" s="266" t="s">
        <v>13</v>
      </c>
      <c r="M556" s="297" t="s">
        <v>2</v>
      </c>
      <c r="N556" s="277" t="s">
        <v>2</v>
      </c>
      <c r="O556" s="286" t="s">
        <v>2</v>
      </c>
      <c r="P556" s="277" t="s">
        <v>2</v>
      </c>
      <c r="Q556" s="286" t="s">
        <v>2</v>
      </c>
      <c r="R556" s="286" t="s">
        <v>2</v>
      </c>
      <c r="S556" s="266" t="s">
        <v>2</v>
      </c>
      <c r="T556" s="328" t="s">
        <v>183</v>
      </c>
      <c r="U556" s="327" t="s">
        <v>183</v>
      </c>
      <c r="V556" s="12"/>
      <c r="W556" s="70"/>
      <c r="X556" s="70"/>
      <c r="Y556" s="70"/>
      <c r="Z556" s="70"/>
      <c r="AA556" s="925" t="s">
        <v>1</v>
      </c>
      <c r="AB556" s="928"/>
      <c r="AC556" s="416" t="s">
        <v>12</v>
      </c>
      <c r="AD556" s="929" t="s">
        <v>13</v>
      </c>
      <c r="AE556" s="930"/>
      <c r="AF556" s="929" t="s">
        <v>2</v>
      </c>
      <c r="AG556" s="930"/>
      <c r="AH556" s="778"/>
      <c r="AI556" s="778"/>
    </row>
    <row r="557" spans="1:35" s="267" customFormat="1" ht="15.75" thickBot="1" x14ac:dyDescent="0.3">
      <c r="A557" s="931" t="s">
        <v>0</v>
      </c>
      <c r="B557" s="944"/>
      <c r="C557" s="298" t="s">
        <v>99</v>
      </c>
      <c r="D557" s="291" t="s">
        <v>100</v>
      </c>
      <c r="E557" s="298" t="s">
        <v>101</v>
      </c>
      <c r="F557" s="306" t="s">
        <v>102</v>
      </c>
      <c r="G557" s="306" t="s">
        <v>97</v>
      </c>
      <c r="H557" s="306" t="s">
        <v>104</v>
      </c>
      <c r="I557" s="306" t="s">
        <v>103</v>
      </c>
      <c r="J557" s="378" t="s">
        <v>178</v>
      </c>
      <c r="K557" s="378" t="s">
        <v>200</v>
      </c>
      <c r="L557" s="314" t="s">
        <v>207</v>
      </c>
      <c r="M557" s="298" t="s">
        <v>105</v>
      </c>
      <c r="N557" s="306" t="s">
        <v>107</v>
      </c>
      <c r="O557" s="312" t="s">
        <v>98</v>
      </c>
      <c r="P557" s="313" t="s">
        <v>106</v>
      </c>
      <c r="Q557" s="312" t="s">
        <v>179</v>
      </c>
      <c r="R557" s="312" t="s">
        <v>199</v>
      </c>
      <c r="S557" s="291" t="s">
        <v>208</v>
      </c>
      <c r="T557" s="317" t="s">
        <v>182</v>
      </c>
      <c r="U557" s="291" t="s">
        <v>184</v>
      </c>
      <c r="V557" s="12"/>
      <c r="W557" s="12"/>
      <c r="X557" s="12"/>
      <c r="Y557" s="12"/>
      <c r="Z557" s="12"/>
      <c r="AA557" s="931" t="s">
        <v>0</v>
      </c>
      <c r="AB557" s="945"/>
      <c r="AC557" s="317" t="s">
        <v>99</v>
      </c>
      <c r="AD557" s="298" t="s">
        <v>104</v>
      </c>
      <c r="AE557" s="291" t="s">
        <v>207</v>
      </c>
      <c r="AF557" s="396" t="s">
        <v>107</v>
      </c>
      <c r="AG557" s="392" t="s">
        <v>208</v>
      </c>
      <c r="AH557" s="779"/>
      <c r="AI557" s="779"/>
    </row>
    <row r="558" spans="1:35" s="267" customFormat="1" ht="15" customHeight="1" x14ac:dyDescent="0.25">
      <c r="A558" s="935" t="s">
        <v>9</v>
      </c>
      <c r="B558" s="19" t="s">
        <v>4</v>
      </c>
      <c r="C558" s="299">
        <v>143393</v>
      </c>
      <c r="D558" s="265">
        <v>150516.70000000001</v>
      </c>
      <c r="E558" s="299">
        <v>150516.70000000001</v>
      </c>
      <c r="F558" s="283">
        <v>181997.8</v>
      </c>
      <c r="G558" s="283">
        <v>165452.5</v>
      </c>
      <c r="H558" s="283">
        <v>132132.9</v>
      </c>
      <c r="I558" s="368">
        <v>170968.6</v>
      </c>
      <c r="J558" s="223">
        <v>165453.5</v>
      </c>
      <c r="K558" s="223">
        <v>92411.6</v>
      </c>
      <c r="L558" s="265">
        <v>132070</v>
      </c>
      <c r="M558" s="299">
        <v>193029.1</v>
      </c>
      <c r="N558" s="283">
        <v>132132.9</v>
      </c>
      <c r="O558" s="283">
        <v>82726.600000000006</v>
      </c>
      <c r="P558" s="283">
        <v>275755</v>
      </c>
      <c r="Q558" s="223">
        <v>82726.600000000006</v>
      </c>
      <c r="R558" s="223">
        <v>188981.6</v>
      </c>
      <c r="S558" s="265">
        <v>132070</v>
      </c>
      <c r="T558" s="318">
        <v>55151</v>
      </c>
      <c r="U558" s="265">
        <v>33090.5</v>
      </c>
      <c r="V558" s="70"/>
      <c r="W558" s="70"/>
      <c r="X558" s="70"/>
      <c r="Y558" s="70"/>
      <c r="Z558" s="70"/>
      <c r="AA558" s="413" t="s">
        <v>195</v>
      </c>
      <c r="AB558" s="2" t="s">
        <v>4</v>
      </c>
      <c r="AC558" s="318">
        <v>143392.20000000001</v>
      </c>
      <c r="AD558" s="299">
        <v>132132</v>
      </c>
      <c r="AE558" s="265">
        <v>83196.100000000006</v>
      </c>
      <c r="AF558" s="397">
        <v>132132.20000000001</v>
      </c>
      <c r="AG558" s="393">
        <v>83196.100000000006</v>
      </c>
      <c r="AH558" s="780"/>
      <c r="AI558" s="780"/>
    </row>
    <row r="559" spans="1:35" s="267" customFormat="1" x14ac:dyDescent="0.25">
      <c r="A559" s="936"/>
      <c r="B559" s="293" t="s">
        <v>5</v>
      </c>
      <c r="C559" s="300">
        <v>43401.8</v>
      </c>
      <c r="D559" s="264">
        <v>78692</v>
      </c>
      <c r="E559" s="300">
        <v>80175.199999999997</v>
      </c>
      <c r="F559" s="307">
        <v>143778.70000000001</v>
      </c>
      <c r="G559" s="307">
        <v>105546.8</v>
      </c>
      <c r="H559" s="307">
        <v>58695.3</v>
      </c>
      <c r="I559" s="307">
        <v>88567.8</v>
      </c>
      <c r="J559" s="374">
        <v>16941.3</v>
      </c>
      <c r="K559" s="374">
        <v>8319.5</v>
      </c>
      <c r="L559" s="264">
        <v>4.7</v>
      </c>
      <c r="M559" s="300">
        <v>162048</v>
      </c>
      <c r="N559" s="307">
        <v>55118.9</v>
      </c>
      <c r="O559" s="307">
        <v>54223.5</v>
      </c>
      <c r="P559" s="307">
        <v>161353</v>
      </c>
      <c r="Q559" s="374">
        <v>8704.6</v>
      </c>
      <c r="R559" s="374">
        <v>14096</v>
      </c>
      <c r="S559" s="264">
        <v>4.5</v>
      </c>
      <c r="T559" s="319">
        <v>8733.5</v>
      </c>
      <c r="U559" s="264">
        <v>5054</v>
      </c>
      <c r="V559" s="70"/>
      <c r="W559" s="70"/>
      <c r="X559" s="70"/>
      <c r="Y559" s="70"/>
      <c r="Z559" s="70"/>
      <c r="AA559" s="414"/>
      <c r="AB559" s="342" t="s">
        <v>5</v>
      </c>
      <c r="AC559" s="319">
        <v>43401.8</v>
      </c>
      <c r="AD559" s="300">
        <v>58695.3</v>
      </c>
      <c r="AE559" s="264">
        <v>4.7</v>
      </c>
      <c r="AF559" s="398">
        <v>55118.9</v>
      </c>
      <c r="AG559" s="394">
        <v>4.5</v>
      </c>
      <c r="AH559" s="781"/>
      <c r="AI559" s="781"/>
    </row>
    <row r="560" spans="1:35" s="267" customFormat="1" ht="15.75" thickBot="1" x14ac:dyDescent="0.3">
      <c r="A560" s="937"/>
      <c r="B560" s="294" t="s">
        <v>3</v>
      </c>
      <c r="C560" s="305">
        <f t="shared" ref="C560:L560" si="286">C559/C558</f>
        <v>0.30267725760671721</v>
      </c>
      <c r="D560" s="343">
        <f t="shared" si="286"/>
        <v>0.52281241882130014</v>
      </c>
      <c r="E560" s="305">
        <f t="shared" si="286"/>
        <v>0.53266647488285346</v>
      </c>
      <c r="F560" s="371">
        <f t="shared" si="286"/>
        <v>0.79000240662249777</v>
      </c>
      <c r="G560" s="278">
        <f t="shared" si="286"/>
        <v>0.63792810625406082</v>
      </c>
      <c r="H560" s="278">
        <f t="shared" si="286"/>
        <v>0.44421412078293904</v>
      </c>
      <c r="I560" s="278">
        <f t="shared" si="286"/>
        <v>0.51803547552006624</v>
      </c>
      <c r="J560" s="315">
        <f t="shared" si="286"/>
        <v>0.10239311951696398</v>
      </c>
      <c r="K560" s="315">
        <f t="shared" si="286"/>
        <v>9.0026576750104961E-2</v>
      </c>
      <c r="L560" s="292">
        <f t="shared" si="286"/>
        <v>3.5587188612099643E-5</v>
      </c>
      <c r="M560" s="372">
        <f>M559/M558</f>
        <v>0.83950036548893403</v>
      </c>
      <c r="N560" s="278">
        <f>N559/N558</f>
        <v>0.41714743262276088</v>
      </c>
      <c r="O560" s="315">
        <f>O559/O558</f>
        <v>0.65545423116627533</v>
      </c>
      <c r="P560" s="278">
        <f>P559/P558</f>
        <v>0.58513172925241608</v>
      </c>
      <c r="Q560" s="315">
        <f>Q559/Q558</f>
        <v>0.10522129520613684</v>
      </c>
      <c r="R560" s="315">
        <f t="shared" ref="R560:S560" si="287">R559/R558</f>
        <v>7.458927218311201E-2</v>
      </c>
      <c r="S560" s="292">
        <f t="shared" si="287"/>
        <v>3.4072840160520936E-5</v>
      </c>
      <c r="T560" s="320">
        <f>T559/T558</f>
        <v>0.15835614948051713</v>
      </c>
      <c r="U560" s="292">
        <f>U559/U558</f>
        <v>0.1527326574092262</v>
      </c>
      <c r="V560" s="70"/>
      <c r="W560" s="70"/>
      <c r="X560" s="70"/>
      <c r="Y560" s="70"/>
      <c r="Z560" s="70"/>
      <c r="AA560" s="415"/>
      <c r="AB560" s="347" t="s">
        <v>3</v>
      </c>
      <c r="AC560" s="395">
        <f>AC559/AC558</f>
        <v>0.302678946274623</v>
      </c>
      <c r="AD560" s="305">
        <f>AD559/AD558</f>
        <v>0.44421714648987376</v>
      </c>
      <c r="AE560" s="292">
        <f>AE559/AE558</f>
        <v>5.6493032726293656E-5</v>
      </c>
      <c r="AF560" s="399">
        <f>AF559/AF558</f>
        <v>0.41714964255495629</v>
      </c>
      <c r="AG560" s="343">
        <f>AG559/AG558</f>
        <v>5.4089073886876906E-5</v>
      </c>
      <c r="AH560" s="782"/>
      <c r="AI560" s="782"/>
    </row>
    <row r="561" spans="1:35" s="267" customFormat="1" ht="15" customHeight="1" x14ac:dyDescent="0.25">
      <c r="A561" s="938" t="s">
        <v>6</v>
      </c>
      <c r="B561" s="19" t="s">
        <v>7</v>
      </c>
      <c r="C561" s="297">
        <v>5870</v>
      </c>
      <c r="D561" s="266">
        <v>3333</v>
      </c>
      <c r="E561" s="297">
        <v>3330</v>
      </c>
      <c r="F561" s="277">
        <v>9457</v>
      </c>
      <c r="G561" s="357">
        <v>8428</v>
      </c>
      <c r="H561" s="277">
        <v>15703</v>
      </c>
      <c r="I561" s="277">
        <v>7403</v>
      </c>
      <c r="J561" s="286">
        <v>9599</v>
      </c>
      <c r="K561" s="286">
        <v>4073</v>
      </c>
      <c r="L561" s="266">
        <v>6399</v>
      </c>
      <c r="M561" s="297">
        <v>9289</v>
      </c>
      <c r="N561" s="277">
        <v>12295</v>
      </c>
      <c r="O561" s="357">
        <v>4354</v>
      </c>
      <c r="P561" s="277">
        <v>10027</v>
      </c>
      <c r="Q561" s="286">
        <v>4799</v>
      </c>
      <c r="R561" s="286">
        <v>7192</v>
      </c>
      <c r="S561" s="266">
        <v>6399</v>
      </c>
      <c r="T561" s="416">
        <v>2000</v>
      </c>
      <c r="U561" s="266">
        <v>1250</v>
      </c>
      <c r="V561" s="358" t="s">
        <v>198</v>
      </c>
      <c r="W561" s="126"/>
      <c r="X561" s="70"/>
      <c r="Y561" s="70"/>
      <c r="Z561" s="70"/>
      <c r="AA561" s="413" t="s">
        <v>191</v>
      </c>
      <c r="AB561" s="19" t="s">
        <v>4</v>
      </c>
      <c r="AC561" s="318">
        <v>9191.7999999999993</v>
      </c>
      <c r="AD561" s="299">
        <v>13787.7</v>
      </c>
      <c r="AE561" s="265">
        <v>8804.7999999999993</v>
      </c>
      <c r="AF561" s="397">
        <v>13787.7</v>
      </c>
      <c r="AG561" s="393">
        <v>8804.7999999999993</v>
      </c>
      <c r="AH561" s="780"/>
      <c r="AI561" s="780"/>
    </row>
    <row r="562" spans="1:35" s="267" customFormat="1" x14ac:dyDescent="0.25">
      <c r="A562" s="939"/>
      <c r="B562" s="295" t="s">
        <v>11</v>
      </c>
      <c r="C562" s="302">
        <f t="shared" ref="C562:L562" si="288">C561*33.717</f>
        <v>197918.78999999998</v>
      </c>
      <c r="D562" s="263">
        <f t="shared" si="288"/>
        <v>112378.761</v>
      </c>
      <c r="E562" s="302">
        <f t="shared" si="288"/>
        <v>112277.61</v>
      </c>
      <c r="F562" s="355">
        <f t="shared" si="288"/>
        <v>318861.66899999999</v>
      </c>
      <c r="G562" s="308">
        <f t="shared" si="288"/>
        <v>284166.87599999999</v>
      </c>
      <c r="H562" s="354">
        <f t="shared" si="288"/>
        <v>529458.05099999998</v>
      </c>
      <c r="I562" s="354">
        <f t="shared" si="288"/>
        <v>249606.951</v>
      </c>
      <c r="J562" s="355">
        <f t="shared" si="288"/>
        <v>323649.48300000001</v>
      </c>
      <c r="K562" s="375">
        <f t="shared" si="288"/>
        <v>137329.34099999999</v>
      </c>
      <c r="L562" s="263">
        <f t="shared" si="288"/>
        <v>215755.08299999998</v>
      </c>
      <c r="M562" s="322">
        <f>M561*33.717</f>
        <v>313197.21299999999</v>
      </c>
      <c r="N562" s="308">
        <f>N561*33.717</f>
        <v>414550.51499999996</v>
      </c>
      <c r="O562" s="308">
        <f>O561*33.717</f>
        <v>146803.818</v>
      </c>
      <c r="P562" s="354">
        <f>P561*33.717</f>
        <v>338080.359</v>
      </c>
      <c r="Q562" s="355">
        <f>Q561*33.717</f>
        <v>161807.883</v>
      </c>
      <c r="R562" s="375">
        <f t="shared" ref="R562:S562" si="289">R561*33.717</f>
        <v>242492.66399999999</v>
      </c>
      <c r="S562" s="263">
        <f t="shared" si="289"/>
        <v>215755.08299999998</v>
      </c>
      <c r="T562" s="302">
        <f>T561*33.717</f>
        <v>67434</v>
      </c>
      <c r="U562" s="354">
        <f>U561*33.717</f>
        <v>42146.25</v>
      </c>
      <c r="V562" s="70"/>
      <c r="W562" s="70"/>
      <c r="X562" s="70"/>
      <c r="Y562" s="70"/>
      <c r="Z562" s="70"/>
      <c r="AA562" s="414"/>
      <c r="AB562" s="293" t="s">
        <v>5</v>
      </c>
      <c r="AC562" s="319">
        <v>8835</v>
      </c>
      <c r="AD562" s="300">
        <v>13648.9</v>
      </c>
      <c r="AE562" s="264">
        <v>0</v>
      </c>
      <c r="AF562" s="398">
        <v>13649.5</v>
      </c>
      <c r="AG562" s="394">
        <v>30</v>
      </c>
      <c r="AH562" s="781"/>
      <c r="AI562" s="781"/>
    </row>
    <row r="563" spans="1:35" s="267" customFormat="1" ht="15.75" thickBot="1" x14ac:dyDescent="0.3">
      <c r="A563" s="939"/>
      <c r="B563" s="295" t="s">
        <v>79</v>
      </c>
      <c r="C563" s="302">
        <v>164000</v>
      </c>
      <c r="D563" s="263">
        <v>109880</v>
      </c>
      <c r="E563" s="302">
        <v>109880</v>
      </c>
      <c r="F563" s="308">
        <v>328000</v>
      </c>
      <c r="G563" s="308">
        <v>330905</v>
      </c>
      <c r="H563" s="308">
        <v>264264</v>
      </c>
      <c r="I563" s="308">
        <v>242663.6</v>
      </c>
      <c r="J563" s="375">
        <v>328000</v>
      </c>
      <c r="K563" s="375">
        <v>328000</v>
      </c>
      <c r="L563" s="263">
        <v>328000</v>
      </c>
      <c r="M563" s="302">
        <v>328000</v>
      </c>
      <c r="N563" s="308">
        <v>264264.40000000002</v>
      </c>
      <c r="O563" s="308">
        <v>328000</v>
      </c>
      <c r="P563" s="308">
        <v>352965.4</v>
      </c>
      <c r="Q563" s="375">
        <v>328000</v>
      </c>
      <c r="R563" s="375">
        <v>328000</v>
      </c>
      <c r="S563" s="263">
        <v>328000</v>
      </c>
      <c r="T563" s="322">
        <f>2*T558</f>
        <v>110302</v>
      </c>
      <c r="U563" s="263">
        <f>2*U558</f>
        <v>66181</v>
      </c>
      <c r="V563" s="70"/>
      <c r="W563" s="70"/>
      <c r="X563" s="70"/>
      <c r="Y563" s="70"/>
      <c r="Z563" s="70"/>
      <c r="AA563" s="415"/>
      <c r="AB563" s="344" t="s">
        <v>3</v>
      </c>
      <c r="AC563" s="395">
        <f>AC562/AC561</f>
        <v>0.96118279335929857</v>
      </c>
      <c r="AD563" s="301">
        <f>AD562/AD561</f>
        <v>0.98993305627479555</v>
      </c>
      <c r="AE563" s="401">
        <f>AE562/AE561</f>
        <v>0</v>
      </c>
      <c r="AF563" s="400">
        <f>AF562/AF561</f>
        <v>0.98997657332259903</v>
      </c>
      <c r="AG563" s="348">
        <f>AG562/AG561</f>
        <v>3.4072324186807199E-3</v>
      </c>
      <c r="AH563" s="782"/>
      <c r="AI563" s="782"/>
    </row>
    <row r="564" spans="1:35" s="267" customFormat="1" ht="15" customHeight="1" x14ac:dyDescent="0.25">
      <c r="A564" s="939"/>
      <c r="B564" s="293" t="s">
        <v>8</v>
      </c>
      <c r="C564" s="303">
        <f>SUM(C561-434)</f>
        <v>5436</v>
      </c>
      <c r="D564" s="262">
        <f>SUM(D561-579)</f>
        <v>2754</v>
      </c>
      <c r="E564" s="303">
        <f>SUM(E561-545)</f>
        <v>2785</v>
      </c>
      <c r="F564" s="309">
        <f>SUM(F561-1243)</f>
        <v>8214</v>
      </c>
      <c r="G564" s="309">
        <f>SUM(G561-4550)</f>
        <v>3878</v>
      </c>
      <c r="H564" s="309">
        <f>SUM(H561-1978)</f>
        <v>13725</v>
      </c>
      <c r="I564" s="309">
        <f>SUM(I561-(3214-2000))</f>
        <v>6189</v>
      </c>
      <c r="J564" s="316">
        <f>SUM(J561-9081)</f>
        <v>518</v>
      </c>
      <c r="K564" s="316">
        <f>SUM(K561-3566)</f>
        <v>507</v>
      </c>
      <c r="L564" s="262">
        <f>SUM(L561-6312)</f>
        <v>87</v>
      </c>
      <c r="M564" s="303">
        <f>SUM(M561-936)</f>
        <v>8353</v>
      </c>
      <c r="N564" s="309">
        <f>SUM(N561-1164)</f>
        <v>11131</v>
      </c>
      <c r="O564" s="316">
        <f>SUM(O561-329)</f>
        <v>4025</v>
      </c>
      <c r="P564" s="309">
        <f>SUM(P561-(5150-2614))</f>
        <v>7491</v>
      </c>
      <c r="Q564" s="316">
        <f>SUM(Q561-3839)</f>
        <v>960</v>
      </c>
      <c r="R564" s="316">
        <f>SUM(R561-6594)</f>
        <v>598</v>
      </c>
      <c r="S564" s="262">
        <f>SUM(S561-6199)</f>
        <v>200</v>
      </c>
      <c r="T564" s="323">
        <f>SUM(T561-911)</f>
        <v>1089</v>
      </c>
      <c r="U564" s="262">
        <f>SUM(U561-752)</f>
        <v>498</v>
      </c>
      <c r="V564" s="12" t="s">
        <v>176</v>
      </c>
      <c r="W564" s="70"/>
      <c r="X564" s="70"/>
      <c r="Y564" s="70"/>
      <c r="Z564" s="70"/>
      <c r="AA564" s="413" t="s">
        <v>192</v>
      </c>
      <c r="AB564" s="19" t="s">
        <v>4</v>
      </c>
      <c r="AC564" s="318">
        <v>97433.600000000006</v>
      </c>
      <c r="AD564" s="299">
        <v>243584.4</v>
      </c>
      <c r="AE564" s="265">
        <v>132070.29999999999</v>
      </c>
      <c r="AF564" s="397">
        <v>292299.3</v>
      </c>
      <c r="AG564" s="393">
        <v>132070.39999999999</v>
      </c>
      <c r="AH564" s="780"/>
      <c r="AI564" s="780"/>
    </row>
    <row r="565" spans="1:35" s="267" customFormat="1" x14ac:dyDescent="0.25">
      <c r="A565" s="939"/>
      <c r="B565" s="296" t="s">
        <v>77</v>
      </c>
      <c r="C565" s="302">
        <f>(C564*33.717)</f>
        <v>183285.61199999999</v>
      </c>
      <c r="D565" s="338">
        <f>(D564*33.717)</f>
        <v>92856.618000000002</v>
      </c>
      <c r="E565" s="302">
        <f>(E564*33.717)</f>
        <v>93901.845000000001</v>
      </c>
      <c r="F565" s="338">
        <f>(F564*33.717)</f>
        <v>276951.43799999997</v>
      </c>
      <c r="G565" s="280">
        <f>(G564*33.717)*2</f>
        <v>261509.052</v>
      </c>
      <c r="H565" s="280">
        <f>(H564*33.717)</f>
        <v>462765.82500000001</v>
      </c>
      <c r="I565" s="280">
        <f>(I564*33.717)-(2000*33.717)</f>
        <v>141240.51300000001</v>
      </c>
      <c r="J565" s="376">
        <f>J564*33.717</f>
        <v>17465.405999999999</v>
      </c>
      <c r="K565" s="376">
        <f>K564*33.717</f>
        <v>17094.519</v>
      </c>
      <c r="L565" s="261">
        <f>L564*33.717</f>
        <v>2933.3789999999999</v>
      </c>
      <c r="M565" s="304">
        <f>M564*33.717</f>
        <v>281638.10099999997</v>
      </c>
      <c r="N565" s="280">
        <f>N564*33.717</f>
        <v>375303.92699999997</v>
      </c>
      <c r="O565" s="280">
        <f>(O564*33.717)</f>
        <v>135710.92499999999</v>
      </c>
      <c r="P565" s="280">
        <f t="shared" ref="P565:U565" si="290">P564*33.717</f>
        <v>252574.04699999999</v>
      </c>
      <c r="Q565" s="376">
        <f t="shared" si="290"/>
        <v>32368.32</v>
      </c>
      <c r="R565" s="376">
        <f t="shared" si="290"/>
        <v>20162.766</v>
      </c>
      <c r="S565" s="261">
        <f t="shared" si="290"/>
        <v>6743.4</v>
      </c>
      <c r="T565" s="324">
        <f t="shared" si="290"/>
        <v>36717.813000000002</v>
      </c>
      <c r="U565" s="325">
        <f t="shared" si="290"/>
        <v>16791.065999999999</v>
      </c>
      <c r="V565" s="63">
        <f>344240-H565</f>
        <v>-118525.82500000001</v>
      </c>
      <c r="W565" s="70" t="s">
        <v>177</v>
      </c>
      <c r="X565" s="70"/>
      <c r="Y565" s="70"/>
      <c r="Z565" s="70"/>
      <c r="AA565" s="414"/>
      <c r="AB565" s="293" t="s">
        <v>5</v>
      </c>
      <c r="AC565" s="319">
        <v>38973.199999999997</v>
      </c>
      <c r="AD565" s="300">
        <v>95895.7</v>
      </c>
      <c r="AE565" s="264">
        <v>0.1</v>
      </c>
      <c r="AF565" s="398">
        <v>93978.8</v>
      </c>
      <c r="AG565" s="394">
        <v>1</v>
      </c>
      <c r="AH565" s="781"/>
      <c r="AI565" s="781"/>
    </row>
    <row r="566" spans="1:35" s="267" customFormat="1" ht="15.75" thickBot="1" x14ac:dyDescent="0.3">
      <c r="A566" s="940"/>
      <c r="B566" s="294" t="s">
        <v>10</v>
      </c>
      <c r="C566" s="305">
        <f>C565/C558</f>
        <v>1.2782047380276582</v>
      </c>
      <c r="D566" s="292">
        <f t="shared" ref="D566:U566" si="291">D565/D558</f>
        <v>0.61691903954843541</v>
      </c>
      <c r="E566" s="310">
        <f t="shared" si="291"/>
        <v>0.62386329888975767</v>
      </c>
      <c r="F566" s="282">
        <f t="shared" si="291"/>
        <v>1.5217295923357315</v>
      </c>
      <c r="G566" s="282">
        <f t="shared" si="291"/>
        <v>1.5805687553829648</v>
      </c>
      <c r="H566" s="282">
        <f t="shared" si="291"/>
        <v>3.5022755498441343</v>
      </c>
      <c r="I566" s="282">
        <f t="shared" si="291"/>
        <v>0.8261196090978109</v>
      </c>
      <c r="J566" s="377">
        <f t="shared" si="291"/>
        <v>0.10556081315898425</v>
      </c>
      <c r="K566" s="377">
        <f t="shared" si="291"/>
        <v>0.18498239398517069</v>
      </c>
      <c r="L566" s="311">
        <f t="shared" si="291"/>
        <v>2.2210789732717496E-2</v>
      </c>
      <c r="M566" s="310">
        <f t="shared" si="291"/>
        <v>1.4590447813308975</v>
      </c>
      <c r="N566" s="282">
        <f t="shared" si="291"/>
        <v>2.8403518502961789</v>
      </c>
      <c r="O566" s="282">
        <f t="shared" si="291"/>
        <v>1.6404750708961806</v>
      </c>
      <c r="P566" s="260">
        <f t="shared" si="291"/>
        <v>0.91593641819731275</v>
      </c>
      <c r="Q566" s="377">
        <f t="shared" si="291"/>
        <v>0.39126858833797107</v>
      </c>
      <c r="R566" s="377">
        <f t="shared" si="291"/>
        <v>0.1066916885030077</v>
      </c>
      <c r="S566" s="311">
        <f t="shared" si="291"/>
        <v>5.1059286741879303E-2</v>
      </c>
      <c r="T566" s="305">
        <f t="shared" si="291"/>
        <v>0.66576876212580016</v>
      </c>
      <c r="U566" s="292">
        <f t="shared" si="291"/>
        <v>0.50742859733156043</v>
      </c>
      <c r="V566" s="126"/>
      <c r="W566" s="70"/>
      <c r="X566" s="70"/>
      <c r="Y566" s="70"/>
      <c r="Z566" s="70"/>
      <c r="AA566" s="415"/>
      <c r="AB566" s="294" t="s">
        <v>3</v>
      </c>
      <c r="AC566" s="320">
        <f>AC565/AC564</f>
        <v>0.39999753678402516</v>
      </c>
      <c r="AD566" s="305">
        <f>AD565/AD564</f>
        <v>0.39368572043201455</v>
      </c>
      <c r="AE566" s="292">
        <f>AE565/AE564</f>
        <v>7.5717250585483648E-7</v>
      </c>
      <c r="AF566" s="399">
        <f>AF565/AF564</f>
        <v>0.32151565193621745</v>
      </c>
      <c r="AG566" s="343">
        <f>AG565/AG564</f>
        <v>7.5717193254506694E-6</v>
      </c>
      <c r="AH566" s="782"/>
      <c r="AI566" s="782"/>
    </row>
    <row r="567" spans="1:35" s="267" customFormat="1" ht="15.75" thickBot="1" x14ac:dyDescent="0.3">
      <c r="A567" s="924">
        <v>41449</v>
      </c>
      <c r="B567" s="924"/>
      <c r="C567" s="924"/>
      <c r="D567" s="276"/>
      <c r="E567" s="276"/>
      <c r="F567" s="276"/>
      <c r="G567" s="276"/>
      <c r="H567" s="276"/>
      <c r="I567" s="11"/>
      <c r="J567" s="281"/>
      <c r="K567" s="281"/>
      <c r="L567" s="276"/>
      <c r="M567" s="276"/>
      <c r="N567" s="13"/>
      <c r="R567" s="12"/>
      <c r="S567" s="70"/>
      <c r="T567" s="70"/>
      <c r="U567" s="70"/>
      <c r="V567" s="70"/>
      <c r="W567" s="70"/>
      <c r="X567" s="70"/>
      <c r="Y567" s="70"/>
      <c r="Z567" s="70"/>
      <c r="AA567" s="941"/>
      <c r="AB567" s="942"/>
      <c r="AH567" s="743"/>
      <c r="AI567" s="743"/>
    </row>
    <row r="568" spans="1:35" s="267" customFormat="1" x14ac:dyDescent="0.25">
      <c r="A568" s="925" t="s">
        <v>1</v>
      </c>
      <c r="B568" s="926"/>
      <c r="C568" s="297" t="s">
        <v>12</v>
      </c>
      <c r="D568" s="266" t="s">
        <v>12</v>
      </c>
      <c r="E568" s="297" t="s">
        <v>13</v>
      </c>
      <c r="F568" s="277" t="s">
        <v>13</v>
      </c>
      <c r="G568" s="277" t="s">
        <v>13</v>
      </c>
      <c r="H568" s="277" t="s">
        <v>13</v>
      </c>
      <c r="I568" s="277" t="s">
        <v>13</v>
      </c>
      <c r="J568" s="286" t="s">
        <v>13</v>
      </c>
      <c r="K568" s="286" t="s">
        <v>13</v>
      </c>
      <c r="L568" s="266" t="s">
        <v>13</v>
      </c>
      <c r="M568" s="297" t="s">
        <v>2</v>
      </c>
      <c r="N568" s="277" t="s">
        <v>2</v>
      </c>
      <c r="O568" s="286" t="s">
        <v>2</v>
      </c>
      <c r="P568" s="277" t="s">
        <v>2</v>
      </c>
      <c r="Q568" s="286" t="s">
        <v>2</v>
      </c>
      <c r="R568" s="286" t="s">
        <v>2</v>
      </c>
      <c r="S568" s="266" t="s">
        <v>2</v>
      </c>
      <c r="T568" s="328" t="s">
        <v>183</v>
      </c>
      <c r="U568" s="327" t="s">
        <v>183</v>
      </c>
      <c r="V568" s="12"/>
      <c r="W568" s="70"/>
      <c r="X568" s="70"/>
      <c r="Y568" s="70"/>
      <c r="Z568" s="70"/>
      <c r="AA568" s="925" t="s">
        <v>1</v>
      </c>
      <c r="AB568" s="928"/>
      <c r="AC568" s="403" t="s">
        <v>12</v>
      </c>
      <c r="AD568" s="929" t="s">
        <v>13</v>
      </c>
      <c r="AE568" s="930"/>
      <c r="AF568" s="929" t="s">
        <v>2</v>
      </c>
      <c r="AG568" s="930"/>
      <c r="AH568" s="778"/>
      <c r="AI568" s="778"/>
    </row>
    <row r="569" spans="1:35" s="267" customFormat="1" ht="15.75" thickBot="1" x14ac:dyDescent="0.3">
      <c r="A569" s="931" t="s">
        <v>0</v>
      </c>
      <c r="B569" s="944"/>
      <c r="C569" s="298" t="s">
        <v>99</v>
      </c>
      <c r="D569" s="291" t="s">
        <v>100</v>
      </c>
      <c r="E569" s="298" t="s">
        <v>101</v>
      </c>
      <c r="F569" s="306" t="s">
        <v>102</v>
      </c>
      <c r="G569" s="306" t="s">
        <v>97</v>
      </c>
      <c r="H569" s="306" t="s">
        <v>104</v>
      </c>
      <c r="I569" s="306" t="s">
        <v>103</v>
      </c>
      <c r="J569" s="378" t="s">
        <v>178</v>
      </c>
      <c r="K569" s="378" t="s">
        <v>200</v>
      </c>
      <c r="L569" s="314" t="s">
        <v>207</v>
      </c>
      <c r="M569" s="298" t="s">
        <v>105</v>
      </c>
      <c r="N569" s="306" t="s">
        <v>107</v>
      </c>
      <c r="O569" s="312" t="s">
        <v>98</v>
      </c>
      <c r="P569" s="313" t="s">
        <v>106</v>
      </c>
      <c r="Q569" s="312" t="s">
        <v>179</v>
      </c>
      <c r="R569" s="312" t="s">
        <v>199</v>
      </c>
      <c r="S569" s="291" t="s">
        <v>208</v>
      </c>
      <c r="T569" s="317" t="s">
        <v>182</v>
      </c>
      <c r="U569" s="291" t="s">
        <v>184</v>
      </c>
      <c r="V569" s="12"/>
      <c r="W569" s="12"/>
      <c r="X569" s="12"/>
      <c r="Y569" s="12"/>
      <c r="Z569" s="12"/>
      <c r="AA569" s="931" t="s">
        <v>0</v>
      </c>
      <c r="AB569" s="945"/>
      <c r="AC569" s="317" t="s">
        <v>99</v>
      </c>
      <c r="AD569" s="298" t="s">
        <v>104</v>
      </c>
      <c r="AE569" s="291" t="s">
        <v>207</v>
      </c>
      <c r="AF569" s="396" t="s">
        <v>107</v>
      </c>
      <c r="AG569" s="392" t="s">
        <v>208</v>
      </c>
      <c r="AH569" s="779"/>
      <c r="AI569" s="779"/>
    </row>
    <row r="570" spans="1:35" s="267" customFormat="1" ht="15" customHeight="1" x14ac:dyDescent="0.25">
      <c r="A570" s="935" t="s">
        <v>9</v>
      </c>
      <c r="B570" s="19" t="s">
        <v>4</v>
      </c>
      <c r="C570" s="299">
        <v>143393</v>
      </c>
      <c r="D570" s="265">
        <v>150516.70000000001</v>
      </c>
      <c r="E570" s="299">
        <v>150516.70000000001</v>
      </c>
      <c r="F570" s="283">
        <v>181997.8</v>
      </c>
      <c r="G570" s="283">
        <v>165452.5</v>
      </c>
      <c r="H570" s="283">
        <v>132132.9</v>
      </c>
      <c r="I570" s="368">
        <v>170968.6</v>
      </c>
      <c r="J570" s="223">
        <v>165453.5</v>
      </c>
      <c r="K570" s="223">
        <v>92411.6</v>
      </c>
      <c r="L570" s="265">
        <v>132070</v>
      </c>
      <c r="M570" s="299">
        <v>193029.1</v>
      </c>
      <c r="N570" s="283">
        <v>132132.9</v>
      </c>
      <c r="O570" s="283">
        <v>82726.600000000006</v>
      </c>
      <c r="P570" s="283">
        <v>275755</v>
      </c>
      <c r="Q570" s="223">
        <v>82726.600000000006</v>
      </c>
      <c r="R570" s="223">
        <v>188981.6</v>
      </c>
      <c r="S570" s="265">
        <v>132070</v>
      </c>
      <c r="T570" s="318">
        <v>55151</v>
      </c>
      <c r="U570" s="265">
        <v>33090.5</v>
      </c>
      <c r="V570" s="70"/>
      <c r="W570" s="70"/>
      <c r="X570" s="70"/>
      <c r="Y570" s="70"/>
      <c r="Z570" s="70"/>
      <c r="AA570" s="404" t="s">
        <v>195</v>
      </c>
      <c r="AB570" s="2" t="s">
        <v>4</v>
      </c>
      <c r="AC570" s="318">
        <v>143392.20000000001</v>
      </c>
      <c r="AD570" s="299">
        <v>132132</v>
      </c>
      <c r="AE570" s="265">
        <v>83196.100000000006</v>
      </c>
      <c r="AF570" s="397">
        <v>132132.20000000001</v>
      </c>
      <c r="AG570" s="393">
        <v>83196.100000000006</v>
      </c>
      <c r="AH570" s="780"/>
      <c r="AI570" s="780"/>
    </row>
    <row r="571" spans="1:35" s="267" customFormat="1" x14ac:dyDescent="0.25">
      <c r="A571" s="936"/>
      <c r="B571" s="293" t="s">
        <v>5</v>
      </c>
      <c r="C571" s="300">
        <v>43401.8</v>
      </c>
      <c r="D571" s="264">
        <v>78692</v>
      </c>
      <c r="E571" s="300">
        <v>80175.199999999997</v>
      </c>
      <c r="F571" s="307">
        <v>143778.70000000001</v>
      </c>
      <c r="G571" s="307">
        <v>105546.8</v>
      </c>
      <c r="H571" s="307">
        <v>58695.3</v>
      </c>
      <c r="I571" s="307">
        <v>88567.8</v>
      </c>
      <c r="J571" s="374">
        <v>16941.3</v>
      </c>
      <c r="K571" s="374">
        <v>8319.5</v>
      </c>
      <c r="L571" s="264">
        <v>4.7</v>
      </c>
      <c r="M571" s="300">
        <v>162048</v>
      </c>
      <c r="N571" s="307">
        <v>55118.9</v>
      </c>
      <c r="O571" s="307">
        <v>54223.5</v>
      </c>
      <c r="P571" s="307">
        <v>161353</v>
      </c>
      <c r="Q571" s="374">
        <v>8704.6</v>
      </c>
      <c r="R571" s="374">
        <v>14096</v>
      </c>
      <c r="S571" s="264">
        <v>4.5</v>
      </c>
      <c r="T571" s="319">
        <v>8733.5</v>
      </c>
      <c r="U571" s="264">
        <v>5054</v>
      </c>
      <c r="V571" s="70"/>
      <c r="W571" s="70"/>
      <c r="X571" s="70"/>
      <c r="Y571" s="70"/>
      <c r="Z571" s="70"/>
      <c r="AA571" s="405"/>
      <c r="AB571" s="342" t="s">
        <v>5</v>
      </c>
      <c r="AC571" s="319">
        <v>43401.8</v>
      </c>
      <c r="AD571" s="300">
        <v>58695.3</v>
      </c>
      <c r="AE571" s="264">
        <v>4.7</v>
      </c>
      <c r="AF571" s="398">
        <v>55118.9</v>
      </c>
      <c r="AG571" s="394">
        <v>4.5</v>
      </c>
      <c r="AH571" s="781"/>
      <c r="AI571" s="781"/>
    </row>
    <row r="572" spans="1:35" s="267" customFormat="1" ht="15.75" thickBot="1" x14ac:dyDescent="0.3">
      <c r="A572" s="937"/>
      <c r="B572" s="294" t="s">
        <v>3</v>
      </c>
      <c r="C572" s="305">
        <f t="shared" ref="C572:L572" si="292">C571/C570</f>
        <v>0.30267725760671721</v>
      </c>
      <c r="D572" s="343">
        <f t="shared" si="292"/>
        <v>0.52281241882130014</v>
      </c>
      <c r="E572" s="305">
        <f t="shared" si="292"/>
        <v>0.53266647488285346</v>
      </c>
      <c r="F572" s="371">
        <f t="shared" si="292"/>
        <v>0.79000240662249777</v>
      </c>
      <c r="G572" s="278">
        <f t="shared" si="292"/>
        <v>0.63792810625406082</v>
      </c>
      <c r="H572" s="278">
        <f t="shared" si="292"/>
        <v>0.44421412078293904</v>
      </c>
      <c r="I572" s="278">
        <f t="shared" si="292"/>
        <v>0.51803547552006624</v>
      </c>
      <c r="J572" s="315">
        <f t="shared" si="292"/>
        <v>0.10239311951696398</v>
      </c>
      <c r="K572" s="315">
        <f t="shared" si="292"/>
        <v>9.0026576750104961E-2</v>
      </c>
      <c r="L572" s="292">
        <f t="shared" si="292"/>
        <v>3.5587188612099643E-5</v>
      </c>
      <c r="M572" s="372">
        <f>M571/M570</f>
        <v>0.83950036548893403</v>
      </c>
      <c r="N572" s="278">
        <f>N571/N570</f>
        <v>0.41714743262276088</v>
      </c>
      <c r="O572" s="315">
        <f>O571/O570</f>
        <v>0.65545423116627533</v>
      </c>
      <c r="P572" s="278">
        <f>P571/P570</f>
        <v>0.58513172925241608</v>
      </c>
      <c r="Q572" s="315">
        <f>Q571/Q570</f>
        <v>0.10522129520613684</v>
      </c>
      <c r="R572" s="315">
        <f t="shared" ref="R572:S572" si="293">R571/R570</f>
        <v>7.458927218311201E-2</v>
      </c>
      <c r="S572" s="292">
        <f t="shared" si="293"/>
        <v>3.4072840160520936E-5</v>
      </c>
      <c r="T572" s="320">
        <f>T571/T570</f>
        <v>0.15835614948051713</v>
      </c>
      <c r="U572" s="292">
        <f>U571/U570</f>
        <v>0.1527326574092262</v>
      </c>
      <c r="V572" s="70"/>
      <c r="W572" s="70"/>
      <c r="X572" s="70"/>
      <c r="Y572" s="70"/>
      <c r="Z572" s="70"/>
      <c r="AA572" s="406"/>
      <c r="AB572" s="347" t="s">
        <v>3</v>
      </c>
      <c r="AC572" s="395">
        <f>AC571/AC570</f>
        <v>0.302678946274623</v>
      </c>
      <c r="AD572" s="305">
        <f>AD571/AD570</f>
        <v>0.44421714648987376</v>
      </c>
      <c r="AE572" s="292">
        <f>AE571/AE570</f>
        <v>5.6493032726293656E-5</v>
      </c>
      <c r="AF572" s="399">
        <f>AF571/AF570</f>
        <v>0.41714964255495629</v>
      </c>
      <c r="AG572" s="343">
        <f>AG571/AG570</f>
        <v>5.4089073886876906E-5</v>
      </c>
      <c r="AH572" s="782"/>
      <c r="AI572" s="782"/>
    </row>
    <row r="573" spans="1:35" s="267" customFormat="1" ht="15" customHeight="1" x14ac:dyDescent="0.25">
      <c r="A573" s="938" t="s">
        <v>6</v>
      </c>
      <c r="B573" s="19" t="s">
        <v>7</v>
      </c>
      <c r="C573" s="297">
        <v>5870</v>
      </c>
      <c r="D573" s="266">
        <v>3333</v>
      </c>
      <c r="E573" s="297">
        <v>3330</v>
      </c>
      <c r="F573" s="277">
        <v>9457</v>
      </c>
      <c r="G573" s="357">
        <v>8428</v>
      </c>
      <c r="H573" s="277">
        <v>15703</v>
      </c>
      <c r="I573" s="277">
        <v>7403</v>
      </c>
      <c r="J573" s="286">
        <v>9599</v>
      </c>
      <c r="K573" s="286">
        <v>4073</v>
      </c>
      <c r="L573" s="266">
        <v>6399</v>
      </c>
      <c r="M573" s="297">
        <v>9289</v>
      </c>
      <c r="N573" s="277">
        <v>12295</v>
      </c>
      <c r="O573" s="357">
        <v>4354</v>
      </c>
      <c r="P573" s="277">
        <v>10027</v>
      </c>
      <c r="Q573" s="286">
        <v>4799</v>
      </c>
      <c r="R573" s="286">
        <v>7192</v>
      </c>
      <c r="S573" s="266">
        <v>6399</v>
      </c>
      <c r="T573" s="403">
        <v>2000</v>
      </c>
      <c r="U573" s="266">
        <v>1250</v>
      </c>
      <c r="V573" s="358" t="s">
        <v>198</v>
      </c>
      <c r="W573" s="126"/>
      <c r="X573" s="70"/>
      <c r="Y573" s="70"/>
      <c r="Z573" s="70"/>
      <c r="AA573" s="404" t="s">
        <v>191</v>
      </c>
      <c r="AB573" s="19" t="s">
        <v>4</v>
      </c>
      <c r="AC573" s="318">
        <v>9191.7999999999993</v>
      </c>
      <c r="AD573" s="299">
        <v>13787.7</v>
      </c>
      <c r="AE573" s="265">
        <v>8804.7999999999993</v>
      </c>
      <c r="AF573" s="397">
        <v>13787.7</v>
      </c>
      <c r="AG573" s="393">
        <v>8804.7999999999993</v>
      </c>
      <c r="AH573" s="780"/>
      <c r="AI573" s="780"/>
    </row>
    <row r="574" spans="1:35" s="267" customFormat="1" x14ac:dyDescent="0.25">
      <c r="A574" s="939"/>
      <c r="B574" s="295" t="s">
        <v>11</v>
      </c>
      <c r="C574" s="302">
        <f t="shared" ref="C574:L574" si="294">C573*33.717</f>
        <v>197918.78999999998</v>
      </c>
      <c r="D574" s="263">
        <f t="shared" si="294"/>
        <v>112378.761</v>
      </c>
      <c r="E574" s="302">
        <f t="shared" si="294"/>
        <v>112277.61</v>
      </c>
      <c r="F574" s="355">
        <f t="shared" si="294"/>
        <v>318861.66899999999</v>
      </c>
      <c r="G574" s="308">
        <f t="shared" si="294"/>
        <v>284166.87599999999</v>
      </c>
      <c r="H574" s="354">
        <f t="shared" si="294"/>
        <v>529458.05099999998</v>
      </c>
      <c r="I574" s="354">
        <f t="shared" si="294"/>
        <v>249606.951</v>
      </c>
      <c r="J574" s="355">
        <f t="shared" si="294"/>
        <v>323649.48300000001</v>
      </c>
      <c r="K574" s="375">
        <f t="shared" si="294"/>
        <v>137329.34099999999</v>
      </c>
      <c r="L574" s="263">
        <f t="shared" si="294"/>
        <v>215755.08299999998</v>
      </c>
      <c r="M574" s="322">
        <f>M573*33.717</f>
        <v>313197.21299999999</v>
      </c>
      <c r="N574" s="308">
        <f>N573*33.717</f>
        <v>414550.51499999996</v>
      </c>
      <c r="O574" s="308">
        <f>O573*33.717</f>
        <v>146803.818</v>
      </c>
      <c r="P574" s="354">
        <f>P573*33.717</f>
        <v>338080.359</v>
      </c>
      <c r="Q574" s="355">
        <f>Q573*33.717</f>
        <v>161807.883</v>
      </c>
      <c r="R574" s="375">
        <f t="shared" ref="R574:S574" si="295">R573*33.717</f>
        <v>242492.66399999999</v>
      </c>
      <c r="S574" s="263">
        <f t="shared" si="295"/>
        <v>215755.08299999998</v>
      </c>
      <c r="T574" s="302">
        <f>T573*33.717</f>
        <v>67434</v>
      </c>
      <c r="U574" s="354">
        <f>U573*33.717</f>
        <v>42146.25</v>
      </c>
      <c r="V574" s="70"/>
      <c r="W574" s="70"/>
      <c r="X574" s="70"/>
      <c r="Y574" s="70"/>
      <c r="Z574" s="70"/>
      <c r="AA574" s="405"/>
      <c r="AB574" s="293" t="s">
        <v>5</v>
      </c>
      <c r="AC574" s="319">
        <v>8835</v>
      </c>
      <c r="AD574" s="300">
        <v>13648.9</v>
      </c>
      <c r="AE574" s="264">
        <v>0</v>
      </c>
      <c r="AF574" s="398">
        <v>13649.5</v>
      </c>
      <c r="AG574" s="394">
        <v>30</v>
      </c>
      <c r="AH574" s="781"/>
      <c r="AI574" s="781"/>
    </row>
    <row r="575" spans="1:35" s="267" customFormat="1" ht="15.75" thickBot="1" x14ac:dyDescent="0.3">
      <c r="A575" s="939"/>
      <c r="B575" s="295" t="s">
        <v>79</v>
      </c>
      <c r="C575" s="302">
        <v>164000</v>
      </c>
      <c r="D575" s="263">
        <v>109880</v>
      </c>
      <c r="E575" s="302">
        <v>109880</v>
      </c>
      <c r="F575" s="308">
        <v>328000</v>
      </c>
      <c r="G575" s="308">
        <v>330905</v>
      </c>
      <c r="H575" s="308">
        <v>264264</v>
      </c>
      <c r="I575" s="308">
        <v>242663.6</v>
      </c>
      <c r="J575" s="375">
        <v>328000</v>
      </c>
      <c r="K575" s="375">
        <v>328000</v>
      </c>
      <c r="L575" s="263">
        <v>328000</v>
      </c>
      <c r="M575" s="302">
        <v>328000</v>
      </c>
      <c r="N575" s="308">
        <v>264264.40000000002</v>
      </c>
      <c r="O575" s="308">
        <v>328000</v>
      </c>
      <c r="P575" s="308">
        <v>352965.4</v>
      </c>
      <c r="Q575" s="375">
        <v>328000</v>
      </c>
      <c r="R575" s="375">
        <v>328000</v>
      </c>
      <c r="S575" s="263">
        <v>328000</v>
      </c>
      <c r="T575" s="322">
        <f>2*T570</f>
        <v>110302</v>
      </c>
      <c r="U575" s="263">
        <f>2*U570</f>
        <v>66181</v>
      </c>
      <c r="V575" s="70"/>
      <c r="W575" s="70"/>
      <c r="X575" s="70"/>
      <c r="Y575" s="70"/>
      <c r="Z575" s="70"/>
      <c r="AA575" s="406"/>
      <c r="AB575" s="344" t="s">
        <v>3</v>
      </c>
      <c r="AC575" s="395">
        <f>AC574/AC573</f>
        <v>0.96118279335929857</v>
      </c>
      <c r="AD575" s="301">
        <f>AD574/AD573</f>
        <v>0.98993305627479555</v>
      </c>
      <c r="AE575" s="401">
        <f>AE574/AE573</f>
        <v>0</v>
      </c>
      <c r="AF575" s="400">
        <f>AF574/AF573</f>
        <v>0.98997657332259903</v>
      </c>
      <c r="AG575" s="348">
        <f>AG574/AG573</f>
        <v>3.4072324186807199E-3</v>
      </c>
      <c r="AH575" s="782"/>
      <c r="AI575" s="782"/>
    </row>
    <row r="576" spans="1:35" s="267" customFormat="1" ht="15" customHeight="1" x14ac:dyDescent="0.25">
      <c r="A576" s="939"/>
      <c r="B576" s="293" t="s">
        <v>8</v>
      </c>
      <c r="C576" s="303">
        <f>SUM(C573-434)</f>
        <v>5436</v>
      </c>
      <c r="D576" s="262">
        <f>SUM(D573-579)</f>
        <v>2754</v>
      </c>
      <c r="E576" s="303">
        <f>SUM(E573-545)</f>
        <v>2785</v>
      </c>
      <c r="F576" s="309">
        <f>SUM(F573-1243)</f>
        <v>8214</v>
      </c>
      <c r="G576" s="309">
        <f>SUM(G573-4550)</f>
        <v>3878</v>
      </c>
      <c r="H576" s="309">
        <f>SUM(H573-1978)</f>
        <v>13725</v>
      </c>
      <c r="I576" s="309">
        <f>SUM(I573-(3214-2000))</f>
        <v>6189</v>
      </c>
      <c r="J576" s="316">
        <f>SUM(J573-9081)</f>
        <v>518</v>
      </c>
      <c r="K576" s="316">
        <f>SUM(K573-3566)</f>
        <v>507</v>
      </c>
      <c r="L576" s="262">
        <f>SUM(L573-6312)</f>
        <v>87</v>
      </c>
      <c r="M576" s="303">
        <f>SUM(M573-936)</f>
        <v>8353</v>
      </c>
      <c r="N576" s="309">
        <f>SUM(N573-1164)</f>
        <v>11131</v>
      </c>
      <c r="O576" s="316">
        <f>SUM(O573-329)</f>
        <v>4025</v>
      </c>
      <c r="P576" s="309">
        <f>SUM(P573-(5150-2614))</f>
        <v>7491</v>
      </c>
      <c r="Q576" s="316">
        <f>SUM(Q573-3839)</f>
        <v>960</v>
      </c>
      <c r="R576" s="316">
        <f>SUM(R573-6594)</f>
        <v>598</v>
      </c>
      <c r="S576" s="262">
        <f>SUM(S573-6199)</f>
        <v>200</v>
      </c>
      <c r="T576" s="323">
        <f>SUM(T573-911)</f>
        <v>1089</v>
      </c>
      <c r="U576" s="262">
        <f>SUM(U573-752)</f>
        <v>498</v>
      </c>
      <c r="V576" s="12" t="s">
        <v>176</v>
      </c>
      <c r="W576" s="70"/>
      <c r="X576" s="70"/>
      <c r="Y576" s="70"/>
      <c r="Z576" s="70"/>
      <c r="AA576" s="404" t="s">
        <v>192</v>
      </c>
      <c r="AB576" s="19" t="s">
        <v>4</v>
      </c>
      <c r="AC576" s="318">
        <v>97433.600000000006</v>
      </c>
      <c r="AD576" s="299">
        <v>243584.4</v>
      </c>
      <c r="AE576" s="265">
        <v>132070.29999999999</v>
      </c>
      <c r="AF576" s="397">
        <v>292299.3</v>
      </c>
      <c r="AG576" s="393">
        <v>132070.39999999999</v>
      </c>
      <c r="AH576" s="780"/>
      <c r="AI576" s="780"/>
    </row>
    <row r="577" spans="1:35" s="267" customFormat="1" x14ac:dyDescent="0.25">
      <c r="A577" s="939"/>
      <c r="B577" s="296" t="s">
        <v>77</v>
      </c>
      <c r="C577" s="302">
        <f>(C576*33.717)</f>
        <v>183285.61199999999</v>
      </c>
      <c r="D577" s="338">
        <f>(D576*33.717)</f>
        <v>92856.618000000002</v>
      </c>
      <c r="E577" s="302">
        <f>(E576*33.717)</f>
        <v>93901.845000000001</v>
      </c>
      <c r="F577" s="338">
        <f>(F576*33.717)</f>
        <v>276951.43799999997</v>
      </c>
      <c r="G577" s="280">
        <f>(G576*33.717)*2</f>
        <v>261509.052</v>
      </c>
      <c r="H577" s="280">
        <f>(H576*33.717)</f>
        <v>462765.82500000001</v>
      </c>
      <c r="I577" s="280">
        <f>(I576*33.717)-(2000*33.717)</f>
        <v>141240.51300000001</v>
      </c>
      <c r="J577" s="376">
        <f>J576*33.717</f>
        <v>17465.405999999999</v>
      </c>
      <c r="K577" s="376">
        <f>K576*33.717</f>
        <v>17094.519</v>
      </c>
      <c r="L577" s="261">
        <f>L576*33.717</f>
        <v>2933.3789999999999</v>
      </c>
      <c r="M577" s="304">
        <f>M576*33.717</f>
        <v>281638.10099999997</v>
      </c>
      <c r="N577" s="280">
        <f>N576*33.717</f>
        <v>375303.92699999997</v>
      </c>
      <c r="O577" s="280">
        <f>(O576*33.717)</f>
        <v>135710.92499999999</v>
      </c>
      <c r="P577" s="280">
        <f t="shared" ref="P577:U577" si="296">P576*33.717</f>
        <v>252574.04699999999</v>
      </c>
      <c r="Q577" s="376">
        <f t="shared" si="296"/>
        <v>32368.32</v>
      </c>
      <c r="R577" s="376">
        <f t="shared" si="296"/>
        <v>20162.766</v>
      </c>
      <c r="S577" s="261">
        <f t="shared" si="296"/>
        <v>6743.4</v>
      </c>
      <c r="T577" s="324">
        <f t="shared" si="296"/>
        <v>36717.813000000002</v>
      </c>
      <c r="U577" s="325">
        <f t="shared" si="296"/>
        <v>16791.065999999999</v>
      </c>
      <c r="V577" s="63">
        <f>344240-H577</f>
        <v>-118525.82500000001</v>
      </c>
      <c r="W577" s="70" t="s">
        <v>177</v>
      </c>
      <c r="X577" s="70"/>
      <c r="Y577" s="70"/>
      <c r="Z577" s="70"/>
      <c r="AA577" s="405"/>
      <c r="AB577" s="293" t="s">
        <v>5</v>
      </c>
      <c r="AC577" s="319">
        <v>38973.199999999997</v>
      </c>
      <c r="AD577" s="300">
        <v>95895.7</v>
      </c>
      <c r="AE577" s="264">
        <v>0.1</v>
      </c>
      <c r="AF577" s="398">
        <v>93978.8</v>
      </c>
      <c r="AG577" s="394">
        <v>1</v>
      </c>
      <c r="AH577" s="781"/>
      <c r="AI577" s="781"/>
    </row>
    <row r="578" spans="1:35" s="267" customFormat="1" ht="15.75" thickBot="1" x14ac:dyDescent="0.3">
      <c r="A578" s="940"/>
      <c r="B578" s="294" t="s">
        <v>10</v>
      </c>
      <c r="C578" s="305">
        <f>C577/C570</f>
        <v>1.2782047380276582</v>
      </c>
      <c r="D578" s="292">
        <f t="shared" ref="D578:U578" si="297">D577/D570</f>
        <v>0.61691903954843541</v>
      </c>
      <c r="E578" s="310">
        <f t="shared" si="297"/>
        <v>0.62386329888975767</v>
      </c>
      <c r="F578" s="282">
        <f t="shared" si="297"/>
        <v>1.5217295923357315</v>
      </c>
      <c r="G578" s="282">
        <f t="shared" si="297"/>
        <v>1.5805687553829648</v>
      </c>
      <c r="H578" s="282">
        <f t="shared" si="297"/>
        <v>3.5022755498441343</v>
      </c>
      <c r="I578" s="282">
        <f t="shared" si="297"/>
        <v>0.8261196090978109</v>
      </c>
      <c r="J578" s="377">
        <f t="shared" si="297"/>
        <v>0.10556081315898425</v>
      </c>
      <c r="K578" s="377">
        <f t="shared" si="297"/>
        <v>0.18498239398517069</v>
      </c>
      <c r="L578" s="311">
        <f t="shared" si="297"/>
        <v>2.2210789732717496E-2</v>
      </c>
      <c r="M578" s="310">
        <f t="shared" si="297"/>
        <v>1.4590447813308975</v>
      </c>
      <c r="N578" s="282">
        <f t="shared" si="297"/>
        <v>2.8403518502961789</v>
      </c>
      <c r="O578" s="282">
        <f t="shared" si="297"/>
        <v>1.6404750708961806</v>
      </c>
      <c r="P578" s="260">
        <f t="shared" si="297"/>
        <v>0.91593641819731275</v>
      </c>
      <c r="Q578" s="377">
        <f t="shared" si="297"/>
        <v>0.39126858833797107</v>
      </c>
      <c r="R578" s="377">
        <f t="shared" si="297"/>
        <v>0.1066916885030077</v>
      </c>
      <c r="S578" s="311">
        <f t="shared" si="297"/>
        <v>5.1059286741879303E-2</v>
      </c>
      <c r="T578" s="305">
        <f t="shared" si="297"/>
        <v>0.66576876212580016</v>
      </c>
      <c r="U578" s="292">
        <f t="shared" si="297"/>
        <v>0.50742859733156043</v>
      </c>
      <c r="V578" s="126"/>
      <c r="W578" s="70"/>
      <c r="X578" s="70"/>
      <c r="Y578" s="70"/>
      <c r="Z578" s="70"/>
      <c r="AA578" s="406"/>
      <c r="AB578" s="294" t="s">
        <v>3</v>
      </c>
      <c r="AC578" s="320">
        <f>AC577/AC576</f>
        <v>0.39999753678402516</v>
      </c>
      <c r="AD578" s="305">
        <f>AD577/AD576</f>
        <v>0.39368572043201455</v>
      </c>
      <c r="AE578" s="292">
        <f>AE577/AE576</f>
        <v>7.5717250585483648E-7</v>
      </c>
      <c r="AF578" s="399">
        <f>AF577/AF576</f>
        <v>0.32151565193621745</v>
      </c>
      <c r="AG578" s="343">
        <f>AG577/AG576</f>
        <v>7.5717193254506694E-6</v>
      </c>
      <c r="AH578" s="782"/>
      <c r="AI578" s="782"/>
    </row>
    <row r="579" spans="1:35" s="267" customFormat="1" ht="15.75" thickBot="1" x14ac:dyDescent="0.3">
      <c r="A579" s="924">
        <v>41445</v>
      </c>
      <c r="B579" s="924"/>
      <c r="C579" s="924"/>
      <c r="D579" s="276"/>
      <c r="E579" s="276"/>
      <c r="F579" s="276"/>
      <c r="G579" s="276"/>
      <c r="H579" s="276"/>
      <c r="I579" s="11"/>
      <c r="J579" s="281"/>
      <c r="K579" s="281"/>
      <c r="L579" s="276"/>
      <c r="M579" s="276"/>
      <c r="N579" s="13"/>
      <c r="R579" s="12"/>
      <c r="S579" s="70"/>
      <c r="T579" s="70"/>
      <c r="U579" s="70"/>
      <c r="V579" s="70"/>
      <c r="W579" s="70"/>
      <c r="X579" s="70"/>
      <c r="Y579" s="70"/>
      <c r="Z579" s="70"/>
      <c r="AA579" s="941"/>
      <c r="AB579" s="942"/>
      <c r="AH579" s="743"/>
      <c r="AI579" s="743"/>
    </row>
    <row r="580" spans="1:35" s="267" customFormat="1" x14ac:dyDescent="0.25">
      <c r="A580" s="925" t="s">
        <v>1</v>
      </c>
      <c r="B580" s="926"/>
      <c r="C580" s="297" t="s">
        <v>12</v>
      </c>
      <c r="D580" s="266" t="s">
        <v>12</v>
      </c>
      <c r="E580" s="297" t="s">
        <v>13</v>
      </c>
      <c r="F580" s="277" t="s">
        <v>13</v>
      </c>
      <c r="G580" s="277" t="s">
        <v>13</v>
      </c>
      <c r="H580" s="277" t="s">
        <v>13</v>
      </c>
      <c r="I580" s="277" t="s">
        <v>13</v>
      </c>
      <c r="J580" s="286" t="s">
        <v>13</v>
      </c>
      <c r="K580" s="286" t="s">
        <v>13</v>
      </c>
      <c r="L580" s="266" t="s">
        <v>13</v>
      </c>
      <c r="M580" s="297" t="s">
        <v>2</v>
      </c>
      <c r="N580" s="277" t="s">
        <v>2</v>
      </c>
      <c r="O580" s="286" t="s">
        <v>2</v>
      </c>
      <c r="P580" s="277" t="s">
        <v>2</v>
      </c>
      <c r="Q580" s="286" t="s">
        <v>2</v>
      </c>
      <c r="R580" s="286" t="s">
        <v>2</v>
      </c>
      <c r="S580" s="266" t="s">
        <v>2</v>
      </c>
      <c r="T580" s="328" t="s">
        <v>183</v>
      </c>
      <c r="U580" s="327" t="s">
        <v>183</v>
      </c>
      <c r="V580" s="12"/>
      <c r="W580" s="70"/>
      <c r="X580" s="70"/>
      <c r="Y580" s="70"/>
      <c r="Z580" s="70"/>
      <c r="AA580" s="925" t="s">
        <v>1</v>
      </c>
      <c r="AB580" s="928"/>
      <c r="AC580" s="402" t="s">
        <v>12</v>
      </c>
      <c r="AD580" s="929" t="s">
        <v>13</v>
      </c>
      <c r="AE580" s="930"/>
      <c r="AF580" s="929" t="s">
        <v>2</v>
      </c>
      <c r="AG580" s="930"/>
      <c r="AH580" s="778"/>
      <c r="AI580" s="778"/>
    </row>
    <row r="581" spans="1:35" s="267" customFormat="1" ht="15.75" thickBot="1" x14ac:dyDescent="0.3">
      <c r="A581" s="931" t="s">
        <v>0</v>
      </c>
      <c r="B581" s="944"/>
      <c r="C581" s="298" t="s">
        <v>99</v>
      </c>
      <c r="D581" s="291" t="s">
        <v>100</v>
      </c>
      <c r="E581" s="298" t="s">
        <v>101</v>
      </c>
      <c r="F581" s="306" t="s">
        <v>102</v>
      </c>
      <c r="G581" s="306" t="s">
        <v>97</v>
      </c>
      <c r="H581" s="306" t="s">
        <v>104</v>
      </c>
      <c r="I581" s="306" t="s">
        <v>103</v>
      </c>
      <c r="J581" s="378" t="s">
        <v>178</v>
      </c>
      <c r="K581" s="378" t="s">
        <v>200</v>
      </c>
      <c r="L581" s="314" t="s">
        <v>207</v>
      </c>
      <c r="M581" s="298" t="s">
        <v>105</v>
      </c>
      <c r="N581" s="306" t="s">
        <v>107</v>
      </c>
      <c r="O581" s="312" t="s">
        <v>98</v>
      </c>
      <c r="P581" s="313" t="s">
        <v>106</v>
      </c>
      <c r="Q581" s="312" t="s">
        <v>179</v>
      </c>
      <c r="R581" s="312" t="s">
        <v>199</v>
      </c>
      <c r="S581" s="291" t="s">
        <v>208</v>
      </c>
      <c r="T581" s="317" t="s">
        <v>182</v>
      </c>
      <c r="U581" s="291" t="s">
        <v>184</v>
      </c>
      <c r="V581" s="12"/>
      <c r="W581" s="12"/>
      <c r="X581" s="12"/>
      <c r="Y581" s="12"/>
      <c r="Z581" s="12"/>
      <c r="AA581" s="931" t="s">
        <v>0</v>
      </c>
      <c r="AB581" s="945"/>
      <c r="AC581" s="317" t="s">
        <v>99</v>
      </c>
      <c r="AD581" s="298" t="s">
        <v>104</v>
      </c>
      <c r="AE581" s="291" t="s">
        <v>207</v>
      </c>
      <c r="AF581" s="396" t="s">
        <v>107</v>
      </c>
      <c r="AG581" s="392" t="s">
        <v>208</v>
      </c>
      <c r="AH581" s="779"/>
      <c r="AI581" s="779"/>
    </row>
    <row r="582" spans="1:35" s="267" customFormat="1" ht="15" customHeight="1" x14ac:dyDescent="0.25">
      <c r="A582" s="935" t="s">
        <v>9</v>
      </c>
      <c r="B582" s="19" t="s">
        <v>4</v>
      </c>
      <c r="C582" s="299">
        <v>143393</v>
      </c>
      <c r="D582" s="265">
        <v>150516.70000000001</v>
      </c>
      <c r="E582" s="299">
        <v>150516.70000000001</v>
      </c>
      <c r="F582" s="283">
        <v>181997.8</v>
      </c>
      <c r="G582" s="283">
        <v>165452.5</v>
      </c>
      <c r="H582" s="283">
        <v>132132.9</v>
      </c>
      <c r="I582" s="368">
        <v>170968.6</v>
      </c>
      <c r="J582" s="223">
        <v>165453.5</v>
      </c>
      <c r="K582" s="223">
        <v>92411.6</v>
      </c>
      <c r="L582" s="265">
        <v>132070</v>
      </c>
      <c r="M582" s="299">
        <v>193029.1</v>
      </c>
      <c r="N582" s="283">
        <v>132132.9</v>
      </c>
      <c r="O582" s="283">
        <v>82726.600000000006</v>
      </c>
      <c r="P582" s="283">
        <v>275755</v>
      </c>
      <c r="Q582" s="223">
        <v>82726.600000000006</v>
      </c>
      <c r="R582" s="223">
        <v>188981.6</v>
      </c>
      <c r="S582" s="265">
        <v>132070</v>
      </c>
      <c r="T582" s="318">
        <v>55151</v>
      </c>
      <c r="U582" s="265">
        <v>33090.5</v>
      </c>
      <c r="V582" s="70"/>
      <c r="W582" s="70"/>
      <c r="X582" s="70"/>
      <c r="Y582" s="70"/>
      <c r="Z582" s="70"/>
      <c r="AA582" s="389" t="s">
        <v>195</v>
      </c>
      <c r="AB582" s="2" t="s">
        <v>4</v>
      </c>
      <c r="AC582" s="318">
        <v>143392.20000000001</v>
      </c>
      <c r="AD582" s="299">
        <v>132132</v>
      </c>
      <c r="AE582" s="265">
        <v>83196.100000000006</v>
      </c>
      <c r="AF582" s="397">
        <v>132132.20000000001</v>
      </c>
      <c r="AG582" s="393">
        <v>83196.100000000006</v>
      </c>
      <c r="AH582" s="780"/>
      <c r="AI582" s="780"/>
    </row>
    <row r="583" spans="1:35" s="267" customFormat="1" x14ac:dyDescent="0.25">
      <c r="A583" s="936"/>
      <c r="B583" s="293" t="s">
        <v>5</v>
      </c>
      <c r="C583" s="300">
        <v>43563.9</v>
      </c>
      <c r="D583" s="264">
        <v>78591.199999999997</v>
      </c>
      <c r="E583" s="300">
        <v>80073.600000000006</v>
      </c>
      <c r="F583" s="307">
        <v>143653.20000000001</v>
      </c>
      <c r="G583" s="307">
        <v>105229.3</v>
      </c>
      <c r="H583" s="307">
        <v>57295.3</v>
      </c>
      <c r="I583" s="307">
        <v>87958.7</v>
      </c>
      <c r="J583" s="374">
        <v>16939.2</v>
      </c>
      <c r="K583" s="374">
        <v>833.6</v>
      </c>
      <c r="L583" s="264">
        <v>4.7</v>
      </c>
      <c r="M583" s="300">
        <v>161620.79999999999</v>
      </c>
      <c r="N583" s="307">
        <v>56417.599999999999</v>
      </c>
      <c r="O583" s="307">
        <v>54064.800000000003</v>
      </c>
      <c r="P583" s="307">
        <v>160114</v>
      </c>
      <c r="Q583" s="374">
        <v>8703.5</v>
      </c>
      <c r="R583" s="374">
        <v>1940.9</v>
      </c>
      <c r="S583" s="264">
        <v>4.5999999999999996</v>
      </c>
      <c r="T583" s="319">
        <v>8674.1</v>
      </c>
      <c r="U583" s="264">
        <v>5030.8</v>
      </c>
      <c r="V583" s="70"/>
      <c r="W583" s="70"/>
      <c r="X583" s="70"/>
      <c r="Y583" s="70"/>
      <c r="Z583" s="70"/>
      <c r="AA583" s="390"/>
      <c r="AB583" s="342" t="s">
        <v>5</v>
      </c>
      <c r="AC583" s="319">
        <v>43563.9</v>
      </c>
      <c r="AD583" s="300">
        <v>57295.3</v>
      </c>
      <c r="AE583" s="264">
        <v>4.7</v>
      </c>
      <c r="AF583" s="398">
        <v>56417.599999999999</v>
      </c>
      <c r="AG583" s="394">
        <v>4.5999999999999996</v>
      </c>
      <c r="AH583" s="781"/>
      <c r="AI583" s="781"/>
    </row>
    <row r="584" spans="1:35" s="267" customFormat="1" ht="15.75" thickBot="1" x14ac:dyDescent="0.3">
      <c r="A584" s="937"/>
      <c r="B584" s="294" t="s">
        <v>3</v>
      </c>
      <c r="C584" s="305">
        <f t="shared" ref="C584:L584" si="298">C583/C582</f>
        <v>0.30380771725258554</v>
      </c>
      <c r="D584" s="343">
        <f t="shared" si="298"/>
        <v>0.52214272569090336</v>
      </c>
      <c r="E584" s="305">
        <f t="shared" si="298"/>
        <v>0.53199146672761233</v>
      </c>
      <c r="F584" s="371">
        <f t="shared" si="298"/>
        <v>0.78931283784749062</v>
      </c>
      <c r="G584" s="278">
        <f t="shared" si="298"/>
        <v>0.6360091264864538</v>
      </c>
      <c r="H584" s="278">
        <f t="shared" si="298"/>
        <v>0.43361872781116589</v>
      </c>
      <c r="I584" s="278">
        <f t="shared" si="298"/>
        <v>0.51447283302313984</v>
      </c>
      <c r="J584" s="315">
        <f t="shared" si="298"/>
        <v>0.10238042712907253</v>
      </c>
      <c r="K584" s="315">
        <f t="shared" si="298"/>
        <v>9.0205125763432297E-3</v>
      </c>
      <c r="L584" s="292">
        <f t="shared" si="298"/>
        <v>3.5587188612099643E-5</v>
      </c>
      <c r="M584" s="372">
        <f>M583/M582</f>
        <v>0.83728722767707031</v>
      </c>
      <c r="N584" s="278">
        <f>N583/N582</f>
        <v>0.42697617323164783</v>
      </c>
      <c r="O584" s="315">
        <f>O583/O582</f>
        <v>0.65353586391801421</v>
      </c>
      <c r="P584" s="278">
        <f>P583/P582</f>
        <v>0.58063861036064623</v>
      </c>
      <c r="Q584" s="315">
        <f>Q583/Q582</f>
        <v>0.10520799839471222</v>
      </c>
      <c r="R584" s="315">
        <f t="shared" ref="R584:S584" si="299">R583/R582</f>
        <v>1.027031203037756E-2</v>
      </c>
      <c r="S584" s="292">
        <f t="shared" si="299"/>
        <v>3.4830014386310289E-5</v>
      </c>
      <c r="T584" s="320">
        <f>T583/T582</f>
        <v>0.15727910645319215</v>
      </c>
      <c r="U584" s="292">
        <f>U583/U582</f>
        <v>0.1520315498405887</v>
      </c>
      <c r="V584" s="70"/>
      <c r="W584" s="70"/>
      <c r="X584" s="70"/>
      <c r="Y584" s="70"/>
      <c r="Z584" s="70"/>
      <c r="AA584" s="391"/>
      <c r="AB584" s="347" t="s">
        <v>3</v>
      </c>
      <c r="AC584" s="395">
        <f>AC583/AC582</f>
        <v>0.30380941222744334</v>
      </c>
      <c r="AD584" s="305">
        <f>AD583/AD582</f>
        <v>0.43362168134895412</v>
      </c>
      <c r="AE584" s="292">
        <f>AE583/AE582</f>
        <v>5.6493032726293656E-5</v>
      </c>
      <c r="AF584" s="399">
        <f>AF583/AF582</f>
        <v>0.42697843523380369</v>
      </c>
      <c r="AG584" s="343">
        <f>AG583/AG582</f>
        <v>5.5291053306585277E-5</v>
      </c>
      <c r="AH584" s="782"/>
      <c r="AI584" s="782"/>
    </row>
    <row r="585" spans="1:35" s="267" customFormat="1" ht="15" customHeight="1" x14ac:dyDescent="0.25">
      <c r="A585" s="938" t="s">
        <v>6</v>
      </c>
      <c r="B585" s="19" t="s">
        <v>7</v>
      </c>
      <c r="C585" s="297">
        <v>5870</v>
      </c>
      <c r="D585" s="266">
        <v>3333</v>
      </c>
      <c r="E585" s="297">
        <v>3330</v>
      </c>
      <c r="F585" s="277">
        <v>9457</v>
      </c>
      <c r="G585" s="357">
        <v>8428</v>
      </c>
      <c r="H585" s="277">
        <v>15703</v>
      </c>
      <c r="I585" s="277">
        <v>7403</v>
      </c>
      <c r="J585" s="286">
        <v>9599</v>
      </c>
      <c r="K585" s="286">
        <v>4073</v>
      </c>
      <c r="L585" s="266">
        <v>6399</v>
      </c>
      <c r="M585" s="297">
        <v>9289</v>
      </c>
      <c r="N585" s="277">
        <v>12295</v>
      </c>
      <c r="O585" s="357">
        <v>4354</v>
      </c>
      <c r="P585" s="277">
        <v>10027</v>
      </c>
      <c r="Q585" s="286">
        <v>4799</v>
      </c>
      <c r="R585" s="286">
        <v>7192</v>
      </c>
      <c r="S585" s="266">
        <v>6399</v>
      </c>
      <c r="T585" s="402">
        <v>2000</v>
      </c>
      <c r="U585" s="266">
        <v>1250</v>
      </c>
      <c r="V585" s="358" t="s">
        <v>198</v>
      </c>
      <c r="W585" s="126"/>
      <c r="X585" s="70"/>
      <c r="Y585" s="70"/>
      <c r="Z585" s="70"/>
      <c r="AA585" s="389" t="s">
        <v>191</v>
      </c>
      <c r="AB585" s="19" t="s">
        <v>4</v>
      </c>
      <c r="AC585" s="318">
        <v>9191.7999999999993</v>
      </c>
      <c r="AD585" s="299">
        <v>13787.7</v>
      </c>
      <c r="AE585" s="265">
        <v>8804.7999999999993</v>
      </c>
      <c r="AF585" s="397">
        <v>13787.7</v>
      </c>
      <c r="AG585" s="393">
        <v>8804.7999999999993</v>
      </c>
      <c r="AH585" s="780"/>
      <c r="AI585" s="780"/>
    </row>
    <row r="586" spans="1:35" s="267" customFormat="1" x14ac:dyDescent="0.25">
      <c r="A586" s="939"/>
      <c r="B586" s="295" t="s">
        <v>11</v>
      </c>
      <c r="C586" s="302">
        <f t="shared" ref="C586:L586" si="300">C585*33.717</f>
        <v>197918.78999999998</v>
      </c>
      <c r="D586" s="263">
        <f t="shared" si="300"/>
        <v>112378.761</v>
      </c>
      <c r="E586" s="302">
        <f t="shared" si="300"/>
        <v>112277.61</v>
      </c>
      <c r="F586" s="355">
        <f t="shared" si="300"/>
        <v>318861.66899999999</v>
      </c>
      <c r="G586" s="308">
        <f t="shared" si="300"/>
        <v>284166.87599999999</v>
      </c>
      <c r="H586" s="354">
        <f t="shared" si="300"/>
        <v>529458.05099999998</v>
      </c>
      <c r="I586" s="354">
        <f t="shared" si="300"/>
        <v>249606.951</v>
      </c>
      <c r="J586" s="355">
        <f t="shared" si="300"/>
        <v>323649.48300000001</v>
      </c>
      <c r="K586" s="375">
        <f t="shared" si="300"/>
        <v>137329.34099999999</v>
      </c>
      <c r="L586" s="263">
        <f t="shared" si="300"/>
        <v>215755.08299999998</v>
      </c>
      <c r="M586" s="322">
        <f>M585*33.717</f>
        <v>313197.21299999999</v>
      </c>
      <c r="N586" s="308">
        <f>N585*33.717</f>
        <v>414550.51499999996</v>
      </c>
      <c r="O586" s="308">
        <f>O585*33.717</f>
        <v>146803.818</v>
      </c>
      <c r="P586" s="354">
        <f>P585*33.717</f>
        <v>338080.359</v>
      </c>
      <c r="Q586" s="355">
        <f>Q585*33.717</f>
        <v>161807.883</v>
      </c>
      <c r="R586" s="375">
        <f t="shared" ref="R586:S586" si="301">R585*33.717</f>
        <v>242492.66399999999</v>
      </c>
      <c r="S586" s="263">
        <f t="shared" si="301"/>
        <v>215755.08299999998</v>
      </c>
      <c r="T586" s="302">
        <f>T585*33.717</f>
        <v>67434</v>
      </c>
      <c r="U586" s="354">
        <f>U585*33.717</f>
        <v>42146.25</v>
      </c>
      <c r="V586" s="70"/>
      <c r="W586" s="70"/>
      <c r="X586" s="70"/>
      <c r="Y586" s="70"/>
      <c r="Z586" s="70"/>
      <c r="AA586" s="390"/>
      <c r="AB586" s="293" t="s">
        <v>5</v>
      </c>
      <c r="AC586" s="319">
        <v>8603.4</v>
      </c>
      <c r="AD586" s="300">
        <v>13645.7</v>
      </c>
      <c r="AE586" s="264">
        <v>0</v>
      </c>
      <c r="AF586" s="398">
        <v>13649</v>
      </c>
      <c r="AG586" s="394">
        <v>0.5</v>
      </c>
      <c r="AH586" s="781"/>
      <c r="AI586" s="781"/>
    </row>
    <row r="587" spans="1:35" s="267" customFormat="1" ht="15.75" thickBot="1" x14ac:dyDescent="0.3">
      <c r="A587" s="939"/>
      <c r="B587" s="295" t="s">
        <v>79</v>
      </c>
      <c r="C587" s="302">
        <v>164000</v>
      </c>
      <c r="D587" s="263">
        <v>109880</v>
      </c>
      <c r="E587" s="302">
        <v>109880</v>
      </c>
      <c r="F587" s="308">
        <v>328000</v>
      </c>
      <c r="G587" s="308">
        <v>330905</v>
      </c>
      <c r="H587" s="308">
        <v>264264</v>
      </c>
      <c r="I587" s="308">
        <v>242663.6</v>
      </c>
      <c r="J587" s="375">
        <v>328000</v>
      </c>
      <c r="K587" s="375">
        <v>328000</v>
      </c>
      <c r="L587" s="263">
        <v>328000</v>
      </c>
      <c r="M587" s="302">
        <v>328000</v>
      </c>
      <c r="N587" s="308">
        <v>264264.40000000002</v>
      </c>
      <c r="O587" s="308">
        <v>328000</v>
      </c>
      <c r="P587" s="308">
        <v>352965.4</v>
      </c>
      <c r="Q587" s="375">
        <v>328000</v>
      </c>
      <c r="R587" s="375">
        <v>328000</v>
      </c>
      <c r="S587" s="263">
        <v>328000</v>
      </c>
      <c r="T587" s="322">
        <f>2*T582</f>
        <v>110302</v>
      </c>
      <c r="U587" s="263">
        <f>2*U582</f>
        <v>66181</v>
      </c>
      <c r="V587" s="70"/>
      <c r="W587" s="70"/>
      <c r="X587" s="70"/>
      <c r="Y587" s="70"/>
      <c r="Z587" s="70"/>
      <c r="AA587" s="391"/>
      <c r="AB587" s="344" t="s">
        <v>3</v>
      </c>
      <c r="AC587" s="395">
        <f>AC586/AC585</f>
        <v>0.93598642268108534</v>
      </c>
      <c r="AD587" s="301">
        <f>AD586/AD585</f>
        <v>0.98970096535317709</v>
      </c>
      <c r="AE587" s="401">
        <f>AE586/AE585</f>
        <v>0</v>
      </c>
      <c r="AF587" s="400">
        <f>AF586/AF585</f>
        <v>0.98994030911609621</v>
      </c>
      <c r="AG587" s="348">
        <f>AG586/AG585</f>
        <v>5.6787206978011997E-5</v>
      </c>
      <c r="AH587" s="782"/>
      <c r="AI587" s="782"/>
    </row>
    <row r="588" spans="1:35" s="267" customFormat="1" ht="15" customHeight="1" x14ac:dyDescent="0.25">
      <c r="A588" s="939"/>
      <c r="B588" s="293" t="s">
        <v>8</v>
      </c>
      <c r="C588" s="303">
        <f>SUM(C585-464)</f>
        <v>5406</v>
      </c>
      <c r="D588" s="262">
        <f>SUM(D585-632)</f>
        <v>2701</v>
      </c>
      <c r="E588" s="303">
        <f>SUM(E585-598)</f>
        <v>2732</v>
      </c>
      <c r="F588" s="309">
        <f>SUM(F585-1243)</f>
        <v>8214</v>
      </c>
      <c r="G588" s="309">
        <f>SUM(G585-4550)</f>
        <v>3878</v>
      </c>
      <c r="H588" s="309">
        <f>SUM(H585-2046)</f>
        <v>13657</v>
      </c>
      <c r="I588" s="309">
        <f>SUM(I585-(3222-2000))</f>
        <v>6181</v>
      </c>
      <c r="J588" s="316">
        <f>SUM(J585-9081)</f>
        <v>518</v>
      </c>
      <c r="K588" s="316">
        <f>SUM(K585-3706)</f>
        <v>367</v>
      </c>
      <c r="L588" s="262">
        <f>SUM(L585-6312)</f>
        <v>87</v>
      </c>
      <c r="M588" s="303">
        <f>SUM(M585-936)</f>
        <v>8353</v>
      </c>
      <c r="N588" s="309">
        <f>SUM(N585-1164)</f>
        <v>11131</v>
      </c>
      <c r="O588" s="316">
        <f>SUM(O585-329)</f>
        <v>4025</v>
      </c>
      <c r="P588" s="309">
        <f>SUM(P585-(5151-2614))</f>
        <v>7490</v>
      </c>
      <c r="Q588" s="316">
        <f>SUM(Q585-3839)</f>
        <v>960</v>
      </c>
      <c r="R588" s="316">
        <f>SUM(R585-6815)</f>
        <v>377</v>
      </c>
      <c r="S588" s="262">
        <f>SUM(S585-6199)</f>
        <v>200</v>
      </c>
      <c r="T588" s="323">
        <f>SUM(T585-911)</f>
        <v>1089</v>
      </c>
      <c r="U588" s="262">
        <f>SUM(U585-752)</f>
        <v>498</v>
      </c>
      <c r="V588" s="12" t="s">
        <v>176</v>
      </c>
      <c r="W588" s="70"/>
      <c r="X588" s="70"/>
      <c r="Y588" s="70"/>
      <c r="Z588" s="70"/>
      <c r="AA588" s="389" t="s">
        <v>192</v>
      </c>
      <c r="AB588" s="19" t="s">
        <v>4</v>
      </c>
      <c r="AC588" s="318">
        <v>97433.600000000006</v>
      </c>
      <c r="AD588" s="299">
        <v>243584.4</v>
      </c>
      <c r="AE588" s="265">
        <v>132070.29999999999</v>
      </c>
      <c r="AF588" s="397">
        <v>292299.3</v>
      </c>
      <c r="AG588" s="393">
        <v>132070.39999999999</v>
      </c>
      <c r="AH588" s="780"/>
      <c r="AI588" s="780"/>
    </row>
    <row r="589" spans="1:35" s="267" customFormat="1" x14ac:dyDescent="0.25">
      <c r="A589" s="939"/>
      <c r="B589" s="296" t="s">
        <v>77</v>
      </c>
      <c r="C589" s="302">
        <f>(C588*33.717)</f>
        <v>182274.10199999998</v>
      </c>
      <c r="D589" s="338">
        <f>(D588*33.717)</f>
        <v>91069.616999999998</v>
      </c>
      <c r="E589" s="302">
        <f>(E588*33.717)</f>
        <v>92114.843999999997</v>
      </c>
      <c r="F589" s="338">
        <f>(F588*33.717)</f>
        <v>276951.43799999997</v>
      </c>
      <c r="G589" s="280">
        <f>(G588*33.717)*2</f>
        <v>261509.052</v>
      </c>
      <c r="H589" s="280">
        <f>(H588*33.717)</f>
        <v>460473.06899999996</v>
      </c>
      <c r="I589" s="280">
        <f>(I588*33.717)-(2000*33.717)</f>
        <v>140970.777</v>
      </c>
      <c r="J589" s="376">
        <f>J588*33.717</f>
        <v>17465.405999999999</v>
      </c>
      <c r="K589" s="376">
        <f>K588*33.717</f>
        <v>12374.138999999999</v>
      </c>
      <c r="L589" s="261">
        <f>L588*33.717</f>
        <v>2933.3789999999999</v>
      </c>
      <c r="M589" s="304">
        <f>M588*33.717</f>
        <v>281638.10099999997</v>
      </c>
      <c r="N589" s="280">
        <f>N588*33.717</f>
        <v>375303.92699999997</v>
      </c>
      <c r="O589" s="280">
        <f>(O588*33.717)</f>
        <v>135710.92499999999</v>
      </c>
      <c r="P589" s="280">
        <f t="shared" ref="P589:U589" si="302">P588*33.717</f>
        <v>252540.33</v>
      </c>
      <c r="Q589" s="376">
        <f t="shared" si="302"/>
        <v>32368.32</v>
      </c>
      <c r="R589" s="376">
        <f t="shared" si="302"/>
        <v>12711.308999999999</v>
      </c>
      <c r="S589" s="261">
        <f t="shared" si="302"/>
        <v>6743.4</v>
      </c>
      <c r="T589" s="324">
        <f t="shared" si="302"/>
        <v>36717.813000000002</v>
      </c>
      <c r="U589" s="325">
        <f t="shared" si="302"/>
        <v>16791.065999999999</v>
      </c>
      <c r="V589" s="63">
        <f>344240-H589</f>
        <v>-116233.06899999996</v>
      </c>
      <c r="W589" s="70" t="s">
        <v>177</v>
      </c>
      <c r="X589" s="70"/>
      <c r="Y589" s="70"/>
      <c r="Z589" s="70"/>
      <c r="AA589" s="390"/>
      <c r="AB589" s="293" t="s">
        <v>5</v>
      </c>
      <c r="AC589" s="319">
        <v>38973.199999999997</v>
      </c>
      <c r="AD589" s="300">
        <v>96373.3</v>
      </c>
      <c r="AE589" s="264">
        <v>0.1</v>
      </c>
      <c r="AF589" s="398">
        <v>92010.4</v>
      </c>
      <c r="AG589" s="394">
        <v>0.3</v>
      </c>
      <c r="AH589" s="781"/>
      <c r="AI589" s="781"/>
    </row>
    <row r="590" spans="1:35" s="267" customFormat="1" ht="15.75" thickBot="1" x14ac:dyDescent="0.3">
      <c r="A590" s="940"/>
      <c r="B590" s="294" t="s">
        <v>10</v>
      </c>
      <c r="C590" s="305">
        <f>C589/C582</f>
        <v>1.2711506279943929</v>
      </c>
      <c r="D590" s="292">
        <f t="shared" ref="D590:U590" si="303">D589/D582</f>
        <v>0.60504659615843281</v>
      </c>
      <c r="E590" s="310">
        <f t="shared" si="303"/>
        <v>0.61199085549975507</v>
      </c>
      <c r="F590" s="282">
        <f t="shared" si="303"/>
        <v>1.5217295923357315</v>
      </c>
      <c r="G590" s="282">
        <f t="shared" si="303"/>
        <v>1.5805687553829648</v>
      </c>
      <c r="H590" s="282">
        <f t="shared" si="303"/>
        <v>3.4849236564095691</v>
      </c>
      <c r="I590" s="282">
        <f t="shared" si="303"/>
        <v>0.8245419158839693</v>
      </c>
      <c r="J590" s="377">
        <f t="shared" si="303"/>
        <v>0.10556081315898425</v>
      </c>
      <c r="K590" s="377">
        <f t="shared" si="303"/>
        <v>0.13390244298334839</v>
      </c>
      <c r="L590" s="311">
        <f t="shared" si="303"/>
        <v>2.2210789732717496E-2</v>
      </c>
      <c r="M590" s="310">
        <f t="shared" si="303"/>
        <v>1.4590447813308975</v>
      </c>
      <c r="N590" s="282">
        <f t="shared" si="303"/>
        <v>2.8403518502961789</v>
      </c>
      <c r="O590" s="282">
        <f t="shared" si="303"/>
        <v>1.6404750708961806</v>
      </c>
      <c r="P590" s="260">
        <f t="shared" si="303"/>
        <v>0.91581414661565519</v>
      </c>
      <c r="Q590" s="377">
        <f t="shared" si="303"/>
        <v>0.39126858833797107</v>
      </c>
      <c r="R590" s="377">
        <f t="shared" si="303"/>
        <v>6.7262151447548324E-2</v>
      </c>
      <c r="S590" s="311">
        <f t="shared" si="303"/>
        <v>5.1059286741879303E-2</v>
      </c>
      <c r="T590" s="305">
        <f t="shared" si="303"/>
        <v>0.66576876212580016</v>
      </c>
      <c r="U590" s="292">
        <f t="shared" si="303"/>
        <v>0.50742859733156043</v>
      </c>
      <c r="V590" s="126"/>
      <c r="W590" s="70"/>
      <c r="X590" s="70"/>
      <c r="Y590" s="70"/>
      <c r="Z590" s="70"/>
      <c r="AA590" s="391"/>
      <c r="AB590" s="294" t="s">
        <v>3</v>
      </c>
      <c r="AC590" s="320">
        <f>AC589/AC588</f>
        <v>0.39999753678402516</v>
      </c>
      <c r="AD590" s="305">
        <f>AD589/AD588</f>
        <v>0.39564643712815767</v>
      </c>
      <c r="AE590" s="292">
        <f>AE589/AE588</f>
        <v>7.5717250585483648E-7</v>
      </c>
      <c r="AF590" s="399">
        <f>AF589/AF588</f>
        <v>0.31478145859398227</v>
      </c>
      <c r="AG590" s="343">
        <f>AG589/AG588</f>
        <v>2.2715157976352008E-6</v>
      </c>
      <c r="AH590" s="782"/>
      <c r="AI590" s="782"/>
    </row>
    <row r="591" spans="1:35" s="267" customFormat="1" ht="15.75" thickBot="1" x14ac:dyDescent="0.3">
      <c r="A591" s="924">
        <v>41443</v>
      </c>
      <c r="B591" s="924"/>
      <c r="C591" s="924"/>
      <c r="D591" s="276"/>
      <c r="E591" s="276"/>
      <c r="F591" s="276"/>
      <c r="G591" s="276"/>
      <c r="H591" s="276"/>
      <c r="I591" s="11"/>
      <c r="J591" s="281"/>
      <c r="K591" s="281"/>
      <c r="L591" s="276"/>
      <c r="M591" s="276"/>
      <c r="N591" s="13"/>
      <c r="R591" s="12"/>
      <c r="S591" s="70"/>
      <c r="T591" s="70"/>
      <c r="U591" s="70"/>
      <c r="V591" s="70"/>
      <c r="W591" s="70"/>
      <c r="X591" s="70"/>
      <c r="Y591" s="70"/>
      <c r="Z591" s="70"/>
      <c r="AA591" s="941"/>
      <c r="AB591" s="942"/>
      <c r="AH591" s="743"/>
      <c r="AI591" s="743"/>
    </row>
    <row r="592" spans="1:35" s="267" customFormat="1" x14ac:dyDescent="0.25">
      <c r="A592" s="925" t="s">
        <v>1</v>
      </c>
      <c r="B592" s="926"/>
      <c r="C592" s="297" t="s">
        <v>12</v>
      </c>
      <c r="D592" s="266" t="s">
        <v>12</v>
      </c>
      <c r="E592" s="297" t="s">
        <v>13</v>
      </c>
      <c r="F592" s="277" t="s">
        <v>13</v>
      </c>
      <c r="G592" s="277" t="s">
        <v>13</v>
      </c>
      <c r="H592" s="277" t="s">
        <v>13</v>
      </c>
      <c r="I592" s="277" t="s">
        <v>13</v>
      </c>
      <c r="J592" s="286" t="s">
        <v>13</v>
      </c>
      <c r="K592" s="286" t="s">
        <v>13</v>
      </c>
      <c r="L592" s="266" t="s">
        <v>13</v>
      </c>
      <c r="M592" s="297" t="s">
        <v>2</v>
      </c>
      <c r="N592" s="277" t="s">
        <v>2</v>
      </c>
      <c r="O592" s="286" t="s">
        <v>2</v>
      </c>
      <c r="P592" s="277" t="s">
        <v>2</v>
      </c>
      <c r="Q592" s="286" t="s">
        <v>2</v>
      </c>
      <c r="R592" s="286" t="s">
        <v>2</v>
      </c>
      <c r="S592" s="266" t="s">
        <v>2</v>
      </c>
      <c r="T592" s="328" t="s">
        <v>183</v>
      </c>
      <c r="U592" s="327" t="s">
        <v>183</v>
      </c>
      <c r="V592" s="12"/>
      <c r="W592" s="70"/>
      <c r="X592" s="70"/>
      <c r="Y592" s="70"/>
      <c r="Z592" s="70"/>
      <c r="AA592" s="925" t="s">
        <v>1</v>
      </c>
      <c r="AB592" s="928"/>
      <c r="AC592" s="321" t="s">
        <v>12</v>
      </c>
      <c r="AD592" s="929" t="s">
        <v>13</v>
      </c>
      <c r="AE592" s="930"/>
      <c r="AF592" s="929" t="s">
        <v>2</v>
      </c>
      <c r="AG592" s="930"/>
      <c r="AH592" s="778"/>
      <c r="AI592" s="778"/>
    </row>
    <row r="593" spans="1:35" s="267" customFormat="1" ht="15.75" thickBot="1" x14ac:dyDescent="0.3">
      <c r="A593" s="931" t="s">
        <v>0</v>
      </c>
      <c r="B593" s="944"/>
      <c r="C593" s="298" t="s">
        <v>99</v>
      </c>
      <c r="D593" s="291" t="s">
        <v>100</v>
      </c>
      <c r="E593" s="298" t="s">
        <v>101</v>
      </c>
      <c r="F593" s="306" t="s">
        <v>102</v>
      </c>
      <c r="G593" s="306" t="s">
        <v>97</v>
      </c>
      <c r="H593" s="306" t="s">
        <v>104</v>
      </c>
      <c r="I593" s="306" t="s">
        <v>103</v>
      </c>
      <c r="J593" s="378" t="s">
        <v>178</v>
      </c>
      <c r="K593" s="378" t="s">
        <v>200</v>
      </c>
      <c r="L593" s="314" t="s">
        <v>207</v>
      </c>
      <c r="M593" s="298" t="s">
        <v>105</v>
      </c>
      <c r="N593" s="306" t="s">
        <v>107</v>
      </c>
      <c r="O593" s="312" t="s">
        <v>98</v>
      </c>
      <c r="P593" s="313" t="s">
        <v>106</v>
      </c>
      <c r="Q593" s="312" t="s">
        <v>179</v>
      </c>
      <c r="R593" s="312" t="s">
        <v>199</v>
      </c>
      <c r="S593" s="291" t="s">
        <v>208</v>
      </c>
      <c r="T593" s="317" t="s">
        <v>182</v>
      </c>
      <c r="U593" s="291" t="s">
        <v>184</v>
      </c>
      <c r="V593" s="12"/>
      <c r="W593" s="12"/>
      <c r="X593" s="12"/>
      <c r="Y593" s="12"/>
      <c r="Z593" s="12"/>
      <c r="AA593" s="931" t="s">
        <v>0</v>
      </c>
      <c r="AB593" s="945"/>
      <c r="AC593" s="317" t="s">
        <v>99</v>
      </c>
      <c r="AD593" s="298" t="s">
        <v>104</v>
      </c>
      <c r="AE593" s="291" t="s">
        <v>207</v>
      </c>
      <c r="AF593" s="396" t="s">
        <v>107</v>
      </c>
      <c r="AG593" s="392" t="s">
        <v>208</v>
      </c>
      <c r="AH593" s="779"/>
      <c r="AI593" s="779"/>
    </row>
    <row r="594" spans="1:35" s="267" customFormat="1" ht="15" customHeight="1" x14ac:dyDescent="0.25">
      <c r="A594" s="935" t="s">
        <v>9</v>
      </c>
      <c r="B594" s="19" t="s">
        <v>4</v>
      </c>
      <c r="C594" s="299">
        <v>143393</v>
      </c>
      <c r="D594" s="265">
        <v>150516.70000000001</v>
      </c>
      <c r="E594" s="299">
        <v>150516.70000000001</v>
      </c>
      <c r="F594" s="283">
        <v>181997.8</v>
      </c>
      <c r="G594" s="283">
        <v>165452.5</v>
      </c>
      <c r="H594" s="283">
        <v>132132.9</v>
      </c>
      <c r="I594" s="368">
        <v>170968.6</v>
      </c>
      <c r="J594" s="223">
        <v>165453.5</v>
      </c>
      <c r="K594" s="223">
        <v>92411.6</v>
      </c>
      <c r="L594" s="265">
        <v>132070</v>
      </c>
      <c r="M594" s="299">
        <v>193029.1</v>
      </c>
      <c r="N594" s="283">
        <v>132132.9</v>
      </c>
      <c r="O594" s="283">
        <v>82726.600000000006</v>
      </c>
      <c r="P594" s="283">
        <v>275755</v>
      </c>
      <c r="Q594" s="223">
        <v>82726.600000000006</v>
      </c>
      <c r="R594" s="223">
        <v>188981.6</v>
      </c>
      <c r="S594" s="265">
        <v>132070</v>
      </c>
      <c r="T594" s="318">
        <v>55151</v>
      </c>
      <c r="U594" s="265">
        <v>33090.5</v>
      </c>
      <c r="V594" s="70"/>
      <c r="W594" s="70"/>
      <c r="X594" s="70"/>
      <c r="Y594" s="70"/>
      <c r="Z594" s="70"/>
      <c r="AA594" s="385" t="s">
        <v>195</v>
      </c>
      <c r="AB594" s="2" t="s">
        <v>4</v>
      </c>
      <c r="AC594" s="318">
        <v>143392.20000000001</v>
      </c>
      <c r="AD594" s="299">
        <v>132132</v>
      </c>
      <c r="AE594" s="265">
        <v>83196.100000000006</v>
      </c>
      <c r="AF594" s="397">
        <v>132132.20000000001</v>
      </c>
      <c r="AG594" s="393">
        <v>83196.100000000006</v>
      </c>
      <c r="AH594" s="780"/>
      <c r="AI594" s="780"/>
    </row>
    <row r="595" spans="1:35" s="267" customFormat="1" x14ac:dyDescent="0.25">
      <c r="A595" s="936"/>
      <c r="B595" s="293" t="s">
        <v>5</v>
      </c>
      <c r="C595" s="300">
        <v>41869</v>
      </c>
      <c r="D595" s="264">
        <v>78586.399999999994</v>
      </c>
      <c r="E595" s="300">
        <v>80068.899999999994</v>
      </c>
      <c r="F595" s="307">
        <v>143499.70000000001</v>
      </c>
      <c r="G595" s="307">
        <v>104937</v>
      </c>
      <c r="H595" s="307">
        <v>57215.5</v>
      </c>
      <c r="I595" s="307">
        <v>87798.6</v>
      </c>
      <c r="J595" s="374">
        <v>16938.8</v>
      </c>
      <c r="K595" s="374">
        <v>831.1</v>
      </c>
      <c r="L595" s="264">
        <v>4.7</v>
      </c>
      <c r="M595" s="300">
        <v>161583.1</v>
      </c>
      <c r="N595" s="307">
        <v>57900.9</v>
      </c>
      <c r="O595" s="307">
        <v>53826.7</v>
      </c>
      <c r="P595" s="307">
        <v>159806.20000000001</v>
      </c>
      <c r="Q595" s="374">
        <v>8703.2999999999993</v>
      </c>
      <c r="R595" s="374">
        <v>1940.8</v>
      </c>
      <c r="S595" s="264">
        <v>4.7</v>
      </c>
      <c r="T595" s="319">
        <v>8546.7000000000007</v>
      </c>
      <c r="U595" s="264">
        <v>4963.7</v>
      </c>
      <c r="V595" s="70"/>
      <c r="W595" s="70"/>
      <c r="X595" s="70"/>
      <c r="Y595" s="70"/>
      <c r="Z595" s="70"/>
      <c r="AA595" s="386"/>
      <c r="AB595" s="342" t="s">
        <v>5</v>
      </c>
      <c r="AC595" s="319">
        <v>41869</v>
      </c>
      <c r="AD595" s="300">
        <v>57215.5</v>
      </c>
      <c r="AE595" s="264">
        <v>4.7</v>
      </c>
      <c r="AF595" s="398">
        <v>57900.9</v>
      </c>
      <c r="AG595" s="394">
        <v>4.7</v>
      </c>
      <c r="AH595" s="781"/>
      <c r="AI595" s="781"/>
    </row>
    <row r="596" spans="1:35" s="267" customFormat="1" ht="15.75" thickBot="1" x14ac:dyDescent="0.3">
      <c r="A596" s="937"/>
      <c r="B596" s="294" t="s">
        <v>3</v>
      </c>
      <c r="C596" s="305">
        <f t="shared" ref="C596:L596" si="304">C595/C594</f>
        <v>0.29198775393498988</v>
      </c>
      <c r="D596" s="343">
        <f t="shared" si="304"/>
        <v>0.52211083554183679</v>
      </c>
      <c r="E596" s="305">
        <f t="shared" si="304"/>
        <v>0.53196024095665129</v>
      </c>
      <c r="F596" s="371">
        <f t="shared" si="304"/>
        <v>0.78846942105893603</v>
      </c>
      <c r="G596" s="278">
        <f t="shared" si="304"/>
        <v>0.63424245629410259</v>
      </c>
      <c r="H596" s="278">
        <f t="shared" si="304"/>
        <v>0.43301479041177482</v>
      </c>
      <c r="I596" s="278">
        <f t="shared" si="304"/>
        <v>0.51353640376069054</v>
      </c>
      <c r="J596" s="315">
        <f t="shared" si="304"/>
        <v>0.10237800953137891</v>
      </c>
      <c r="K596" s="315">
        <f t="shared" si="304"/>
        <v>8.9934596955360581E-3</v>
      </c>
      <c r="L596" s="292">
        <f t="shared" si="304"/>
        <v>3.5587188612099643E-5</v>
      </c>
      <c r="M596" s="372">
        <f>M595/M594</f>
        <v>0.83709192033739988</v>
      </c>
      <c r="N596" s="278">
        <f>N595/N594</f>
        <v>0.43820199208524147</v>
      </c>
      <c r="O596" s="315">
        <f>O595/O594</f>
        <v>0.65065770864510319</v>
      </c>
      <c r="P596" s="278">
        <f>P595/P594</f>
        <v>0.57952240213232764</v>
      </c>
      <c r="Q596" s="315">
        <f>Q595/Q594</f>
        <v>0.10520558079263501</v>
      </c>
      <c r="R596" s="315">
        <f t="shared" ref="R596:S596" si="305">R595/R594</f>
        <v>1.0269782878333128E-2</v>
      </c>
      <c r="S596" s="292">
        <f t="shared" si="305"/>
        <v>3.5587188612099643E-5</v>
      </c>
      <c r="T596" s="320">
        <f>T595/T594</f>
        <v>0.15496908487606753</v>
      </c>
      <c r="U596" s="292">
        <f>U595/U594</f>
        <v>0.15000377751922755</v>
      </c>
      <c r="V596" s="70"/>
      <c r="W596" s="70"/>
      <c r="X596" s="70"/>
      <c r="Y596" s="70"/>
      <c r="Z596" s="70"/>
      <c r="AA596" s="387"/>
      <c r="AB596" s="347" t="s">
        <v>3</v>
      </c>
      <c r="AC596" s="395">
        <f>AC595/AC594</f>
        <v>0.29198938296504273</v>
      </c>
      <c r="AD596" s="305">
        <f>AD595/AD594</f>
        <v>0.43301773983592168</v>
      </c>
      <c r="AE596" s="292">
        <f>AE595/AE594</f>
        <v>5.6493032726293656E-5</v>
      </c>
      <c r="AF596" s="399">
        <f>AF595/AF594</f>
        <v>0.43820431355869344</v>
      </c>
      <c r="AG596" s="343">
        <f>AG595/AG594</f>
        <v>5.6493032726293656E-5</v>
      </c>
      <c r="AH596" s="782"/>
      <c r="AI596" s="782"/>
    </row>
    <row r="597" spans="1:35" s="267" customFormat="1" ht="15" customHeight="1" x14ac:dyDescent="0.25">
      <c r="A597" s="938" t="s">
        <v>6</v>
      </c>
      <c r="B597" s="19" t="s">
        <v>7</v>
      </c>
      <c r="C597" s="297">
        <v>5870</v>
      </c>
      <c r="D597" s="266">
        <v>3333</v>
      </c>
      <c r="E597" s="297">
        <v>3330</v>
      </c>
      <c r="F597" s="277">
        <v>9457</v>
      </c>
      <c r="G597" s="357">
        <v>8428</v>
      </c>
      <c r="H597" s="277">
        <v>15703</v>
      </c>
      <c r="I597" s="277">
        <v>7403</v>
      </c>
      <c r="J597" s="286">
        <v>9599</v>
      </c>
      <c r="K597" s="286">
        <v>4073</v>
      </c>
      <c r="L597" s="266">
        <v>6399</v>
      </c>
      <c r="M597" s="297">
        <v>9289</v>
      </c>
      <c r="N597" s="277">
        <v>12295</v>
      </c>
      <c r="O597" s="357">
        <v>4354</v>
      </c>
      <c r="P597" s="277">
        <v>10027</v>
      </c>
      <c r="Q597" s="286">
        <v>4799</v>
      </c>
      <c r="R597" s="286">
        <v>7192</v>
      </c>
      <c r="S597" s="266">
        <v>6399</v>
      </c>
      <c r="T597" s="321">
        <v>2000</v>
      </c>
      <c r="U597" s="266">
        <v>1250</v>
      </c>
      <c r="V597" s="358" t="s">
        <v>198</v>
      </c>
      <c r="W597" s="126"/>
      <c r="X597" s="70"/>
      <c r="Y597" s="70"/>
      <c r="Z597" s="70"/>
      <c r="AA597" s="385" t="s">
        <v>191</v>
      </c>
      <c r="AB597" s="19" t="s">
        <v>4</v>
      </c>
      <c r="AC597" s="318">
        <v>9191.7999999999993</v>
      </c>
      <c r="AD597" s="299">
        <v>13787.7</v>
      </c>
      <c r="AE597" s="265">
        <v>8804.7999999999993</v>
      </c>
      <c r="AF597" s="397">
        <v>13787.7</v>
      </c>
      <c r="AG597" s="393">
        <v>8804.7999999999993</v>
      </c>
      <c r="AH597" s="780"/>
      <c r="AI597" s="780"/>
    </row>
    <row r="598" spans="1:35" s="267" customFormat="1" x14ac:dyDescent="0.25">
      <c r="A598" s="939"/>
      <c r="B598" s="295" t="s">
        <v>11</v>
      </c>
      <c r="C598" s="302">
        <f t="shared" ref="C598:L598" si="306">C597*33.717</f>
        <v>197918.78999999998</v>
      </c>
      <c r="D598" s="263">
        <f t="shared" si="306"/>
        <v>112378.761</v>
      </c>
      <c r="E598" s="302">
        <f t="shared" si="306"/>
        <v>112277.61</v>
      </c>
      <c r="F598" s="355">
        <f t="shared" si="306"/>
        <v>318861.66899999999</v>
      </c>
      <c r="G598" s="308">
        <f t="shared" si="306"/>
        <v>284166.87599999999</v>
      </c>
      <c r="H598" s="354">
        <f t="shared" si="306"/>
        <v>529458.05099999998</v>
      </c>
      <c r="I598" s="354">
        <f t="shared" si="306"/>
        <v>249606.951</v>
      </c>
      <c r="J598" s="355">
        <f t="shared" si="306"/>
        <v>323649.48300000001</v>
      </c>
      <c r="K598" s="375">
        <f t="shared" si="306"/>
        <v>137329.34099999999</v>
      </c>
      <c r="L598" s="263">
        <f t="shared" si="306"/>
        <v>215755.08299999998</v>
      </c>
      <c r="M598" s="322">
        <f>M597*33.717</f>
        <v>313197.21299999999</v>
      </c>
      <c r="N598" s="308">
        <f>N597*33.717</f>
        <v>414550.51499999996</v>
      </c>
      <c r="O598" s="308">
        <f>O597*33.717</f>
        <v>146803.818</v>
      </c>
      <c r="P598" s="354">
        <f>P597*33.717</f>
        <v>338080.359</v>
      </c>
      <c r="Q598" s="355">
        <f>Q597*33.717</f>
        <v>161807.883</v>
      </c>
      <c r="R598" s="375">
        <f t="shared" ref="R598:S598" si="307">R597*33.717</f>
        <v>242492.66399999999</v>
      </c>
      <c r="S598" s="263">
        <f t="shared" si="307"/>
        <v>215755.08299999998</v>
      </c>
      <c r="T598" s="302">
        <f>T597*33.717</f>
        <v>67434</v>
      </c>
      <c r="U598" s="354">
        <f>U597*33.717</f>
        <v>42146.25</v>
      </c>
      <c r="V598" s="70"/>
      <c r="W598" s="70"/>
      <c r="X598" s="70"/>
      <c r="Y598" s="70"/>
      <c r="Z598" s="70"/>
      <c r="AA598" s="386"/>
      <c r="AB598" s="293" t="s">
        <v>5</v>
      </c>
      <c r="AC598" s="319">
        <v>8495.5</v>
      </c>
      <c r="AD598" s="300">
        <v>13649.5</v>
      </c>
      <c r="AE598" s="264">
        <v>0</v>
      </c>
      <c r="AF598" s="398">
        <v>13644</v>
      </c>
      <c r="AG598" s="394">
        <v>0</v>
      </c>
      <c r="AH598" s="781"/>
      <c r="AI598" s="781"/>
    </row>
    <row r="599" spans="1:35" s="267" customFormat="1" ht="15.75" thickBot="1" x14ac:dyDescent="0.3">
      <c r="A599" s="939"/>
      <c r="B599" s="295" t="s">
        <v>79</v>
      </c>
      <c r="C599" s="302">
        <v>164000</v>
      </c>
      <c r="D599" s="263">
        <v>109880</v>
      </c>
      <c r="E599" s="302">
        <v>109880</v>
      </c>
      <c r="F599" s="308">
        <v>328000</v>
      </c>
      <c r="G599" s="308">
        <v>330905</v>
      </c>
      <c r="H599" s="308">
        <v>264264</v>
      </c>
      <c r="I599" s="308">
        <v>242663.6</v>
      </c>
      <c r="J599" s="375">
        <v>328000</v>
      </c>
      <c r="K599" s="375">
        <v>328000</v>
      </c>
      <c r="L599" s="263">
        <v>328000</v>
      </c>
      <c r="M599" s="302">
        <v>328000</v>
      </c>
      <c r="N599" s="308">
        <v>264264.40000000002</v>
      </c>
      <c r="O599" s="308">
        <v>328000</v>
      </c>
      <c r="P599" s="308">
        <v>352965.4</v>
      </c>
      <c r="Q599" s="375">
        <v>328000</v>
      </c>
      <c r="R599" s="375">
        <v>328000</v>
      </c>
      <c r="S599" s="263">
        <v>328000</v>
      </c>
      <c r="T599" s="322">
        <f>2*T594</f>
        <v>110302</v>
      </c>
      <c r="U599" s="263">
        <f>2*U594</f>
        <v>66181</v>
      </c>
      <c r="V599" s="70"/>
      <c r="W599" s="70"/>
      <c r="X599" s="70"/>
      <c r="Y599" s="70"/>
      <c r="Z599" s="70"/>
      <c r="AA599" s="387"/>
      <c r="AB599" s="344" t="s">
        <v>3</v>
      </c>
      <c r="AC599" s="395">
        <f>AC598/AC597</f>
        <v>0.92424769903609749</v>
      </c>
      <c r="AD599" s="301">
        <f>AD598/AD597</f>
        <v>0.98997657332259903</v>
      </c>
      <c r="AE599" s="401">
        <f>AE598/AE597</f>
        <v>0</v>
      </c>
      <c r="AF599" s="400">
        <f>AF598/AF597</f>
        <v>0.9895776670510672</v>
      </c>
      <c r="AG599" s="348">
        <f>AG598/AG597</f>
        <v>0</v>
      </c>
      <c r="AH599" s="782"/>
      <c r="AI599" s="782"/>
    </row>
    <row r="600" spans="1:35" s="267" customFormat="1" ht="15" customHeight="1" x14ac:dyDescent="0.25">
      <c r="A600" s="939"/>
      <c r="B600" s="293" t="s">
        <v>8</v>
      </c>
      <c r="C600" s="303">
        <f>SUM(C597-464)</f>
        <v>5406</v>
      </c>
      <c r="D600" s="262">
        <f>SUM(D597-632)</f>
        <v>2701</v>
      </c>
      <c r="E600" s="303">
        <f>SUM(E597-598)</f>
        <v>2732</v>
      </c>
      <c r="F600" s="309">
        <f>SUM(F597-1243)</f>
        <v>8214</v>
      </c>
      <c r="G600" s="309">
        <f>SUM(G597-4550)</f>
        <v>3878</v>
      </c>
      <c r="H600" s="309">
        <f>SUM(H597-2046)</f>
        <v>13657</v>
      </c>
      <c r="I600" s="309">
        <f>SUM(I597-(3249-2000))</f>
        <v>6154</v>
      </c>
      <c r="J600" s="316">
        <f>SUM(J597-9172)</f>
        <v>427</v>
      </c>
      <c r="K600" s="316">
        <f>SUM(K597-3706)</f>
        <v>367</v>
      </c>
      <c r="L600" s="262">
        <f>SUM(L597-6312)</f>
        <v>87</v>
      </c>
      <c r="M600" s="303">
        <f>SUM(M597-936)</f>
        <v>8353</v>
      </c>
      <c r="N600" s="309">
        <f>SUM(N597-1164)</f>
        <v>11131</v>
      </c>
      <c r="O600" s="316">
        <f>SUM(O597-329)</f>
        <v>4025</v>
      </c>
      <c r="P600" s="309">
        <f>SUM(P597-(5201-2614))</f>
        <v>7440</v>
      </c>
      <c r="Q600" s="316">
        <f>SUM(Q597-3930)</f>
        <v>869</v>
      </c>
      <c r="R600" s="316">
        <f>SUM(R597-6815)</f>
        <v>377</v>
      </c>
      <c r="S600" s="262">
        <f>SUM(S597-6199)</f>
        <v>200</v>
      </c>
      <c r="T600" s="323">
        <f>SUM(T597-917)</f>
        <v>1083</v>
      </c>
      <c r="U600" s="262">
        <f>SUM(U597-752)</f>
        <v>498</v>
      </c>
      <c r="V600" s="12" t="s">
        <v>176</v>
      </c>
      <c r="W600" s="70"/>
      <c r="X600" s="70"/>
      <c r="Y600" s="70"/>
      <c r="Z600" s="70"/>
      <c r="AA600" s="385" t="s">
        <v>192</v>
      </c>
      <c r="AB600" s="19" t="s">
        <v>4</v>
      </c>
      <c r="AC600" s="318">
        <v>97433.600000000006</v>
      </c>
      <c r="AD600" s="299">
        <v>243584.4</v>
      </c>
      <c r="AE600" s="265">
        <v>132070.29999999999</v>
      </c>
      <c r="AF600" s="397">
        <v>292299.3</v>
      </c>
      <c r="AG600" s="393">
        <v>132070.39999999999</v>
      </c>
      <c r="AH600" s="780"/>
      <c r="AI600" s="780"/>
    </row>
    <row r="601" spans="1:35" s="267" customFormat="1" x14ac:dyDescent="0.25">
      <c r="A601" s="939"/>
      <c r="B601" s="296" t="s">
        <v>77</v>
      </c>
      <c r="C601" s="302">
        <f>(C600*33.717)</f>
        <v>182274.10199999998</v>
      </c>
      <c r="D601" s="338">
        <f>(D600*33.717)</f>
        <v>91069.616999999998</v>
      </c>
      <c r="E601" s="302">
        <f>(E600*33.717)</f>
        <v>92114.843999999997</v>
      </c>
      <c r="F601" s="338">
        <f>(F600*33.717)</f>
        <v>276951.43799999997</v>
      </c>
      <c r="G601" s="280">
        <f>(G600*33.717)*2</f>
        <v>261509.052</v>
      </c>
      <c r="H601" s="280">
        <f>(H600*33.717)</f>
        <v>460473.06899999996</v>
      </c>
      <c r="I601" s="280">
        <f>(I600*33.717)-(2000*33.717)</f>
        <v>140060.41800000001</v>
      </c>
      <c r="J601" s="376">
        <f>J600*33.717</f>
        <v>14397.159</v>
      </c>
      <c r="K601" s="376">
        <f>K600*33.717</f>
        <v>12374.138999999999</v>
      </c>
      <c r="L601" s="261">
        <f>L600*33.717</f>
        <v>2933.3789999999999</v>
      </c>
      <c r="M601" s="304">
        <f>M600*33.717</f>
        <v>281638.10099999997</v>
      </c>
      <c r="N601" s="280">
        <f>N600*33.717</f>
        <v>375303.92699999997</v>
      </c>
      <c r="O601" s="280">
        <f>(O600*33.717)</f>
        <v>135710.92499999999</v>
      </c>
      <c r="P601" s="280">
        <f t="shared" ref="P601:U601" si="308">P600*33.717</f>
        <v>250854.47999999998</v>
      </c>
      <c r="Q601" s="376">
        <f t="shared" si="308"/>
        <v>29300.073</v>
      </c>
      <c r="R601" s="376">
        <f t="shared" si="308"/>
        <v>12711.308999999999</v>
      </c>
      <c r="S601" s="261">
        <f t="shared" si="308"/>
        <v>6743.4</v>
      </c>
      <c r="T601" s="324">
        <f t="shared" si="308"/>
        <v>36515.510999999999</v>
      </c>
      <c r="U601" s="325">
        <f t="shared" si="308"/>
        <v>16791.065999999999</v>
      </c>
      <c r="V601" s="63">
        <f>344240-H601</f>
        <v>-116233.06899999996</v>
      </c>
      <c r="W601" s="70" t="s">
        <v>177</v>
      </c>
      <c r="X601" s="70"/>
      <c r="Y601" s="70"/>
      <c r="Z601" s="70"/>
      <c r="AA601" s="386"/>
      <c r="AB601" s="293" t="s">
        <v>5</v>
      </c>
      <c r="AC601" s="319">
        <v>38973.199999999997</v>
      </c>
      <c r="AD601" s="300">
        <v>95835.1</v>
      </c>
      <c r="AE601" s="264">
        <v>0.1</v>
      </c>
      <c r="AF601" s="398">
        <v>90386.6</v>
      </c>
      <c r="AG601" s="394">
        <v>0</v>
      </c>
      <c r="AH601" s="781"/>
      <c r="AI601" s="781"/>
    </row>
    <row r="602" spans="1:35" s="267" customFormat="1" ht="15.75" thickBot="1" x14ac:dyDescent="0.3">
      <c r="A602" s="940"/>
      <c r="B602" s="294" t="s">
        <v>10</v>
      </c>
      <c r="C602" s="305">
        <f>C601/C594</f>
        <v>1.2711506279943929</v>
      </c>
      <c r="D602" s="292">
        <f t="shared" ref="D602:U602" si="309">D601/D594</f>
        <v>0.60504659615843281</v>
      </c>
      <c r="E602" s="310">
        <f t="shared" si="309"/>
        <v>0.61199085549975507</v>
      </c>
      <c r="F602" s="282">
        <f t="shared" si="309"/>
        <v>1.5217295923357315</v>
      </c>
      <c r="G602" s="282">
        <f t="shared" si="309"/>
        <v>1.5805687553829648</v>
      </c>
      <c r="H602" s="282">
        <f t="shared" si="309"/>
        <v>3.4849236564095691</v>
      </c>
      <c r="I602" s="282">
        <f t="shared" si="309"/>
        <v>0.81921720128725395</v>
      </c>
      <c r="J602" s="377">
        <f t="shared" si="309"/>
        <v>8.7016345982405929E-2</v>
      </c>
      <c r="K602" s="377">
        <f t="shared" si="309"/>
        <v>0.13390244298334839</v>
      </c>
      <c r="L602" s="311">
        <f t="shared" si="309"/>
        <v>2.2210789732717496E-2</v>
      </c>
      <c r="M602" s="310">
        <f t="shared" si="309"/>
        <v>1.4590447813308975</v>
      </c>
      <c r="N602" s="282">
        <f t="shared" si="309"/>
        <v>2.8403518502961789</v>
      </c>
      <c r="O602" s="282">
        <f t="shared" si="309"/>
        <v>1.6404750708961806</v>
      </c>
      <c r="P602" s="260">
        <f t="shared" si="309"/>
        <v>0.90970056753277362</v>
      </c>
      <c r="Q602" s="377">
        <f t="shared" si="309"/>
        <v>0.35417958673510092</v>
      </c>
      <c r="R602" s="377">
        <f t="shared" si="309"/>
        <v>6.7262151447548324E-2</v>
      </c>
      <c r="S602" s="311">
        <f t="shared" si="309"/>
        <v>5.1059286741879303E-2</v>
      </c>
      <c r="T602" s="305">
        <f t="shared" si="309"/>
        <v>0.66210061467607118</v>
      </c>
      <c r="U602" s="292">
        <f t="shared" si="309"/>
        <v>0.50742859733156043</v>
      </c>
      <c r="V602" s="126"/>
      <c r="W602" s="70"/>
      <c r="X602" s="70"/>
      <c r="Y602" s="70"/>
      <c r="Z602" s="70"/>
      <c r="AA602" s="387"/>
      <c r="AB602" s="294" t="s">
        <v>3</v>
      </c>
      <c r="AC602" s="320">
        <f>AC601/AC600</f>
        <v>0.39999753678402516</v>
      </c>
      <c r="AD602" s="305">
        <f>AD601/AD600</f>
        <v>0.39343693602710195</v>
      </c>
      <c r="AE602" s="292">
        <f>AE601/AE600</f>
        <v>7.5717250585483648E-7</v>
      </c>
      <c r="AF602" s="399">
        <f>AF601/AF600</f>
        <v>0.30922619383624939</v>
      </c>
      <c r="AG602" s="343">
        <f>AG601/AG600</f>
        <v>0</v>
      </c>
      <c r="AH602" s="782"/>
      <c r="AI602" s="782"/>
    </row>
    <row r="603" spans="1:35" s="267" customFormat="1" ht="15.75" thickBot="1" x14ac:dyDescent="0.3">
      <c r="A603" s="924">
        <v>41437</v>
      </c>
      <c r="B603" s="924"/>
      <c r="C603" s="924"/>
      <c r="D603" s="276"/>
      <c r="E603" s="276"/>
      <c r="F603" s="276"/>
      <c r="G603" s="276"/>
      <c r="H603" s="276"/>
      <c r="I603" s="11"/>
      <c r="J603" s="281"/>
      <c r="K603" s="281"/>
      <c r="L603" s="276"/>
      <c r="M603" s="276"/>
      <c r="N603" s="13"/>
      <c r="R603" s="12"/>
      <c r="S603" s="70"/>
      <c r="T603" s="70"/>
      <c r="U603" s="70"/>
      <c r="V603" s="70"/>
      <c r="W603" s="70"/>
      <c r="X603" s="70"/>
      <c r="Y603" s="70"/>
      <c r="Z603" s="70"/>
      <c r="AA603" s="941"/>
      <c r="AB603" s="942"/>
      <c r="AH603" s="743"/>
      <c r="AI603" s="743"/>
    </row>
    <row r="604" spans="1:35" s="267" customFormat="1" x14ac:dyDescent="0.25">
      <c r="A604" s="925" t="s">
        <v>1</v>
      </c>
      <c r="B604" s="926"/>
      <c r="C604" s="297" t="s">
        <v>12</v>
      </c>
      <c r="D604" s="266" t="s">
        <v>12</v>
      </c>
      <c r="E604" s="297" t="s">
        <v>13</v>
      </c>
      <c r="F604" s="277" t="s">
        <v>13</v>
      </c>
      <c r="G604" s="277" t="s">
        <v>13</v>
      </c>
      <c r="H604" s="277" t="s">
        <v>13</v>
      </c>
      <c r="I604" s="277" t="s">
        <v>13</v>
      </c>
      <c r="J604" s="286" t="s">
        <v>13</v>
      </c>
      <c r="K604" s="286" t="s">
        <v>13</v>
      </c>
      <c r="L604" s="266" t="s">
        <v>13</v>
      </c>
      <c r="M604" s="297" t="s">
        <v>2</v>
      </c>
      <c r="N604" s="277" t="s">
        <v>2</v>
      </c>
      <c r="O604" s="286" t="s">
        <v>2</v>
      </c>
      <c r="P604" s="277" t="s">
        <v>2</v>
      </c>
      <c r="Q604" s="286" t="s">
        <v>2</v>
      </c>
      <c r="R604" s="286" t="s">
        <v>2</v>
      </c>
      <c r="S604" s="266" t="s">
        <v>2</v>
      </c>
      <c r="T604" s="328" t="s">
        <v>183</v>
      </c>
      <c r="U604" s="327" t="s">
        <v>183</v>
      </c>
      <c r="V604" s="12"/>
      <c r="W604" s="70"/>
      <c r="X604" s="70"/>
      <c r="Y604" s="70"/>
      <c r="Z604" s="70"/>
      <c r="AA604" s="925" t="s">
        <v>1</v>
      </c>
      <c r="AB604" s="928"/>
      <c r="AC604" s="297" t="s">
        <v>12</v>
      </c>
      <c r="AD604" s="277" t="s">
        <v>13</v>
      </c>
      <c r="AE604" s="266" t="s">
        <v>2</v>
      </c>
      <c r="AH604" s="743"/>
      <c r="AI604" s="743"/>
    </row>
    <row r="605" spans="1:35" s="267" customFormat="1" ht="15.75" thickBot="1" x14ac:dyDescent="0.3">
      <c r="A605" s="931" t="s">
        <v>0</v>
      </c>
      <c r="B605" s="944"/>
      <c r="C605" s="298" t="s">
        <v>99</v>
      </c>
      <c r="D605" s="291" t="s">
        <v>100</v>
      </c>
      <c r="E605" s="298" t="s">
        <v>101</v>
      </c>
      <c r="F605" s="306" t="s">
        <v>102</v>
      </c>
      <c r="G605" s="306" t="s">
        <v>97</v>
      </c>
      <c r="H605" s="306" t="s">
        <v>104</v>
      </c>
      <c r="I605" s="306" t="s">
        <v>103</v>
      </c>
      <c r="J605" s="378" t="s">
        <v>178</v>
      </c>
      <c r="K605" s="378" t="s">
        <v>200</v>
      </c>
      <c r="L605" s="314" t="s">
        <v>207</v>
      </c>
      <c r="M605" s="298" t="s">
        <v>105</v>
      </c>
      <c r="N605" s="306" t="s">
        <v>107</v>
      </c>
      <c r="O605" s="312" t="s">
        <v>98</v>
      </c>
      <c r="P605" s="313" t="s">
        <v>106</v>
      </c>
      <c r="Q605" s="312" t="s">
        <v>179</v>
      </c>
      <c r="R605" s="312" t="s">
        <v>199</v>
      </c>
      <c r="S605" s="291" t="s">
        <v>208</v>
      </c>
      <c r="T605" s="317" t="s">
        <v>182</v>
      </c>
      <c r="U605" s="291" t="s">
        <v>184</v>
      </c>
      <c r="V605" s="12"/>
      <c r="W605" s="12"/>
      <c r="X605" s="12"/>
      <c r="Y605" s="12"/>
      <c r="Z605" s="12"/>
      <c r="AA605" s="931" t="s">
        <v>0</v>
      </c>
      <c r="AB605" s="945"/>
      <c r="AC605" s="298" t="s">
        <v>99</v>
      </c>
      <c r="AD605" s="306" t="s">
        <v>104</v>
      </c>
      <c r="AE605" s="291" t="s">
        <v>107</v>
      </c>
      <c r="AH605" s="743"/>
      <c r="AI605" s="743"/>
    </row>
    <row r="606" spans="1:35" s="267" customFormat="1" ht="15" customHeight="1" x14ac:dyDescent="0.25">
      <c r="A606" s="935" t="s">
        <v>9</v>
      </c>
      <c r="B606" s="19" t="s">
        <v>4</v>
      </c>
      <c r="C606" s="299">
        <v>143393</v>
      </c>
      <c r="D606" s="265">
        <v>150516.70000000001</v>
      </c>
      <c r="E606" s="299">
        <v>150516.70000000001</v>
      </c>
      <c r="F606" s="283">
        <v>181997.8</v>
      </c>
      <c r="G606" s="283">
        <v>165452.5</v>
      </c>
      <c r="H606" s="283">
        <v>132132.9</v>
      </c>
      <c r="I606" s="368">
        <v>170968.6</v>
      </c>
      <c r="J606" s="223">
        <v>165453.5</v>
      </c>
      <c r="K606" s="223">
        <v>92411.6</v>
      </c>
      <c r="L606" s="265">
        <v>132070</v>
      </c>
      <c r="M606" s="299">
        <v>193029.1</v>
      </c>
      <c r="N606" s="283">
        <v>132132.9</v>
      </c>
      <c r="O606" s="283">
        <v>82726.600000000006</v>
      </c>
      <c r="P606" s="283">
        <v>275755</v>
      </c>
      <c r="Q606" s="223">
        <v>82726.600000000006</v>
      </c>
      <c r="R606" s="223">
        <v>188981.6</v>
      </c>
      <c r="S606" s="265">
        <v>132070</v>
      </c>
      <c r="T606" s="318">
        <v>55151</v>
      </c>
      <c r="U606" s="265">
        <v>33090.5</v>
      </c>
      <c r="V606" s="70"/>
      <c r="W606" s="70"/>
      <c r="X606" s="70"/>
      <c r="Y606" s="70"/>
      <c r="Z606" s="70"/>
      <c r="AA606" s="381" t="s">
        <v>195</v>
      </c>
      <c r="AB606" s="2" t="s">
        <v>4</v>
      </c>
      <c r="AC606" s="299">
        <v>143392.20000000001</v>
      </c>
      <c r="AD606" s="283">
        <v>132132</v>
      </c>
      <c r="AE606" s="265">
        <v>132132.20000000001</v>
      </c>
      <c r="AH606" s="743"/>
      <c r="AI606" s="743"/>
    </row>
    <row r="607" spans="1:35" s="267" customFormat="1" x14ac:dyDescent="0.25">
      <c r="A607" s="936"/>
      <c r="B607" s="293" t="s">
        <v>5</v>
      </c>
      <c r="C607" s="300">
        <v>41671.5</v>
      </c>
      <c r="D607" s="264">
        <v>78563.7</v>
      </c>
      <c r="E607" s="300">
        <v>80046.600000000006</v>
      </c>
      <c r="F607" s="307">
        <v>161154.20000000001</v>
      </c>
      <c r="G607" s="307">
        <v>103958.2</v>
      </c>
      <c r="H607" s="307">
        <v>55020.1</v>
      </c>
      <c r="I607" s="307">
        <v>87561.9</v>
      </c>
      <c r="J607" s="374">
        <v>16517.900000000001</v>
      </c>
      <c r="K607" s="374">
        <v>2.7</v>
      </c>
      <c r="L607" s="264">
        <v>4.7</v>
      </c>
      <c r="M607" s="300">
        <v>161405.79999999999</v>
      </c>
      <c r="N607" s="307">
        <v>56132.5</v>
      </c>
      <c r="O607" s="307">
        <v>53380.2</v>
      </c>
      <c r="P607" s="307">
        <v>160058.20000000001</v>
      </c>
      <c r="Q607" s="374">
        <v>8492.9</v>
      </c>
      <c r="R607" s="374">
        <v>5.4</v>
      </c>
      <c r="S607" s="264">
        <v>4.7</v>
      </c>
      <c r="T607" s="319">
        <v>8183.4</v>
      </c>
      <c r="U607" s="264">
        <v>4698.2</v>
      </c>
      <c r="V607" s="70"/>
      <c r="W607" s="70"/>
      <c r="X607" s="70"/>
      <c r="Y607" s="70"/>
      <c r="Z607" s="70"/>
      <c r="AA607" s="382"/>
      <c r="AB607" s="342" t="s">
        <v>5</v>
      </c>
      <c r="AC607" s="300">
        <v>41815.599999999999</v>
      </c>
      <c r="AD607" s="307">
        <v>55035.3</v>
      </c>
      <c r="AE607" s="264">
        <v>55997</v>
      </c>
      <c r="AH607" s="743"/>
      <c r="AI607" s="743"/>
    </row>
    <row r="608" spans="1:35" s="267" customFormat="1" ht="15.75" thickBot="1" x14ac:dyDescent="0.3">
      <c r="A608" s="937"/>
      <c r="B608" s="294" t="s">
        <v>3</v>
      </c>
      <c r="C608" s="305">
        <f t="shared" ref="C608:K608" si="310">C607/C606</f>
        <v>0.29061042031340439</v>
      </c>
      <c r="D608" s="343">
        <f t="shared" si="310"/>
        <v>0.52196002171187639</v>
      </c>
      <c r="E608" s="305">
        <f t="shared" si="310"/>
        <v>0.53181208463911311</v>
      </c>
      <c r="F608" s="371">
        <f t="shared" si="310"/>
        <v>0.88547334088653828</v>
      </c>
      <c r="G608" s="278">
        <f t="shared" si="310"/>
        <v>0.62832655898218526</v>
      </c>
      <c r="H608" s="278">
        <f t="shared" si="310"/>
        <v>0.41639970060446718</v>
      </c>
      <c r="I608" s="278">
        <f t="shared" si="310"/>
        <v>0.51215193901102307</v>
      </c>
      <c r="J608" s="315">
        <f t="shared" si="310"/>
        <v>9.9834092358275894E-2</v>
      </c>
      <c r="K608" s="315">
        <f t="shared" si="310"/>
        <v>2.9217111271745105E-5</v>
      </c>
      <c r="L608" s="292">
        <f t="shared" ref="L608" si="311">L607/L606</f>
        <v>3.5587188612099643E-5</v>
      </c>
      <c r="M608" s="372">
        <f>M607/M606</f>
        <v>0.83617340597868395</v>
      </c>
      <c r="N608" s="278">
        <f>N607/N606</f>
        <v>0.42481849713432462</v>
      </c>
      <c r="O608" s="315">
        <f>O607/O606</f>
        <v>0.64526041200774586</v>
      </c>
      <c r="P608" s="278">
        <f>P607/P606</f>
        <v>0.58043625682217914</v>
      </c>
      <c r="Q608" s="315">
        <f>Q607/Q606</f>
        <v>0.1026622634074167</v>
      </c>
      <c r="R608" s="315">
        <f t="shared" ref="R608:S608" si="312">R607/R606</f>
        <v>2.8574210399319299E-5</v>
      </c>
      <c r="S608" s="292">
        <f t="shared" si="312"/>
        <v>3.5587188612099643E-5</v>
      </c>
      <c r="T608" s="320">
        <f>T607/T606</f>
        <v>0.14838171565338795</v>
      </c>
      <c r="U608" s="292">
        <f>U607/U606</f>
        <v>0.14198032667986279</v>
      </c>
      <c r="V608" s="70"/>
      <c r="W608" s="70"/>
      <c r="X608" s="70"/>
      <c r="Y608" s="70"/>
      <c r="Z608" s="70"/>
      <c r="AA608" s="383"/>
      <c r="AB608" s="347" t="s">
        <v>3</v>
      </c>
      <c r="AC608" s="301">
        <f>AC607/AC606</f>
        <v>0.29161697777145473</v>
      </c>
      <c r="AD608" s="278">
        <f>AD607/AD606</f>
        <v>0.41651757333575518</v>
      </c>
      <c r="AE608" s="292">
        <f>AE607/AE606</f>
        <v>0.42379525959607117</v>
      </c>
      <c r="AH608" s="743"/>
      <c r="AI608" s="743"/>
    </row>
    <row r="609" spans="1:35" s="267" customFormat="1" ht="15" customHeight="1" x14ac:dyDescent="0.25">
      <c r="A609" s="938" t="s">
        <v>6</v>
      </c>
      <c r="B609" s="19" t="s">
        <v>7</v>
      </c>
      <c r="C609" s="297">
        <v>5870</v>
      </c>
      <c r="D609" s="266">
        <v>3333</v>
      </c>
      <c r="E609" s="297">
        <v>3330</v>
      </c>
      <c r="F609" s="277">
        <v>9457</v>
      </c>
      <c r="G609" s="357">
        <v>8428</v>
      </c>
      <c r="H609" s="277">
        <v>15703</v>
      </c>
      <c r="I609" s="277">
        <v>7403</v>
      </c>
      <c r="J609" s="286">
        <v>9599</v>
      </c>
      <c r="K609" s="286">
        <v>3593</v>
      </c>
      <c r="L609" s="266">
        <v>6399</v>
      </c>
      <c r="M609" s="297">
        <v>9289</v>
      </c>
      <c r="N609" s="277">
        <v>12295</v>
      </c>
      <c r="O609" s="357">
        <v>4354</v>
      </c>
      <c r="P609" s="277">
        <v>10027</v>
      </c>
      <c r="Q609" s="286">
        <v>4799</v>
      </c>
      <c r="R609" s="286">
        <v>7192</v>
      </c>
      <c r="S609" s="266">
        <v>6399</v>
      </c>
      <c r="T609" s="321">
        <v>2000</v>
      </c>
      <c r="U609" s="266">
        <v>1250</v>
      </c>
      <c r="V609" s="358" t="s">
        <v>198</v>
      </c>
      <c r="W609" s="126"/>
      <c r="X609" s="70"/>
      <c r="Y609" s="70"/>
      <c r="Z609" s="70"/>
      <c r="AA609" s="381" t="s">
        <v>191</v>
      </c>
      <c r="AB609" s="19" t="s">
        <v>4</v>
      </c>
      <c r="AC609" s="299">
        <v>9191.7999999999993</v>
      </c>
      <c r="AD609" s="283">
        <v>13787.7</v>
      </c>
      <c r="AE609" s="265">
        <v>13787.7</v>
      </c>
      <c r="AH609" s="743"/>
      <c r="AI609" s="743"/>
    </row>
    <row r="610" spans="1:35" s="267" customFormat="1" x14ac:dyDescent="0.25">
      <c r="A610" s="939"/>
      <c r="B610" s="295" t="s">
        <v>11</v>
      </c>
      <c r="C610" s="302">
        <f t="shared" ref="C610:K610" si="313">C609*33.717</f>
        <v>197918.78999999998</v>
      </c>
      <c r="D610" s="263">
        <f t="shared" si="313"/>
        <v>112378.761</v>
      </c>
      <c r="E610" s="302">
        <f t="shared" si="313"/>
        <v>112277.61</v>
      </c>
      <c r="F610" s="355">
        <f t="shared" si="313"/>
        <v>318861.66899999999</v>
      </c>
      <c r="G610" s="308">
        <f t="shared" si="313"/>
        <v>284166.87599999999</v>
      </c>
      <c r="H610" s="354">
        <f t="shared" si="313"/>
        <v>529458.05099999998</v>
      </c>
      <c r="I610" s="354">
        <f t="shared" si="313"/>
        <v>249606.951</v>
      </c>
      <c r="J610" s="355">
        <f t="shared" si="313"/>
        <v>323649.48300000001</v>
      </c>
      <c r="K610" s="375">
        <f t="shared" si="313"/>
        <v>121145.181</v>
      </c>
      <c r="L610" s="263">
        <f t="shared" ref="L610" si="314">L609*33.717</f>
        <v>215755.08299999998</v>
      </c>
      <c r="M610" s="322">
        <f>M609*33.717</f>
        <v>313197.21299999999</v>
      </c>
      <c r="N610" s="308">
        <f>N609*33.717</f>
        <v>414550.51499999996</v>
      </c>
      <c r="O610" s="308">
        <f>O609*33.717</f>
        <v>146803.818</v>
      </c>
      <c r="P610" s="354">
        <f>P609*33.717</f>
        <v>338080.359</v>
      </c>
      <c r="Q610" s="355">
        <f>Q609*33.717</f>
        <v>161807.883</v>
      </c>
      <c r="R610" s="375">
        <f t="shared" ref="R610:S610" si="315">R609*33.717</f>
        <v>242492.66399999999</v>
      </c>
      <c r="S610" s="263">
        <f t="shared" si="315"/>
        <v>215755.08299999998</v>
      </c>
      <c r="T610" s="302">
        <f>T609*33.717</f>
        <v>67434</v>
      </c>
      <c r="U610" s="354">
        <f>U609*33.717</f>
        <v>42146.25</v>
      </c>
      <c r="V610" s="70"/>
      <c r="W610" s="70"/>
      <c r="X610" s="70"/>
      <c r="Y610" s="70"/>
      <c r="Z610" s="70"/>
      <c r="AA610" s="382"/>
      <c r="AB610" s="293" t="s">
        <v>5</v>
      </c>
      <c r="AC610" s="300">
        <v>8299.9</v>
      </c>
      <c r="AD610" s="307">
        <v>13646</v>
      </c>
      <c r="AE610" s="264">
        <v>13645.8</v>
      </c>
      <c r="AH610" s="743"/>
      <c r="AI610" s="743"/>
    </row>
    <row r="611" spans="1:35" s="267" customFormat="1" ht="15.75" thickBot="1" x14ac:dyDescent="0.3">
      <c r="A611" s="939"/>
      <c r="B611" s="295" t="s">
        <v>79</v>
      </c>
      <c r="C611" s="302">
        <v>164000</v>
      </c>
      <c r="D611" s="263">
        <v>109880</v>
      </c>
      <c r="E611" s="302">
        <v>109880</v>
      </c>
      <c r="F611" s="308">
        <v>328000</v>
      </c>
      <c r="G611" s="308">
        <v>330905</v>
      </c>
      <c r="H611" s="308">
        <v>264264</v>
      </c>
      <c r="I611" s="308">
        <v>242663.6</v>
      </c>
      <c r="J611" s="375">
        <v>328000</v>
      </c>
      <c r="K611" s="375">
        <v>328000</v>
      </c>
      <c r="L611" s="263">
        <v>328000</v>
      </c>
      <c r="M611" s="302">
        <v>328000</v>
      </c>
      <c r="N611" s="308">
        <v>264264.40000000002</v>
      </c>
      <c r="O611" s="308">
        <v>328000</v>
      </c>
      <c r="P611" s="308">
        <v>352965.4</v>
      </c>
      <c r="Q611" s="375">
        <v>328000</v>
      </c>
      <c r="R611" s="375">
        <v>328000</v>
      </c>
      <c r="S611" s="263">
        <v>328000</v>
      </c>
      <c r="T611" s="322">
        <f>2*T606</f>
        <v>110302</v>
      </c>
      <c r="U611" s="263">
        <f>2*U606</f>
        <v>66181</v>
      </c>
      <c r="V611" s="70"/>
      <c r="W611" s="70"/>
      <c r="X611" s="70"/>
      <c r="Y611" s="70"/>
      <c r="Z611" s="70"/>
      <c r="AA611" s="383"/>
      <c r="AB611" s="344" t="s">
        <v>3</v>
      </c>
      <c r="AC611" s="301">
        <f>AC610/AC609</f>
        <v>0.90296786266019713</v>
      </c>
      <c r="AD611" s="249">
        <f>AD610/AD609</f>
        <v>0.98972272387707882</v>
      </c>
      <c r="AE611" s="348">
        <f>AE610/AE609</f>
        <v>0.98970821819447763</v>
      </c>
      <c r="AH611" s="743"/>
      <c r="AI611" s="743"/>
    </row>
    <row r="612" spans="1:35" s="267" customFormat="1" ht="15" customHeight="1" x14ac:dyDescent="0.25">
      <c r="A612" s="939"/>
      <c r="B612" s="293" t="s">
        <v>8</v>
      </c>
      <c r="C612" s="303">
        <f>SUM(C609-531)</f>
        <v>5339</v>
      </c>
      <c r="D612" s="262">
        <f>SUM(D609-646)</f>
        <v>2687</v>
      </c>
      <c r="E612" s="303">
        <f>SUM(E609-612)</f>
        <v>2718</v>
      </c>
      <c r="F612" s="309">
        <f>SUM(F609-1211)</f>
        <v>8246</v>
      </c>
      <c r="G612" s="309">
        <f>SUM(G609-4550)</f>
        <v>3878</v>
      </c>
      <c r="H612" s="309">
        <f>SUM(H609-2076)</f>
        <v>13627</v>
      </c>
      <c r="I612" s="309">
        <f>SUM(I609-(3249-2000))</f>
        <v>6154</v>
      </c>
      <c r="J612" s="316">
        <f>SUM(J609-9172)</f>
        <v>427</v>
      </c>
      <c r="K612" s="316">
        <f>SUM(K609-3504)</f>
        <v>89</v>
      </c>
      <c r="L612" s="262">
        <f>SUM(L609-6312)</f>
        <v>87</v>
      </c>
      <c r="M612" s="303">
        <f>SUM(M609-909)</f>
        <v>8380</v>
      </c>
      <c r="N612" s="309">
        <f>SUM(N609-1164)</f>
        <v>11131</v>
      </c>
      <c r="O612" s="316">
        <f>SUM(O609-329)</f>
        <v>4025</v>
      </c>
      <c r="P612" s="309">
        <f>SUM(P609-(5201-2614))</f>
        <v>7440</v>
      </c>
      <c r="Q612" s="316">
        <f>SUM(Q609-3930)</f>
        <v>869</v>
      </c>
      <c r="R612" s="316">
        <f>SUM(R609-7032)</f>
        <v>160</v>
      </c>
      <c r="S612" s="262">
        <f>SUM(S609-6378)</f>
        <v>21</v>
      </c>
      <c r="T612" s="323">
        <f>SUM(T609-1024)</f>
        <v>976</v>
      </c>
      <c r="U612" s="262">
        <f>SUM(U609-752)</f>
        <v>498</v>
      </c>
      <c r="V612" s="12" t="s">
        <v>176</v>
      </c>
      <c r="W612" s="70"/>
      <c r="X612" s="70"/>
      <c r="Y612" s="70"/>
      <c r="Z612" s="70"/>
      <c r="AA612" s="381" t="s">
        <v>192</v>
      </c>
      <c r="AB612" s="19" t="s">
        <v>4</v>
      </c>
      <c r="AC612" s="299">
        <v>97433.600000000006</v>
      </c>
      <c r="AD612" s="283">
        <v>243584.4</v>
      </c>
      <c r="AE612" s="265">
        <v>292299.3</v>
      </c>
      <c r="AH612" s="743"/>
      <c r="AI612" s="743"/>
    </row>
    <row r="613" spans="1:35" s="267" customFormat="1" x14ac:dyDescent="0.25">
      <c r="A613" s="939"/>
      <c r="B613" s="296" t="s">
        <v>77</v>
      </c>
      <c r="C613" s="302">
        <f>(C612*33.717)</f>
        <v>180015.06299999999</v>
      </c>
      <c r="D613" s="338">
        <f>(D612*33.717)</f>
        <v>90597.578999999998</v>
      </c>
      <c r="E613" s="302">
        <f>(E612*33.717)</f>
        <v>91642.805999999997</v>
      </c>
      <c r="F613" s="338">
        <f>(F612*33.717)</f>
        <v>278030.38199999998</v>
      </c>
      <c r="G613" s="280">
        <f>(G612*33.717)*2</f>
        <v>261509.052</v>
      </c>
      <c r="H613" s="280">
        <f>(H612*33.717)</f>
        <v>459461.55900000001</v>
      </c>
      <c r="I613" s="280">
        <f>(I612*33.717)-(2000*33.717)</f>
        <v>140060.41800000001</v>
      </c>
      <c r="J613" s="376">
        <f>J612*33.717</f>
        <v>14397.159</v>
      </c>
      <c r="K613" s="376">
        <f>K612*33.717</f>
        <v>3000.8130000000001</v>
      </c>
      <c r="L613" s="261">
        <f>L612*33.717</f>
        <v>2933.3789999999999</v>
      </c>
      <c r="M613" s="304">
        <f>M612*33.717</f>
        <v>282548.45999999996</v>
      </c>
      <c r="N613" s="280">
        <f>N612*33.717</f>
        <v>375303.92699999997</v>
      </c>
      <c r="O613" s="280">
        <f>(O612*33.717)</f>
        <v>135710.92499999999</v>
      </c>
      <c r="P613" s="280">
        <f t="shared" ref="P613:U613" si="316">P612*33.717</f>
        <v>250854.47999999998</v>
      </c>
      <c r="Q613" s="376">
        <f t="shared" si="316"/>
        <v>29300.073</v>
      </c>
      <c r="R613" s="376">
        <f t="shared" si="316"/>
        <v>5394.7199999999993</v>
      </c>
      <c r="S613" s="261">
        <f t="shared" si="316"/>
        <v>708.05700000000002</v>
      </c>
      <c r="T613" s="324">
        <f t="shared" si="316"/>
        <v>32907.792000000001</v>
      </c>
      <c r="U613" s="325">
        <f t="shared" si="316"/>
        <v>16791.065999999999</v>
      </c>
      <c r="V613" s="63">
        <f>344240-H613</f>
        <v>-115221.55900000001</v>
      </c>
      <c r="W613" s="70" t="s">
        <v>177</v>
      </c>
      <c r="X613" s="70"/>
      <c r="Y613" s="70"/>
      <c r="Z613" s="70"/>
      <c r="AA613" s="382"/>
      <c r="AB613" s="293" t="s">
        <v>5</v>
      </c>
      <c r="AC613" s="300">
        <v>38973.199999999997</v>
      </c>
      <c r="AD613" s="307">
        <v>96614.9</v>
      </c>
      <c r="AE613" s="264">
        <v>91250.3</v>
      </c>
      <c r="AH613" s="743"/>
      <c r="AI613" s="743"/>
    </row>
    <row r="614" spans="1:35" s="267" customFormat="1" ht="15.75" thickBot="1" x14ac:dyDescent="0.3">
      <c r="A614" s="940"/>
      <c r="B614" s="294" t="s">
        <v>10</v>
      </c>
      <c r="C614" s="305">
        <f t="shared" ref="C614:K614" si="317">C613/C606</f>
        <v>1.2553964489201006</v>
      </c>
      <c r="D614" s="292">
        <f t="shared" si="317"/>
        <v>0.60191047903654538</v>
      </c>
      <c r="E614" s="310">
        <f t="shared" si="317"/>
        <v>0.60885473837786763</v>
      </c>
      <c r="F614" s="282">
        <f t="shared" si="317"/>
        <v>1.5276579277331923</v>
      </c>
      <c r="G614" s="282">
        <f t="shared" si="317"/>
        <v>1.5805687553829648</v>
      </c>
      <c r="H614" s="282">
        <f t="shared" si="317"/>
        <v>3.4772684093060851</v>
      </c>
      <c r="I614" s="282">
        <f t="shared" si="317"/>
        <v>0.81921720128725395</v>
      </c>
      <c r="J614" s="377">
        <f t="shared" si="317"/>
        <v>8.7016345982405929E-2</v>
      </c>
      <c r="K614" s="377">
        <f t="shared" si="317"/>
        <v>3.2472254565444163E-2</v>
      </c>
      <c r="L614" s="311">
        <f t="shared" ref="L614" si="318">L613/L606</f>
        <v>2.2210789732717496E-2</v>
      </c>
      <c r="M614" s="310">
        <f t="shared" ref="M614:U614" si="319">M613/M606</f>
        <v>1.4637609562496015</v>
      </c>
      <c r="N614" s="282">
        <f t="shared" si="319"/>
        <v>2.8403518502961789</v>
      </c>
      <c r="O614" s="282">
        <f t="shared" si="319"/>
        <v>1.6404750708961806</v>
      </c>
      <c r="P614" s="260">
        <f t="shared" si="319"/>
        <v>0.90970056753277362</v>
      </c>
      <c r="Q614" s="377">
        <f t="shared" si="319"/>
        <v>0.35417958673510092</v>
      </c>
      <c r="R614" s="377">
        <f t="shared" si="319"/>
        <v>2.8546271171373292E-2</v>
      </c>
      <c r="S614" s="311">
        <f t="shared" si="319"/>
        <v>5.3612251078973272E-3</v>
      </c>
      <c r="T614" s="305">
        <f t="shared" si="319"/>
        <v>0.59668531848923867</v>
      </c>
      <c r="U614" s="292">
        <f t="shared" si="319"/>
        <v>0.50742859733156043</v>
      </c>
      <c r="V614" s="126"/>
      <c r="W614" s="70"/>
      <c r="X614" s="70"/>
      <c r="Y614" s="70"/>
      <c r="Z614" s="70"/>
      <c r="AA614" s="383"/>
      <c r="AB614" s="294" t="s">
        <v>3</v>
      </c>
      <c r="AC614" s="305">
        <f>AC613/AC612</f>
        <v>0.39999753678402516</v>
      </c>
      <c r="AD614" s="278">
        <f>AD613/AD612</f>
        <v>0.39663829046523502</v>
      </c>
      <c r="AE614" s="343">
        <f>AE613/AE612</f>
        <v>0.31218104182938516</v>
      </c>
      <c r="AH614" s="743"/>
      <c r="AI614" s="743"/>
    </row>
    <row r="615" spans="1:35" s="267" customFormat="1" ht="15.75" thickBot="1" x14ac:dyDescent="0.3">
      <c r="A615" s="924">
        <v>41430</v>
      </c>
      <c r="B615" s="924"/>
      <c r="C615" s="924"/>
      <c r="D615" s="276"/>
      <c r="E615" s="276"/>
      <c r="F615" s="276"/>
      <c r="G615" s="276"/>
      <c r="H615" s="276"/>
      <c r="I615" s="11"/>
      <c r="J615" s="281"/>
      <c r="K615" s="281"/>
      <c r="L615" s="276"/>
      <c r="M615" s="276"/>
      <c r="N615" s="13"/>
      <c r="R615" s="12"/>
      <c r="S615" s="70"/>
      <c r="T615" s="70"/>
      <c r="U615" s="70"/>
      <c r="V615" s="70"/>
      <c r="W615" s="70"/>
      <c r="X615" s="70"/>
      <c r="Y615" s="70"/>
      <c r="Z615" s="70"/>
      <c r="AA615" s="941"/>
      <c r="AB615" s="942"/>
      <c r="AH615" s="743"/>
      <c r="AI615" s="743"/>
    </row>
    <row r="616" spans="1:35" s="267" customFormat="1" x14ac:dyDescent="0.25">
      <c r="A616" s="925" t="s">
        <v>1</v>
      </c>
      <c r="B616" s="926"/>
      <c r="C616" s="297" t="s">
        <v>12</v>
      </c>
      <c r="D616" s="266" t="s">
        <v>12</v>
      </c>
      <c r="E616" s="297" t="s">
        <v>13</v>
      </c>
      <c r="F616" s="277" t="s">
        <v>13</v>
      </c>
      <c r="G616" s="277" t="s">
        <v>13</v>
      </c>
      <c r="H616" s="277" t="s">
        <v>13</v>
      </c>
      <c r="I616" s="277" t="s">
        <v>13</v>
      </c>
      <c r="J616" s="286" t="s">
        <v>13</v>
      </c>
      <c r="K616" s="266" t="s">
        <v>13</v>
      </c>
      <c r="L616" s="297" t="s">
        <v>2</v>
      </c>
      <c r="M616" s="277" t="s">
        <v>2</v>
      </c>
      <c r="N616" s="286" t="s">
        <v>2</v>
      </c>
      <c r="O616" s="277" t="s">
        <v>2</v>
      </c>
      <c r="P616" s="286" t="s">
        <v>2</v>
      </c>
      <c r="Q616" s="266" t="s">
        <v>2</v>
      </c>
      <c r="R616" s="328" t="s">
        <v>183</v>
      </c>
      <c r="S616" s="327" t="s">
        <v>183</v>
      </c>
      <c r="T616" s="12"/>
      <c r="U616" s="70"/>
      <c r="V616" s="70"/>
      <c r="W616" s="70"/>
      <c r="X616" s="70"/>
      <c r="Y616" s="70"/>
      <c r="Z616" s="70"/>
      <c r="AA616" s="925" t="s">
        <v>1</v>
      </c>
      <c r="AB616" s="926"/>
      <c r="AC616" s="297" t="s">
        <v>12</v>
      </c>
      <c r="AD616" s="277" t="s">
        <v>13</v>
      </c>
      <c r="AE616" s="266" t="s">
        <v>2</v>
      </c>
      <c r="AH616" s="743"/>
      <c r="AI616" s="743"/>
    </row>
    <row r="617" spans="1:35" s="267" customFormat="1" ht="15.75" thickBot="1" x14ac:dyDescent="0.3">
      <c r="A617" s="931" t="s">
        <v>0</v>
      </c>
      <c r="B617" s="944"/>
      <c r="C617" s="298" t="s">
        <v>99</v>
      </c>
      <c r="D617" s="291" t="s">
        <v>100</v>
      </c>
      <c r="E617" s="298" t="s">
        <v>101</v>
      </c>
      <c r="F617" s="306" t="s">
        <v>102</v>
      </c>
      <c r="G617" s="306" t="s">
        <v>97</v>
      </c>
      <c r="H617" s="306" t="s">
        <v>104</v>
      </c>
      <c r="I617" s="306" t="s">
        <v>103</v>
      </c>
      <c r="J617" s="378" t="s">
        <v>178</v>
      </c>
      <c r="K617" s="314" t="s">
        <v>200</v>
      </c>
      <c r="L617" s="298" t="s">
        <v>105</v>
      </c>
      <c r="M617" s="306" t="s">
        <v>107</v>
      </c>
      <c r="N617" s="312" t="s">
        <v>98</v>
      </c>
      <c r="O617" s="313" t="s">
        <v>106</v>
      </c>
      <c r="P617" s="312" t="s">
        <v>179</v>
      </c>
      <c r="Q617" s="291" t="s">
        <v>199</v>
      </c>
      <c r="R617" s="317" t="s">
        <v>182</v>
      </c>
      <c r="S617" s="291" t="s">
        <v>184</v>
      </c>
      <c r="T617" s="12"/>
      <c r="U617" s="12"/>
      <c r="V617" s="12"/>
      <c r="W617" s="12"/>
      <c r="X617" s="12"/>
      <c r="Y617" s="12"/>
      <c r="Z617" s="12"/>
      <c r="AA617" s="931" t="s">
        <v>0</v>
      </c>
      <c r="AB617" s="944"/>
      <c r="AC617" s="298" t="s">
        <v>99</v>
      </c>
      <c r="AD617" s="306" t="s">
        <v>104</v>
      </c>
      <c r="AE617" s="291" t="s">
        <v>107</v>
      </c>
      <c r="AH617" s="743"/>
      <c r="AI617" s="743"/>
    </row>
    <row r="618" spans="1:35" s="267" customFormat="1" ht="15" customHeight="1" x14ac:dyDescent="0.25">
      <c r="A618" s="935" t="s">
        <v>9</v>
      </c>
      <c r="B618" s="19" t="s">
        <v>4</v>
      </c>
      <c r="C618" s="299">
        <v>143392.20000000001</v>
      </c>
      <c r="D618" s="265">
        <v>150515.79999999999</v>
      </c>
      <c r="E618" s="299">
        <v>150515.79999999999</v>
      </c>
      <c r="F618" s="283">
        <v>181997.8</v>
      </c>
      <c r="G618" s="283">
        <v>165452.5</v>
      </c>
      <c r="H618" s="283">
        <v>132132</v>
      </c>
      <c r="I618" s="368">
        <v>170968.6</v>
      </c>
      <c r="J618" s="223">
        <v>166077.9</v>
      </c>
      <c r="K618" s="265">
        <v>95044.2</v>
      </c>
      <c r="L618" s="299">
        <v>193027</v>
      </c>
      <c r="M618" s="283">
        <v>132132.20000000001</v>
      </c>
      <c r="N618" s="283">
        <v>82726.3</v>
      </c>
      <c r="O618" s="283">
        <v>275755</v>
      </c>
      <c r="P618" s="223">
        <v>83039</v>
      </c>
      <c r="Q618" s="265">
        <v>188981.6</v>
      </c>
      <c r="R618" s="318">
        <v>55151</v>
      </c>
      <c r="S618" s="265">
        <v>33090.5</v>
      </c>
      <c r="T618" s="70"/>
      <c r="U618" s="70"/>
      <c r="V618" s="70"/>
      <c r="W618" s="70"/>
      <c r="X618" s="70"/>
      <c r="Y618" s="70"/>
      <c r="Z618" s="70"/>
      <c r="AA618" s="938" t="s">
        <v>195</v>
      </c>
      <c r="AB618" s="2" t="s">
        <v>4</v>
      </c>
      <c r="AC618" s="299">
        <v>143392.20000000001</v>
      </c>
      <c r="AD618" s="283">
        <v>132132</v>
      </c>
      <c r="AE618" s="265">
        <v>132132.20000000001</v>
      </c>
      <c r="AH618" s="743"/>
      <c r="AI618" s="743"/>
    </row>
    <row r="619" spans="1:35" s="267" customFormat="1" x14ac:dyDescent="0.25">
      <c r="A619" s="936"/>
      <c r="B619" s="293" t="s">
        <v>5</v>
      </c>
      <c r="C619" s="300">
        <v>41815.599999999999</v>
      </c>
      <c r="D619" s="264">
        <v>78524.100000000006</v>
      </c>
      <c r="E619" s="300">
        <v>80027.3</v>
      </c>
      <c r="F619" s="307">
        <v>160942.6</v>
      </c>
      <c r="G619" s="307">
        <v>103219.7</v>
      </c>
      <c r="H619" s="307">
        <v>52145.5</v>
      </c>
      <c r="I619" s="307">
        <v>87357</v>
      </c>
      <c r="J619" s="374">
        <v>15903.5</v>
      </c>
      <c r="K619" s="264">
        <v>2.7</v>
      </c>
      <c r="L619" s="300">
        <v>160867.5</v>
      </c>
      <c r="M619" s="307">
        <v>60681.2</v>
      </c>
      <c r="N619" s="307">
        <v>52956.3</v>
      </c>
      <c r="O619" s="307">
        <v>159742.29999999999</v>
      </c>
      <c r="P619" s="374">
        <v>8053.7</v>
      </c>
      <c r="Q619" s="264">
        <v>5.4</v>
      </c>
      <c r="R619" s="319">
        <v>8116.8</v>
      </c>
      <c r="S619" s="264">
        <v>4670.6000000000004</v>
      </c>
      <c r="T619" s="70"/>
      <c r="U619" s="70"/>
      <c r="V619" s="70"/>
      <c r="W619" s="70"/>
      <c r="X619" s="70"/>
      <c r="Y619" s="70"/>
      <c r="Z619" s="70"/>
      <c r="AA619" s="939"/>
      <c r="AB619" s="342" t="s">
        <v>5</v>
      </c>
      <c r="AC619" s="300">
        <v>41815.599999999999</v>
      </c>
      <c r="AD619" s="307">
        <v>52145.5</v>
      </c>
      <c r="AE619" s="264">
        <v>60861.2</v>
      </c>
      <c r="AH619" s="743"/>
      <c r="AI619" s="743"/>
    </row>
    <row r="620" spans="1:35" s="267" customFormat="1" ht="15.75" thickBot="1" x14ac:dyDescent="0.3">
      <c r="A620" s="937"/>
      <c r="B620" s="294" t="s">
        <v>3</v>
      </c>
      <c r="C620" s="305">
        <f t="shared" ref="C620:K620" si="320">C619/C618</f>
        <v>0.29161697777145473</v>
      </c>
      <c r="D620" s="343">
        <f t="shared" si="320"/>
        <v>0.52170004743688048</v>
      </c>
      <c r="E620" s="305">
        <f t="shared" si="320"/>
        <v>0.53168703883579005</v>
      </c>
      <c r="F620" s="371">
        <f t="shared" si="320"/>
        <v>0.88431068946987279</v>
      </c>
      <c r="G620" s="278">
        <f t="shared" si="320"/>
        <v>0.62386304226288514</v>
      </c>
      <c r="H620" s="278">
        <f t="shared" si="320"/>
        <v>0.39464701964701965</v>
      </c>
      <c r="I620" s="278">
        <f t="shared" si="320"/>
        <v>0.51095347332785079</v>
      </c>
      <c r="J620" s="315">
        <f t="shared" si="320"/>
        <v>9.5759279229807218E-2</v>
      </c>
      <c r="K620" s="292">
        <f t="shared" si="320"/>
        <v>2.8407835512319535E-5</v>
      </c>
      <c r="L620" s="372">
        <f>L619/L618</f>
        <v>0.83339377392799974</v>
      </c>
      <c r="M620" s="278">
        <f>M619/M618</f>
        <v>0.45924611865994808</v>
      </c>
      <c r="N620" s="315">
        <f>N619/N618</f>
        <v>0.64013862580581993</v>
      </c>
      <c r="O620" s="278">
        <f>O619/O618</f>
        <v>0.57929067469311524</v>
      </c>
      <c r="P620" s="315">
        <f>P619/P618</f>
        <v>9.6986957935427928E-2</v>
      </c>
      <c r="Q620" s="292">
        <f t="shared" ref="Q620" si="321">Q619/Q618</f>
        <v>2.8574210399319299E-5</v>
      </c>
      <c r="R620" s="320">
        <f>R619/R618</f>
        <v>0.1471741219560842</v>
      </c>
      <c r="S620" s="292">
        <f>S619/S618</f>
        <v>0.14114625043441473</v>
      </c>
      <c r="T620" s="70"/>
      <c r="U620" s="70"/>
      <c r="V620" s="70"/>
      <c r="W620" s="70"/>
      <c r="X620" s="70"/>
      <c r="Y620" s="70"/>
      <c r="Z620" s="70"/>
      <c r="AA620" s="940"/>
      <c r="AB620" s="347" t="s">
        <v>3</v>
      </c>
      <c r="AC620" s="301">
        <f>AC619/AC618</f>
        <v>0.29161697777145473</v>
      </c>
      <c r="AD620" s="278">
        <f>AD619/AD618</f>
        <v>0.39464701964701965</v>
      </c>
      <c r="AE620" s="292">
        <f>AE619/AE618</f>
        <v>0.46060839068750836</v>
      </c>
      <c r="AH620" s="743"/>
      <c r="AI620" s="743"/>
    </row>
    <row r="621" spans="1:35" s="267" customFormat="1" ht="15" customHeight="1" x14ac:dyDescent="0.25">
      <c r="A621" s="938" t="s">
        <v>6</v>
      </c>
      <c r="B621" s="19" t="s">
        <v>7</v>
      </c>
      <c r="C621" s="297">
        <v>5870</v>
      </c>
      <c r="D621" s="266">
        <v>3333</v>
      </c>
      <c r="E621" s="297">
        <v>3330</v>
      </c>
      <c r="F621" s="277">
        <v>9457</v>
      </c>
      <c r="G621" s="357">
        <v>8428</v>
      </c>
      <c r="H621" s="277">
        <v>15703</v>
      </c>
      <c r="I621" s="277">
        <v>7403</v>
      </c>
      <c r="J621" s="286">
        <v>9599</v>
      </c>
      <c r="K621" s="266">
        <v>3593</v>
      </c>
      <c r="L621" s="297">
        <v>9289</v>
      </c>
      <c r="M621" s="277">
        <v>12295</v>
      </c>
      <c r="N621" s="357">
        <v>4354</v>
      </c>
      <c r="O621" s="277">
        <v>10027</v>
      </c>
      <c r="P621" s="286">
        <v>4799</v>
      </c>
      <c r="Q621" s="266">
        <v>7192</v>
      </c>
      <c r="R621" s="321">
        <v>2000</v>
      </c>
      <c r="S621" s="266">
        <v>1250</v>
      </c>
      <c r="T621" s="358"/>
      <c r="U621" s="126"/>
      <c r="V621" s="70"/>
      <c r="W621" s="70"/>
      <c r="X621" s="70"/>
      <c r="Y621" s="70"/>
      <c r="Z621" s="70"/>
      <c r="AA621" s="938" t="s">
        <v>191</v>
      </c>
      <c r="AB621" s="19" t="s">
        <v>4</v>
      </c>
      <c r="AC621" s="299">
        <v>9191.7999999999993</v>
      </c>
      <c r="AD621" s="283">
        <v>13787.7</v>
      </c>
      <c r="AE621" s="265">
        <v>13787.7</v>
      </c>
      <c r="AH621" s="743"/>
      <c r="AI621" s="743"/>
    </row>
    <row r="622" spans="1:35" s="267" customFormat="1" x14ac:dyDescent="0.25">
      <c r="A622" s="939"/>
      <c r="B622" s="295" t="s">
        <v>11</v>
      </c>
      <c r="C622" s="302">
        <f t="shared" ref="C622:K622" si="322">C621*33.717</f>
        <v>197918.78999999998</v>
      </c>
      <c r="D622" s="263">
        <f t="shared" si="322"/>
        <v>112378.761</v>
      </c>
      <c r="E622" s="302">
        <f t="shared" si="322"/>
        <v>112277.61</v>
      </c>
      <c r="F622" s="355">
        <f t="shared" si="322"/>
        <v>318861.66899999999</v>
      </c>
      <c r="G622" s="308">
        <f t="shared" si="322"/>
        <v>284166.87599999999</v>
      </c>
      <c r="H622" s="354">
        <f t="shared" si="322"/>
        <v>529458.05099999998</v>
      </c>
      <c r="I622" s="354">
        <f t="shared" si="322"/>
        <v>249606.951</v>
      </c>
      <c r="J622" s="355">
        <f t="shared" si="322"/>
        <v>323649.48300000001</v>
      </c>
      <c r="K622" s="263">
        <f t="shared" si="322"/>
        <v>121145.181</v>
      </c>
      <c r="L622" s="322">
        <f>L621*33.717</f>
        <v>313197.21299999999</v>
      </c>
      <c r="M622" s="308">
        <f>M621*33.717</f>
        <v>414550.51499999996</v>
      </c>
      <c r="N622" s="308">
        <f>N621*33.717</f>
        <v>146803.818</v>
      </c>
      <c r="O622" s="354">
        <f>O621*33.717</f>
        <v>338080.359</v>
      </c>
      <c r="P622" s="355">
        <f>P621*33.717</f>
        <v>161807.883</v>
      </c>
      <c r="Q622" s="263">
        <f t="shared" ref="Q622" si="323">Q621*33.717</f>
        <v>242492.66399999999</v>
      </c>
      <c r="R622" s="302">
        <f>R621*33.717</f>
        <v>67434</v>
      </c>
      <c r="S622" s="354">
        <f>S621*33.717</f>
        <v>42146.25</v>
      </c>
      <c r="T622" s="70"/>
      <c r="U622" s="70"/>
      <c r="V622" s="70"/>
      <c r="W622" s="70"/>
      <c r="X622" s="70"/>
      <c r="Y622" s="70"/>
      <c r="Z622" s="70"/>
      <c r="AA622" s="939"/>
      <c r="AB622" s="293" t="s">
        <v>5</v>
      </c>
      <c r="AC622" s="300">
        <v>8299.9</v>
      </c>
      <c r="AD622" s="307">
        <v>13646.7</v>
      </c>
      <c r="AE622" s="264">
        <v>13649.1</v>
      </c>
      <c r="AH622" s="743"/>
      <c r="AI622" s="743"/>
    </row>
    <row r="623" spans="1:35" s="267" customFormat="1" ht="15.75" thickBot="1" x14ac:dyDescent="0.3">
      <c r="A623" s="939"/>
      <c r="B623" s="295" t="s">
        <v>79</v>
      </c>
      <c r="C623" s="302">
        <v>164000</v>
      </c>
      <c r="D623" s="263">
        <v>109880</v>
      </c>
      <c r="E623" s="302">
        <v>109880</v>
      </c>
      <c r="F623" s="308">
        <v>328000</v>
      </c>
      <c r="G623" s="308">
        <v>330905</v>
      </c>
      <c r="H623" s="308">
        <v>264264</v>
      </c>
      <c r="I623" s="308">
        <v>242663.6</v>
      </c>
      <c r="J623" s="375">
        <v>328000</v>
      </c>
      <c r="K623" s="263">
        <v>328000</v>
      </c>
      <c r="L623" s="302">
        <v>328000</v>
      </c>
      <c r="M623" s="308">
        <v>264264.40000000002</v>
      </c>
      <c r="N623" s="308">
        <v>328000</v>
      </c>
      <c r="O623" s="308">
        <v>352965.4</v>
      </c>
      <c r="P623" s="375">
        <v>328000</v>
      </c>
      <c r="Q623" s="263">
        <v>328000</v>
      </c>
      <c r="R623" s="322">
        <f>2*R618</f>
        <v>110302</v>
      </c>
      <c r="S623" s="263">
        <f>2*S618</f>
        <v>66181</v>
      </c>
      <c r="T623" s="70"/>
      <c r="U623" s="70"/>
      <c r="V623" s="70"/>
      <c r="W623" s="70"/>
      <c r="X623" s="70"/>
      <c r="Y623" s="70"/>
      <c r="Z623" s="70"/>
      <c r="AA623" s="940"/>
      <c r="AB623" s="344" t="s">
        <v>3</v>
      </c>
      <c r="AC623" s="301">
        <f>AC622/AC621</f>
        <v>0.90296786266019713</v>
      </c>
      <c r="AD623" s="249">
        <f>AD622/AD621</f>
        <v>0.98977349376618295</v>
      </c>
      <c r="AE623" s="348">
        <f>AE622/AE621</f>
        <v>0.98994756195739675</v>
      </c>
      <c r="AH623" s="743"/>
      <c r="AI623" s="743"/>
    </row>
    <row r="624" spans="1:35" s="267" customFormat="1" ht="15" customHeight="1" x14ac:dyDescent="0.25">
      <c r="A624" s="939"/>
      <c r="B624" s="293" t="s">
        <v>8</v>
      </c>
      <c r="C624" s="303">
        <f>SUM(C621-531)</f>
        <v>5339</v>
      </c>
      <c r="D624" s="262">
        <f>SUM(D621-650)</f>
        <v>2683</v>
      </c>
      <c r="E624" s="303">
        <f>SUM(E621-616)</f>
        <v>2714</v>
      </c>
      <c r="F624" s="309">
        <f>SUM(F621-1211)</f>
        <v>8246</v>
      </c>
      <c r="G624" s="309">
        <f>SUM(G621-4559)</f>
        <v>3869</v>
      </c>
      <c r="H624" s="309">
        <f>SUM(H621-2079)</f>
        <v>13624</v>
      </c>
      <c r="I624" s="309">
        <f>SUM(I621-(3249-2000))</f>
        <v>6154</v>
      </c>
      <c r="J624" s="316">
        <f>SUM(J621-9172)</f>
        <v>427</v>
      </c>
      <c r="K624" s="262">
        <f>SUM(K621-3504)</f>
        <v>89</v>
      </c>
      <c r="L624" s="303">
        <f>SUM(L621-909)</f>
        <v>8380</v>
      </c>
      <c r="M624" s="309">
        <f>SUM(M621-1185)</f>
        <v>11110</v>
      </c>
      <c r="N624" s="316">
        <f>SUM(N621-338)</f>
        <v>4016</v>
      </c>
      <c r="O624" s="309">
        <f>SUM(O621-(5201-2614))</f>
        <v>7440</v>
      </c>
      <c r="P624" s="316">
        <f>SUM(P621-3930)</f>
        <v>869</v>
      </c>
      <c r="Q624" s="262">
        <f>SUM(Q621-7032)</f>
        <v>160</v>
      </c>
      <c r="R624" s="323">
        <f>SUM(R621-1033)</f>
        <v>967</v>
      </c>
      <c r="S624" s="262">
        <f>SUM(S621-752)</f>
        <v>498</v>
      </c>
      <c r="T624" s="12"/>
      <c r="U624" s="70"/>
      <c r="V624" s="70"/>
      <c r="W624" s="70"/>
      <c r="X624" s="70"/>
      <c r="Y624" s="70"/>
      <c r="Z624" s="70"/>
      <c r="AA624" s="938" t="s">
        <v>192</v>
      </c>
      <c r="AB624" s="19" t="s">
        <v>4</v>
      </c>
      <c r="AC624" s="299">
        <v>97433.600000000006</v>
      </c>
      <c r="AD624" s="283">
        <v>243584.4</v>
      </c>
      <c r="AE624" s="265">
        <v>292299.3</v>
      </c>
      <c r="AH624" s="743"/>
      <c r="AI624" s="743"/>
    </row>
    <row r="625" spans="1:35" s="267" customFormat="1" x14ac:dyDescent="0.25">
      <c r="A625" s="939"/>
      <c r="B625" s="296" t="s">
        <v>77</v>
      </c>
      <c r="C625" s="302">
        <f>(C624*33.717)</f>
        <v>180015.06299999999</v>
      </c>
      <c r="D625" s="338">
        <f>(D624*33.717)</f>
        <v>90462.710999999996</v>
      </c>
      <c r="E625" s="302">
        <f>(E624*33.717)</f>
        <v>91507.937999999995</v>
      </c>
      <c r="F625" s="338">
        <f>(F624*33.717)</f>
        <v>278030.38199999998</v>
      </c>
      <c r="G625" s="280">
        <f>(G624*33.717)*2</f>
        <v>260902.14599999998</v>
      </c>
      <c r="H625" s="280">
        <f>(H624*33.717)</f>
        <v>459360.408</v>
      </c>
      <c r="I625" s="280">
        <f>(I624*33.717)-(2000*33.717)</f>
        <v>140060.41800000001</v>
      </c>
      <c r="J625" s="376">
        <f>J624*33.717</f>
        <v>14397.159</v>
      </c>
      <c r="K625" s="261">
        <f>K624*33.717</f>
        <v>3000.8130000000001</v>
      </c>
      <c r="L625" s="304">
        <f>L624*33.717</f>
        <v>282548.45999999996</v>
      </c>
      <c r="M625" s="280">
        <f>M624*33.717</f>
        <v>374595.87</v>
      </c>
      <c r="N625" s="280">
        <f>(N624*33.717)</f>
        <v>135407.47200000001</v>
      </c>
      <c r="O625" s="280">
        <f>O624*33.717</f>
        <v>250854.47999999998</v>
      </c>
      <c r="P625" s="376">
        <f>P624*33.717</f>
        <v>29300.073</v>
      </c>
      <c r="Q625" s="261">
        <f>Q624*33.717</f>
        <v>5394.7199999999993</v>
      </c>
      <c r="R625" s="324">
        <f>R624*33.717</f>
        <v>32604.339</v>
      </c>
      <c r="S625" s="325">
        <f>S624*33.717</f>
        <v>16791.065999999999</v>
      </c>
      <c r="T625" s="63"/>
      <c r="U625" s="70" t="s">
        <v>177</v>
      </c>
      <c r="V625" s="70"/>
      <c r="W625" s="70"/>
      <c r="X625" s="70"/>
      <c r="Y625" s="70"/>
      <c r="Z625" s="70"/>
      <c r="AA625" s="939"/>
      <c r="AB625" s="293" t="s">
        <v>5</v>
      </c>
      <c r="AC625" s="300">
        <v>38973.199999999997</v>
      </c>
      <c r="AD625" s="307">
        <v>98820.2</v>
      </c>
      <c r="AE625" s="264">
        <v>85901.5</v>
      </c>
      <c r="AH625" s="743"/>
      <c r="AI625" s="743"/>
    </row>
    <row r="626" spans="1:35" s="267" customFormat="1" ht="15.75" thickBot="1" x14ac:dyDescent="0.3">
      <c r="A626" s="940"/>
      <c r="B626" s="294" t="s">
        <v>10</v>
      </c>
      <c r="C626" s="305">
        <f t="shared" ref="C626:K626" si="324">C625/C618</f>
        <v>1.2554034529074802</v>
      </c>
      <c r="D626" s="292">
        <f t="shared" si="324"/>
        <v>0.60101803930218622</v>
      </c>
      <c r="E626" s="310">
        <f t="shared" si="324"/>
        <v>0.60796234016628159</v>
      </c>
      <c r="F626" s="282">
        <f t="shared" si="324"/>
        <v>1.5276579277331923</v>
      </c>
      <c r="G626" s="282">
        <f t="shared" si="324"/>
        <v>1.5769005968480378</v>
      </c>
      <c r="H626" s="282">
        <f t="shared" si="324"/>
        <v>3.4765265643447463</v>
      </c>
      <c r="I626" s="282">
        <f t="shared" si="324"/>
        <v>0.81921720128725395</v>
      </c>
      <c r="J626" s="377">
        <f t="shared" si="324"/>
        <v>8.6689192240508819E-2</v>
      </c>
      <c r="K626" s="311">
        <f t="shared" si="324"/>
        <v>3.1572815595270413E-2</v>
      </c>
      <c r="L626" s="310">
        <f>L625/L618</f>
        <v>1.4637768809544778</v>
      </c>
      <c r="M626" s="282">
        <f>M625/M618</f>
        <v>2.8350081963366986</v>
      </c>
      <c r="N626" s="282">
        <f>N625/N618</f>
        <v>1.6368128636237811</v>
      </c>
      <c r="O626" s="260">
        <f>O625/O618</f>
        <v>0.90970056753277362</v>
      </c>
      <c r="P626" s="377">
        <f>P625/P618</f>
        <v>0.35284713207047291</v>
      </c>
      <c r="Q626" s="311">
        <f t="shared" ref="Q626" si="325">Q625/Q618</f>
        <v>2.8546271171373292E-2</v>
      </c>
      <c r="R626" s="305">
        <f>R625/R618</f>
        <v>0.59118309731464525</v>
      </c>
      <c r="S626" s="292">
        <f>S625/S618</f>
        <v>0.50742859733156043</v>
      </c>
      <c r="T626" s="126"/>
      <c r="U626" s="70"/>
      <c r="V626" s="70"/>
      <c r="W626" s="70"/>
      <c r="X626" s="70"/>
      <c r="Y626" s="70"/>
      <c r="Z626" s="70"/>
      <c r="AA626" s="940"/>
      <c r="AB626" s="294" t="s">
        <v>3</v>
      </c>
      <c r="AC626" s="305">
        <f>AC625/AC624</f>
        <v>0.39999753678402516</v>
      </c>
      <c r="AD626" s="278">
        <f>AD625/AD624</f>
        <v>0.40569182591331793</v>
      </c>
      <c r="AE626" s="343">
        <f>AE625/AE624</f>
        <v>0.29388199013819055</v>
      </c>
      <c r="AH626" s="743"/>
      <c r="AI626" s="743"/>
    </row>
    <row r="627" spans="1:35" s="267" customFormat="1" ht="15.75" thickBot="1" x14ac:dyDescent="0.3">
      <c r="A627" s="924">
        <v>41428</v>
      </c>
      <c r="B627" s="924"/>
      <c r="C627" s="924"/>
      <c r="D627" s="276"/>
      <c r="E627" s="276"/>
      <c r="F627" s="276"/>
      <c r="G627" s="276"/>
      <c r="H627" s="276"/>
      <c r="I627" s="11"/>
      <c r="J627" s="281"/>
      <c r="K627" s="281"/>
      <c r="L627" s="276"/>
      <c r="M627" s="276"/>
      <c r="N627" s="13"/>
      <c r="R627" s="12"/>
      <c r="S627" s="70"/>
      <c r="T627" s="70"/>
      <c r="U627" s="70"/>
      <c r="V627" s="70"/>
      <c r="W627" s="70"/>
      <c r="X627" s="70"/>
      <c r="Y627" s="70"/>
      <c r="Z627" s="70"/>
      <c r="AA627" s="941"/>
      <c r="AB627" s="942"/>
      <c r="AH627" s="743"/>
      <c r="AI627" s="743"/>
    </row>
    <row r="628" spans="1:35" s="267" customFormat="1" x14ac:dyDescent="0.25">
      <c r="A628" s="925" t="s">
        <v>1</v>
      </c>
      <c r="B628" s="926"/>
      <c r="C628" s="297" t="s">
        <v>12</v>
      </c>
      <c r="D628" s="266" t="s">
        <v>12</v>
      </c>
      <c r="E628" s="297" t="s">
        <v>13</v>
      </c>
      <c r="F628" s="277" t="s">
        <v>13</v>
      </c>
      <c r="G628" s="277" t="s">
        <v>13</v>
      </c>
      <c r="H628" s="277" t="s">
        <v>13</v>
      </c>
      <c r="I628" s="277" t="s">
        <v>13</v>
      </c>
      <c r="J628" s="286" t="s">
        <v>13</v>
      </c>
      <c r="K628" s="266" t="s">
        <v>13</v>
      </c>
      <c r="L628" s="297" t="s">
        <v>2</v>
      </c>
      <c r="M628" s="277" t="s">
        <v>2</v>
      </c>
      <c r="N628" s="286" t="s">
        <v>2</v>
      </c>
      <c r="O628" s="277" t="s">
        <v>2</v>
      </c>
      <c r="P628" s="286" t="s">
        <v>2</v>
      </c>
      <c r="Q628" s="266" t="s">
        <v>2</v>
      </c>
      <c r="R628" s="328" t="s">
        <v>183</v>
      </c>
      <c r="S628" s="327" t="s">
        <v>183</v>
      </c>
      <c r="T628" s="12"/>
      <c r="U628" s="70"/>
      <c r="V628" s="70"/>
      <c r="W628" s="70"/>
      <c r="X628" s="70"/>
      <c r="Y628" s="70"/>
      <c r="Z628" s="70"/>
      <c r="AA628" s="925" t="s">
        <v>1</v>
      </c>
      <c r="AB628" s="926"/>
      <c r="AC628" s="297" t="s">
        <v>12</v>
      </c>
      <c r="AD628" s="277" t="s">
        <v>13</v>
      </c>
      <c r="AE628" s="266" t="s">
        <v>2</v>
      </c>
      <c r="AH628" s="743"/>
      <c r="AI628" s="743"/>
    </row>
    <row r="629" spans="1:35" s="267" customFormat="1" ht="15.75" thickBot="1" x14ac:dyDescent="0.3">
      <c r="A629" s="931" t="s">
        <v>0</v>
      </c>
      <c r="B629" s="944"/>
      <c r="C629" s="298" t="s">
        <v>99</v>
      </c>
      <c r="D629" s="291" t="s">
        <v>100</v>
      </c>
      <c r="E629" s="298" t="s">
        <v>101</v>
      </c>
      <c r="F629" s="306" t="s">
        <v>102</v>
      </c>
      <c r="G629" s="306" t="s">
        <v>97</v>
      </c>
      <c r="H629" s="306" t="s">
        <v>104</v>
      </c>
      <c r="I629" s="306" t="s">
        <v>103</v>
      </c>
      <c r="J629" s="378" t="s">
        <v>178</v>
      </c>
      <c r="K629" s="314" t="s">
        <v>200</v>
      </c>
      <c r="L629" s="298" t="s">
        <v>105</v>
      </c>
      <c r="M629" s="306" t="s">
        <v>107</v>
      </c>
      <c r="N629" s="312" t="s">
        <v>98</v>
      </c>
      <c r="O629" s="313" t="s">
        <v>106</v>
      </c>
      <c r="P629" s="312" t="s">
        <v>179</v>
      </c>
      <c r="Q629" s="291" t="s">
        <v>199</v>
      </c>
      <c r="R629" s="317" t="s">
        <v>182</v>
      </c>
      <c r="S629" s="291" t="s">
        <v>184</v>
      </c>
      <c r="T629" s="12"/>
      <c r="U629" s="12"/>
      <c r="V629" s="12"/>
      <c r="W629" s="12"/>
      <c r="X629" s="12"/>
      <c r="Y629" s="12"/>
      <c r="Z629" s="12"/>
      <c r="AA629" s="931" t="s">
        <v>0</v>
      </c>
      <c r="AB629" s="944"/>
      <c r="AC629" s="298" t="s">
        <v>99</v>
      </c>
      <c r="AD629" s="306" t="s">
        <v>104</v>
      </c>
      <c r="AE629" s="291" t="s">
        <v>107</v>
      </c>
      <c r="AH629" s="743"/>
      <c r="AI629" s="743"/>
    </row>
    <row r="630" spans="1:35" s="267" customFormat="1" ht="15" customHeight="1" x14ac:dyDescent="0.25">
      <c r="A630" s="935" t="s">
        <v>9</v>
      </c>
      <c r="B630" s="19" t="s">
        <v>4</v>
      </c>
      <c r="C630" s="299">
        <v>143392.20000000001</v>
      </c>
      <c r="D630" s="265">
        <v>150515.79999999999</v>
      </c>
      <c r="E630" s="299">
        <v>150515.79999999999</v>
      </c>
      <c r="F630" s="283">
        <v>181997.8</v>
      </c>
      <c r="G630" s="283">
        <v>165452.5</v>
      </c>
      <c r="H630" s="283">
        <v>132132</v>
      </c>
      <c r="I630" s="368">
        <v>170968.6</v>
      </c>
      <c r="J630" s="223">
        <v>166077.9</v>
      </c>
      <c r="K630" s="265">
        <v>95044.2</v>
      </c>
      <c r="L630" s="299">
        <v>193027</v>
      </c>
      <c r="M630" s="283">
        <v>132132.20000000001</v>
      </c>
      <c r="N630" s="283">
        <v>82726.3</v>
      </c>
      <c r="O630" s="283">
        <v>275755</v>
      </c>
      <c r="P630" s="223">
        <v>83039</v>
      </c>
      <c r="Q630" s="265">
        <v>191818.2</v>
      </c>
      <c r="R630" s="318">
        <v>55151</v>
      </c>
      <c r="S630" s="265">
        <v>33090.5</v>
      </c>
      <c r="T630" s="70"/>
      <c r="U630" s="70"/>
      <c r="V630" s="70"/>
      <c r="W630" s="70"/>
      <c r="X630" s="70"/>
      <c r="Y630" s="70"/>
      <c r="Z630" s="70"/>
      <c r="AA630" s="938" t="s">
        <v>195</v>
      </c>
      <c r="AB630" s="2" t="s">
        <v>4</v>
      </c>
      <c r="AC630" s="299">
        <v>143392.20000000001</v>
      </c>
      <c r="AD630" s="283">
        <v>132132</v>
      </c>
      <c r="AE630" s="265">
        <v>132132.20000000001</v>
      </c>
      <c r="AH630" s="743"/>
      <c r="AI630" s="743"/>
    </row>
    <row r="631" spans="1:35" s="267" customFormat="1" x14ac:dyDescent="0.25">
      <c r="A631" s="936"/>
      <c r="B631" s="293" t="s">
        <v>5</v>
      </c>
      <c r="C631" s="300">
        <v>41390</v>
      </c>
      <c r="D631" s="264">
        <v>78520</v>
      </c>
      <c r="E631" s="300">
        <v>80023.3</v>
      </c>
      <c r="F631" s="307">
        <v>160905.4</v>
      </c>
      <c r="G631" s="307">
        <v>103032.9</v>
      </c>
      <c r="H631" s="307">
        <v>53612.800000000003</v>
      </c>
      <c r="I631" s="307">
        <v>87082</v>
      </c>
      <c r="J631" s="374">
        <v>15883.8</v>
      </c>
      <c r="K631" s="264">
        <v>2.7</v>
      </c>
      <c r="L631" s="300">
        <v>160821.4</v>
      </c>
      <c r="M631" s="307">
        <v>61608.7</v>
      </c>
      <c r="N631" s="307">
        <v>52880.7</v>
      </c>
      <c r="O631" s="307">
        <v>159452.5</v>
      </c>
      <c r="P631" s="374">
        <v>8043.9</v>
      </c>
      <c r="Q631" s="264">
        <v>5.4</v>
      </c>
      <c r="R631" s="319">
        <v>8039.2</v>
      </c>
      <c r="S631" s="264">
        <v>4660.6000000000004</v>
      </c>
      <c r="T631" s="70"/>
      <c r="U631" s="70"/>
      <c r="V631" s="70"/>
      <c r="W631" s="70"/>
      <c r="X631" s="70"/>
      <c r="Y631" s="70"/>
      <c r="Z631" s="70"/>
      <c r="AA631" s="939"/>
      <c r="AB631" s="342" t="s">
        <v>5</v>
      </c>
      <c r="AC631" s="300">
        <v>41390</v>
      </c>
      <c r="AD631" s="307">
        <v>53612.800000000003</v>
      </c>
      <c r="AE631" s="264">
        <v>61608.7</v>
      </c>
      <c r="AH631" s="743"/>
      <c r="AI631" s="743"/>
    </row>
    <row r="632" spans="1:35" s="267" customFormat="1" ht="15.75" thickBot="1" x14ac:dyDescent="0.3">
      <c r="A632" s="937"/>
      <c r="B632" s="294" t="s">
        <v>3</v>
      </c>
      <c r="C632" s="305">
        <f t="shared" ref="C632:K632" si="326">C631/C630</f>
        <v>0.28864889443079889</v>
      </c>
      <c r="D632" s="343">
        <f t="shared" si="326"/>
        <v>0.52167280777167579</v>
      </c>
      <c r="E632" s="305">
        <f t="shared" si="326"/>
        <v>0.53166046355266361</v>
      </c>
      <c r="F632" s="371">
        <f t="shared" si="326"/>
        <v>0.88410629139473118</v>
      </c>
      <c r="G632" s="278">
        <f t="shared" si="326"/>
        <v>0.62273401731614808</v>
      </c>
      <c r="H632" s="278">
        <f t="shared" si="326"/>
        <v>0.40575182393364212</v>
      </c>
      <c r="I632" s="278">
        <f t="shared" si="326"/>
        <v>0.5093449908345743</v>
      </c>
      <c r="J632" s="315">
        <f t="shared" si="326"/>
        <v>9.5640660196209121E-2</v>
      </c>
      <c r="K632" s="292">
        <f t="shared" si="326"/>
        <v>2.8407835512319535E-5</v>
      </c>
      <c r="L632" s="372">
        <f>L631/L630</f>
        <v>0.83315494723536088</v>
      </c>
      <c r="M632" s="278">
        <f>M631/M630</f>
        <v>0.46626560369084896</v>
      </c>
      <c r="N632" s="315">
        <f>N631/N630</f>
        <v>0.63922476890662339</v>
      </c>
      <c r="O632" s="278">
        <f>O631/O630</f>
        <v>0.57823974179978599</v>
      </c>
      <c r="P632" s="315">
        <f>P631/P630</f>
        <v>9.6868941099965078E-2</v>
      </c>
      <c r="Q632" s="292">
        <f t="shared" ref="Q632" si="327">Q631/Q630</f>
        <v>2.8151656099369091E-5</v>
      </c>
      <c r="R632" s="320">
        <f>R631/R630</f>
        <v>0.14576707584631285</v>
      </c>
      <c r="S632" s="292">
        <f>S631/S630</f>
        <v>0.14084404889620888</v>
      </c>
      <c r="T632" s="70"/>
      <c r="U632" s="70"/>
      <c r="V632" s="70"/>
      <c r="W632" s="70"/>
      <c r="X632" s="70"/>
      <c r="Y632" s="70"/>
      <c r="Z632" s="70"/>
      <c r="AA632" s="940"/>
      <c r="AB632" s="347" t="s">
        <v>3</v>
      </c>
      <c r="AC632" s="301">
        <f>AC631/AC630</f>
        <v>0.28864889443079889</v>
      </c>
      <c r="AD632" s="278">
        <f>AD631/AD630</f>
        <v>0.40575182393364212</v>
      </c>
      <c r="AE632" s="292">
        <f>AE631/AE630</f>
        <v>0.46626560369084896</v>
      </c>
      <c r="AH632" s="743"/>
      <c r="AI632" s="743"/>
    </row>
    <row r="633" spans="1:35" s="267" customFormat="1" ht="15" customHeight="1" x14ac:dyDescent="0.25">
      <c r="A633" s="938" t="s">
        <v>6</v>
      </c>
      <c r="B633" s="19" t="s">
        <v>7</v>
      </c>
      <c r="C633" s="297">
        <v>5870</v>
      </c>
      <c r="D633" s="266">
        <v>3333</v>
      </c>
      <c r="E633" s="297">
        <v>3330</v>
      </c>
      <c r="F633" s="277">
        <v>9457</v>
      </c>
      <c r="G633" s="357">
        <v>8428</v>
      </c>
      <c r="H633" s="277">
        <v>15703</v>
      </c>
      <c r="I633" s="277">
        <v>7403</v>
      </c>
      <c r="J633" s="286">
        <v>9599</v>
      </c>
      <c r="K633" s="266">
        <v>3522</v>
      </c>
      <c r="L633" s="297">
        <v>9289</v>
      </c>
      <c r="M633" s="277">
        <v>12295</v>
      </c>
      <c r="N633" s="357">
        <v>4354</v>
      </c>
      <c r="O633" s="277">
        <v>10027</v>
      </c>
      <c r="P633" s="286">
        <v>4799</v>
      </c>
      <c r="Q633" s="266">
        <v>7200</v>
      </c>
      <c r="R633" s="321">
        <v>2000</v>
      </c>
      <c r="S633" s="266">
        <v>1250</v>
      </c>
      <c r="T633" s="358"/>
      <c r="U633" s="126"/>
      <c r="V633" s="70"/>
      <c r="W633" s="70"/>
      <c r="X633" s="70"/>
      <c r="Y633" s="70"/>
      <c r="Z633" s="70"/>
      <c r="AA633" s="938" t="s">
        <v>191</v>
      </c>
      <c r="AB633" s="19" t="s">
        <v>4</v>
      </c>
      <c r="AC633" s="299">
        <v>9191.7999999999993</v>
      </c>
      <c r="AD633" s="283">
        <v>13787.7</v>
      </c>
      <c r="AE633" s="265">
        <v>13787.7</v>
      </c>
      <c r="AH633" s="743"/>
      <c r="AI633" s="743"/>
    </row>
    <row r="634" spans="1:35" s="267" customFormat="1" x14ac:dyDescent="0.25">
      <c r="A634" s="939"/>
      <c r="B634" s="295" t="s">
        <v>11</v>
      </c>
      <c r="C634" s="302">
        <f t="shared" ref="C634:K634" si="328">C633*33.717</f>
        <v>197918.78999999998</v>
      </c>
      <c r="D634" s="263">
        <f t="shared" si="328"/>
        <v>112378.761</v>
      </c>
      <c r="E634" s="302">
        <f t="shared" si="328"/>
        <v>112277.61</v>
      </c>
      <c r="F634" s="355">
        <f t="shared" si="328"/>
        <v>318861.66899999999</v>
      </c>
      <c r="G634" s="308">
        <f t="shared" si="328"/>
        <v>284166.87599999999</v>
      </c>
      <c r="H634" s="354">
        <f t="shared" si="328"/>
        <v>529458.05099999998</v>
      </c>
      <c r="I634" s="354">
        <f t="shared" si="328"/>
        <v>249606.951</v>
      </c>
      <c r="J634" s="355">
        <f t="shared" si="328"/>
        <v>323649.48300000001</v>
      </c>
      <c r="K634" s="263">
        <f t="shared" si="328"/>
        <v>118751.27399999999</v>
      </c>
      <c r="L634" s="322">
        <f>L633*33.717</f>
        <v>313197.21299999999</v>
      </c>
      <c r="M634" s="308">
        <f>M633*33.717</f>
        <v>414550.51499999996</v>
      </c>
      <c r="N634" s="308">
        <f>N633*33.717</f>
        <v>146803.818</v>
      </c>
      <c r="O634" s="354">
        <f>O633*33.717</f>
        <v>338080.359</v>
      </c>
      <c r="P634" s="355">
        <f>P633*33.717</f>
        <v>161807.883</v>
      </c>
      <c r="Q634" s="263">
        <f t="shared" ref="Q634" si="329">Q633*33.717</f>
        <v>242762.4</v>
      </c>
      <c r="R634" s="302">
        <f>R633*33.717</f>
        <v>67434</v>
      </c>
      <c r="S634" s="354">
        <f>S633*33.717</f>
        <v>42146.25</v>
      </c>
      <c r="T634" s="70"/>
      <c r="U634" s="70"/>
      <c r="V634" s="70"/>
      <c r="W634" s="70"/>
      <c r="X634" s="70"/>
      <c r="Y634" s="70"/>
      <c r="Z634" s="70"/>
      <c r="AA634" s="939"/>
      <c r="AB634" s="293" t="s">
        <v>5</v>
      </c>
      <c r="AC634" s="300">
        <v>8676.2999999999993</v>
      </c>
      <c r="AD634" s="307">
        <v>13648.2</v>
      </c>
      <c r="AE634" s="264">
        <v>13648.4</v>
      </c>
      <c r="AH634" s="743"/>
      <c r="AI634" s="743"/>
    </row>
    <row r="635" spans="1:35" s="267" customFormat="1" ht="15.75" thickBot="1" x14ac:dyDescent="0.3">
      <c r="A635" s="939"/>
      <c r="B635" s="295" t="s">
        <v>79</v>
      </c>
      <c r="C635" s="302">
        <v>164000</v>
      </c>
      <c r="D635" s="263">
        <v>109880</v>
      </c>
      <c r="E635" s="302">
        <v>109880</v>
      </c>
      <c r="F635" s="308">
        <v>328000</v>
      </c>
      <c r="G635" s="308">
        <v>330905</v>
      </c>
      <c r="H635" s="308">
        <v>264264</v>
      </c>
      <c r="I635" s="308">
        <v>242663.6</v>
      </c>
      <c r="J635" s="375">
        <v>328000</v>
      </c>
      <c r="K635" s="263">
        <v>328000</v>
      </c>
      <c r="L635" s="302">
        <v>328000</v>
      </c>
      <c r="M635" s="308">
        <v>264264.40000000002</v>
      </c>
      <c r="N635" s="308">
        <v>328000</v>
      </c>
      <c r="O635" s="308">
        <v>352965.4</v>
      </c>
      <c r="P635" s="375">
        <v>328000</v>
      </c>
      <c r="Q635" s="263">
        <v>328000</v>
      </c>
      <c r="R635" s="322">
        <f>2*R630</f>
        <v>110302</v>
      </c>
      <c r="S635" s="263">
        <f>2*S630</f>
        <v>66181</v>
      </c>
      <c r="T635" s="70"/>
      <c r="U635" s="70"/>
      <c r="V635" s="70"/>
      <c r="W635" s="70"/>
      <c r="X635" s="70"/>
      <c r="Y635" s="70"/>
      <c r="Z635" s="70"/>
      <c r="AA635" s="940"/>
      <c r="AB635" s="344" t="s">
        <v>3</v>
      </c>
      <c r="AC635" s="301">
        <f>AC634/AC633</f>
        <v>0.94391740464326901</v>
      </c>
      <c r="AD635" s="249">
        <f>AD634/AD633</f>
        <v>0.98988228638569165</v>
      </c>
      <c r="AE635" s="348">
        <f>AE634/AE633</f>
        <v>0.98989679206829273</v>
      </c>
      <c r="AH635" s="743"/>
      <c r="AI635" s="743"/>
    </row>
    <row r="636" spans="1:35" s="267" customFormat="1" ht="15" customHeight="1" x14ac:dyDescent="0.25">
      <c r="A636" s="939"/>
      <c r="B636" s="293" t="s">
        <v>8</v>
      </c>
      <c r="C636" s="303">
        <f>SUM(C633-531)</f>
        <v>5339</v>
      </c>
      <c r="D636" s="262">
        <f>SUM(D633-650)</f>
        <v>2683</v>
      </c>
      <c r="E636" s="303">
        <f>SUM(E633-616)</f>
        <v>2714</v>
      </c>
      <c r="F636" s="309">
        <f>SUM(F633-1211)</f>
        <v>8246</v>
      </c>
      <c r="G636" s="309">
        <f>SUM(G633-4580)</f>
        <v>3848</v>
      </c>
      <c r="H636" s="309">
        <f>SUM(H633-2081)</f>
        <v>13622</v>
      </c>
      <c r="I636" s="309">
        <f>SUM(I633-(3272-2000))</f>
        <v>6131</v>
      </c>
      <c r="J636" s="316">
        <f>SUM(J633-9219)</f>
        <v>380</v>
      </c>
      <c r="K636" s="262">
        <f>SUM(K633-3522)</f>
        <v>0</v>
      </c>
      <c r="L636" s="303">
        <f>SUM(L633-909)</f>
        <v>8380</v>
      </c>
      <c r="M636" s="309">
        <f>SUM(M633-1185)</f>
        <v>11110</v>
      </c>
      <c r="N636" s="316">
        <f>SUM(N633-359)</f>
        <v>3995</v>
      </c>
      <c r="O636" s="309">
        <f>SUM(O633-(5224-2614))</f>
        <v>7417</v>
      </c>
      <c r="P636" s="316">
        <f>SUM(P633-3943)</f>
        <v>856</v>
      </c>
      <c r="Q636" s="262">
        <f>SUM(Q633-7200)</f>
        <v>0</v>
      </c>
      <c r="R636" s="323">
        <f>SUM(R633-1033)</f>
        <v>967</v>
      </c>
      <c r="S636" s="262">
        <f>SUM(S633-752)</f>
        <v>498</v>
      </c>
      <c r="T636" s="12"/>
      <c r="U636" s="70"/>
      <c r="V636" s="70"/>
      <c r="W636" s="70"/>
      <c r="X636" s="70"/>
      <c r="Y636" s="70"/>
      <c r="Z636" s="70"/>
      <c r="AA636" s="938" t="s">
        <v>192</v>
      </c>
      <c r="AB636" s="19" t="s">
        <v>4</v>
      </c>
      <c r="AC636" s="299">
        <v>97433.600000000006</v>
      </c>
      <c r="AD636" s="283">
        <v>243584.4</v>
      </c>
      <c r="AE636" s="265">
        <v>292299.3</v>
      </c>
      <c r="AH636" s="743"/>
      <c r="AI636" s="743"/>
    </row>
    <row r="637" spans="1:35" s="267" customFormat="1" x14ac:dyDescent="0.25">
      <c r="A637" s="939"/>
      <c r="B637" s="296" t="s">
        <v>77</v>
      </c>
      <c r="C637" s="302">
        <f>(C636*33.717)</f>
        <v>180015.06299999999</v>
      </c>
      <c r="D637" s="338">
        <f>(D636*33.717)</f>
        <v>90462.710999999996</v>
      </c>
      <c r="E637" s="302">
        <f>(E636*33.717)</f>
        <v>91507.937999999995</v>
      </c>
      <c r="F637" s="338">
        <f>(F636*33.717)</f>
        <v>278030.38199999998</v>
      </c>
      <c r="G637" s="280">
        <f>(G636*33.717)*2</f>
        <v>259486.03199999998</v>
      </c>
      <c r="H637" s="280">
        <f>(H636*33.717)</f>
        <v>459292.97399999999</v>
      </c>
      <c r="I637" s="280">
        <f>(I636*33.717)-(2000*33.717)</f>
        <v>139284.927</v>
      </c>
      <c r="J637" s="376">
        <f>J636*33.717</f>
        <v>12812.46</v>
      </c>
      <c r="K637" s="261">
        <f>K636*33.717</f>
        <v>0</v>
      </c>
      <c r="L637" s="304">
        <f>L636*33.717</f>
        <v>282548.45999999996</v>
      </c>
      <c r="M637" s="280">
        <f>M636*33.717</f>
        <v>374595.87</v>
      </c>
      <c r="N637" s="280">
        <f>(N636*33.717)</f>
        <v>134699.41500000001</v>
      </c>
      <c r="O637" s="280">
        <f>O636*33.717</f>
        <v>250078.989</v>
      </c>
      <c r="P637" s="376">
        <f>P636*33.717</f>
        <v>28861.752</v>
      </c>
      <c r="Q637" s="261">
        <f>Q636*33.717</f>
        <v>0</v>
      </c>
      <c r="R637" s="324">
        <f>R636*33.717</f>
        <v>32604.339</v>
      </c>
      <c r="S637" s="325">
        <f>S636*33.717</f>
        <v>16791.065999999999</v>
      </c>
      <c r="T637" s="63"/>
      <c r="U637" s="70" t="s">
        <v>177</v>
      </c>
      <c r="V637" s="70"/>
      <c r="W637" s="70"/>
      <c r="X637" s="70"/>
      <c r="Y637" s="70"/>
      <c r="Z637" s="70"/>
      <c r="AA637" s="939"/>
      <c r="AB637" s="293" t="s">
        <v>5</v>
      </c>
      <c r="AC637" s="300">
        <v>38973.199999999997</v>
      </c>
      <c r="AD637" s="307">
        <v>96777.4</v>
      </c>
      <c r="AE637" s="264">
        <v>84331.1</v>
      </c>
      <c r="AH637" s="743"/>
      <c r="AI637" s="743"/>
    </row>
    <row r="638" spans="1:35" s="267" customFormat="1" ht="15.75" thickBot="1" x14ac:dyDescent="0.3">
      <c r="A638" s="940"/>
      <c r="B638" s="294" t="s">
        <v>10</v>
      </c>
      <c r="C638" s="305">
        <f t="shared" ref="C638:K638" si="330">C637/C630</f>
        <v>1.2554034529074802</v>
      </c>
      <c r="D638" s="292">
        <f t="shared" si="330"/>
        <v>0.60101803930218622</v>
      </c>
      <c r="E638" s="310">
        <f t="shared" si="330"/>
        <v>0.60796234016628159</v>
      </c>
      <c r="F638" s="282">
        <f t="shared" si="330"/>
        <v>1.5276579277331923</v>
      </c>
      <c r="G638" s="282">
        <f t="shared" si="330"/>
        <v>1.5683415602665416</v>
      </c>
      <c r="H638" s="282">
        <f t="shared" si="330"/>
        <v>3.4760162110616655</v>
      </c>
      <c r="I638" s="282">
        <f t="shared" si="330"/>
        <v>0.81468133329745929</v>
      </c>
      <c r="J638" s="377">
        <f t="shared" si="330"/>
        <v>7.7147290518485595E-2</v>
      </c>
      <c r="K638" s="311">
        <f t="shared" si="330"/>
        <v>0</v>
      </c>
      <c r="L638" s="310">
        <f>L637/L630</f>
        <v>1.4637768809544778</v>
      </c>
      <c r="M638" s="282">
        <f>M637/M630</f>
        <v>2.8350081963366986</v>
      </c>
      <c r="N638" s="282">
        <f>N637/N630</f>
        <v>1.6282538322153899</v>
      </c>
      <c r="O638" s="260">
        <f>O637/O630</f>
        <v>0.90688832115464812</v>
      </c>
      <c r="P638" s="377">
        <f>P637/P630</f>
        <v>0.34756863642384905</v>
      </c>
      <c r="Q638" s="311">
        <f t="shared" ref="Q638" si="331">Q637/Q630</f>
        <v>0</v>
      </c>
      <c r="R638" s="305">
        <f>R637/R630</f>
        <v>0.59118309731464525</v>
      </c>
      <c r="S638" s="292">
        <f>S637/S630</f>
        <v>0.50742859733156043</v>
      </c>
      <c r="T638" s="126"/>
      <c r="U638" s="70"/>
      <c r="V638" s="70"/>
      <c r="W638" s="70"/>
      <c r="X638" s="70"/>
      <c r="Y638" s="70"/>
      <c r="Z638" s="70"/>
      <c r="AA638" s="940"/>
      <c r="AB638" s="294" t="s">
        <v>3</v>
      </c>
      <c r="AC638" s="305">
        <f>AC637/AC636</f>
        <v>0.39999753678402516</v>
      </c>
      <c r="AD638" s="278">
        <f>AD637/AD636</f>
        <v>0.39730541036289679</v>
      </c>
      <c r="AE638" s="343">
        <f>AE637/AE636</f>
        <v>0.28850941483609438</v>
      </c>
      <c r="AH638" s="743"/>
      <c r="AI638" s="743"/>
    </row>
    <row r="639" spans="1:35" s="267" customFormat="1" ht="15.75" thickBot="1" x14ac:dyDescent="0.3">
      <c r="A639" s="924">
        <v>41423</v>
      </c>
      <c r="B639" s="924"/>
      <c r="C639" s="924"/>
      <c r="D639" s="276"/>
      <c r="E639" s="276"/>
      <c r="F639" s="276"/>
      <c r="G639" s="276"/>
      <c r="H639" s="276"/>
      <c r="I639" s="11"/>
      <c r="J639" s="281"/>
      <c r="K639" s="281"/>
      <c r="L639" s="276"/>
      <c r="M639" s="276"/>
      <c r="N639" s="13"/>
      <c r="R639" s="12"/>
      <c r="S639" s="70"/>
      <c r="T639" s="70"/>
      <c r="U639" s="70"/>
      <c r="V639" s="70"/>
      <c r="W639" s="70"/>
      <c r="X639" s="70"/>
      <c r="Y639" s="70"/>
      <c r="Z639" s="70"/>
      <c r="AA639" s="941"/>
      <c r="AB639" s="942"/>
      <c r="AH639" s="743"/>
      <c r="AI639" s="743"/>
    </row>
    <row r="640" spans="1:35" s="267" customFormat="1" x14ac:dyDescent="0.25">
      <c r="A640" s="925" t="s">
        <v>1</v>
      </c>
      <c r="B640" s="926"/>
      <c r="C640" s="297" t="s">
        <v>12</v>
      </c>
      <c r="D640" s="266" t="s">
        <v>12</v>
      </c>
      <c r="E640" s="297" t="s">
        <v>13</v>
      </c>
      <c r="F640" s="277" t="s">
        <v>13</v>
      </c>
      <c r="G640" s="277" t="s">
        <v>13</v>
      </c>
      <c r="H640" s="277" t="s">
        <v>13</v>
      </c>
      <c r="I640" s="277" t="s">
        <v>13</v>
      </c>
      <c r="J640" s="286" t="s">
        <v>13</v>
      </c>
      <c r="K640" s="266" t="s">
        <v>13</v>
      </c>
      <c r="L640" s="297" t="s">
        <v>2</v>
      </c>
      <c r="M640" s="277" t="s">
        <v>2</v>
      </c>
      <c r="N640" s="286" t="s">
        <v>2</v>
      </c>
      <c r="O640" s="277" t="s">
        <v>2</v>
      </c>
      <c r="P640" s="286" t="s">
        <v>2</v>
      </c>
      <c r="Q640" s="266" t="s">
        <v>2</v>
      </c>
      <c r="R640" s="328" t="s">
        <v>183</v>
      </c>
      <c r="S640" s="327" t="s">
        <v>183</v>
      </c>
      <c r="T640" s="12"/>
      <c r="U640" s="70"/>
      <c r="V640" s="70"/>
      <c r="W640" s="70"/>
      <c r="X640" s="70"/>
      <c r="Y640" s="70"/>
      <c r="Z640" s="70"/>
      <c r="AA640" s="925" t="s">
        <v>1</v>
      </c>
      <c r="AB640" s="926"/>
      <c r="AC640" s="297" t="s">
        <v>12</v>
      </c>
      <c r="AD640" s="277" t="s">
        <v>13</v>
      </c>
      <c r="AE640" s="266" t="s">
        <v>2</v>
      </c>
      <c r="AH640" s="743"/>
      <c r="AI640" s="743"/>
    </row>
    <row r="641" spans="1:35" s="267" customFormat="1" ht="15.75" thickBot="1" x14ac:dyDescent="0.3">
      <c r="A641" s="931" t="s">
        <v>0</v>
      </c>
      <c r="B641" s="944"/>
      <c r="C641" s="298" t="s">
        <v>99</v>
      </c>
      <c r="D641" s="291" t="s">
        <v>100</v>
      </c>
      <c r="E641" s="298" t="s">
        <v>101</v>
      </c>
      <c r="F641" s="306" t="s">
        <v>102</v>
      </c>
      <c r="G641" s="306" t="s">
        <v>97</v>
      </c>
      <c r="H641" s="306" t="s">
        <v>104</v>
      </c>
      <c r="I641" s="306" t="s">
        <v>103</v>
      </c>
      <c r="J641" s="378" t="s">
        <v>178</v>
      </c>
      <c r="K641" s="314" t="s">
        <v>200</v>
      </c>
      <c r="L641" s="298" t="s">
        <v>105</v>
      </c>
      <c r="M641" s="306" t="s">
        <v>107</v>
      </c>
      <c r="N641" s="312" t="s">
        <v>98</v>
      </c>
      <c r="O641" s="313" t="s">
        <v>106</v>
      </c>
      <c r="P641" s="312" t="s">
        <v>179</v>
      </c>
      <c r="Q641" s="291" t="s">
        <v>199</v>
      </c>
      <c r="R641" s="317" t="s">
        <v>182</v>
      </c>
      <c r="S641" s="291" t="s">
        <v>184</v>
      </c>
      <c r="T641" s="12"/>
      <c r="U641" s="12"/>
      <c r="V641" s="12"/>
      <c r="W641" s="12"/>
      <c r="X641" s="12"/>
      <c r="Y641" s="12"/>
      <c r="Z641" s="12"/>
      <c r="AA641" s="931" t="s">
        <v>0</v>
      </c>
      <c r="AB641" s="944"/>
      <c r="AC641" s="298" t="s">
        <v>99</v>
      </c>
      <c r="AD641" s="306" t="s">
        <v>104</v>
      </c>
      <c r="AE641" s="291" t="s">
        <v>107</v>
      </c>
      <c r="AH641" s="743"/>
      <c r="AI641" s="743"/>
    </row>
    <row r="642" spans="1:35" s="267" customFormat="1" ht="15" customHeight="1" x14ac:dyDescent="0.25">
      <c r="A642" s="935" t="s">
        <v>9</v>
      </c>
      <c r="B642" s="19" t="s">
        <v>4</v>
      </c>
      <c r="C642" s="299">
        <v>143392.20000000001</v>
      </c>
      <c r="D642" s="265">
        <v>150515.79999999999</v>
      </c>
      <c r="E642" s="299">
        <v>150515.79999999999</v>
      </c>
      <c r="F642" s="283">
        <v>181997.8</v>
      </c>
      <c r="G642" s="283">
        <v>165452.5</v>
      </c>
      <c r="H642" s="283">
        <v>132132</v>
      </c>
      <c r="I642" s="368">
        <v>170968.6</v>
      </c>
      <c r="J642" s="223">
        <v>166077.9</v>
      </c>
      <c r="K642" s="265">
        <v>95044.2</v>
      </c>
      <c r="L642" s="299">
        <v>193027</v>
      </c>
      <c r="M642" s="283">
        <v>132132.20000000001</v>
      </c>
      <c r="N642" s="283">
        <v>82726.3</v>
      </c>
      <c r="O642" s="283">
        <v>275755</v>
      </c>
      <c r="P642" s="223">
        <v>83039</v>
      </c>
      <c r="Q642" s="265">
        <v>191818.2</v>
      </c>
      <c r="R642" s="318">
        <v>55151</v>
      </c>
      <c r="S642" s="265">
        <v>33090.5</v>
      </c>
      <c r="T642" s="70"/>
      <c r="U642" s="70"/>
      <c r="V642" s="70"/>
      <c r="W642" s="70"/>
      <c r="X642" s="70"/>
      <c r="Y642" s="70"/>
      <c r="Z642" s="70"/>
      <c r="AA642" s="938" t="s">
        <v>195</v>
      </c>
      <c r="AB642" s="2" t="s">
        <v>4</v>
      </c>
      <c r="AC642" s="299">
        <v>143392.20000000001</v>
      </c>
      <c r="AD642" s="283">
        <v>132132</v>
      </c>
      <c r="AE642" s="265">
        <v>132132.20000000001</v>
      </c>
      <c r="AH642" s="743"/>
      <c r="AI642" s="743"/>
    </row>
    <row r="643" spans="1:35" s="267" customFormat="1" x14ac:dyDescent="0.25">
      <c r="A643" s="936"/>
      <c r="B643" s="293" t="s">
        <v>5</v>
      </c>
      <c r="C643" s="300">
        <v>41700</v>
      </c>
      <c r="D643" s="264">
        <v>78275.899999999994</v>
      </c>
      <c r="E643" s="300">
        <v>79779.3</v>
      </c>
      <c r="F643" s="307">
        <v>160731.29999999999</v>
      </c>
      <c r="G643" s="307">
        <v>102212.1</v>
      </c>
      <c r="H643" s="307">
        <v>54390.5</v>
      </c>
      <c r="I643" s="307">
        <v>86568.9</v>
      </c>
      <c r="J643" s="374">
        <v>15867.7</v>
      </c>
      <c r="K643" s="264">
        <v>2.7</v>
      </c>
      <c r="L643" s="300">
        <v>160717.9</v>
      </c>
      <c r="M643" s="307">
        <v>63216.3</v>
      </c>
      <c r="N643" s="307">
        <v>52488.1</v>
      </c>
      <c r="O643" s="307">
        <v>157564.20000000001</v>
      </c>
      <c r="P643" s="374">
        <v>8035.8</v>
      </c>
      <c r="Q643" s="264">
        <v>5.4</v>
      </c>
      <c r="R643" s="319">
        <v>8022</v>
      </c>
      <c r="S643" s="264">
        <v>4641.8999999999996</v>
      </c>
      <c r="T643" s="70"/>
      <c r="U643" s="70"/>
      <c r="V643" s="70"/>
      <c r="W643" s="70"/>
      <c r="X643" s="70"/>
      <c r="Y643" s="70"/>
      <c r="Z643" s="70"/>
      <c r="AA643" s="939"/>
      <c r="AB643" s="342" t="s">
        <v>5</v>
      </c>
      <c r="AC643" s="300">
        <v>41700</v>
      </c>
      <c r="AD643" s="307">
        <v>54390.5</v>
      </c>
      <c r="AE643" s="264">
        <v>63216.3</v>
      </c>
      <c r="AH643" s="743"/>
      <c r="AI643" s="743"/>
    </row>
    <row r="644" spans="1:35" s="267" customFormat="1" ht="15.75" thickBot="1" x14ac:dyDescent="0.3">
      <c r="A644" s="937"/>
      <c r="B644" s="294" t="s">
        <v>3</v>
      </c>
      <c r="C644" s="305">
        <f t="shared" ref="C644:K644" si="332">C643/C642</f>
        <v>0.29081079724001724</v>
      </c>
      <c r="D644" s="343">
        <f t="shared" si="332"/>
        <v>0.52005105111888583</v>
      </c>
      <c r="E644" s="305">
        <f t="shared" si="332"/>
        <v>0.53003937128195189</v>
      </c>
      <c r="F644" s="371">
        <f t="shared" si="332"/>
        <v>0.88314968642478098</v>
      </c>
      <c r="G644" s="278">
        <f t="shared" si="332"/>
        <v>0.6177730768649613</v>
      </c>
      <c r="H644" s="278">
        <f t="shared" si="332"/>
        <v>0.41163760481942302</v>
      </c>
      <c r="I644" s="278">
        <f t="shared" si="332"/>
        <v>0.50634385495348266</v>
      </c>
      <c r="J644" s="315">
        <f t="shared" si="332"/>
        <v>9.5543717737278724E-2</v>
      </c>
      <c r="K644" s="292">
        <f t="shared" si="332"/>
        <v>2.8407835512319535E-5</v>
      </c>
      <c r="L644" s="372">
        <f>L643/L642</f>
        <v>0.8326187528169634</v>
      </c>
      <c r="M644" s="278">
        <f>M643/M642</f>
        <v>0.47843220653254842</v>
      </c>
      <c r="N644" s="315">
        <f>N643/N642</f>
        <v>0.63447899881899705</v>
      </c>
      <c r="O644" s="278">
        <f>O643/O642</f>
        <v>0.5713919965186488</v>
      </c>
      <c r="P644" s="315">
        <f>P643/P642</f>
        <v>9.6771396572694762E-2</v>
      </c>
      <c r="Q644" s="292">
        <f t="shared" ref="Q644" si="333">Q643/Q642</f>
        <v>2.8151656099369091E-5</v>
      </c>
      <c r="R644" s="320">
        <f>R643/R642</f>
        <v>0.14545520480136354</v>
      </c>
      <c r="S644" s="292">
        <f>S643/S642</f>
        <v>0.14027893201976396</v>
      </c>
      <c r="T644" s="70"/>
      <c r="U644" s="70"/>
      <c r="V644" s="70"/>
      <c r="W644" s="70"/>
      <c r="X644" s="70"/>
      <c r="Y644" s="70"/>
      <c r="Z644" s="70"/>
      <c r="AA644" s="940"/>
      <c r="AB644" s="347" t="s">
        <v>3</v>
      </c>
      <c r="AC644" s="301">
        <f>AC643/AC642</f>
        <v>0.29081079724001724</v>
      </c>
      <c r="AD644" s="278">
        <f>AD643/AD642</f>
        <v>0.41163760481942302</v>
      </c>
      <c r="AE644" s="292">
        <f>AE643/AE642</f>
        <v>0.47843220653254842</v>
      </c>
      <c r="AH644" s="743"/>
      <c r="AI644" s="743"/>
    </row>
    <row r="645" spans="1:35" s="267" customFormat="1" ht="15" customHeight="1" x14ac:dyDescent="0.25">
      <c r="A645" s="938" t="s">
        <v>6</v>
      </c>
      <c r="B645" s="19" t="s">
        <v>7</v>
      </c>
      <c r="C645" s="297">
        <v>5870</v>
      </c>
      <c r="D645" s="266">
        <v>3333</v>
      </c>
      <c r="E645" s="297">
        <v>3330</v>
      </c>
      <c r="F645" s="277">
        <v>9457</v>
      </c>
      <c r="G645" s="357">
        <v>8428</v>
      </c>
      <c r="H645" s="277">
        <v>15703</v>
      </c>
      <c r="I645" s="277">
        <v>7403</v>
      </c>
      <c r="J645" s="286">
        <v>9599</v>
      </c>
      <c r="K645" s="266">
        <v>3600</v>
      </c>
      <c r="L645" s="297">
        <v>9289</v>
      </c>
      <c r="M645" s="277">
        <v>12295</v>
      </c>
      <c r="N645" s="357">
        <v>4354</v>
      </c>
      <c r="O645" s="277">
        <v>10027</v>
      </c>
      <c r="P645" s="286">
        <v>4799</v>
      </c>
      <c r="Q645" s="266">
        <v>7200</v>
      </c>
      <c r="R645" s="321">
        <v>2000</v>
      </c>
      <c r="S645" s="266">
        <v>1250</v>
      </c>
      <c r="T645" s="358"/>
      <c r="U645" s="126"/>
      <c r="V645" s="70"/>
      <c r="W645" s="70"/>
      <c r="X645" s="70"/>
      <c r="Y645" s="70"/>
      <c r="Z645" s="70"/>
      <c r="AA645" s="938" t="s">
        <v>191</v>
      </c>
      <c r="AB645" s="19" t="s">
        <v>4</v>
      </c>
      <c r="AC645" s="299">
        <v>9191.7999999999993</v>
      </c>
      <c r="AD645" s="283">
        <v>13787.7</v>
      </c>
      <c r="AE645" s="265">
        <v>13787.7</v>
      </c>
      <c r="AH645" s="743"/>
      <c r="AI645" s="743"/>
    </row>
    <row r="646" spans="1:35" s="267" customFormat="1" x14ac:dyDescent="0.25">
      <c r="A646" s="939"/>
      <c r="B646" s="295" t="s">
        <v>11</v>
      </c>
      <c r="C646" s="302">
        <f t="shared" ref="C646:K646" si="334">C645*33.717</f>
        <v>197918.78999999998</v>
      </c>
      <c r="D646" s="263">
        <f t="shared" si="334"/>
        <v>112378.761</v>
      </c>
      <c r="E646" s="302">
        <f t="shared" si="334"/>
        <v>112277.61</v>
      </c>
      <c r="F646" s="355">
        <f t="shared" si="334"/>
        <v>318861.66899999999</v>
      </c>
      <c r="G646" s="308">
        <f t="shared" si="334"/>
        <v>284166.87599999999</v>
      </c>
      <c r="H646" s="354">
        <f t="shared" si="334"/>
        <v>529458.05099999998</v>
      </c>
      <c r="I646" s="354">
        <f t="shared" si="334"/>
        <v>249606.951</v>
      </c>
      <c r="J646" s="355">
        <f t="shared" si="334"/>
        <v>323649.48300000001</v>
      </c>
      <c r="K646" s="263">
        <f t="shared" si="334"/>
        <v>121381.2</v>
      </c>
      <c r="L646" s="322">
        <f>L645*33.717</f>
        <v>313197.21299999999</v>
      </c>
      <c r="M646" s="308">
        <f>M645*33.717</f>
        <v>414550.51499999996</v>
      </c>
      <c r="N646" s="308">
        <f>N645*33.717</f>
        <v>146803.818</v>
      </c>
      <c r="O646" s="354">
        <f>O645*33.717</f>
        <v>338080.359</v>
      </c>
      <c r="P646" s="355">
        <f>P645*33.717</f>
        <v>161807.883</v>
      </c>
      <c r="Q646" s="263">
        <f t="shared" ref="Q646" si="335">Q645*33.717</f>
        <v>242762.4</v>
      </c>
      <c r="R646" s="302">
        <f>R645*33.717</f>
        <v>67434</v>
      </c>
      <c r="S646" s="354">
        <f>S645*33.717</f>
        <v>42146.25</v>
      </c>
      <c r="T646" s="70"/>
      <c r="U646" s="70"/>
      <c r="V646" s="70"/>
      <c r="W646" s="70"/>
      <c r="X646" s="70"/>
      <c r="Y646" s="70"/>
      <c r="Z646" s="70"/>
      <c r="AA646" s="939"/>
      <c r="AB646" s="293" t="s">
        <v>5</v>
      </c>
      <c r="AC646" s="300">
        <v>8118.2</v>
      </c>
      <c r="AD646" s="307">
        <v>13637.4</v>
      </c>
      <c r="AE646" s="264">
        <v>13649</v>
      </c>
      <c r="AH646" s="743"/>
      <c r="AI646" s="743"/>
    </row>
    <row r="647" spans="1:35" s="267" customFormat="1" ht="15.75" thickBot="1" x14ac:dyDescent="0.3">
      <c r="A647" s="939"/>
      <c r="B647" s="295" t="s">
        <v>79</v>
      </c>
      <c r="C647" s="302">
        <v>164000</v>
      </c>
      <c r="D647" s="263">
        <v>109880</v>
      </c>
      <c r="E647" s="302">
        <v>109880</v>
      </c>
      <c r="F647" s="308">
        <v>328000</v>
      </c>
      <c r="G647" s="308">
        <v>330905</v>
      </c>
      <c r="H647" s="308">
        <v>264264</v>
      </c>
      <c r="I647" s="308">
        <v>242663.6</v>
      </c>
      <c r="J647" s="375">
        <v>328000</v>
      </c>
      <c r="K647" s="263">
        <v>328000</v>
      </c>
      <c r="L647" s="302">
        <v>328000</v>
      </c>
      <c r="M647" s="308">
        <v>264264.40000000002</v>
      </c>
      <c r="N647" s="308">
        <v>328000</v>
      </c>
      <c r="O647" s="308">
        <v>352965.4</v>
      </c>
      <c r="P647" s="375">
        <v>328000</v>
      </c>
      <c r="Q647" s="263">
        <v>328000</v>
      </c>
      <c r="R647" s="322">
        <f>2*R642</f>
        <v>110302</v>
      </c>
      <c r="S647" s="263">
        <f>2*S642</f>
        <v>66181</v>
      </c>
      <c r="T647" s="70"/>
      <c r="U647" s="70"/>
      <c r="V647" s="70"/>
      <c r="W647" s="70"/>
      <c r="X647" s="70"/>
      <c r="Y647" s="70"/>
      <c r="Z647" s="70"/>
      <c r="AA647" s="940"/>
      <c r="AB647" s="344" t="s">
        <v>3</v>
      </c>
      <c r="AC647" s="301">
        <f>AC646/AC645</f>
        <v>0.88320024369546779</v>
      </c>
      <c r="AD647" s="249">
        <f>AD646/AD645</f>
        <v>0.98909897952522896</v>
      </c>
      <c r="AE647" s="348">
        <f>AE646/AE645</f>
        <v>0.98994030911609621</v>
      </c>
      <c r="AH647" s="743"/>
      <c r="AI647" s="743"/>
    </row>
    <row r="648" spans="1:35" s="267" customFormat="1" ht="15" customHeight="1" x14ac:dyDescent="0.25">
      <c r="A648" s="939"/>
      <c r="B648" s="293" t="s">
        <v>8</v>
      </c>
      <c r="C648" s="303">
        <f>SUM(C645-531)</f>
        <v>5339</v>
      </c>
      <c r="D648" s="262">
        <f>SUM(D645-650)</f>
        <v>2683</v>
      </c>
      <c r="E648" s="303">
        <f>SUM(E645-616)</f>
        <v>2714</v>
      </c>
      <c r="F648" s="309">
        <f>SUM(F645-1211)</f>
        <v>8246</v>
      </c>
      <c r="G648" s="309">
        <f>SUM(G645-4580)</f>
        <v>3848</v>
      </c>
      <c r="H648" s="309">
        <f>SUM(H645-2081)</f>
        <v>13622</v>
      </c>
      <c r="I648" s="309">
        <f>SUM(I645-(3272-2000))</f>
        <v>6131</v>
      </c>
      <c r="J648" s="316">
        <f>SUM(J645-9219)</f>
        <v>380</v>
      </c>
      <c r="K648" s="262">
        <f>SUM(K645-3600)</f>
        <v>0</v>
      </c>
      <c r="L648" s="303">
        <f>SUM(L645-909)</f>
        <v>8380</v>
      </c>
      <c r="M648" s="309">
        <f>SUM(M645-1185)</f>
        <v>11110</v>
      </c>
      <c r="N648" s="316">
        <f>SUM(N645-359)</f>
        <v>3995</v>
      </c>
      <c r="O648" s="309">
        <f>SUM(O645-(5224-2614))</f>
        <v>7417</v>
      </c>
      <c r="P648" s="316">
        <f>SUM(P645-3943)</f>
        <v>856</v>
      </c>
      <c r="Q648" s="262">
        <f>SUM(Q645-7200)</f>
        <v>0</v>
      </c>
      <c r="R648" s="323">
        <f>SUM(R645-1033)</f>
        <v>967</v>
      </c>
      <c r="S648" s="262">
        <f>SUM(S645-752)</f>
        <v>498</v>
      </c>
      <c r="T648" s="12"/>
      <c r="U648" s="70"/>
      <c r="V648" s="70"/>
      <c r="W648" s="70"/>
      <c r="X648" s="70"/>
      <c r="Y648" s="70"/>
      <c r="Z648" s="70"/>
      <c r="AA648" s="938" t="s">
        <v>192</v>
      </c>
      <c r="AB648" s="19" t="s">
        <v>4</v>
      </c>
      <c r="AC648" s="299">
        <v>97433.600000000006</v>
      </c>
      <c r="AD648" s="283">
        <v>243584.4</v>
      </c>
      <c r="AE648" s="265">
        <v>292299.3</v>
      </c>
      <c r="AH648" s="743"/>
      <c r="AI648" s="743"/>
    </row>
    <row r="649" spans="1:35" s="267" customFormat="1" x14ac:dyDescent="0.25">
      <c r="A649" s="939"/>
      <c r="B649" s="296" t="s">
        <v>77</v>
      </c>
      <c r="C649" s="302">
        <f>(C648*33.717)</f>
        <v>180015.06299999999</v>
      </c>
      <c r="D649" s="338">
        <f>(D648*33.717)</f>
        <v>90462.710999999996</v>
      </c>
      <c r="E649" s="302">
        <f>(E648*33.717)</f>
        <v>91507.937999999995</v>
      </c>
      <c r="F649" s="338">
        <f>(F648*33.717)</f>
        <v>278030.38199999998</v>
      </c>
      <c r="G649" s="280">
        <f>(G648*33.717)*2</f>
        <v>259486.03199999998</v>
      </c>
      <c r="H649" s="280">
        <f>(H648*33.717)</f>
        <v>459292.97399999999</v>
      </c>
      <c r="I649" s="280">
        <f>(I648*33.717)-(2000*33.717)</f>
        <v>139284.927</v>
      </c>
      <c r="J649" s="376">
        <f>J648*33.717</f>
        <v>12812.46</v>
      </c>
      <c r="K649" s="261">
        <f>K648*33.717</f>
        <v>0</v>
      </c>
      <c r="L649" s="304">
        <f>L648*33.717</f>
        <v>282548.45999999996</v>
      </c>
      <c r="M649" s="280">
        <f>M648*33.717</f>
        <v>374595.87</v>
      </c>
      <c r="N649" s="280">
        <f>(N648*33.717)</f>
        <v>134699.41500000001</v>
      </c>
      <c r="O649" s="280">
        <f>O648*33.717</f>
        <v>250078.989</v>
      </c>
      <c r="P649" s="376">
        <f>P648*33.717</f>
        <v>28861.752</v>
      </c>
      <c r="Q649" s="261">
        <f>Q648*33.717</f>
        <v>0</v>
      </c>
      <c r="R649" s="324">
        <f>R648*33.717</f>
        <v>32604.339</v>
      </c>
      <c r="S649" s="325">
        <f>S648*33.717</f>
        <v>16791.065999999999</v>
      </c>
      <c r="T649" s="63"/>
      <c r="U649" s="70" t="s">
        <v>177</v>
      </c>
      <c r="V649" s="70"/>
      <c r="W649" s="70"/>
      <c r="X649" s="70"/>
      <c r="Y649" s="70"/>
      <c r="Z649" s="70"/>
      <c r="AA649" s="939"/>
      <c r="AB649" s="293" t="s">
        <v>5</v>
      </c>
      <c r="AC649" s="300">
        <v>38973.199999999997</v>
      </c>
      <c r="AD649" s="307">
        <v>95672.4</v>
      </c>
      <c r="AE649" s="264">
        <v>82255.600000000006</v>
      </c>
      <c r="AH649" s="743"/>
      <c r="AI649" s="743"/>
    </row>
    <row r="650" spans="1:35" s="267" customFormat="1" ht="15.75" thickBot="1" x14ac:dyDescent="0.3">
      <c r="A650" s="940"/>
      <c r="B650" s="294" t="s">
        <v>10</v>
      </c>
      <c r="C650" s="305">
        <f t="shared" ref="C650:K650" si="336">C649/C642</f>
        <v>1.2554034529074802</v>
      </c>
      <c r="D650" s="292">
        <f t="shared" si="336"/>
        <v>0.60101803930218622</v>
      </c>
      <c r="E650" s="310">
        <f t="shared" si="336"/>
        <v>0.60796234016628159</v>
      </c>
      <c r="F650" s="282">
        <f t="shared" si="336"/>
        <v>1.5276579277331923</v>
      </c>
      <c r="G650" s="282">
        <f t="shared" si="336"/>
        <v>1.5683415602665416</v>
      </c>
      <c r="H650" s="282">
        <f t="shared" si="336"/>
        <v>3.4760162110616655</v>
      </c>
      <c r="I650" s="282">
        <f t="shared" si="336"/>
        <v>0.81468133329745929</v>
      </c>
      <c r="J650" s="377">
        <f t="shared" si="336"/>
        <v>7.7147290518485595E-2</v>
      </c>
      <c r="K650" s="311">
        <f t="shared" si="336"/>
        <v>0</v>
      </c>
      <c r="L650" s="310">
        <f>L649/L642</f>
        <v>1.4637768809544778</v>
      </c>
      <c r="M650" s="282">
        <f>M649/M642</f>
        <v>2.8350081963366986</v>
      </c>
      <c r="N650" s="282">
        <f>N649/N642</f>
        <v>1.6282538322153899</v>
      </c>
      <c r="O650" s="260">
        <f>O649/O642</f>
        <v>0.90688832115464812</v>
      </c>
      <c r="P650" s="377">
        <f>P649/P642</f>
        <v>0.34756863642384905</v>
      </c>
      <c r="Q650" s="311">
        <f t="shared" ref="Q650" si="337">Q649/Q642</f>
        <v>0</v>
      </c>
      <c r="R650" s="305">
        <f>R649/R642</f>
        <v>0.59118309731464525</v>
      </c>
      <c r="S650" s="292">
        <f>S649/S642</f>
        <v>0.50742859733156043</v>
      </c>
      <c r="T650" s="126"/>
      <c r="U650" s="70"/>
      <c r="V650" s="70"/>
      <c r="W650" s="70"/>
      <c r="X650" s="70"/>
      <c r="Y650" s="70"/>
      <c r="Z650" s="70"/>
      <c r="AA650" s="940"/>
      <c r="AB650" s="294" t="s">
        <v>3</v>
      </c>
      <c r="AC650" s="305">
        <f>AC649/AC648</f>
        <v>0.39999753678402516</v>
      </c>
      <c r="AD650" s="278">
        <f>AD649/AD648</f>
        <v>0.39276899505879687</v>
      </c>
      <c r="AE650" s="343">
        <f>AE649/AE648</f>
        <v>0.28140881623732938</v>
      </c>
      <c r="AH650" s="743"/>
      <c r="AI650" s="743"/>
    </row>
    <row r="651" spans="1:35" s="267" customFormat="1" ht="15.75" thickBot="1" x14ac:dyDescent="0.3">
      <c r="A651" s="924">
        <v>41422</v>
      </c>
      <c r="B651" s="924"/>
      <c r="C651" s="924"/>
      <c r="D651" s="276"/>
      <c r="E651" s="276"/>
      <c r="F651" s="276"/>
      <c r="G651" s="276"/>
      <c r="H651" s="276"/>
      <c r="I651" s="11"/>
      <c r="J651" s="281"/>
      <c r="K651" s="281"/>
      <c r="L651" s="276"/>
      <c r="M651" s="276"/>
      <c r="N651" s="13"/>
      <c r="R651" s="12"/>
      <c r="S651" s="70"/>
      <c r="T651" s="70"/>
      <c r="U651" s="70"/>
      <c r="V651" s="70"/>
      <c r="W651" s="70"/>
      <c r="X651" s="70"/>
      <c r="Y651" s="70"/>
      <c r="Z651" s="70"/>
      <c r="AA651" s="941"/>
      <c r="AB651" s="942"/>
      <c r="AH651" s="743"/>
      <c r="AI651" s="743"/>
    </row>
    <row r="652" spans="1:35" s="267" customFormat="1" x14ac:dyDescent="0.25">
      <c r="A652" s="925" t="s">
        <v>1</v>
      </c>
      <c r="B652" s="926"/>
      <c r="C652" s="297" t="s">
        <v>12</v>
      </c>
      <c r="D652" s="266" t="s">
        <v>12</v>
      </c>
      <c r="E652" s="297" t="s">
        <v>13</v>
      </c>
      <c r="F652" s="277" t="s">
        <v>13</v>
      </c>
      <c r="G652" s="277" t="s">
        <v>13</v>
      </c>
      <c r="H652" s="277" t="s">
        <v>13</v>
      </c>
      <c r="I652" s="277" t="s">
        <v>13</v>
      </c>
      <c r="J652" s="286" t="s">
        <v>13</v>
      </c>
      <c r="K652" s="266" t="s">
        <v>13</v>
      </c>
      <c r="L652" s="297" t="s">
        <v>2</v>
      </c>
      <c r="M652" s="277" t="s">
        <v>2</v>
      </c>
      <c r="N652" s="286" t="s">
        <v>2</v>
      </c>
      <c r="O652" s="277" t="s">
        <v>2</v>
      </c>
      <c r="P652" s="286" t="s">
        <v>2</v>
      </c>
      <c r="Q652" s="266" t="s">
        <v>2</v>
      </c>
      <c r="R652" s="328" t="s">
        <v>183</v>
      </c>
      <c r="S652" s="327" t="s">
        <v>183</v>
      </c>
      <c r="T652" s="12"/>
      <c r="U652" s="70"/>
      <c r="V652" s="70"/>
      <c r="W652" s="70"/>
      <c r="X652" s="70"/>
      <c r="Y652" s="70"/>
      <c r="Z652" s="70"/>
      <c r="AA652" s="925" t="s">
        <v>1</v>
      </c>
      <c r="AB652" s="926"/>
      <c r="AC652" s="297" t="s">
        <v>12</v>
      </c>
      <c r="AD652" s="277" t="s">
        <v>13</v>
      </c>
      <c r="AE652" s="266" t="s">
        <v>2</v>
      </c>
      <c r="AH652" s="743"/>
      <c r="AI652" s="743"/>
    </row>
    <row r="653" spans="1:35" s="267" customFormat="1" ht="15.75" thickBot="1" x14ac:dyDescent="0.3">
      <c r="A653" s="931" t="s">
        <v>0</v>
      </c>
      <c r="B653" s="944"/>
      <c r="C653" s="298" t="s">
        <v>99</v>
      </c>
      <c r="D653" s="291" t="s">
        <v>100</v>
      </c>
      <c r="E653" s="298" t="s">
        <v>101</v>
      </c>
      <c r="F653" s="306" t="s">
        <v>102</v>
      </c>
      <c r="G653" s="306" t="s">
        <v>97</v>
      </c>
      <c r="H653" s="306" t="s">
        <v>104</v>
      </c>
      <c r="I653" s="306" t="s">
        <v>103</v>
      </c>
      <c r="J653" s="378" t="s">
        <v>178</v>
      </c>
      <c r="K653" s="314" t="s">
        <v>200</v>
      </c>
      <c r="L653" s="298" t="s">
        <v>105</v>
      </c>
      <c r="M653" s="306" t="s">
        <v>107</v>
      </c>
      <c r="N653" s="312" t="s">
        <v>98</v>
      </c>
      <c r="O653" s="313" t="s">
        <v>106</v>
      </c>
      <c r="P653" s="312" t="s">
        <v>179</v>
      </c>
      <c r="Q653" s="291" t="s">
        <v>199</v>
      </c>
      <c r="R653" s="317" t="s">
        <v>182</v>
      </c>
      <c r="S653" s="291" t="s">
        <v>184</v>
      </c>
      <c r="T653" s="12"/>
      <c r="U653" s="12"/>
      <c r="V653" s="12"/>
      <c r="W653" s="12"/>
      <c r="X653" s="12"/>
      <c r="Y653" s="12"/>
      <c r="Z653" s="12"/>
      <c r="AA653" s="931" t="s">
        <v>0</v>
      </c>
      <c r="AB653" s="944"/>
      <c r="AC653" s="298" t="s">
        <v>99</v>
      </c>
      <c r="AD653" s="306" t="s">
        <v>104</v>
      </c>
      <c r="AE653" s="291" t="s">
        <v>107</v>
      </c>
      <c r="AH653" s="743"/>
      <c r="AI653" s="743"/>
    </row>
    <row r="654" spans="1:35" s="267" customFormat="1" ht="15" customHeight="1" x14ac:dyDescent="0.25">
      <c r="A654" s="935" t="s">
        <v>9</v>
      </c>
      <c r="B654" s="19" t="s">
        <v>4</v>
      </c>
      <c r="C654" s="299">
        <v>143392.20000000001</v>
      </c>
      <c r="D654" s="265">
        <v>150515.79999999999</v>
      </c>
      <c r="E654" s="299">
        <v>150515.79999999999</v>
      </c>
      <c r="F654" s="283">
        <v>181997.8</v>
      </c>
      <c r="G654" s="283">
        <v>165452.5</v>
      </c>
      <c r="H654" s="283">
        <v>132132</v>
      </c>
      <c r="I654" s="368">
        <v>170968.6</v>
      </c>
      <c r="J654" s="223">
        <v>166077.9</v>
      </c>
      <c r="K654" s="265">
        <v>95044.2</v>
      </c>
      <c r="L654" s="299">
        <v>193027</v>
      </c>
      <c r="M654" s="283">
        <v>132132.20000000001</v>
      </c>
      <c r="N654" s="283">
        <v>82726.3</v>
      </c>
      <c r="O654" s="283">
        <v>275755</v>
      </c>
      <c r="P654" s="223">
        <v>83039</v>
      </c>
      <c r="Q654" s="265">
        <v>191818.2</v>
      </c>
      <c r="R654" s="318">
        <v>55151</v>
      </c>
      <c r="S654" s="265">
        <v>33090.5</v>
      </c>
      <c r="T654" s="70"/>
      <c r="U654" s="70"/>
      <c r="V654" s="70"/>
      <c r="W654" s="70"/>
      <c r="X654" s="70"/>
      <c r="Y654" s="70"/>
      <c r="Z654" s="70"/>
      <c r="AA654" s="938" t="s">
        <v>195</v>
      </c>
      <c r="AB654" s="2" t="s">
        <v>4</v>
      </c>
      <c r="AC654" s="299">
        <v>143392.20000000001</v>
      </c>
      <c r="AD654" s="283">
        <v>132132</v>
      </c>
      <c r="AE654" s="265">
        <v>132132.20000000001</v>
      </c>
      <c r="AH654" s="743"/>
      <c r="AI654" s="743"/>
    </row>
    <row r="655" spans="1:35" s="267" customFormat="1" x14ac:dyDescent="0.25">
      <c r="A655" s="936"/>
      <c r="B655" s="293" t="s">
        <v>5</v>
      </c>
      <c r="C655" s="300">
        <v>41320.199999999997</v>
      </c>
      <c r="D655" s="264">
        <v>78271.7</v>
      </c>
      <c r="E655" s="300">
        <v>79775.100000000006</v>
      </c>
      <c r="F655" s="307">
        <v>160698.5</v>
      </c>
      <c r="G655" s="307">
        <v>101991.9</v>
      </c>
      <c r="H655" s="307">
        <v>54996.1</v>
      </c>
      <c r="I655" s="307">
        <v>86350.9</v>
      </c>
      <c r="J655" s="374">
        <v>15867.2</v>
      </c>
      <c r="K655" s="264">
        <v>2.7</v>
      </c>
      <c r="L655" s="300">
        <v>160673.70000000001</v>
      </c>
      <c r="M655" s="307">
        <v>63698.1</v>
      </c>
      <c r="N655" s="307">
        <v>52377.9</v>
      </c>
      <c r="O655" s="307">
        <v>157441</v>
      </c>
      <c r="P655" s="374">
        <v>7253.4</v>
      </c>
      <c r="Q655" s="264">
        <v>5.4</v>
      </c>
      <c r="R655" s="319">
        <v>7963.2</v>
      </c>
      <c r="S655" s="264">
        <v>4625.8999999999996</v>
      </c>
      <c r="T655" s="70"/>
      <c r="U655" s="70"/>
      <c r="V655" s="70"/>
      <c r="W655" s="70"/>
      <c r="X655" s="70"/>
      <c r="Y655" s="70"/>
      <c r="Z655" s="70"/>
      <c r="AA655" s="939"/>
      <c r="AB655" s="342" t="s">
        <v>5</v>
      </c>
      <c r="AC655" s="300">
        <v>41302.199999999997</v>
      </c>
      <c r="AD655" s="307">
        <v>54996.1</v>
      </c>
      <c r="AE655" s="264">
        <v>63698.1</v>
      </c>
      <c r="AH655" s="743"/>
      <c r="AI655" s="743"/>
    </row>
    <row r="656" spans="1:35" s="267" customFormat="1" ht="15.75" thickBot="1" x14ac:dyDescent="0.3">
      <c r="A656" s="937"/>
      <c r="B656" s="294" t="s">
        <v>3</v>
      </c>
      <c r="C656" s="305">
        <f t="shared" ref="C656:J656" si="338">C655/C654</f>
        <v>0.28816211760472321</v>
      </c>
      <c r="D656" s="343">
        <f t="shared" si="338"/>
        <v>0.52002314707160313</v>
      </c>
      <c r="E656" s="305">
        <f t="shared" si="338"/>
        <v>0.53001146723466908</v>
      </c>
      <c r="F656" s="371">
        <f t="shared" si="338"/>
        <v>0.88296946446605407</v>
      </c>
      <c r="G656" s="278">
        <f t="shared" si="338"/>
        <v>0.61644218129070272</v>
      </c>
      <c r="H656" s="278">
        <f t="shared" si="338"/>
        <v>0.41622090031180942</v>
      </c>
      <c r="I656" s="278">
        <f t="shared" si="338"/>
        <v>0.50506876701335801</v>
      </c>
      <c r="J656" s="315">
        <f t="shared" si="338"/>
        <v>9.5540707101908207E-2</v>
      </c>
      <c r="K656" s="292">
        <f t="shared" ref="K656" si="339">K655/K654</f>
        <v>2.8407835512319535E-5</v>
      </c>
      <c r="L656" s="372">
        <f>L655/L654</f>
        <v>0.83238976930688457</v>
      </c>
      <c r="M656" s="278">
        <f>M655/M654</f>
        <v>0.48207855465965144</v>
      </c>
      <c r="N656" s="315">
        <f>N655/N654</f>
        <v>0.63314689524371326</v>
      </c>
      <c r="O656" s="278">
        <f>O655/O654</f>
        <v>0.5709452231147214</v>
      </c>
      <c r="P656" s="315">
        <f>P655/P654</f>
        <v>8.734931779043581E-2</v>
      </c>
      <c r="Q656" s="292">
        <f t="shared" ref="Q656" si="340">Q655/Q654</f>
        <v>2.8151656099369091E-5</v>
      </c>
      <c r="R656" s="320">
        <f>R655/R654</f>
        <v>0.14438904099653677</v>
      </c>
      <c r="S656" s="292">
        <f>S655/S654</f>
        <v>0.13979540955863465</v>
      </c>
      <c r="T656" s="70"/>
      <c r="U656" s="70"/>
      <c r="V656" s="70"/>
      <c r="W656" s="70"/>
      <c r="X656" s="70"/>
      <c r="Y656" s="70"/>
      <c r="Z656" s="70"/>
      <c r="AA656" s="940"/>
      <c r="AB656" s="347" t="s">
        <v>3</v>
      </c>
      <c r="AC656" s="301">
        <f>AC655/AC654</f>
        <v>0.28803658776418795</v>
      </c>
      <c r="AD656" s="278">
        <f>AD655/AD654</f>
        <v>0.41622090031180942</v>
      </c>
      <c r="AE656" s="292">
        <f>AE655/AE654</f>
        <v>0.48207855465965144</v>
      </c>
      <c r="AH656" s="743"/>
      <c r="AI656" s="743"/>
    </row>
    <row r="657" spans="1:35" s="267" customFormat="1" ht="15" customHeight="1" x14ac:dyDescent="0.25">
      <c r="A657" s="938" t="s">
        <v>6</v>
      </c>
      <c r="B657" s="19" t="s">
        <v>7</v>
      </c>
      <c r="C657" s="297">
        <v>5870</v>
      </c>
      <c r="D657" s="266">
        <v>3333</v>
      </c>
      <c r="E657" s="297">
        <v>3330</v>
      </c>
      <c r="F657" s="277">
        <v>9457</v>
      </c>
      <c r="G657" s="357">
        <v>8428</v>
      </c>
      <c r="H657" s="277">
        <v>15703</v>
      </c>
      <c r="I657" s="277">
        <v>7403</v>
      </c>
      <c r="J657" s="286">
        <v>9599</v>
      </c>
      <c r="K657" s="266">
        <v>3600</v>
      </c>
      <c r="L657" s="297">
        <v>9289</v>
      </c>
      <c r="M657" s="277">
        <v>12295</v>
      </c>
      <c r="N657" s="357">
        <v>4354</v>
      </c>
      <c r="O657" s="277">
        <v>10027</v>
      </c>
      <c r="P657" s="286">
        <v>4799</v>
      </c>
      <c r="Q657" s="266">
        <v>7200</v>
      </c>
      <c r="R657" s="321">
        <v>2000</v>
      </c>
      <c r="S657" s="266">
        <v>1250</v>
      </c>
      <c r="T657" s="358"/>
      <c r="U657" s="126"/>
      <c r="V657" s="70"/>
      <c r="W657" s="70"/>
      <c r="X657" s="70"/>
      <c r="Y657" s="70"/>
      <c r="Z657" s="70"/>
      <c r="AA657" s="938" t="s">
        <v>191</v>
      </c>
      <c r="AB657" s="19" t="s">
        <v>4</v>
      </c>
      <c r="AC657" s="299">
        <v>9191.7999999999993</v>
      </c>
      <c r="AD657" s="283">
        <v>13787.7</v>
      </c>
      <c r="AE657" s="265">
        <v>13787.7</v>
      </c>
      <c r="AH657" s="743"/>
      <c r="AI657" s="743"/>
    </row>
    <row r="658" spans="1:35" s="267" customFormat="1" x14ac:dyDescent="0.25">
      <c r="A658" s="939"/>
      <c r="B658" s="295" t="s">
        <v>11</v>
      </c>
      <c r="C658" s="302">
        <f t="shared" ref="C658:J658" si="341">C657*33.717</f>
        <v>197918.78999999998</v>
      </c>
      <c r="D658" s="263">
        <f t="shared" si="341"/>
        <v>112378.761</v>
      </c>
      <c r="E658" s="302">
        <f t="shared" si="341"/>
        <v>112277.61</v>
      </c>
      <c r="F658" s="355">
        <f t="shared" si="341"/>
        <v>318861.66899999999</v>
      </c>
      <c r="G658" s="308">
        <f t="shared" si="341"/>
        <v>284166.87599999999</v>
      </c>
      <c r="H658" s="354">
        <f t="shared" si="341"/>
        <v>529458.05099999998</v>
      </c>
      <c r="I658" s="354">
        <f t="shared" si="341"/>
        <v>249606.951</v>
      </c>
      <c r="J658" s="355">
        <f t="shared" si="341"/>
        <v>323649.48300000001</v>
      </c>
      <c r="K658" s="263">
        <f t="shared" ref="K658" si="342">K657*33.717</f>
        <v>121381.2</v>
      </c>
      <c r="L658" s="322">
        <f>L657*33.717</f>
        <v>313197.21299999999</v>
      </c>
      <c r="M658" s="308">
        <f>M657*33.717</f>
        <v>414550.51499999996</v>
      </c>
      <c r="N658" s="308">
        <f>N657*33.717</f>
        <v>146803.818</v>
      </c>
      <c r="O658" s="354">
        <f>O657*33.717</f>
        <v>338080.359</v>
      </c>
      <c r="P658" s="355">
        <f>P657*33.717</f>
        <v>161807.883</v>
      </c>
      <c r="Q658" s="263">
        <f t="shared" ref="Q658" si="343">Q657*33.717</f>
        <v>242762.4</v>
      </c>
      <c r="R658" s="302">
        <f>R657*33.717</f>
        <v>67434</v>
      </c>
      <c r="S658" s="354">
        <f>S657*33.717</f>
        <v>42146.25</v>
      </c>
      <c r="T658" s="70"/>
      <c r="U658" s="70"/>
      <c r="V658" s="70"/>
      <c r="W658" s="70"/>
      <c r="X658" s="70"/>
      <c r="Y658" s="70"/>
      <c r="Z658" s="70"/>
      <c r="AA658" s="939"/>
      <c r="AB658" s="293" t="s">
        <v>5</v>
      </c>
      <c r="AC658" s="300">
        <v>8492.7000000000007</v>
      </c>
      <c r="AD658" s="307">
        <v>13609.7</v>
      </c>
      <c r="AE658" s="264">
        <v>13649.2</v>
      </c>
      <c r="AH658" s="743"/>
      <c r="AI658" s="743"/>
    </row>
    <row r="659" spans="1:35" s="267" customFormat="1" ht="15.75" thickBot="1" x14ac:dyDescent="0.3">
      <c r="A659" s="939"/>
      <c r="B659" s="295" t="s">
        <v>79</v>
      </c>
      <c r="C659" s="302">
        <v>164000</v>
      </c>
      <c r="D659" s="263">
        <v>109880</v>
      </c>
      <c r="E659" s="302">
        <v>109880</v>
      </c>
      <c r="F659" s="308">
        <v>328000</v>
      </c>
      <c r="G659" s="308">
        <v>330905</v>
      </c>
      <c r="H659" s="308">
        <v>264264</v>
      </c>
      <c r="I659" s="308">
        <v>242663.6</v>
      </c>
      <c r="J659" s="375">
        <v>328000</v>
      </c>
      <c r="K659" s="263">
        <v>328000</v>
      </c>
      <c r="L659" s="302">
        <v>328000</v>
      </c>
      <c r="M659" s="308">
        <v>264264.40000000002</v>
      </c>
      <c r="N659" s="308">
        <v>328000</v>
      </c>
      <c r="O659" s="308">
        <v>352965.4</v>
      </c>
      <c r="P659" s="375">
        <v>328000</v>
      </c>
      <c r="Q659" s="263">
        <v>328000</v>
      </c>
      <c r="R659" s="322">
        <f>2*R654</f>
        <v>110302</v>
      </c>
      <c r="S659" s="263">
        <f>2*S654</f>
        <v>66181</v>
      </c>
      <c r="T659" s="70"/>
      <c r="U659" s="70"/>
      <c r="V659" s="70"/>
      <c r="W659" s="70"/>
      <c r="X659" s="70"/>
      <c r="Y659" s="70"/>
      <c r="Z659" s="70"/>
      <c r="AA659" s="940"/>
      <c r="AB659" s="344" t="s">
        <v>3</v>
      </c>
      <c r="AC659" s="301">
        <f>AC658/AC657</f>
        <v>0.92394307970147316</v>
      </c>
      <c r="AD659" s="249">
        <f>AD658/AD657</f>
        <v>0.98708994248496851</v>
      </c>
      <c r="AE659" s="348">
        <f>AE658/AE657</f>
        <v>0.9899548147986974</v>
      </c>
      <c r="AH659" s="743"/>
      <c r="AI659" s="743"/>
    </row>
    <row r="660" spans="1:35" s="267" customFormat="1" ht="15" customHeight="1" x14ac:dyDescent="0.25">
      <c r="A660" s="939"/>
      <c r="B660" s="293" t="s">
        <v>8</v>
      </c>
      <c r="C660" s="303">
        <f>SUM(C657-531)</f>
        <v>5339</v>
      </c>
      <c r="D660" s="262">
        <f>SUM(D657-650)</f>
        <v>2683</v>
      </c>
      <c r="E660" s="303">
        <f>SUM(E657-616)</f>
        <v>2714</v>
      </c>
      <c r="F660" s="309">
        <f>SUM(F657-1211)</f>
        <v>8246</v>
      </c>
      <c r="G660" s="309">
        <f>SUM(G657-4580)</f>
        <v>3848</v>
      </c>
      <c r="H660" s="309">
        <f>SUM(H657-2081)</f>
        <v>13622</v>
      </c>
      <c r="I660" s="309">
        <f>SUM(I657-(3272-2000))</f>
        <v>6131</v>
      </c>
      <c r="J660" s="316">
        <f>SUM(J657-9219)</f>
        <v>380</v>
      </c>
      <c r="K660" s="262">
        <f>SUM(K657-3600)</f>
        <v>0</v>
      </c>
      <c r="L660" s="303">
        <f>SUM(L657-909)</f>
        <v>8380</v>
      </c>
      <c r="M660" s="309">
        <f>SUM(M657-1185)</f>
        <v>11110</v>
      </c>
      <c r="N660" s="316">
        <f>SUM(N657-359)</f>
        <v>3995</v>
      </c>
      <c r="O660" s="309">
        <f>SUM(O657-(5224-2614))</f>
        <v>7417</v>
      </c>
      <c r="P660" s="316">
        <f>SUM(P657-3943)</f>
        <v>856</v>
      </c>
      <c r="Q660" s="262">
        <f>SUM(Q657-7200)</f>
        <v>0</v>
      </c>
      <c r="R660" s="323">
        <f>SUM(R657-1033)</f>
        <v>967</v>
      </c>
      <c r="S660" s="262">
        <f>SUM(S657-752)</f>
        <v>498</v>
      </c>
      <c r="T660" s="12"/>
      <c r="U660" s="70"/>
      <c r="V660" s="70"/>
      <c r="W660" s="70"/>
      <c r="X660" s="70"/>
      <c r="Y660" s="70"/>
      <c r="Z660" s="70"/>
      <c r="AA660" s="938" t="s">
        <v>192</v>
      </c>
      <c r="AB660" s="19" t="s">
        <v>4</v>
      </c>
      <c r="AC660" s="299">
        <v>97433.600000000006</v>
      </c>
      <c r="AD660" s="283">
        <v>243584.4</v>
      </c>
      <c r="AE660" s="265">
        <v>292299.3</v>
      </c>
      <c r="AH660" s="743"/>
      <c r="AI660" s="743"/>
    </row>
    <row r="661" spans="1:35" s="267" customFormat="1" x14ac:dyDescent="0.25">
      <c r="A661" s="939"/>
      <c r="B661" s="296" t="s">
        <v>77</v>
      </c>
      <c r="C661" s="302">
        <f>(C660*33.717)</f>
        <v>180015.06299999999</v>
      </c>
      <c r="D661" s="338">
        <f>(D660*33.717)</f>
        <v>90462.710999999996</v>
      </c>
      <c r="E661" s="302">
        <f>(E660*33.717)</f>
        <v>91507.937999999995</v>
      </c>
      <c r="F661" s="338">
        <f>(F660*33.717)</f>
        <v>278030.38199999998</v>
      </c>
      <c r="G661" s="280">
        <f>(G660*33.717)*2</f>
        <v>259486.03199999998</v>
      </c>
      <c r="H661" s="280">
        <f>(H660*33.717)</f>
        <v>459292.97399999999</v>
      </c>
      <c r="I661" s="280">
        <f>(I660*33.717)-(2000*33.717)</f>
        <v>139284.927</v>
      </c>
      <c r="J661" s="376">
        <f>J660*33.717</f>
        <v>12812.46</v>
      </c>
      <c r="K661" s="261">
        <f>K660*33.717</f>
        <v>0</v>
      </c>
      <c r="L661" s="304">
        <f>L660*33.717</f>
        <v>282548.45999999996</v>
      </c>
      <c r="M661" s="280">
        <f>M660*33.717</f>
        <v>374595.87</v>
      </c>
      <c r="N661" s="280">
        <f>(N660*33.717)</f>
        <v>134699.41500000001</v>
      </c>
      <c r="O661" s="280">
        <f>O660*33.717</f>
        <v>250078.989</v>
      </c>
      <c r="P661" s="376">
        <f>P660*33.717</f>
        <v>28861.752</v>
      </c>
      <c r="Q661" s="261">
        <f>Q660*33.717</f>
        <v>0</v>
      </c>
      <c r="R661" s="324">
        <f>R660*33.717</f>
        <v>32604.339</v>
      </c>
      <c r="S661" s="325">
        <f>S660*33.717</f>
        <v>16791.065999999999</v>
      </c>
      <c r="T661" s="63"/>
      <c r="U661" s="70" t="s">
        <v>177</v>
      </c>
      <c r="V661" s="70"/>
      <c r="W661" s="70"/>
      <c r="X661" s="70"/>
      <c r="Y661" s="70"/>
      <c r="Z661" s="70"/>
      <c r="AA661" s="939"/>
      <c r="AB661" s="293" t="s">
        <v>5</v>
      </c>
      <c r="AC661" s="300">
        <v>38973.199999999997</v>
      </c>
      <c r="AD661" s="307">
        <v>95002.9</v>
      </c>
      <c r="AE661" s="264">
        <v>81481.3</v>
      </c>
      <c r="AH661" s="743"/>
      <c r="AI661" s="743"/>
    </row>
    <row r="662" spans="1:35" s="267" customFormat="1" ht="15.75" thickBot="1" x14ac:dyDescent="0.3">
      <c r="A662" s="940"/>
      <c r="B662" s="294" t="s">
        <v>10</v>
      </c>
      <c r="C662" s="305">
        <f t="shared" ref="C662:J662" si="344">C661/C654</f>
        <v>1.2554034529074802</v>
      </c>
      <c r="D662" s="292">
        <f t="shared" si="344"/>
        <v>0.60101803930218622</v>
      </c>
      <c r="E662" s="310">
        <f t="shared" si="344"/>
        <v>0.60796234016628159</v>
      </c>
      <c r="F662" s="282">
        <f t="shared" si="344"/>
        <v>1.5276579277331923</v>
      </c>
      <c r="G662" s="282">
        <f t="shared" si="344"/>
        <v>1.5683415602665416</v>
      </c>
      <c r="H662" s="282">
        <f t="shared" si="344"/>
        <v>3.4760162110616655</v>
      </c>
      <c r="I662" s="282">
        <f t="shared" si="344"/>
        <v>0.81468133329745929</v>
      </c>
      <c r="J662" s="377">
        <f t="shared" si="344"/>
        <v>7.7147290518485595E-2</v>
      </c>
      <c r="K662" s="311">
        <f t="shared" ref="K662" si="345">K661/K654</f>
        <v>0</v>
      </c>
      <c r="L662" s="310">
        <f>L661/L654</f>
        <v>1.4637768809544778</v>
      </c>
      <c r="M662" s="282">
        <f>M661/M654</f>
        <v>2.8350081963366986</v>
      </c>
      <c r="N662" s="282">
        <f>N661/N654</f>
        <v>1.6282538322153899</v>
      </c>
      <c r="O662" s="260">
        <f>O661/O654</f>
        <v>0.90688832115464812</v>
      </c>
      <c r="P662" s="377">
        <f>P661/P654</f>
        <v>0.34756863642384905</v>
      </c>
      <c r="Q662" s="311">
        <f t="shared" ref="Q662" si="346">Q661/Q654</f>
        <v>0</v>
      </c>
      <c r="R662" s="305">
        <f>R661/R654</f>
        <v>0.59118309731464525</v>
      </c>
      <c r="S662" s="292">
        <f>S661/S654</f>
        <v>0.50742859733156043</v>
      </c>
      <c r="T662" s="126"/>
      <c r="U662" s="70"/>
      <c r="V662" s="70"/>
      <c r="W662" s="70"/>
      <c r="X662" s="70"/>
      <c r="Y662" s="70"/>
      <c r="Z662" s="70"/>
      <c r="AA662" s="940"/>
      <c r="AB662" s="294" t="s">
        <v>3</v>
      </c>
      <c r="AC662" s="305">
        <f>AC661/AC660</f>
        <v>0.39999753678402516</v>
      </c>
      <c r="AD662" s="278">
        <f>AD661/AD660</f>
        <v>0.39002046108043043</v>
      </c>
      <c r="AE662" s="343">
        <f>AE661/AE660</f>
        <v>0.27875981913059666</v>
      </c>
      <c r="AH662" s="743"/>
      <c r="AI662" s="743"/>
    </row>
    <row r="663" spans="1:35" s="267" customFormat="1" ht="15.75" thickBot="1" x14ac:dyDescent="0.3">
      <c r="A663" s="924">
        <v>41414</v>
      </c>
      <c r="B663" s="924"/>
      <c r="C663" s="924"/>
      <c r="D663" s="276"/>
      <c r="E663" s="276"/>
      <c r="F663" s="276"/>
      <c r="G663" s="276"/>
      <c r="H663" s="276"/>
      <c r="I663" s="11"/>
      <c r="J663" s="281"/>
      <c r="K663" s="281"/>
      <c r="L663" s="276"/>
      <c r="M663" s="276"/>
      <c r="N663" s="13"/>
      <c r="R663" s="12"/>
      <c r="S663" s="70"/>
      <c r="T663" s="70"/>
      <c r="U663" s="70"/>
      <c r="V663" s="70"/>
      <c r="W663" s="70"/>
      <c r="X663" s="70"/>
      <c r="Y663" s="70"/>
      <c r="Z663" s="70"/>
      <c r="AA663" s="941"/>
      <c r="AB663" s="942"/>
      <c r="AH663" s="743"/>
      <c r="AI663" s="743"/>
    </row>
    <row r="664" spans="1:35" s="267" customFormat="1" x14ac:dyDescent="0.25">
      <c r="A664" s="925" t="s">
        <v>1</v>
      </c>
      <c r="B664" s="926"/>
      <c r="C664" s="297" t="s">
        <v>12</v>
      </c>
      <c r="D664" s="266" t="s">
        <v>12</v>
      </c>
      <c r="E664" s="297" t="s">
        <v>13</v>
      </c>
      <c r="F664" s="277" t="s">
        <v>13</v>
      </c>
      <c r="G664" s="277" t="s">
        <v>13</v>
      </c>
      <c r="H664" s="277" t="s">
        <v>13</v>
      </c>
      <c r="I664" s="277" t="s">
        <v>13</v>
      </c>
      <c r="J664" s="266" t="s">
        <v>13</v>
      </c>
      <c r="K664" s="297" t="s">
        <v>2</v>
      </c>
      <c r="L664" s="277" t="s">
        <v>2</v>
      </c>
      <c r="M664" s="286" t="s">
        <v>2</v>
      </c>
      <c r="N664" s="277" t="s">
        <v>2</v>
      </c>
      <c r="O664" s="266" t="s">
        <v>2</v>
      </c>
      <c r="P664" s="328" t="s">
        <v>183</v>
      </c>
      <c r="Q664" s="327" t="s">
        <v>183</v>
      </c>
      <c r="R664" s="12"/>
      <c r="S664" s="70"/>
      <c r="T664" s="70"/>
      <c r="U664" s="70"/>
      <c r="V664" s="70"/>
      <c r="W664" s="70"/>
      <c r="X664" s="70"/>
      <c r="Y664" s="70"/>
      <c r="Z664" s="70"/>
      <c r="AA664" s="925" t="s">
        <v>1</v>
      </c>
      <c r="AB664" s="926"/>
      <c r="AC664" s="297" t="s">
        <v>12</v>
      </c>
      <c r="AD664" s="277" t="s">
        <v>13</v>
      </c>
      <c r="AE664" s="266" t="s">
        <v>2</v>
      </c>
      <c r="AH664" s="743"/>
      <c r="AI664" s="743"/>
    </row>
    <row r="665" spans="1:35" s="267" customFormat="1" ht="15.75" thickBot="1" x14ac:dyDescent="0.3">
      <c r="A665" s="931" t="s">
        <v>0</v>
      </c>
      <c r="B665" s="944"/>
      <c r="C665" s="298" t="s">
        <v>99</v>
      </c>
      <c r="D665" s="291" t="s">
        <v>100</v>
      </c>
      <c r="E665" s="298" t="s">
        <v>101</v>
      </c>
      <c r="F665" s="306" t="s">
        <v>102</v>
      </c>
      <c r="G665" s="306" t="s">
        <v>97</v>
      </c>
      <c r="H665" s="306" t="s">
        <v>104</v>
      </c>
      <c r="I665" s="306" t="s">
        <v>103</v>
      </c>
      <c r="J665" s="314" t="s">
        <v>178</v>
      </c>
      <c r="K665" s="298" t="s">
        <v>105</v>
      </c>
      <c r="L665" s="306" t="s">
        <v>107</v>
      </c>
      <c r="M665" s="312" t="s">
        <v>98</v>
      </c>
      <c r="N665" s="313" t="s">
        <v>106</v>
      </c>
      <c r="O665" s="291" t="s">
        <v>179</v>
      </c>
      <c r="P665" s="317" t="s">
        <v>182</v>
      </c>
      <c r="Q665" s="291" t="s">
        <v>184</v>
      </c>
      <c r="R665" s="12"/>
      <c r="S665" s="12"/>
      <c r="T665" s="12"/>
      <c r="U665" s="12"/>
      <c r="V665" s="12"/>
      <c r="W665" s="12"/>
      <c r="X665" s="12"/>
      <c r="Y665" s="12"/>
      <c r="Z665" s="12"/>
      <c r="AA665" s="931" t="s">
        <v>0</v>
      </c>
      <c r="AB665" s="944"/>
      <c r="AC665" s="298" t="s">
        <v>99</v>
      </c>
      <c r="AD665" s="306" t="s">
        <v>104</v>
      </c>
      <c r="AE665" s="291" t="s">
        <v>107</v>
      </c>
      <c r="AH665" s="743"/>
      <c r="AI665" s="743"/>
    </row>
    <row r="666" spans="1:35" s="267" customFormat="1" ht="15" customHeight="1" x14ac:dyDescent="0.25">
      <c r="A666" s="935" t="s">
        <v>9</v>
      </c>
      <c r="B666" s="19" t="s">
        <v>4</v>
      </c>
      <c r="C666" s="299">
        <v>143392.20000000001</v>
      </c>
      <c r="D666" s="265">
        <v>150515.79999999999</v>
      </c>
      <c r="E666" s="299">
        <v>150515.79999999999</v>
      </c>
      <c r="F666" s="283">
        <v>181997.8</v>
      </c>
      <c r="G666" s="283">
        <v>165452.5</v>
      </c>
      <c r="H666" s="283">
        <v>132132</v>
      </c>
      <c r="I666" s="368">
        <v>170968.6</v>
      </c>
      <c r="J666" s="265">
        <v>166077.9</v>
      </c>
      <c r="K666" s="299">
        <v>193027</v>
      </c>
      <c r="L666" s="283">
        <v>132132.20000000001</v>
      </c>
      <c r="M666" s="283">
        <v>82726.3</v>
      </c>
      <c r="N666" s="283">
        <v>275755</v>
      </c>
      <c r="O666" s="265">
        <v>83039</v>
      </c>
      <c r="P666" s="318">
        <v>55151</v>
      </c>
      <c r="Q666" s="265">
        <v>33090.5</v>
      </c>
      <c r="R666" s="70"/>
      <c r="S666" s="70"/>
      <c r="T666" s="70"/>
      <c r="U666" s="70"/>
      <c r="V666" s="70"/>
      <c r="W666" s="70"/>
      <c r="X666" s="70"/>
      <c r="Y666" s="70"/>
      <c r="Z666" s="70"/>
      <c r="AA666" s="938" t="s">
        <v>195</v>
      </c>
      <c r="AB666" s="2" t="s">
        <v>4</v>
      </c>
      <c r="AC666" s="299">
        <v>143392.20000000001</v>
      </c>
      <c r="AD666" s="283">
        <v>132132</v>
      </c>
      <c r="AE666" s="265">
        <v>132132.20000000001</v>
      </c>
      <c r="AH666" s="743"/>
      <c r="AI666" s="743"/>
    </row>
    <row r="667" spans="1:35" s="267" customFormat="1" x14ac:dyDescent="0.25">
      <c r="A667" s="936"/>
      <c r="B667" s="293" t="s">
        <v>5</v>
      </c>
      <c r="C667" s="300">
        <v>40480.199999999997</v>
      </c>
      <c r="D667" s="264">
        <v>78195.600000000006</v>
      </c>
      <c r="E667" s="300">
        <v>79699.600000000006</v>
      </c>
      <c r="F667" s="307">
        <v>159448.1</v>
      </c>
      <c r="G667" s="307">
        <v>100240</v>
      </c>
      <c r="H667" s="307">
        <v>55881.2</v>
      </c>
      <c r="I667" s="307">
        <v>85757.7</v>
      </c>
      <c r="J667" s="264">
        <v>14302.9</v>
      </c>
      <c r="K667" s="300">
        <v>159820</v>
      </c>
      <c r="L667" s="307">
        <v>63928.2</v>
      </c>
      <c r="M667" s="307">
        <v>51501.3</v>
      </c>
      <c r="N667" s="307">
        <v>156601.79999999999</v>
      </c>
      <c r="O667" s="264">
        <v>7253.4</v>
      </c>
      <c r="P667" s="319">
        <v>7383.1</v>
      </c>
      <c r="Q667" s="264">
        <v>4454.3</v>
      </c>
      <c r="R667" s="70"/>
      <c r="S667" s="70"/>
      <c r="T667" s="70"/>
      <c r="U667" s="70"/>
      <c r="V667" s="70"/>
      <c r="W667" s="70"/>
      <c r="X667" s="70"/>
      <c r="Y667" s="70"/>
      <c r="Z667" s="70"/>
      <c r="AA667" s="939"/>
      <c r="AB667" s="342" t="s">
        <v>5</v>
      </c>
      <c r="AC667" s="300">
        <v>43218.8</v>
      </c>
      <c r="AD667" s="307">
        <v>50784</v>
      </c>
      <c r="AE667" s="264">
        <v>65202.6</v>
      </c>
      <c r="AH667" s="743"/>
      <c r="AI667" s="743"/>
    </row>
    <row r="668" spans="1:35" s="267" customFormat="1" ht="15.75" thickBot="1" x14ac:dyDescent="0.3">
      <c r="A668" s="937"/>
      <c r="B668" s="294" t="s">
        <v>3</v>
      </c>
      <c r="C668" s="305">
        <f t="shared" ref="C668" si="347">C667/C666</f>
        <v>0.28230405837974448</v>
      </c>
      <c r="D668" s="343">
        <f t="shared" ref="D668" si="348">D667/D666</f>
        <v>0.51951755231012298</v>
      </c>
      <c r="E668" s="305">
        <f t="shared" ref="E668" si="349">E667/E666</f>
        <v>0.52950985876565793</v>
      </c>
      <c r="F668" s="371">
        <f t="shared" ref="F668" si="350">F667/F666</f>
        <v>0.87609905174677949</v>
      </c>
      <c r="G668" s="278">
        <f t="shared" ref="G668" si="351">G667/G666</f>
        <v>0.60585364379504691</v>
      </c>
      <c r="H668" s="278">
        <f t="shared" ref="H668" si="352">H667/H666</f>
        <v>0.42291950473768652</v>
      </c>
      <c r="I668" s="278">
        <f t="shared" ref="I668" si="353">I667/I666</f>
        <v>0.50159912404967921</v>
      </c>
      <c r="J668" s="292">
        <f t="shared" ref="J668" si="354">J667/J666</f>
        <v>8.6121633281731044E-2</v>
      </c>
      <c r="K668" s="372">
        <f t="shared" ref="K668" si="355">K667/K666</f>
        <v>0.82796707196402575</v>
      </c>
      <c r="L668" s="278">
        <f t="shared" ref="L668" si="356">L667/L666</f>
        <v>0.48381999240154927</v>
      </c>
      <c r="M668" s="315">
        <f t="shared" ref="M668" si="357">M667/M666</f>
        <v>0.62255050691255387</v>
      </c>
      <c r="N668" s="278">
        <f t="shared" ref="N668" si="358">N667/N666</f>
        <v>0.5679019419412159</v>
      </c>
      <c r="O668" s="292">
        <f t="shared" ref="O668" si="359">O667/O666</f>
        <v>8.734931779043581E-2</v>
      </c>
      <c r="P668" s="320">
        <f t="shared" ref="P668" si="360">P667/P666</f>
        <v>0.13387064604449603</v>
      </c>
      <c r="Q668" s="292">
        <f t="shared" ref="Q668" si="361">Q667/Q666</f>
        <v>0.13460963116302263</v>
      </c>
      <c r="R668" s="70"/>
      <c r="S668" s="70"/>
      <c r="T668" s="70"/>
      <c r="U668" s="70"/>
      <c r="V668" s="70"/>
      <c r="W668" s="70"/>
      <c r="X668" s="70"/>
      <c r="Y668" s="70"/>
      <c r="Z668" s="70"/>
      <c r="AA668" s="940"/>
      <c r="AB668" s="347" t="s">
        <v>3</v>
      </c>
      <c r="AC668" s="301">
        <f>AC667/AC666</f>
        <v>0.30140272622918124</v>
      </c>
      <c r="AD668" s="278">
        <f>AD667/AD666</f>
        <v>0.38434292979747525</v>
      </c>
      <c r="AE668" s="292">
        <f>AE667/AE666</f>
        <v>0.49346487835667607</v>
      </c>
      <c r="AH668" s="743"/>
      <c r="AI668" s="743"/>
    </row>
    <row r="669" spans="1:35" s="267" customFormat="1" ht="15" customHeight="1" x14ac:dyDescent="0.25">
      <c r="A669" s="938" t="s">
        <v>6</v>
      </c>
      <c r="B669" s="19" t="s">
        <v>7</v>
      </c>
      <c r="C669" s="297">
        <v>5870</v>
      </c>
      <c r="D669" s="266">
        <v>3333</v>
      </c>
      <c r="E669" s="297">
        <v>3330</v>
      </c>
      <c r="F669" s="277">
        <v>9457</v>
      </c>
      <c r="G669" s="357">
        <v>8428</v>
      </c>
      <c r="H669" s="277">
        <v>15703</v>
      </c>
      <c r="I669" s="277">
        <v>7403</v>
      </c>
      <c r="J669" s="266">
        <v>9599</v>
      </c>
      <c r="K669" s="297">
        <v>9289</v>
      </c>
      <c r="L669" s="277">
        <v>12295</v>
      </c>
      <c r="M669" s="357">
        <v>4354</v>
      </c>
      <c r="N669" s="277">
        <v>10027</v>
      </c>
      <c r="O669" s="266">
        <v>4799</v>
      </c>
      <c r="P669" s="321">
        <v>2000</v>
      </c>
      <c r="Q669" s="266">
        <v>1250</v>
      </c>
      <c r="R669" s="358" t="s">
        <v>198</v>
      </c>
      <c r="S669" s="126"/>
      <c r="T669" s="70"/>
      <c r="U669" s="70"/>
      <c r="V669" s="70"/>
      <c r="W669" s="70"/>
      <c r="X669" s="70"/>
      <c r="Y669" s="70"/>
      <c r="Z669" s="70"/>
      <c r="AA669" s="938" t="s">
        <v>191</v>
      </c>
      <c r="AB669" s="19" t="s">
        <v>4</v>
      </c>
      <c r="AC669" s="299">
        <v>9191.7999999999993</v>
      </c>
      <c r="AD669" s="283">
        <v>13787.7</v>
      </c>
      <c r="AE669" s="265">
        <v>13787.7</v>
      </c>
      <c r="AH669" s="743"/>
      <c r="AI669" s="743"/>
    </row>
    <row r="670" spans="1:35" s="267" customFormat="1" x14ac:dyDescent="0.25">
      <c r="A670" s="939"/>
      <c r="B670" s="295" t="s">
        <v>11</v>
      </c>
      <c r="C670" s="302">
        <f t="shared" ref="C670:Q670" si="362">C669*33.717</f>
        <v>197918.78999999998</v>
      </c>
      <c r="D670" s="263">
        <f t="shared" si="362"/>
        <v>112378.761</v>
      </c>
      <c r="E670" s="302">
        <f t="shared" si="362"/>
        <v>112277.61</v>
      </c>
      <c r="F670" s="355">
        <f t="shared" si="362"/>
        <v>318861.66899999999</v>
      </c>
      <c r="G670" s="308">
        <f t="shared" si="362"/>
        <v>284166.87599999999</v>
      </c>
      <c r="H670" s="354">
        <f t="shared" si="362"/>
        <v>529458.05099999998</v>
      </c>
      <c r="I670" s="354">
        <f t="shared" si="362"/>
        <v>249606.951</v>
      </c>
      <c r="J670" s="354">
        <f t="shared" si="362"/>
        <v>323649.48300000001</v>
      </c>
      <c r="K670" s="322">
        <f t="shared" si="362"/>
        <v>313197.21299999999</v>
      </c>
      <c r="L670" s="308">
        <f t="shared" si="362"/>
        <v>414550.51499999996</v>
      </c>
      <c r="M670" s="308">
        <f t="shared" si="362"/>
        <v>146803.818</v>
      </c>
      <c r="N670" s="354">
        <f t="shared" si="362"/>
        <v>338080.359</v>
      </c>
      <c r="O670" s="354">
        <f t="shared" si="362"/>
        <v>161807.883</v>
      </c>
      <c r="P670" s="302">
        <f t="shared" si="362"/>
        <v>67434</v>
      </c>
      <c r="Q670" s="354">
        <f t="shared" si="362"/>
        <v>42146.25</v>
      </c>
      <c r="R670" s="70"/>
      <c r="S670" s="70"/>
      <c r="T670" s="70"/>
      <c r="U670" s="70"/>
      <c r="V670" s="70"/>
      <c r="W670" s="70"/>
      <c r="X670" s="70"/>
      <c r="Y670" s="70"/>
      <c r="Z670" s="70"/>
      <c r="AA670" s="939"/>
      <c r="AB670" s="293" t="s">
        <v>5</v>
      </c>
      <c r="AC670" s="300">
        <v>8148.7</v>
      </c>
      <c r="AD670" s="307">
        <v>13638.2</v>
      </c>
      <c r="AE670" s="264">
        <v>13648.9</v>
      </c>
      <c r="AH670" s="743"/>
      <c r="AI670" s="743"/>
    </row>
    <row r="671" spans="1:35" s="267" customFormat="1" ht="15.75" thickBot="1" x14ac:dyDescent="0.3">
      <c r="A671" s="939"/>
      <c r="B671" s="295" t="s">
        <v>79</v>
      </c>
      <c r="C671" s="302">
        <v>164000</v>
      </c>
      <c r="D671" s="263">
        <v>109880</v>
      </c>
      <c r="E671" s="302">
        <v>109880</v>
      </c>
      <c r="F671" s="308">
        <v>328000</v>
      </c>
      <c r="G671" s="308">
        <v>330905</v>
      </c>
      <c r="H671" s="308">
        <v>264264</v>
      </c>
      <c r="I671" s="308">
        <v>242663.6</v>
      </c>
      <c r="J671" s="263">
        <v>328000</v>
      </c>
      <c r="K671" s="302">
        <v>328000</v>
      </c>
      <c r="L671" s="308">
        <v>264264.40000000002</v>
      </c>
      <c r="M671" s="308">
        <v>328000</v>
      </c>
      <c r="N671" s="308">
        <v>352965.4</v>
      </c>
      <c r="O671" s="263">
        <v>328000</v>
      </c>
      <c r="P671" s="322">
        <f>2*P666</f>
        <v>110302</v>
      </c>
      <c r="Q671" s="263">
        <f>2*Q666</f>
        <v>66181</v>
      </c>
      <c r="R671" s="70"/>
      <c r="S671" s="70"/>
      <c r="T671" s="70"/>
      <c r="U671" s="70"/>
      <c r="V671" s="70"/>
      <c r="W671" s="70"/>
      <c r="X671" s="70"/>
      <c r="Y671" s="70"/>
      <c r="Z671" s="70"/>
      <c r="AA671" s="940"/>
      <c r="AB671" s="344" t="s">
        <v>3</v>
      </c>
      <c r="AC671" s="301">
        <f>AC670/AC669</f>
        <v>0.88651841859048286</v>
      </c>
      <c r="AD671" s="249">
        <f>AD670/AD669</f>
        <v>0.98915700225563363</v>
      </c>
      <c r="AE671" s="348">
        <f>AE670/AE669</f>
        <v>0.98993305627479555</v>
      </c>
      <c r="AH671" s="743"/>
      <c r="AI671" s="743"/>
    </row>
    <row r="672" spans="1:35" s="267" customFormat="1" ht="15" customHeight="1" x14ac:dyDescent="0.25">
      <c r="A672" s="939"/>
      <c r="B672" s="293" t="s">
        <v>8</v>
      </c>
      <c r="C672" s="303">
        <f>SUM(C669-533)</f>
        <v>5337</v>
      </c>
      <c r="D672" s="262">
        <f>SUM(D669-680)</f>
        <v>2653</v>
      </c>
      <c r="E672" s="303">
        <f>SUM(E669-646)</f>
        <v>2684</v>
      </c>
      <c r="F672" s="309">
        <f>SUM(F669-1211)</f>
        <v>8246</v>
      </c>
      <c r="G672" s="309">
        <f>SUM(G669-4603)</f>
        <v>3825</v>
      </c>
      <c r="H672" s="309">
        <f>SUM(H669-2081)</f>
        <v>13622</v>
      </c>
      <c r="I672" s="309">
        <f>SUM(I669-(3272-2000))</f>
        <v>6131</v>
      </c>
      <c r="J672" s="262">
        <f>SUM(J669-9219)</f>
        <v>380</v>
      </c>
      <c r="K672" s="303">
        <f>SUM(K669-909)</f>
        <v>8380</v>
      </c>
      <c r="L672" s="309">
        <f>SUM(L669-1248)</f>
        <v>11047</v>
      </c>
      <c r="M672" s="316">
        <f>SUM(M669-382)</f>
        <v>3972</v>
      </c>
      <c r="N672" s="309">
        <f>SUM(N669-(5224-2614))</f>
        <v>7417</v>
      </c>
      <c r="O672" s="262">
        <f>SUM(O669-3944)</f>
        <v>855</v>
      </c>
      <c r="P672" s="323">
        <f>SUM(P669-1033)</f>
        <v>967</v>
      </c>
      <c r="Q672" s="262">
        <f>SUM(Q669-752)</f>
        <v>498</v>
      </c>
      <c r="R672" s="12" t="s">
        <v>176</v>
      </c>
      <c r="S672" s="70"/>
      <c r="T672" s="70"/>
      <c r="U672" s="70"/>
      <c r="V672" s="70"/>
      <c r="W672" s="70"/>
      <c r="X672" s="70"/>
      <c r="Y672" s="70"/>
      <c r="Z672" s="70"/>
      <c r="AA672" s="938" t="s">
        <v>192</v>
      </c>
      <c r="AB672" s="19" t="s">
        <v>4</v>
      </c>
      <c r="AC672" s="299">
        <v>97433.600000000006</v>
      </c>
      <c r="AD672" s="283">
        <v>243584.4</v>
      </c>
      <c r="AE672" s="265">
        <v>292299.3</v>
      </c>
      <c r="AH672" s="743"/>
      <c r="AI672" s="743"/>
    </row>
    <row r="673" spans="1:35" s="267" customFormat="1" x14ac:dyDescent="0.25">
      <c r="A673" s="939"/>
      <c r="B673" s="296" t="s">
        <v>77</v>
      </c>
      <c r="C673" s="302">
        <f>(C672*33.717)</f>
        <v>179947.62899999999</v>
      </c>
      <c r="D673" s="338">
        <f>(D672*33.717)</f>
        <v>89451.201000000001</v>
      </c>
      <c r="E673" s="302">
        <f>(E672*33.717)</f>
        <v>90496.428</v>
      </c>
      <c r="F673" s="338">
        <f>(F672*33.717)</f>
        <v>278030.38199999998</v>
      </c>
      <c r="G673" s="280">
        <f>(G672*33.717)*2</f>
        <v>257935.05</v>
      </c>
      <c r="H673" s="280">
        <f>(H672*33.717)</f>
        <v>459292.97399999999</v>
      </c>
      <c r="I673" s="280">
        <f>(I672*33.717)-(2000*33.717)</f>
        <v>139284.927</v>
      </c>
      <c r="J673" s="261">
        <f>J672*33.717</f>
        <v>12812.46</v>
      </c>
      <c r="K673" s="304">
        <f>K672*33.717</f>
        <v>282548.45999999996</v>
      </c>
      <c r="L673" s="280">
        <f>L672*33.717</f>
        <v>372471.69899999996</v>
      </c>
      <c r="M673" s="280">
        <f>(M672*33.717)</f>
        <v>133923.924</v>
      </c>
      <c r="N673" s="280">
        <f>N672*33.717</f>
        <v>250078.989</v>
      </c>
      <c r="O673" s="261">
        <f>O672*33.717</f>
        <v>28828.035</v>
      </c>
      <c r="P673" s="324">
        <f>P672*33.717</f>
        <v>32604.339</v>
      </c>
      <c r="Q673" s="325">
        <f>Q672*33.717</f>
        <v>16791.065999999999</v>
      </c>
      <c r="R673" s="63">
        <f>344240-H673</f>
        <v>-115052.97399999999</v>
      </c>
      <c r="S673" s="70" t="s">
        <v>177</v>
      </c>
      <c r="T673" s="70"/>
      <c r="U673" s="70"/>
      <c r="V673" s="70"/>
      <c r="W673" s="70"/>
      <c r="X673" s="70"/>
      <c r="Y673" s="70"/>
      <c r="Z673" s="70"/>
      <c r="AA673" s="939"/>
      <c r="AB673" s="293" t="s">
        <v>5</v>
      </c>
      <c r="AC673" s="300">
        <v>70245.5</v>
      </c>
      <c r="AD673" s="307">
        <v>90695.9</v>
      </c>
      <c r="AE673" s="264">
        <v>76505.7</v>
      </c>
      <c r="AH673" s="743"/>
      <c r="AI673" s="743"/>
    </row>
    <row r="674" spans="1:35" s="267" customFormat="1" ht="15.75" thickBot="1" x14ac:dyDescent="0.3">
      <c r="A674" s="940"/>
      <c r="B674" s="294" t="s">
        <v>10</v>
      </c>
      <c r="C674" s="305">
        <f t="shared" ref="C674:Q674" si="363">C673/C666</f>
        <v>1.2549331762815548</v>
      </c>
      <c r="D674" s="292">
        <f t="shared" si="363"/>
        <v>0.59429774814338432</v>
      </c>
      <c r="E674" s="310">
        <f t="shared" si="363"/>
        <v>0.60124204900747968</v>
      </c>
      <c r="F674" s="282">
        <f t="shared" si="363"/>
        <v>1.5276579277331923</v>
      </c>
      <c r="G674" s="282">
        <f t="shared" si="363"/>
        <v>1.5589673773439505</v>
      </c>
      <c r="H674" s="282">
        <f t="shared" si="363"/>
        <v>3.4760162110616655</v>
      </c>
      <c r="I674" s="282">
        <f t="shared" si="363"/>
        <v>0.81468133329745929</v>
      </c>
      <c r="J674" s="311">
        <f t="shared" si="363"/>
        <v>7.7147290518485595E-2</v>
      </c>
      <c r="K674" s="310">
        <f t="shared" si="363"/>
        <v>1.4637768809544778</v>
      </c>
      <c r="L674" s="282">
        <f t="shared" si="363"/>
        <v>2.8189320922530614</v>
      </c>
      <c r="M674" s="282">
        <f t="shared" si="363"/>
        <v>1.6188796549585802</v>
      </c>
      <c r="N674" s="260">
        <f t="shared" si="363"/>
        <v>0.90688832115464812</v>
      </c>
      <c r="O674" s="311">
        <f t="shared" si="363"/>
        <v>0.34716259829718565</v>
      </c>
      <c r="P674" s="305">
        <f t="shared" si="363"/>
        <v>0.59118309731464525</v>
      </c>
      <c r="Q674" s="292">
        <f t="shared" si="363"/>
        <v>0.50742859733156043</v>
      </c>
      <c r="R674" s="126"/>
      <c r="S674" s="70"/>
      <c r="T674" s="70"/>
      <c r="U674" s="70"/>
      <c r="V674" s="70"/>
      <c r="W674" s="70"/>
      <c r="X674" s="70"/>
      <c r="Y674" s="70"/>
      <c r="Z674" s="70"/>
      <c r="AA674" s="940"/>
      <c r="AB674" s="294" t="s">
        <v>3</v>
      </c>
      <c r="AC674" s="305">
        <f>AC673/AC672</f>
        <v>0.72095765731739359</v>
      </c>
      <c r="AD674" s="278">
        <f>AD673/AD672</f>
        <v>0.37233870477748165</v>
      </c>
      <c r="AE674" s="343">
        <f>AE673/AE672</f>
        <v>0.26173754093834639</v>
      </c>
      <c r="AH674" s="743"/>
      <c r="AI674" s="743"/>
    </row>
    <row r="675" spans="1:35" s="267" customFormat="1" ht="15.75" thickBot="1" x14ac:dyDescent="0.3">
      <c r="A675" s="924">
        <v>41408</v>
      </c>
      <c r="B675" s="924"/>
      <c r="C675" s="924"/>
      <c r="D675" s="276"/>
      <c r="E675" s="276"/>
      <c r="F675" s="276"/>
      <c r="G675" s="276"/>
      <c r="H675" s="276"/>
      <c r="I675" s="11"/>
      <c r="J675" s="281"/>
      <c r="K675" s="281"/>
      <c r="L675" s="276"/>
      <c r="M675" s="276"/>
      <c r="N675" s="13"/>
      <c r="R675" s="12"/>
      <c r="S675" s="70"/>
      <c r="T675" s="70"/>
      <c r="U675" s="70"/>
      <c r="V675" s="70"/>
      <c r="W675" s="70"/>
      <c r="X675" s="70"/>
      <c r="Y675" s="70"/>
      <c r="Z675" s="70"/>
      <c r="AA675" s="941"/>
      <c r="AB675" s="942"/>
      <c r="AH675" s="743"/>
      <c r="AI675" s="743"/>
    </row>
    <row r="676" spans="1:35" s="267" customFormat="1" x14ac:dyDescent="0.25">
      <c r="A676" s="925" t="s">
        <v>1</v>
      </c>
      <c r="B676" s="926"/>
      <c r="C676" s="297" t="s">
        <v>12</v>
      </c>
      <c r="D676" s="266" t="s">
        <v>12</v>
      </c>
      <c r="E676" s="297" t="s">
        <v>13</v>
      </c>
      <c r="F676" s="277" t="s">
        <v>13</v>
      </c>
      <c r="G676" s="277" t="s">
        <v>13</v>
      </c>
      <c r="H676" s="277" t="s">
        <v>13</v>
      </c>
      <c r="I676" s="277" t="s">
        <v>13</v>
      </c>
      <c r="J676" s="266" t="s">
        <v>13</v>
      </c>
      <c r="K676" s="297" t="s">
        <v>2</v>
      </c>
      <c r="L676" s="277" t="s">
        <v>2</v>
      </c>
      <c r="M676" s="286" t="s">
        <v>2</v>
      </c>
      <c r="N676" s="277" t="s">
        <v>2</v>
      </c>
      <c r="O676" s="266" t="s">
        <v>2</v>
      </c>
      <c r="P676" s="328" t="s">
        <v>183</v>
      </c>
      <c r="Q676" s="327" t="s">
        <v>183</v>
      </c>
      <c r="R676" s="12"/>
      <c r="S676" s="70"/>
      <c r="T676" s="70"/>
      <c r="U676" s="70"/>
      <c r="V676" s="70"/>
      <c r="W676" s="70"/>
      <c r="X676" s="70"/>
      <c r="Y676" s="70"/>
      <c r="Z676" s="70"/>
      <c r="AA676" s="925" t="s">
        <v>1</v>
      </c>
      <c r="AB676" s="926"/>
      <c r="AC676" s="297" t="s">
        <v>12</v>
      </c>
      <c r="AD676" s="277" t="s">
        <v>13</v>
      </c>
      <c r="AE676" s="266" t="s">
        <v>2</v>
      </c>
      <c r="AH676" s="743"/>
      <c r="AI676" s="743"/>
    </row>
    <row r="677" spans="1:35" s="267" customFormat="1" ht="15.75" thickBot="1" x14ac:dyDescent="0.3">
      <c r="A677" s="931" t="s">
        <v>0</v>
      </c>
      <c r="B677" s="944"/>
      <c r="C677" s="298" t="s">
        <v>99</v>
      </c>
      <c r="D677" s="291" t="s">
        <v>100</v>
      </c>
      <c r="E677" s="298" t="s">
        <v>101</v>
      </c>
      <c r="F677" s="306" t="s">
        <v>102</v>
      </c>
      <c r="G677" s="306" t="s">
        <v>97</v>
      </c>
      <c r="H677" s="306" t="s">
        <v>104</v>
      </c>
      <c r="I677" s="306" t="s">
        <v>103</v>
      </c>
      <c r="J677" s="314" t="s">
        <v>178</v>
      </c>
      <c r="K677" s="298" t="s">
        <v>105</v>
      </c>
      <c r="L677" s="306" t="s">
        <v>107</v>
      </c>
      <c r="M677" s="312" t="s">
        <v>98</v>
      </c>
      <c r="N677" s="313" t="s">
        <v>106</v>
      </c>
      <c r="O677" s="291" t="s">
        <v>179</v>
      </c>
      <c r="P677" s="317" t="s">
        <v>182</v>
      </c>
      <c r="Q677" s="291" t="s">
        <v>184</v>
      </c>
      <c r="R677" s="12"/>
      <c r="S677" s="12"/>
      <c r="T677" s="12"/>
      <c r="U677" s="12"/>
      <c r="V677" s="12"/>
      <c r="W677" s="12"/>
      <c r="X677" s="12"/>
      <c r="Y677" s="12"/>
      <c r="Z677" s="12"/>
      <c r="AA677" s="931" t="s">
        <v>0</v>
      </c>
      <c r="AB677" s="944"/>
      <c r="AC677" s="298" t="s">
        <v>99</v>
      </c>
      <c r="AD677" s="306" t="s">
        <v>104</v>
      </c>
      <c r="AE677" s="291" t="s">
        <v>107</v>
      </c>
      <c r="AH677" s="743"/>
      <c r="AI677" s="743"/>
    </row>
    <row r="678" spans="1:35" s="267" customFormat="1" ht="15" customHeight="1" x14ac:dyDescent="0.25">
      <c r="A678" s="935" t="s">
        <v>9</v>
      </c>
      <c r="B678" s="19" t="s">
        <v>4</v>
      </c>
      <c r="C678" s="299">
        <v>143392.20000000001</v>
      </c>
      <c r="D678" s="265">
        <v>150515.79999999999</v>
      </c>
      <c r="E678" s="299">
        <v>150515.79999999999</v>
      </c>
      <c r="F678" s="283">
        <v>181997.8</v>
      </c>
      <c r="G678" s="283">
        <v>165452.5</v>
      </c>
      <c r="H678" s="283">
        <v>132132</v>
      </c>
      <c r="I678" s="368">
        <v>170968.6</v>
      </c>
      <c r="J678" s="265">
        <v>166077.9</v>
      </c>
      <c r="K678" s="299">
        <v>193027</v>
      </c>
      <c r="L678" s="283">
        <v>132132.20000000001</v>
      </c>
      <c r="M678" s="283">
        <v>82726.3</v>
      </c>
      <c r="N678" s="283">
        <v>275755</v>
      </c>
      <c r="O678" s="265">
        <v>83039</v>
      </c>
      <c r="P678" s="318">
        <v>55151</v>
      </c>
      <c r="Q678" s="265">
        <v>33090.5</v>
      </c>
      <c r="R678" s="70"/>
      <c r="S678" s="70"/>
      <c r="T678" s="70"/>
      <c r="U678" s="70"/>
      <c r="V678" s="70"/>
      <c r="W678" s="70"/>
      <c r="X678" s="70"/>
      <c r="Y678" s="70"/>
      <c r="Z678" s="70"/>
      <c r="AA678" s="938" t="s">
        <v>195</v>
      </c>
      <c r="AB678" s="2" t="s">
        <v>4</v>
      </c>
      <c r="AC678" s="299">
        <v>143392.20000000001</v>
      </c>
      <c r="AD678" s="283">
        <v>132132</v>
      </c>
      <c r="AE678" s="265">
        <v>132132.20000000001</v>
      </c>
      <c r="AH678" s="743"/>
      <c r="AI678" s="743"/>
    </row>
    <row r="679" spans="1:35" s="267" customFormat="1" x14ac:dyDescent="0.25">
      <c r="A679" s="936"/>
      <c r="B679" s="293" t="s">
        <v>5</v>
      </c>
      <c r="C679" s="300">
        <v>39928.699999999997</v>
      </c>
      <c r="D679" s="264">
        <v>78104.2</v>
      </c>
      <c r="E679" s="300">
        <v>79624.899999999994</v>
      </c>
      <c r="F679" s="307">
        <v>159191.29999999999</v>
      </c>
      <c r="G679" s="307">
        <v>99448.8</v>
      </c>
      <c r="H679" s="307">
        <v>55753.4</v>
      </c>
      <c r="I679" s="307">
        <v>85361.2</v>
      </c>
      <c r="J679" s="264">
        <v>14178.6</v>
      </c>
      <c r="K679" s="300">
        <v>159241.29999999999</v>
      </c>
      <c r="L679" s="307">
        <v>64008.2</v>
      </c>
      <c r="M679" s="307">
        <v>51122.2</v>
      </c>
      <c r="N679" s="307">
        <v>155906.6</v>
      </c>
      <c r="O679" s="264">
        <v>7191.3</v>
      </c>
      <c r="P679" s="319">
        <v>7051.7</v>
      </c>
      <c r="Q679" s="264">
        <v>3991</v>
      </c>
      <c r="R679" s="70"/>
      <c r="S679" s="70"/>
      <c r="T679" s="70"/>
      <c r="U679" s="70"/>
      <c r="V679" s="70"/>
      <c r="W679" s="70"/>
      <c r="X679" s="70"/>
      <c r="Y679" s="70"/>
      <c r="Z679" s="70"/>
      <c r="AA679" s="939"/>
      <c r="AB679" s="342" t="s">
        <v>5</v>
      </c>
      <c r="AC679" s="300">
        <v>43218.8</v>
      </c>
      <c r="AD679" s="307">
        <v>50784</v>
      </c>
      <c r="AE679" s="264">
        <v>65202.6</v>
      </c>
      <c r="AH679" s="743"/>
      <c r="AI679" s="743"/>
    </row>
    <row r="680" spans="1:35" s="267" customFormat="1" ht="15.75" thickBot="1" x14ac:dyDescent="0.3">
      <c r="A680" s="937"/>
      <c r="B680" s="294" t="s">
        <v>3</v>
      </c>
      <c r="C680" s="305">
        <f t="shared" ref="C680:Q680" si="364">C679/C678</f>
        <v>0.27845796354334473</v>
      </c>
      <c r="D680" s="343">
        <f t="shared" si="364"/>
        <v>0.5189103070906842</v>
      </c>
      <c r="E680" s="305">
        <f t="shared" si="364"/>
        <v>0.52901356535327193</v>
      </c>
      <c r="F680" s="278">
        <f t="shared" si="364"/>
        <v>0.87468804567967307</v>
      </c>
      <c r="G680" s="278">
        <f t="shared" si="364"/>
        <v>0.6010716066544779</v>
      </c>
      <c r="H680" s="278">
        <f t="shared" si="364"/>
        <v>0.42195229013410834</v>
      </c>
      <c r="I680" s="278">
        <f t="shared" si="364"/>
        <v>0.49927998474573693</v>
      </c>
      <c r="J680" s="292">
        <f t="shared" si="364"/>
        <v>8.5373189328622298E-2</v>
      </c>
      <c r="K680" s="305">
        <f t="shared" si="364"/>
        <v>0.82496904578116004</v>
      </c>
      <c r="L680" s="278">
        <f t="shared" si="364"/>
        <v>0.48442544663602055</v>
      </c>
      <c r="M680" s="315">
        <f t="shared" si="364"/>
        <v>0.61796792555692681</v>
      </c>
      <c r="N680" s="278">
        <f t="shared" si="364"/>
        <v>0.56538086344762561</v>
      </c>
      <c r="O680" s="292">
        <f t="shared" si="364"/>
        <v>8.6601476414696704E-2</v>
      </c>
      <c r="P680" s="320">
        <f t="shared" si="364"/>
        <v>0.12786168881797247</v>
      </c>
      <c r="Q680" s="292">
        <f t="shared" si="364"/>
        <v>0.12060863389794654</v>
      </c>
      <c r="R680" s="70"/>
      <c r="S680" s="70"/>
      <c r="T680" s="70"/>
      <c r="U680" s="70"/>
      <c r="V680" s="70"/>
      <c r="W680" s="70"/>
      <c r="X680" s="70"/>
      <c r="Y680" s="70"/>
      <c r="Z680" s="70"/>
      <c r="AA680" s="940"/>
      <c r="AB680" s="347" t="s">
        <v>3</v>
      </c>
      <c r="AC680" s="301">
        <f>AC679/AC678</f>
        <v>0.30140272622918124</v>
      </c>
      <c r="AD680" s="278">
        <f>AD679/AD678</f>
        <v>0.38434292979747525</v>
      </c>
      <c r="AE680" s="292">
        <f>AE679/AE678</f>
        <v>0.49346487835667607</v>
      </c>
      <c r="AH680" s="743"/>
      <c r="AI680" s="743"/>
    </row>
    <row r="681" spans="1:35" s="267" customFormat="1" ht="15" customHeight="1" x14ac:dyDescent="0.25">
      <c r="A681" s="938" t="s">
        <v>6</v>
      </c>
      <c r="B681" s="19" t="s">
        <v>7</v>
      </c>
      <c r="C681" s="297">
        <v>5870</v>
      </c>
      <c r="D681" s="266">
        <v>3333</v>
      </c>
      <c r="E681" s="297">
        <v>3330</v>
      </c>
      <c r="F681" s="277">
        <v>9457</v>
      </c>
      <c r="G681" s="277">
        <v>8210</v>
      </c>
      <c r="H681" s="277">
        <v>15703</v>
      </c>
      <c r="I681" s="277">
        <v>7403</v>
      </c>
      <c r="J681" s="266">
        <v>9599</v>
      </c>
      <c r="K681" s="297">
        <v>9289</v>
      </c>
      <c r="L681" s="277">
        <v>12295</v>
      </c>
      <c r="M681" s="277">
        <v>4145</v>
      </c>
      <c r="N681" s="277">
        <v>10027</v>
      </c>
      <c r="O681" s="266">
        <v>4799</v>
      </c>
      <c r="P681" s="321">
        <v>2000</v>
      </c>
      <c r="Q681" s="266">
        <v>1250</v>
      </c>
      <c r="R681" s="358" t="s">
        <v>198</v>
      </c>
      <c r="S681" s="126"/>
      <c r="T681" s="70"/>
      <c r="U681" s="70"/>
      <c r="V681" s="70"/>
      <c r="W681" s="70"/>
      <c r="X681" s="70"/>
      <c r="Y681" s="70"/>
      <c r="Z681" s="70"/>
      <c r="AA681" s="938" t="s">
        <v>191</v>
      </c>
      <c r="AB681" s="19" t="s">
        <v>4</v>
      </c>
      <c r="AC681" s="299">
        <v>9191.7999999999993</v>
      </c>
      <c r="AD681" s="283">
        <v>13787.7</v>
      </c>
      <c r="AE681" s="265">
        <v>13787.7</v>
      </c>
      <c r="AH681" s="743"/>
      <c r="AI681" s="743"/>
    </row>
    <row r="682" spans="1:35" s="267" customFormat="1" x14ac:dyDescent="0.25">
      <c r="A682" s="939"/>
      <c r="B682" s="295" t="s">
        <v>11</v>
      </c>
      <c r="C682" s="302">
        <f t="shared" ref="C682:Q682" si="365">C681*33.717</f>
        <v>197918.78999999998</v>
      </c>
      <c r="D682" s="263">
        <f t="shared" si="365"/>
        <v>112378.761</v>
      </c>
      <c r="E682" s="302">
        <f t="shared" si="365"/>
        <v>112277.61</v>
      </c>
      <c r="F682" s="355">
        <f t="shared" si="365"/>
        <v>318861.66899999999</v>
      </c>
      <c r="G682" s="308">
        <f t="shared" si="365"/>
        <v>276816.57</v>
      </c>
      <c r="H682" s="354">
        <f t="shared" si="365"/>
        <v>529458.05099999998</v>
      </c>
      <c r="I682" s="354">
        <f t="shared" si="365"/>
        <v>249606.951</v>
      </c>
      <c r="J682" s="354">
        <f t="shared" si="365"/>
        <v>323649.48300000001</v>
      </c>
      <c r="K682" s="322">
        <f t="shared" si="365"/>
        <v>313197.21299999999</v>
      </c>
      <c r="L682" s="308">
        <f t="shared" si="365"/>
        <v>414550.51499999996</v>
      </c>
      <c r="M682" s="308">
        <f t="shared" si="365"/>
        <v>139756.965</v>
      </c>
      <c r="N682" s="354">
        <f t="shared" si="365"/>
        <v>338080.359</v>
      </c>
      <c r="O682" s="354">
        <f t="shared" si="365"/>
        <v>161807.883</v>
      </c>
      <c r="P682" s="302">
        <f t="shared" si="365"/>
        <v>67434</v>
      </c>
      <c r="Q682" s="354">
        <f t="shared" si="365"/>
        <v>42146.25</v>
      </c>
      <c r="R682" s="70"/>
      <c r="S682" s="70"/>
      <c r="T682" s="70"/>
      <c r="U682" s="70"/>
      <c r="V682" s="70"/>
      <c r="W682" s="70"/>
      <c r="X682" s="70"/>
      <c r="Y682" s="70"/>
      <c r="Z682" s="70"/>
      <c r="AA682" s="939"/>
      <c r="AB682" s="293" t="s">
        <v>5</v>
      </c>
      <c r="AC682" s="300">
        <v>8148.7</v>
      </c>
      <c r="AD682" s="307">
        <v>13638.2</v>
      </c>
      <c r="AE682" s="264">
        <v>13648.9</v>
      </c>
      <c r="AH682" s="743"/>
      <c r="AI682" s="743"/>
    </row>
    <row r="683" spans="1:35" s="267" customFormat="1" ht="15.75" thickBot="1" x14ac:dyDescent="0.3">
      <c r="A683" s="939"/>
      <c r="B683" s="295" t="s">
        <v>79</v>
      </c>
      <c r="C683" s="302">
        <v>164000</v>
      </c>
      <c r="D683" s="263">
        <v>109880</v>
      </c>
      <c r="E683" s="302">
        <v>109880</v>
      </c>
      <c r="F683" s="308">
        <v>328000</v>
      </c>
      <c r="G683" s="308">
        <v>330905</v>
      </c>
      <c r="H683" s="308">
        <v>264264</v>
      </c>
      <c r="I683" s="308">
        <v>242663.6</v>
      </c>
      <c r="J683" s="263">
        <v>328000</v>
      </c>
      <c r="K683" s="302">
        <v>328000</v>
      </c>
      <c r="L683" s="308">
        <v>264264.40000000002</v>
      </c>
      <c r="M683" s="308">
        <v>328000</v>
      </c>
      <c r="N683" s="308">
        <v>352965.4</v>
      </c>
      <c r="O683" s="263">
        <v>328000</v>
      </c>
      <c r="P683" s="322">
        <f>2*P678</f>
        <v>110302</v>
      </c>
      <c r="Q683" s="263">
        <f>2*Q678</f>
        <v>66181</v>
      </c>
      <c r="R683" s="70"/>
      <c r="S683" s="70"/>
      <c r="T683" s="70"/>
      <c r="U683" s="70"/>
      <c r="V683" s="70"/>
      <c r="W683" s="70"/>
      <c r="X683" s="70"/>
      <c r="Y683" s="70"/>
      <c r="Z683" s="70"/>
      <c r="AA683" s="940"/>
      <c r="AB683" s="344" t="s">
        <v>3</v>
      </c>
      <c r="AC683" s="301">
        <f>AC682/AC681</f>
        <v>0.88651841859048286</v>
      </c>
      <c r="AD683" s="249">
        <f>AD682/AD681</f>
        <v>0.98915700225563363</v>
      </c>
      <c r="AE683" s="348">
        <f>AE682/AE681</f>
        <v>0.98993305627479555</v>
      </c>
      <c r="AH683" s="743"/>
      <c r="AI683" s="743"/>
    </row>
    <row r="684" spans="1:35" s="267" customFormat="1" ht="15" customHeight="1" x14ac:dyDescent="0.25">
      <c r="A684" s="939"/>
      <c r="B684" s="293" t="s">
        <v>8</v>
      </c>
      <c r="C684" s="303">
        <f>SUM(C681-575)</f>
        <v>5295</v>
      </c>
      <c r="D684" s="262">
        <f>SUM(D681-680)</f>
        <v>2653</v>
      </c>
      <c r="E684" s="303">
        <f>SUM(E681-646)</f>
        <v>2684</v>
      </c>
      <c r="F684" s="309">
        <f>SUM(F681-1211)</f>
        <v>8246</v>
      </c>
      <c r="G684" s="309">
        <f>SUM(G681-4410)</f>
        <v>3800</v>
      </c>
      <c r="H684" s="309">
        <f>SUM(H681-2087)</f>
        <v>13616</v>
      </c>
      <c r="I684" s="309">
        <f>SUM(I681-(3272-2000))</f>
        <v>6131</v>
      </c>
      <c r="J684" s="262">
        <f>SUM(J681-9229)</f>
        <v>370</v>
      </c>
      <c r="K684" s="303">
        <f>SUM(K681-909)</f>
        <v>8380</v>
      </c>
      <c r="L684" s="309">
        <f>SUM(L681-1251)</f>
        <v>11044</v>
      </c>
      <c r="M684" s="316">
        <f>SUM(M681-198)</f>
        <v>3947</v>
      </c>
      <c r="N684" s="309">
        <f>SUM(N681-(5224-2614))</f>
        <v>7417</v>
      </c>
      <c r="O684" s="262">
        <f>SUM(O681-3960)</f>
        <v>839</v>
      </c>
      <c r="P684" s="323">
        <f>SUM(P681-1033)</f>
        <v>967</v>
      </c>
      <c r="Q684" s="262">
        <f>SUM(Q681-752)</f>
        <v>498</v>
      </c>
      <c r="R684" s="12" t="s">
        <v>176</v>
      </c>
      <c r="S684" s="70"/>
      <c r="T684" s="70"/>
      <c r="U684" s="70"/>
      <c r="V684" s="70"/>
      <c r="W684" s="70"/>
      <c r="X684" s="70"/>
      <c r="Y684" s="70"/>
      <c r="Z684" s="70"/>
      <c r="AA684" s="938" t="s">
        <v>192</v>
      </c>
      <c r="AB684" s="19" t="s">
        <v>4</v>
      </c>
      <c r="AC684" s="299">
        <v>97433.600000000006</v>
      </c>
      <c r="AD684" s="283">
        <v>243584.4</v>
      </c>
      <c r="AE684" s="265">
        <v>292299.3</v>
      </c>
      <c r="AH684" s="743"/>
      <c r="AI684" s="743"/>
    </row>
    <row r="685" spans="1:35" s="267" customFormat="1" x14ac:dyDescent="0.25">
      <c r="A685" s="939"/>
      <c r="B685" s="296" t="s">
        <v>77</v>
      </c>
      <c r="C685" s="302">
        <f>(C684*33.717)</f>
        <v>178531.51499999998</v>
      </c>
      <c r="D685" s="338">
        <f>(D684*33.717)</f>
        <v>89451.201000000001</v>
      </c>
      <c r="E685" s="302">
        <f>(E684*33.717)</f>
        <v>90496.428</v>
      </c>
      <c r="F685" s="338">
        <f>(F684*33.717)</f>
        <v>278030.38199999998</v>
      </c>
      <c r="G685" s="280">
        <f>(G684*33.717)*2</f>
        <v>256249.19999999998</v>
      </c>
      <c r="H685" s="280">
        <f>(H684*33.717)</f>
        <v>459090.67199999996</v>
      </c>
      <c r="I685" s="280">
        <f>(I684*33.717)-(2000*33.717)</f>
        <v>139284.927</v>
      </c>
      <c r="J685" s="261">
        <f>J684*33.717</f>
        <v>12475.289999999999</v>
      </c>
      <c r="K685" s="304">
        <f>K684*33.717</f>
        <v>282548.45999999996</v>
      </c>
      <c r="L685" s="280">
        <f>L684*33.717</f>
        <v>372370.54800000001</v>
      </c>
      <c r="M685" s="280">
        <f>(M684*33.717)</f>
        <v>133080.99899999998</v>
      </c>
      <c r="N685" s="280">
        <f>N684*33.717</f>
        <v>250078.989</v>
      </c>
      <c r="O685" s="261">
        <f>O684*33.717</f>
        <v>28288.562999999998</v>
      </c>
      <c r="P685" s="324">
        <f>P684*33.717</f>
        <v>32604.339</v>
      </c>
      <c r="Q685" s="325">
        <f>Q684*33.717</f>
        <v>16791.065999999999</v>
      </c>
      <c r="R685" s="63">
        <f>344240-H685</f>
        <v>-114850.67199999996</v>
      </c>
      <c r="S685" s="70" t="s">
        <v>177</v>
      </c>
      <c r="T685" s="70"/>
      <c r="U685" s="70"/>
      <c r="V685" s="70"/>
      <c r="W685" s="70"/>
      <c r="X685" s="70"/>
      <c r="Y685" s="70"/>
      <c r="Z685" s="70"/>
      <c r="AA685" s="939"/>
      <c r="AB685" s="293" t="s">
        <v>5</v>
      </c>
      <c r="AC685" s="300">
        <v>70245.5</v>
      </c>
      <c r="AD685" s="307">
        <v>90695.9</v>
      </c>
      <c r="AE685" s="264">
        <v>76505.7</v>
      </c>
      <c r="AH685" s="743"/>
      <c r="AI685" s="743"/>
    </row>
    <row r="686" spans="1:35" s="267" customFormat="1" ht="15.75" thickBot="1" x14ac:dyDescent="0.3">
      <c r="A686" s="940"/>
      <c r="B686" s="294" t="s">
        <v>10</v>
      </c>
      <c r="C686" s="305">
        <f t="shared" ref="C686:Q686" si="366">C685/C678</f>
        <v>1.2450573671371243</v>
      </c>
      <c r="D686" s="292">
        <f t="shared" si="366"/>
        <v>0.59429774814338432</v>
      </c>
      <c r="E686" s="310">
        <f t="shared" si="366"/>
        <v>0.60124204900747968</v>
      </c>
      <c r="F686" s="282">
        <f t="shared" si="366"/>
        <v>1.5276579277331923</v>
      </c>
      <c r="G686" s="282">
        <f t="shared" si="366"/>
        <v>1.5487780480802646</v>
      </c>
      <c r="H686" s="282">
        <f t="shared" si="366"/>
        <v>3.4744851512124235</v>
      </c>
      <c r="I686" s="282">
        <f t="shared" si="366"/>
        <v>0.81468133329745929</v>
      </c>
      <c r="J686" s="311">
        <f t="shared" si="366"/>
        <v>7.5117098662735984E-2</v>
      </c>
      <c r="K686" s="310">
        <f t="shared" si="366"/>
        <v>1.4637768809544778</v>
      </c>
      <c r="L686" s="282">
        <f t="shared" si="366"/>
        <v>2.818166563487174</v>
      </c>
      <c r="M686" s="282">
        <f t="shared" si="366"/>
        <v>1.6086903318533523</v>
      </c>
      <c r="N686" s="260">
        <f t="shared" si="366"/>
        <v>0.90688832115464812</v>
      </c>
      <c r="O686" s="311">
        <f t="shared" si="366"/>
        <v>0.34066598827057165</v>
      </c>
      <c r="P686" s="305">
        <f t="shared" si="366"/>
        <v>0.59118309731464525</v>
      </c>
      <c r="Q686" s="292">
        <f t="shared" si="366"/>
        <v>0.50742859733156043</v>
      </c>
      <c r="R686" s="126"/>
      <c r="S686" s="70"/>
      <c r="T686" s="70"/>
      <c r="U686" s="70"/>
      <c r="V686" s="70"/>
      <c r="W686" s="70"/>
      <c r="X686" s="70"/>
      <c r="Y686" s="70"/>
      <c r="Z686" s="70"/>
      <c r="AA686" s="940"/>
      <c r="AB686" s="294" t="s">
        <v>3</v>
      </c>
      <c r="AC686" s="305">
        <f>AC685/AC684</f>
        <v>0.72095765731739359</v>
      </c>
      <c r="AD686" s="278">
        <f>AD685/AD684</f>
        <v>0.37233870477748165</v>
      </c>
      <c r="AE686" s="343">
        <f>AE685/AE684</f>
        <v>0.26173754093834639</v>
      </c>
      <c r="AH686" s="743"/>
      <c r="AI686" s="743"/>
    </row>
    <row r="687" spans="1:35" s="267" customFormat="1" ht="15.75" thickBot="1" x14ac:dyDescent="0.3">
      <c r="A687" s="924">
        <v>41401</v>
      </c>
      <c r="B687" s="924"/>
      <c r="C687" s="924"/>
      <c r="D687" s="276"/>
      <c r="E687" s="276"/>
      <c r="F687" s="276"/>
      <c r="G687" s="276"/>
      <c r="H687" s="276"/>
      <c r="I687" s="11"/>
      <c r="J687" s="281"/>
      <c r="K687" s="281"/>
      <c r="L687" s="276"/>
      <c r="M687" s="276"/>
      <c r="N687" s="13"/>
      <c r="R687" s="12"/>
      <c r="S687" s="70"/>
      <c r="T687" s="70"/>
      <c r="U687" s="70"/>
      <c r="V687" s="70"/>
      <c r="W687" s="70"/>
      <c r="X687" s="70"/>
      <c r="Y687" s="70"/>
      <c r="Z687" s="70"/>
      <c r="AA687" s="941"/>
      <c r="AB687" s="942"/>
      <c r="AH687" s="743"/>
      <c r="AI687" s="743"/>
    </row>
    <row r="688" spans="1:35" s="267" customFormat="1" x14ac:dyDescent="0.25">
      <c r="A688" s="925" t="s">
        <v>1</v>
      </c>
      <c r="B688" s="926"/>
      <c r="C688" s="297" t="s">
        <v>12</v>
      </c>
      <c r="D688" s="266" t="s">
        <v>12</v>
      </c>
      <c r="E688" s="297" t="s">
        <v>13</v>
      </c>
      <c r="F688" s="277" t="s">
        <v>13</v>
      </c>
      <c r="G688" s="277" t="s">
        <v>13</v>
      </c>
      <c r="H688" s="277" t="s">
        <v>13</v>
      </c>
      <c r="I688" s="277" t="s">
        <v>13</v>
      </c>
      <c r="J688" s="266" t="s">
        <v>13</v>
      </c>
      <c r="K688" s="297" t="s">
        <v>2</v>
      </c>
      <c r="L688" s="277" t="s">
        <v>2</v>
      </c>
      <c r="M688" s="286" t="s">
        <v>2</v>
      </c>
      <c r="N688" s="277" t="s">
        <v>2</v>
      </c>
      <c r="O688" s="266" t="s">
        <v>2</v>
      </c>
      <c r="P688" s="328" t="s">
        <v>183</v>
      </c>
      <c r="Q688" s="327" t="s">
        <v>183</v>
      </c>
      <c r="R688" s="12"/>
      <c r="S688" s="70"/>
      <c r="T688" s="70"/>
      <c r="U688" s="70"/>
      <c r="V688" s="70"/>
      <c r="W688" s="70"/>
      <c r="X688" s="70"/>
      <c r="Y688" s="70"/>
      <c r="Z688" s="70"/>
      <c r="AA688" s="925" t="s">
        <v>1</v>
      </c>
      <c r="AB688" s="926"/>
      <c r="AC688" s="297" t="s">
        <v>12</v>
      </c>
      <c r="AD688" s="277" t="s">
        <v>13</v>
      </c>
      <c r="AE688" s="266" t="s">
        <v>2</v>
      </c>
      <c r="AH688" s="743"/>
      <c r="AI688" s="743"/>
    </row>
    <row r="689" spans="1:35" s="267" customFormat="1" ht="15.75" thickBot="1" x14ac:dyDescent="0.3">
      <c r="A689" s="931" t="s">
        <v>0</v>
      </c>
      <c r="B689" s="944"/>
      <c r="C689" s="298" t="s">
        <v>99</v>
      </c>
      <c r="D689" s="291" t="s">
        <v>100</v>
      </c>
      <c r="E689" s="298" t="s">
        <v>101</v>
      </c>
      <c r="F689" s="306" t="s">
        <v>102</v>
      </c>
      <c r="G689" s="306" t="s">
        <v>97</v>
      </c>
      <c r="H689" s="306" t="s">
        <v>104</v>
      </c>
      <c r="I689" s="306" t="s">
        <v>103</v>
      </c>
      <c r="J689" s="314" t="s">
        <v>178</v>
      </c>
      <c r="K689" s="298" t="s">
        <v>105</v>
      </c>
      <c r="L689" s="306" t="s">
        <v>107</v>
      </c>
      <c r="M689" s="312" t="s">
        <v>98</v>
      </c>
      <c r="N689" s="313" t="s">
        <v>106</v>
      </c>
      <c r="O689" s="291" t="s">
        <v>179</v>
      </c>
      <c r="P689" s="317" t="s">
        <v>182</v>
      </c>
      <c r="Q689" s="291" t="s">
        <v>184</v>
      </c>
      <c r="R689" s="12"/>
      <c r="S689" s="12"/>
      <c r="T689" s="12"/>
      <c r="U689" s="12"/>
      <c r="V689" s="12"/>
      <c r="W689" s="12"/>
      <c r="X689" s="12"/>
      <c r="Y689" s="12"/>
      <c r="Z689" s="12"/>
      <c r="AA689" s="931" t="s">
        <v>0</v>
      </c>
      <c r="AB689" s="944"/>
      <c r="AC689" s="298" t="s">
        <v>99</v>
      </c>
      <c r="AD689" s="306" t="s">
        <v>104</v>
      </c>
      <c r="AE689" s="291" t="s">
        <v>107</v>
      </c>
      <c r="AH689" s="743"/>
      <c r="AI689" s="743"/>
    </row>
    <row r="690" spans="1:35" s="267" customFormat="1" ht="15" customHeight="1" x14ac:dyDescent="0.25">
      <c r="A690" s="935" t="s">
        <v>9</v>
      </c>
      <c r="B690" s="19" t="s">
        <v>4</v>
      </c>
      <c r="C690" s="299">
        <v>143392.20000000001</v>
      </c>
      <c r="D690" s="265">
        <v>150515.79999999999</v>
      </c>
      <c r="E690" s="299">
        <v>150515.79999999999</v>
      </c>
      <c r="F690" s="283">
        <v>181997.8</v>
      </c>
      <c r="G690" s="283">
        <v>165452.5</v>
      </c>
      <c r="H690" s="283">
        <v>132132</v>
      </c>
      <c r="I690" s="283">
        <v>121331.8</v>
      </c>
      <c r="J690" s="265">
        <v>166077.9</v>
      </c>
      <c r="K690" s="299">
        <v>193027</v>
      </c>
      <c r="L690" s="283">
        <v>132132.20000000001</v>
      </c>
      <c r="M690" s="283">
        <v>82726.3</v>
      </c>
      <c r="N690" s="283">
        <v>176482.7</v>
      </c>
      <c r="O690" s="265">
        <v>83039</v>
      </c>
      <c r="P690" s="318">
        <v>55151</v>
      </c>
      <c r="Q690" s="265">
        <v>33090.5</v>
      </c>
      <c r="R690" s="70"/>
      <c r="S690" s="70"/>
      <c r="T690" s="70"/>
      <c r="U690" s="70"/>
      <c r="V690" s="70"/>
      <c r="W690" s="70"/>
      <c r="X690" s="70"/>
      <c r="Y690" s="70"/>
      <c r="Z690" s="70"/>
      <c r="AA690" s="938" t="s">
        <v>195</v>
      </c>
      <c r="AB690" s="2" t="s">
        <v>4</v>
      </c>
      <c r="AC690" s="299">
        <v>143392.20000000001</v>
      </c>
      <c r="AD690" s="283">
        <v>132132</v>
      </c>
      <c r="AE690" s="265">
        <v>132132.20000000001</v>
      </c>
      <c r="AH690" s="743"/>
      <c r="AI690" s="743"/>
    </row>
    <row r="691" spans="1:35" s="267" customFormat="1" x14ac:dyDescent="0.25">
      <c r="A691" s="936"/>
      <c r="B691" s="293" t="s">
        <v>5</v>
      </c>
      <c r="C691" s="300">
        <v>39748.1</v>
      </c>
      <c r="D691" s="264">
        <v>78060.399999999994</v>
      </c>
      <c r="E691" s="300">
        <v>79602.8</v>
      </c>
      <c r="F691" s="307">
        <v>158581.29999999999</v>
      </c>
      <c r="G691" s="307">
        <v>98363.5</v>
      </c>
      <c r="H691" s="307">
        <v>51009.5</v>
      </c>
      <c r="I691" s="307">
        <v>84365.5</v>
      </c>
      <c r="J691" s="264">
        <v>13782.4</v>
      </c>
      <c r="K691" s="300">
        <v>158963</v>
      </c>
      <c r="L691" s="307">
        <v>63268.3</v>
      </c>
      <c r="M691" s="307">
        <v>50687.3</v>
      </c>
      <c r="N691" s="307">
        <v>154723.79999999999</v>
      </c>
      <c r="O691" s="264">
        <v>6993.2</v>
      </c>
      <c r="P691" s="319">
        <v>7016.2</v>
      </c>
      <c r="Q691" s="264">
        <v>3466.6</v>
      </c>
      <c r="R691" s="70"/>
      <c r="S691" s="70"/>
      <c r="T691" s="70"/>
      <c r="U691" s="70"/>
      <c r="V691" s="70"/>
      <c r="W691" s="70"/>
      <c r="X691" s="70"/>
      <c r="Y691" s="70"/>
      <c r="Z691" s="70"/>
      <c r="AA691" s="939"/>
      <c r="AB691" s="342" t="s">
        <v>5</v>
      </c>
      <c r="AC691" s="300">
        <v>43218.8</v>
      </c>
      <c r="AD691" s="307">
        <v>50784</v>
      </c>
      <c r="AE691" s="264">
        <v>65202.6</v>
      </c>
      <c r="AH691" s="743"/>
      <c r="AI691" s="743"/>
    </row>
    <row r="692" spans="1:35" s="267" customFormat="1" ht="15.75" thickBot="1" x14ac:dyDescent="0.3">
      <c r="A692" s="937"/>
      <c r="B692" s="294" t="s">
        <v>3</v>
      </c>
      <c r="C692" s="305">
        <f t="shared" ref="C692:Q692" si="367">C691/C690</f>
        <v>0.27719848080997428</v>
      </c>
      <c r="D692" s="343">
        <f t="shared" si="367"/>
        <v>0.51861930774044984</v>
      </c>
      <c r="E692" s="305">
        <f t="shared" si="367"/>
        <v>0.52886673691399844</v>
      </c>
      <c r="F692" s="278">
        <f t="shared" si="367"/>
        <v>0.87133635681310428</v>
      </c>
      <c r="G692" s="278">
        <f t="shared" si="367"/>
        <v>0.59451202006618209</v>
      </c>
      <c r="H692" s="278">
        <f t="shared" si="367"/>
        <v>0.38604955650410194</v>
      </c>
      <c r="I692" s="278">
        <f t="shared" si="367"/>
        <v>0.69532884206778434</v>
      </c>
      <c r="J692" s="292">
        <f t="shared" si="367"/>
        <v>8.2987561861030276E-2</v>
      </c>
      <c r="K692" s="305">
        <f t="shared" si="367"/>
        <v>0.82352727856724706</v>
      </c>
      <c r="L692" s="278">
        <f t="shared" si="367"/>
        <v>0.47882575178495473</v>
      </c>
      <c r="M692" s="315">
        <f t="shared" si="367"/>
        <v>0.61271083077570254</v>
      </c>
      <c r="N692" s="278">
        <f t="shared" si="367"/>
        <v>0.87670802860563657</v>
      </c>
      <c r="O692" s="292">
        <f t="shared" si="367"/>
        <v>8.4215850383554711E-2</v>
      </c>
      <c r="P692" s="320">
        <f t="shared" si="367"/>
        <v>0.12721800148682708</v>
      </c>
      <c r="Q692" s="292">
        <f t="shared" si="367"/>
        <v>0.10476118523443284</v>
      </c>
      <c r="R692" s="70"/>
      <c r="S692" s="70"/>
      <c r="T692" s="70"/>
      <c r="U692" s="70"/>
      <c r="V692" s="70"/>
      <c r="W692" s="70"/>
      <c r="X692" s="70"/>
      <c r="Y692" s="70"/>
      <c r="Z692" s="70"/>
      <c r="AA692" s="940"/>
      <c r="AB692" s="347" t="s">
        <v>3</v>
      </c>
      <c r="AC692" s="301">
        <f>AC691/AC690</f>
        <v>0.30140272622918124</v>
      </c>
      <c r="AD692" s="278">
        <f>AD691/AD690</f>
        <v>0.38434292979747525</v>
      </c>
      <c r="AE692" s="292">
        <f>AE691/AE690</f>
        <v>0.49346487835667607</v>
      </c>
      <c r="AH692" s="743"/>
      <c r="AI692" s="743"/>
    </row>
    <row r="693" spans="1:35" s="267" customFormat="1" ht="15" customHeight="1" x14ac:dyDescent="0.25">
      <c r="A693" s="938" t="s">
        <v>6</v>
      </c>
      <c r="B693" s="19" t="s">
        <v>7</v>
      </c>
      <c r="C693" s="297">
        <v>5870</v>
      </c>
      <c r="D693" s="266">
        <v>3333</v>
      </c>
      <c r="E693" s="297">
        <v>3330</v>
      </c>
      <c r="F693" s="277">
        <v>9457</v>
      </c>
      <c r="G693" s="277">
        <v>8210</v>
      </c>
      <c r="H693" s="277">
        <v>15703</v>
      </c>
      <c r="I693" s="277">
        <v>7403</v>
      </c>
      <c r="J693" s="266">
        <v>9599</v>
      </c>
      <c r="K693" s="297">
        <v>9289</v>
      </c>
      <c r="L693" s="277">
        <v>12295</v>
      </c>
      <c r="M693" s="277">
        <v>4133</v>
      </c>
      <c r="N693" s="277">
        <v>10027</v>
      </c>
      <c r="O693" s="266">
        <v>4799</v>
      </c>
      <c r="P693" s="321">
        <v>2000</v>
      </c>
      <c r="Q693" s="266">
        <v>1250</v>
      </c>
      <c r="R693" s="358" t="s">
        <v>198</v>
      </c>
      <c r="S693" s="126"/>
      <c r="T693" s="70"/>
      <c r="U693" s="70"/>
      <c r="V693" s="70"/>
      <c r="W693" s="70"/>
      <c r="X693" s="70"/>
      <c r="Y693" s="70"/>
      <c r="Z693" s="70"/>
      <c r="AA693" s="938" t="s">
        <v>191</v>
      </c>
      <c r="AB693" s="19" t="s">
        <v>4</v>
      </c>
      <c r="AC693" s="299">
        <v>9191.7999999999993</v>
      </c>
      <c r="AD693" s="283">
        <v>13787.7</v>
      </c>
      <c r="AE693" s="265">
        <v>13787.7</v>
      </c>
      <c r="AH693" s="743"/>
      <c r="AI693" s="743"/>
    </row>
    <row r="694" spans="1:35" s="267" customFormat="1" x14ac:dyDescent="0.25">
      <c r="A694" s="939"/>
      <c r="B694" s="295" t="s">
        <v>11</v>
      </c>
      <c r="C694" s="302">
        <f t="shared" ref="C694:Q694" si="368">C693*33.717</f>
        <v>197918.78999999998</v>
      </c>
      <c r="D694" s="263">
        <f t="shared" si="368"/>
        <v>112378.761</v>
      </c>
      <c r="E694" s="302">
        <f t="shared" si="368"/>
        <v>112277.61</v>
      </c>
      <c r="F694" s="355">
        <f t="shared" si="368"/>
        <v>318861.66899999999</v>
      </c>
      <c r="G694" s="308">
        <f t="shared" si="368"/>
        <v>276816.57</v>
      </c>
      <c r="H694" s="354">
        <f t="shared" si="368"/>
        <v>529458.05099999998</v>
      </c>
      <c r="I694" s="354">
        <f t="shared" si="368"/>
        <v>249606.951</v>
      </c>
      <c r="J694" s="354">
        <f t="shared" si="368"/>
        <v>323649.48300000001</v>
      </c>
      <c r="K694" s="322">
        <f t="shared" si="368"/>
        <v>313197.21299999999</v>
      </c>
      <c r="L694" s="308">
        <f t="shared" si="368"/>
        <v>414550.51499999996</v>
      </c>
      <c r="M694" s="308">
        <f t="shared" si="368"/>
        <v>139352.361</v>
      </c>
      <c r="N694" s="354">
        <f t="shared" si="368"/>
        <v>338080.359</v>
      </c>
      <c r="O694" s="354">
        <f t="shared" si="368"/>
        <v>161807.883</v>
      </c>
      <c r="P694" s="302">
        <f t="shared" si="368"/>
        <v>67434</v>
      </c>
      <c r="Q694" s="354">
        <f t="shared" si="368"/>
        <v>42146.25</v>
      </c>
      <c r="R694" s="70"/>
      <c r="S694" s="70"/>
      <c r="T694" s="70"/>
      <c r="U694" s="70"/>
      <c r="V694" s="70"/>
      <c r="W694" s="70"/>
      <c r="X694" s="70"/>
      <c r="Y694" s="70"/>
      <c r="Z694" s="70"/>
      <c r="AA694" s="939"/>
      <c r="AB694" s="293" t="s">
        <v>5</v>
      </c>
      <c r="AC694" s="300">
        <v>8148.7</v>
      </c>
      <c r="AD694" s="307">
        <v>13638.2</v>
      </c>
      <c r="AE694" s="264">
        <v>13648.9</v>
      </c>
      <c r="AH694" s="743"/>
      <c r="AI694" s="743"/>
    </row>
    <row r="695" spans="1:35" s="267" customFormat="1" ht="15.75" thickBot="1" x14ac:dyDescent="0.3">
      <c r="A695" s="939"/>
      <c r="B695" s="295" t="s">
        <v>79</v>
      </c>
      <c r="C695" s="302">
        <v>164000</v>
      </c>
      <c r="D695" s="263">
        <v>109880</v>
      </c>
      <c r="E695" s="302">
        <v>109880</v>
      </c>
      <c r="F695" s="308">
        <v>328000</v>
      </c>
      <c r="G695" s="308">
        <v>330905</v>
      </c>
      <c r="H695" s="308">
        <v>264264</v>
      </c>
      <c r="I695" s="308">
        <v>242663.6</v>
      </c>
      <c r="J695" s="263">
        <v>328000</v>
      </c>
      <c r="K695" s="302">
        <v>328000</v>
      </c>
      <c r="L695" s="308">
        <v>264264.40000000002</v>
      </c>
      <c r="M695" s="308">
        <v>328000</v>
      </c>
      <c r="N695" s="308">
        <v>352965.4</v>
      </c>
      <c r="O695" s="263">
        <v>328000</v>
      </c>
      <c r="P695" s="322">
        <f>2*P690</f>
        <v>110302</v>
      </c>
      <c r="Q695" s="263">
        <f>2*Q690</f>
        <v>66181</v>
      </c>
      <c r="R695" s="70"/>
      <c r="S695" s="70"/>
      <c r="T695" s="70"/>
      <c r="U695" s="70"/>
      <c r="V695" s="70"/>
      <c r="W695" s="70"/>
      <c r="X695" s="70"/>
      <c r="Y695" s="70"/>
      <c r="Z695" s="70"/>
      <c r="AA695" s="940"/>
      <c r="AB695" s="344" t="s">
        <v>3</v>
      </c>
      <c r="AC695" s="301">
        <f>AC694/AC693</f>
        <v>0.88651841859048286</v>
      </c>
      <c r="AD695" s="249">
        <f>AD694/AD693</f>
        <v>0.98915700225563363</v>
      </c>
      <c r="AE695" s="348">
        <f>AE694/AE693</f>
        <v>0.98993305627479555</v>
      </c>
      <c r="AH695" s="743"/>
      <c r="AI695" s="743"/>
    </row>
    <row r="696" spans="1:35" s="267" customFormat="1" ht="15" customHeight="1" x14ac:dyDescent="0.25">
      <c r="A696" s="939"/>
      <c r="B696" s="293" t="s">
        <v>8</v>
      </c>
      <c r="C696" s="303">
        <f>SUM(C693-642)</f>
        <v>5228</v>
      </c>
      <c r="D696" s="262">
        <f>SUM(D693-686)</f>
        <v>2647</v>
      </c>
      <c r="E696" s="303">
        <f>SUM(E693-652)</f>
        <v>2678</v>
      </c>
      <c r="F696" s="309">
        <f>SUM(F693-1211)</f>
        <v>8246</v>
      </c>
      <c r="G696" s="309">
        <f>SUM(G693-4417)</f>
        <v>3793</v>
      </c>
      <c r="H696" s="309">
        <f>SUM(H693-2129)</f>
        <v>13574</v>
      </c>
      <c r="I696" s="309">
        <f>SUM(I693-(3166-2000))</f>
        <v>6237</v>
      </c>
      <c r="J696" s="262">
        <f>SUM(J693-9230)</f>
        <v>369</v>
      </c>
      <c r="K696" s="303">
        <f>SUM(K693-909)</f>
        <v>8380</v>
      </c>
      <c r="L696" s="309">
        <f>SUM(L693-1241)</f>
        <v>11054</v>
      </c>
      <c r="M696" s="316">
        <f>SUM(M693-198)</f>
        <v>3935</v>
      </c>
      <c r="N696" s="309">
        <f>SUM(N693-(5053-2614))</f>
        <v>7588</v>
      </c>
      <c r="O696" s="262">
        <f>SUM(O693-3961)</f>
        <v>838</v>
      </c>
      <c r="P696" s="323">
        <f>SUM(P693-1057)</f>
        <v>943</v>
      </c>
      <c r="Q696" s="262">
        <f>SUM(Q693-767)</f>
        <v>483</v>
      </c>
      <c r="R696" s="12" t="s">
        <v>176</v>
      </c>
      <c r="S696" s="70"/>
      <c r="T696" s="70"/>
      <c r="U696" s="70"/>
      <c r="V696" s="70"/>
      <c r="W696" s="70"/>
      <c r="X696" s="70"/>
      <c r="Y696" s="70"/>
      <c r="Z696" s="70"/>
      <c r="AA696" s="938" t="s">
        <v>192</v>
      </c>
      <c r="AB696" s="19" t="s">
        <v>4</v>
      </c>
      <c r="AC696" s="299">
        <v>97433.600000000006</v>
      </c>
      <c r="AD696" s="283">
        <v>243584.4</v>
      </c>
      <c r="AE696" s="265">
        <v>292299.3</v>
      </c>
      <c r="AH696" s="743"/>
      <c r="AI696" s="743"/>
    </row>
    <row r="697" spans="1:35" s="267" customFormat="1" x14ac:dyDescent="0.25">
      <c r="A697" s="939"/>
      <c r="B697" s="296" t="s">
        <v>77</v>
      </c>
      <c r="C697" s="302">
        <f>(C696*33.717)</f>
        <v>176272.476</v>
      </c>
      <c r="D697" s="338">
        <f>(D696*33.717)</f>
        <v>89248.89899999999</v>
      </c>
      <c r="E697" s="302">
        <f>(E696*33.717)</f>
        <v>90294.126000000004</v>
      </c>
      <c r="F697" s="338">
        <f>(F696*33.717)</f>
        <v>278030.38199999998</v>
      </c>
      <c r="G697" s="280">
        <f>(G696*33.717)*2</f>
        <v>255777.16199999998</v>
      </c>
      <c r="H697" s="280">
        <f>(H696*33.717)</f>
        <v>457674.55799999996</v>
      </c>
      <c r="I697" s="280">
        <f>(I696*33.717)-(2000*33.717)</f>
        <v>142858.929</v>
      </c>
      <c r="J697" s="261">
        <f>J696*33.717</f>
        <v>12441.573</v>
      </c>
      <c r="K697" s="304">
        <f>K696*33.717</f>
        <v>282548.45999999996</v>
      </c>
      <c r="L697" s="280">
        <f>L696*33.717</f>
        <v>372707.71799999999</v>
      </c>
      <c r="M697" s="280">
        <f>(M696*33.717)</f>
        <v>132676.39499999999</v>
      </c>
      <c r="N697" s="280">
        <f>N696*33.717</f>
        <v>255844.59599999999</v>
      </c>
      <c r="O697" s="261">
        <f>O696*33.717</f>
        <v>28254.845999999998</v>
      </c>
      <c r="P697" s="324">
        <f>P696*33.717</f>
        <v>31795.130999999998</v>
      </c>
      <c r="Q697" s="325">
        <f>Q696*33.717</f>
        <v>16285.311</v>
      </c>
      <c r="R697" s="63">
        <f>344240-H697</f>
        <v>-113434.55799999996</v>
      </c>
      <c r="S697" s="70" t="s">
        <v>177</v>
      </c>
      <c r="T697" s="70"/>
      <c r="U697" s="70"/>
      <c r="V697" s="70"/>
      <c r="W697" s="70"/>
      <c r="X697" s="70"/>
      <c r="Y697" s="70"/>
      <c r="Z697" s="70"/>
      <c r="AA697" s="939"/>
      <c r="AB697" s="293" t="s">
        <v>5</v>
      </c>
      <c r="AC697" s="300">
        <v>70245.5</v>
      </c>
      <c r="AD697" s="307">
        <v>90695.9</v>
      </c>
      <c r="AE697" s="264">
        <v>76505.7</v>
      </c>
      <c r="AH697" s="743"/>
      <c r="AI697" s="743"/>
    </row>
    <row r="698" spans="1:35" s="267" customFormat="1" ht="15.75" thickBot="1" x14ac:dyDescent="0.3">
      <c r="A698" s="940"/>
      <c r="B698" s="294" t="s">
        <v>10</v>
      </c>
      <c r="C698" s="305">
        <f t="shared" ref="C698:Q698" si="369">C697/C690</f>
        <v>1.2293031001686283</v>
      </c>
      <c r="D698" s="292">
        <f t="shared" si="369"/>
        <v>0.59295368991162389</v>
      </c>
      <c r="E698" s="310">
        <f t="shared" si="369"/>
        <v>0.59989799077571926</v>
      </c>
      <c r="F698" s="282">
        <f t="shared" si="369"/>
        <v>1.5276579277331923</v>
      </c>
      <c r="G698" s="282">
        <f t="shared" si="369"/>
        <v>1.5459250358864325</v>
      </c>
      <c r="H698" s="282">
        <f t="shared" si="369"/>
        <v>3.463767732267732</v>
      </c>
      <c r="I698" s="282">
        <f t="shared" si="369"/>
        <v>1.1774236350239591</v>
      </c>
      <c r="J698" s="311">
        <f t="shared" si="369"/>
        <v>7.4914079477161027E-2</v>
      </c>
      <c r="K698" s="310">
        <f t="shared" si="369"/>
        <v>1.4637768809544778</v>
      </c>
      <c r="L698" s="282">
        <f t="shared" si="369"/>
        <v>2.8207183260401321</v>
      </c>
      <c r="M698" s="282">
        <f t="shared" si="369"/>
        <v>1.6037994567628431</v>
      </c>
      <c r="N698" s="260">
        <f t="shared" si="369"/>
        <v>1.4496865471799785</v>
      </c>
      <c r="O698" s="311">
        <f t="shared" si="369"/>
        <v>0.34025995014390825</v>
      </c>
      <c r="P698" s="305">
        <f t="shared" si="369"/>
        <v>0.57651050751572952</v>
      </c>
      <c r="Q698" s="292">
        <f t="shared" si="369"/>
        <v>0.4921446034360315</v>
      </c>
      <c r="R698" s="126"/>
      <c r="S698" s="70"/>
      <c r="T698" s="70"/>
      <c r="U698" s="70"/>
      <c r="V698" s="70"/>
      <c r="W698" s="70"/>
      <c r="X698" s="70"/>
      <c r="Y698" s="70"/>
      <c r="Z698" s="70"/>
      <c r="AA698" s="940"/>
      <c r="AB698" s="294" t="s">
        <v>3</v>
      </c>
      <c r="AC698" s="305">
        <f>AC697/AC696</f>
        <v>0.72095765731739359</v>
      </c>
      <c r="AD698" s="278">
        <f>AD697/AD696</f>
        <v>0.37233870477748165</v>
      </c>
      <c r="AE698" s="343">
        <f>AE697/AE696</f>
        <v>0.26173754093834639</v>
      </c>
      <c r="AH698" s="743"/>
      <c r="AI698" s="743"/>
    </row>
    <row r="699" spans="1:35" s="267" customFormat="1" ht="15.75" thickBot="1" x14ac:dyDescent="0.3">
      <c r="A699" s="924">
        <v>41395</v>
      </c>
      <c r="B699" s="924"/>
      <c r="C699" s="924"/>
      <c r="D699" s="276"/>
      <c r="E699" s="276"/>
      <c r="F699" s="276"/>
      <c r="G699" s="276"/>
      <c r="H699" s="276"/>
      <c r="I699" s="11"/>
      <c r="J699" s="281"/>
      <c r="K699" s="281"/>
      <c r="L699" s="276"/>
      <c r="M699" s="276"/>
      <c r="N699" s="13"/>
      <c r="R699" s="12"/>
      <c r="S699" s="70"/>
      <c r="T699" s="70"/>
      <c r="U699" s="70"/>
      <c r="V699" s="70"/>
      <c r="W699" s="70"/>
      <c r="X699" s="70"/>
      <c r="Y699" s="70"/>
      <c r="Z699" s="70"/>
      <c r="AA699" s="941"/>
      <c r="AB699" s="942"/>
      <c r="AH699" s="743"/>
      <c r="AI699" s="743"/>
    </row>
    <row r="700" spans="1:35" s="267" customFormat="1" x14ac:dyDescent="0.25">
      <c r="A700" s="925" t="s">
        <v>1</v>
      </c>
      <c r="B700" s="926"/>
      <c r="C700" s="297" t="s">
        <v>12</v>
      </c>
      <c r="D700" s="266" t="s">
        <v>12</v>
      </c>
      <c r="E700" s="297" t="s">
        <v>13</v>
      </c>
      <c r="F700" s="277" t="s">
        <v>13</v>
      </c>
      <c r="G700" s="277" t="s">
        <v>13</v>
      </c>
      <c r="H700" s="277" t="s">
        <v>13</v>
      </c>
      <c r="I700" s="277" t="s">
        <v>13</v>
      </c>
      <c r="J700" s="266" t="s">
        <v>13</v>
      </c>
      <c r="K700" s="297" t="s">
        <v>2</v>
      </c>
      <c r="L700" s="277" t="s">
        <v>2</v>
      </c>
      <c r="M700" s="286" t="s">
        <v>2</v>
      </c>
      <c r="N700" s="277" t="s">
        <v>2</v>
      </c>
      <c r="O700" s="266" t="s">
        <v>2</v>
      </c>
      <c r="P700" s="328" t="s">
        <v>183</v>
      </c>
      <c r="Q700" s="327" t="s">
        <v>183</v>
      </c>
      <c r="R700" s="12"/>
      <c r="S700" s="70"/>
      <c r="T700" s="70"/>
      <c r="U700" s="70"/>
      <c r="V700" s="70"/>
      <c r="W700" s="70"/>
      <c r="X700" s="70"/>
      <c r="Y700" s="70"/>
      <c r="Z700" s="70"/>
      <c r="AA700" s="925" t="s">
        <v>1</v>
      </c>
      <c r="AB700" s="926"/>
      <c r="AC700" s="297" t="s">
        <v>12</v>
      </c>
      <c r="AD700" s="277" t="s">
        <v>13</v>
      </c>
      <c r="AE700" s="266" t="s">
        <v>2</v>
      </c>
      <c r="AH700" s="743"/>
      <c r="AI700" s="743"/>
    </row>
    <row r="701" spans="1:35" s="267" customFormat="1" ht="15.75" thickBot="1" x14ac:dyDescent="0.3">
      <c r="A701" s="931" t="s">
        <v>0</v>
      </c>
      <c r="B701" s="944"/>
      <c r="C701" s="298" t="s">
        <v>99</v>
      </c>
      <c r="D701" s="291" t="s">
        <v>100</v>
      </c>
      <c r="E701" s="298" t="s">
        <v>101</v>
      </c>
      <c r="F701" s="306" t="s">
        <v>102</v>
      </c>
      <c r="G701" s="306" t="s">
        <v>97</v>
      </c>
      <c r="H701" s="306" t="s">
        <v>104</v>
      </c>
      <c r="I701" s="306" t="s">
        <v>103</v>
      </c>
      <c r="J701" s="314" t="s">
        <v>178</v>
      </c>
      <c r="K701" s="298" t="s">
        <v>105</v>
      </c>
      <c r="L701" s="306" t="s">
        <v>107</v>
      </c>
      <c r="M701" s="312" t="s">
        <v>98</v>
      </c>
      <c r="N701" s="313" t="s">
        <v>106</v>
      </c>
      <c r="O701" s="291" t="s">
        <v>179</v>
      </c>
      <c r="P701" s="317" t="s">
        <v>182</v>
      </c>
      <c r="Q701" s="291" t="s">
        <v>184</v>
      </c>
      <c r="R701" s="12"/>
      <c r="S701" s="12"/>
      <c r="T701" s="12"/>
      <c r="U701" s="12"/>
      <c r="V701" s="12"/>
      <c r="W701" s="12"/>
      <c r="X701" s="12"/>
      <c r="Y701" s="12"/>
      <c r="Z701" s="12"/>
      <c r="AA701" s="931" t="s">
        <v>0</v>
      </c>
      <c r="AB701" s="944"/>
      <c r="AC701" s="298" t="s">
        <v>99</v>
      </c>
      <c r="AD701" s="306" t="s">
        <v>104</v>
      </c>
      <c r="AE701" s="291" t="s">
        <v>107</v>
      </c>
      <c r="AH701" s="743"/>
      <c r="AI701" s="743"/>
    </row>
    <row r="702" spans="1:35" s="267" customFormat="1" ht="15" customHeight="1" x14ac:dyDescent="0.25">
      <c r="A702" s="935" t="s">
        <v>9</v>
      </c>
      <c r="B702" s="19" t="s">
        <v>4</v>
      </c>
      <c r="C702" s="299">
        <v>143392.20000000001</v>
      </c>
      <c r="D702" s="265">
        <v>150515.79999999999</v>
      </c>
      <c r="E702" s="299">
        <v>150515.79999999999</v>
      </c>
      <c r="F702" s="283">
        <v>181997.8</v>
      </c>
      <c r="G702" s="283">
        <v>165452.5</v>
      </c>
      <c r="H702" s="283">
        <v>132132</v>
      </c>
      <c r="I702" s="283">
        <v>121331.8</v>
      </c>
      <c r="J702" s="265">
        <v>166077.9</v>
      </c>
      <c r="K702" s="299">
        <v>193027</v>
      </c>
      <c r="L702" s="283">
        <v>132132.20000000001</v>
      </c>
      <c r="M702" s="283">
        <v>82726.3</v>
      </c>
      <c r="N702" s="283">
        <v>176482.7</v>
      </c>
      <c r="O702" s="265">
        <v>83039</v>
      </c>
      <c r="P702" s="318">
        <v>55151</v>
      </c>
      <c r="Q702" s="265">
        <v>33090.5</v>
      </c>
      <c r="R702" s="70"/>
      <c r="S702" s="70"/>
      <c r="T702" s="70"/>
      <c r="U702" s="70"/>
      <c r="V702" s="70"/>
      <c r="W702" s="70"/>
      <c r="X702" s="70"/>
      <c r="Y702" s="70"/>
      <c r="Z702" s="70"/>
      <c r="AA702" s="938" t="s">
        <v>195</v>
      </c>
      <c r="AB702" s="2" t="s">
        <v>4</v>
      </c>
      <c r="AC702" s="299">
        <v>143392.20000000001</v>
      </c>
      <c r="AD702" s="283">
        <v>132132</v>
      </c>
      <c r="AE702" s="265">
        <v>132132.20000000001</v>
      </c>
      <c r="AH702" s="743"/>
      <c r="AI702" s="743"/>
    </row>
    <row r="703" spans="1:35" s="267" customFormat="1" x14ac:dyDescent="0.25">
      <c r="A703" s="936"/>
      <c r="B703" s="293" t="s">
        <v>5</v>
      </c>
      <c r="C703" s="300">
        <v>43218.8</v>
      </c>
      <c r="D703" s="264">
        <v>77807.3</v>
      </c>
      <c r="E703" s="300">
        <v>79376.7</v>
      </c>
      <c r="F703" s="307">
        <v>157905</v>
      </c>
      <c r="G703" s="307">
        <v>97600.7</v>
      </c>
      <c r="H703" s="307">
        <v>50784</v>
      </c>
      <c r="I703" s="307">
        <v>84147.7</v>
      </c>
      <c r="J703" s="264">
        <v>13757.3</v>
      </c>
      <c r="K703" s="300">
        <v>158636.5</v>
      </c>
      <c r="L703" s="307">
        <v>65202.6</v>
      </c>
      <c r="M703" s="307">
        <v>50310.9</v>
      </c>
      <c r="N703" s="307">
        <v>154492.6</v>
      </c>
      <c r="O703" s="264">
        <v>6979.2</v>
      </c>
      <c r="P703" s="319">
        <v>6999.8</v>
      </c>
      <c r="Q703" s="264">
        <v>3453.4</v>
      </c>
      <c r="R703" s="70"/>
      <c r="S703" s="70"/>
      <c r="T703" s="70"/>
      <c r="U703" s="70"/>
      <c r="V703" s="70"/>
      <c r="W703" s="70"/>
      <c r="X703" s="70"/>
      <c r="Y703" s="70"/>
      <c r="Z703" s="70"/>
      <c r="AA703" s="939"/>
      <c r="AB703" s="342" t="s">
        <v>5</v>
      </c>
      <c r="AC703" s="300">
        <v>43218.8</v>
      </c>
      <c r="AD703" s="307">
        <v>50784</v>
      </c>
      <c r="AE703" s="264">
        <v>65202.6</v>
      </c>
      <c r="AH703" s="743"/>
      <c r="AI703" s="743"/>
    </row>
    <row r="704" spans="1:35" s="267" customFormat="1" ht="15.75" thickBot="1" x14ac:dyDescent="0.3">
      <c r="A704" s="937"/>
      <c r="B704" s="294" t="s">
        <v>3</v>
      </c>
      <c r="C704" s="305">
        <f t="shared" ref="C704:Q704" si="370">C703/C702</f>
        <v>0.30140272622918124</v>
      </c>
      <c r="D704" s="343">
        <f t="shared" si="370"/>
        <v>0.51693775670062547</v>
      </c>
      <c r="E704" s="305">
        <f t="shared" si="370"/>
        <v>0.5273645690352774</v>
      </c>
      <c r="F704" s="278">
        <f t="shared" si="370"/>
        <v>0.86762037782874302</v>
      </c>
      <c r="G704" s="278">
        <f t="shared" si="370"/>
        <v>0.58990163339931401</v>
      </c>
      <c r="H704" s="278">
        <f t="shared" si="370"/>
        <v>0.38434292979747525</v>
      </c>
      <c r="I704" s="278">
        <f t="shared" si="370"/>
        <v>0.69353376443768244</v>
      </c>
      <c r="J704" s="292">
        <f t="shared" si="370"/>
        <v>8.2836427965430684E-2</v>
      </c>
      <c r="K704" s="305">
        <f t="shared" si="370"/>
        <v>0.82183580535365519</v>
      </c>
      <c r="L704" s="278">
        <f t="shared" si="370"/>
        <v>0.49346487835667607</v>
      </c>
      <c r="M704" s="315">
        <f t="shared" si="370"/>
        <v>0.60816088716647543</v>
      </c>
      <c r="N704" s="278">
        <f t="shared" si="370"/>
        <v>0.87539798518495016</v>
      </c>
      <c r="O704" s="292">
        <f t="shared" si="370"/>
        <v>8.4047254904322063E-2</v>
      </c>
      <c r="P704" s="320">
        <f t="shared" si="370"/>
        <v>0.1269206360718754</v>
      </c>
      <c r="Q704" s="292">
        <f t="shared" si="370"/>
        <v>0.10436227920400115</v>
      </c>
      <c r="R704" s="70"/>
      <c r="S704" s="70"/>
      <c r="T704" s="70"/>
      <c r="U704" s="70"/>
      <c r="V704" s="70"/>
      <c r="W704" s="70"/>
      <c r="X704" s="70"/>
      <c r="Y704" s="70"/>
      <c r="Z704" s="70"/>
      <c r="AA704" s="940"/>
      <c r="AB704" s="347" t="s">
        <v>3</v>
      </c>
      <c r="AC704" s="301">
        <f>AC703/AC702</f>
        <v>0.30140272622918124</v>
      </c>
      <c r="AD704" s="278">
        <f>AD703/AD702</f>
        <v>0.38434292979747525</v>
      </c>
      <c r="AE704" s="292">
        <f>AE703/AE702</f>
        <v>0.49346487835667607</v>
      </c>
      <c r="AH704" s="743"/>
      <c r="AI704" s="743"/>
    </row>
    <row r="705" spans="1:35" s="267" customFormat="1" ht="15" customHeight="1" x14ac:dyDescent="0.25">
      <c r="A705" s="938" t="s">
        <v>6</v>
      </c>
      <c r="B705" s="19" t="s">
        <v>7</v>
      </c>
      <c r="C705" s="297">
        <v>5870</v>
      </c>
      <c r="D705" s="266">
        <v>3333</v>
      </c>
      <c r="E705" s="297">
        <v>3330</v>
      </c>
      <c r="F705" s="277">
        <v>9457</v>
      </c>
      <c r="G705" s="277">
        <v>8210</v>
      </c>
      <c r="H705" s="277">
        <v>15543</v>
      </c>
      <c r="I705" s="277">
        <v>7403</v>
      </c>
      <c r="J705" s="266">
        <v>9599</v>
      </c>
      <c r="K705" s="297">
        <v>9289</v>
      </c>
      <c r="L705" s="277">
        <v>12295</v>
      </c>
      <c r="M705" s="277">
        <v>4145</v>
      </c>
      <c r="N705" s="277">
        <v>10027</v>
      </c>
      <c r="O705" s="266">
        <v>4799</v>
      </c>
      <c r="P705" s="321">
        <v>2000</v>
      </c>
      <c r="Q705" s="266">
        <v>1250</v>
      </c>
      <c r="R705" s="358" t="s">
        <v>198</v>
      </c>
      <c r="S705" s="126"/>
      <c r="T705" s="70"/>
      <c r="U705" s="70"/>
      <c r="V705" s="70"/>
      <c r="W705" s="70"/>
      <c r="X705" s="70"/>
      <c r="Y705" s="70"/>
      <c r="Z705" s="70"/>
      <c r="AA705" s="938" t="s">
        <v>191</v>
      </c>
      <c r="AB705" s="19" t="s">
        <v>4</v>
      </c>
      <c r="AC705" s="299">
        <v>9191.7999999999993</v>
      </c>
      <c r="AD705" s="283">
        <v>13787.7</v>
      </c>
      <c r="AE705" s="265">
        <v>13787.7</v>
      </c>
      <c r="AH705" s="743"/>
      <c r="AI705" s="743"/>
    </row>
    <row r="706" spans="1:35" s="267" customFormat="1" x14ac:dyDescent="0.25">
      <c r="A706" s="939"/>
      <c r="B706" s="295" t="s">
        <v>11</v>
      </c>
      <c r="C706" s="302">
        <f t="shared" ref="C706:Q706" si="371">C705*33.717</f>
        <v>197918.78999999998</v>
      </c>
      <c r="D706" s="263">
        <f t="shared" si="371"/>
        <v>112378.761</v>
      </c>
      <c r="E706" s="302">
        <f t="shared" si="371"/>
        <v>112277.61</v>
      </c>
      <c r="F706" s="355">
        <f t="shared" si="371"/>
        <v>318861.66899999999</v>
      </c>
      <c r="G706" s="308">
        <f t="shared" si="371"/>
        <v>276816.57</v>
      </c>
      <c r="H706" s="354">
        <f t="shared" si="371"/>
        <v>524063.33100000001</v>
      </c>
      <c r="I706" s="354">
        <f t="shared" si="371"/>
        <v>249606.951</v>
      </c>
      <c r="J706" s="354">
        <f t="shared" si="371"/>
        <v>323649.48300000001</v>
      </c>
      <c r="K706" s="322">
        <f t="shared" si="371"/>
        <v>313197.21299999999</v>
      </c>
      <c r="L706" s="308">
        <f t="shared" si="371"/>
        <v>414550.51499999996</v>
      </c>
      <c r="M706" s="308">
        <f t="shared" si="371"/>
        <v>139756.965</v>
      </c>
      <c r="N706" s="354">
        <f t="shared" si="371"/>
        <v>338080.359</v>
      </c>
      <c r="O706" s="354">
        <f t="shared" si="371"/>
        <v>161807.883</v>
      </c>
      <c r="P706" s="302">
        <f t="shared" si="371"/>
        <v>67434</v>
      </c>
      <c r="Q706" s="354">
        <f t="shared" si="371"/>
        <v>42146.25</v>
      </c>
      <c r="R706" s="70"/>
      <c r="S706" s="70"/>
      <c r="T706" s="70"/>
      <c r="U706" s="70"/>
      <c r="V706" s="70"/>
      <c r="W706" s="70"/>
      <c r="X706" s="70"/>
      <c r="Y706" s="70"/>
      <c r="Z706" s="70"/>
      <c r="AA706" s="939"/>
      <c r="AB706" s="293" t="s">
        <v>5</v>
      </c>
      <c r="AC706" s="300">
        <v>8148.7</v>
      </c>
      <c r="AD706" s="307">
        <v>13638.2</v>
      </c>
      <c r="AE706" s="264">
        <v>13648.9</v>
      </c>
      <c r="AH706" s="743"/>
      <c r="AI706" s="743"/>
    </row>
    <row r="707" spans="1:35" s="267" customFormat="1" ht="15.75" thickBot="1" x14ac:dyDescent="0.3">
      <c r="A707" s="939"/>
      <c r="B707" s="295" t="s">
        <v>79</v>
      </c>
      <c r="C707" s="302">
        <v>164000</v>
      </c>
      <c r="D707" s="263">
        <v>109880</v>
      </c>
      <c r="E707" s="302">
        <v>109880</v>
      </c>
      <c r="F707" s="308">
        <v>328000</v>
      </c>
      <c r="G707" s="308">
        <v>330905</v>
      </c>
      <c r="H707" s="308">
        <v>264264</v>
      </c>
      <c r="I707" s="308">
        <v>242663.6</v>
      </c>
      <c r="J707" s="263">
        <v>328000</v>
      </c>
      <c r="K707" s="302">
        <v>328000</v>
      </c>
      <c r="L707" s="308">
        <v>264264.40000000002</v>
      </c>
      <c r="M707" s="308">
        <v>328000</v>
      </c>
      <c r="N707" s="308">
        <v>352965.4</v>
      </c>
      <c r="O707" s="263">
        <v>328000</v>
      </c>
      <c r="P707" s="322">
        <f>2*P702</f>
        <v>110302</v>
      </c>
      <c r="Q707" s="263">
        <f>2*Q702</f>
        <v>66181</v>
      </c>
      <c r="R707" s="70"/>
      <c r="S707" s="70"/>
      <c r="T707" s="70"/>
      <c r="U707" s="70"/>
      <c r="V707" s="70"/>
      <c r="W707" s="70"/>
      <c r="X707" s="70"/>
      <c r="Y707" s="70"/>
      <c r="Z707" s="70"/>
      <c r="AA707" s="940"/>
      <c r="AB707" s="344" t="s">
        <v>3</v>
      </c>
      <c r="AC707" s="301">
        <f>AC706/AC705</f>
        <v>0.88651841859048286</v>
      </c>
      <c r="AD707" s="249">
        <f>AD706/AD705</f>
        <v>0.98915700225563363</v>
      </c>
      <c r="AE707" s="348">
        <f>AE706/AE705</f>
        <v>0.98993305627479555</v>
      </c>
      <c r="AH707" s="743"/>
      <c r="AI707" s="743"/>
    </row>
    <row r="708" spans="1:35" s="267" customFormat="1" ht="15" customHeight="1" x14ac:dyDescent="0.25">
      <c r="A708" s="939"/>
      <c r="B708" s="293" t="s">
        <v>8</v>
      </c>
      <c r="C708" s="303">
        <f>SUM(C705-159)</f>
        <v>5711</v>
      </c>
      <c r="D708" s="262">
        <f>SUM(D705-686)</f>
        <v>2647</v>
      </c>
      <c r="E708" s="303">
        <f>SUM(E705-652)</f>
        <v>2678</v>
      </c>
      <c r="F708" s="309">
        <f>SUM(F705-1211)</f>
        <v>8246</v>
      </c>
      <c r="G708" s="309">
        <f>SUM(G705-4446)</f>
        <v>3764</v>
      </c>
      <c r="H708" s="309">
        <f>SUM(H705-2089)</f>
        <v>13454</v>
      </c>
      <c r="I708" s="309">
        <f>SUM(I705-(3166-2000))</f>
        <v>6237</v>
      </c>
      <c r="J708" s="262">
        <f>SUM(J705-9230)</f>
        <v>369</v>
      </c>
      <c r="K708" s="303">
        <f>SUM(K705-909)</f>
        <v>8380</v>
      </c>
      <c r="L708" s="309">
        <f>SUM(L705-1256)</f>
        <v>11039</v>
      </c>
      <c r="M708" s="316">
        <f>SUM(M705-234)</f>
        <v>3911</v>
      </c>
      <c r="N708" s="309">
        <f>SUM(N705-(5053-2614))</f>
        <v>7588</v>
      </c>
      <c r="O708" s="262">
        <f>SUM(O705-3961)</f>
        <v>838</v>
      </c>
      <c r="P708" s="323">
        <f>SUM(P705-1057)</f>
        <v>943</v>
      </c>
      <c r="Q708" s="262">
        <f>SUM(Q705-767)</f>
        <v>483</v>
      </c>
      <c r="R708" s="12" t="s">
        <v>176</v>
      </c>
      <c r="S708" s="70"/>
      <c r="T708" s="70"/>
      <c r="U708" s="70"/>
      <c r="V708" s="70"/>
      <c r="W708" s="70"/>
      <c r="X708" s="70"/>
      <c r="Y708" s="70"/>
      <c r="Z708" s="70"/>
      <c r="AA708" s="938" t="s">
        <v>192</v>
      </c>
      <c r="AB708" s="19" t="s">
        <v>4</v>
      </c>
      <c r="AC708" s="299">
        <v>97433.600000000006</v>
      </c>
      <c r="AD708" s="283">
        <v>243584.4</v>
      </c>
      <c r="AE708" s="265">
        <v>292299.3</v>
      </c>
      <c r="AH708" s="743"/>
      <c r="AI708" s="743"/>
    </row>
    <row r="709" spans="1:35" s="267" customFormat="1" x14ac:dyDescent="0.25">
      <c r="A709" s="939"/>
      <c r="B709" s="296" t="s">
        <v>77</v>
      </c>
      <c r="C709" s="302">
        <f>(C708*33.717)</f>
        <v>192557.78699999998</v>
      </c>
      <c r="D709" s="338">
        <f>(D708*33.717)</f>
        <v>89248.89899999999</v>
      </c>
      <c r="E709" s="302">
        <f>(E708*33.717)</f>
        <v>90294.126000000004</v>
      </c>
      <c r="F709" s="338">
        <f>(F708*33.717)</f>
        <v>278030.38199999998</v>
      </c>
      <c r="G709" s="280">
        <f>(G708*33.717)*2</f>
        <v>253821.576</v>
      </c>
      <c r="H709" s="280">
        <f>(H708*33.717)</f>
        <v>453628.51799999998</v>
      </c>
      <c r="I709" s="280">
        <f>(I708*33.717)-(2000*33.717)</f>
        <v>142858.929</v>
      </c>
      <c r="J709" s="261">
        <f>J708*33.717</f>
        <v>12441.573</v>
      </c>
      <c r="K709" s="304">
        <f>K708*33.717</f>
        <v>282548.45999999996</v>
      </c>
      <c r="L709" s="280">
        <f>L708*33.717</f>
        <v>372201.96299999999</v>
      </c>
      <c r="M709" s="280">
        <f>(M708*33.717)</f>
        <v>131867.18700000001</v>
      </c>
      <c r="N709" s="280">
        <f>N708*33.717</f>
        <v>255844.59599999999</v>
      </c>
      <c r="O709" s="261">
        <f>O708*33.717</f>
        <v>28254.845999999998</v>
      </c>
      <c r="P709" s="324">
        <f>P708*33.717</f>
        <v>31795.130999999998</v>
      </c>
      <c r="Q709" s="325">
        <f>Q708*33.717</f>
        <v>16285.311</v>
      </c>
      <c r="R709" s="63">
        <f>344240-H709</f>
        <v>-109388.51799999998</v>
      </c>
      <c r="S709" s="70" t="s">
        <v>177</v>
      </c>
      <c r="T709" s="70"/>
      <c r="U709" s="70"/>
      <c r="V709" s="70"/>
      <c r="W709" s="70"/>
      <c r="X709" s="70"/>
      <c r="Y709" s="70"/>
      <c r="Z709" s="70"/>
      <c r="AA709" s="939"/>
      <c r="AB709" s="293" t="s">
        <v>5</v>
      </c>
      <c r="AC709" s="300">
        <v>70245.5</v>
      </c>
      <c r="AD709" s="307">
        <v>90695.9</v>
      </c>
      <c r="AE709" s="264">
        <v>76505.7</v>
      </c>
      <c r="AH709" s="743"/>
      <c r="AI709" s="743"/>
    </row>
    <row r="710" spans="1:35" s="267" customFormat="1" ht="15.75" thickBot="1" x14ac:dyDescent="0.3">
      <c r="A710" s="940"/>
      <c r="B710" s="294" t="s">
        <v>10</v>
      </c>
      <c r="C710" s="305">
        <f t="shared" ref="C710:Q710" si="372">C709/C702</f>
        <v>1.3428749053295783</v>
      </c>
      <c r="D710" s="292">
        <f t="shared" si="372"/>
        <v>0.59295368991162389</v>
      </c>
      <c r="E710" s="310">
        <f t="shared" si="372"/>
        <v>0.59989799077571926</v>
      </c>
      <c r="F710" s="282">
        <f t="shared" si="372"/>
        <v>1.5276579277331923</v>
      </c>
      <c r="G710" s="282">
        <f t="shared" si="372"/>
        <v>1.534105413940557</v>
      </c>
      <c r="H710" s="282">
        <f t="shared" si="372"/>
        <v>3.4331465352828987</v>
      </c>
      <c r="I710" s="282">
        <f t="shared" si="372"/>
        <v>1.1774236350239591</v>
      </c>
      <c r="J710" s="311">
        <f t="shared" si="372"/>
        <v>7.4914079477161027E-2</v>
      </c>
      <c r="K710" s="310">
        <f t="shared" si="372"/>
        <v>1.4637768809544778</v>
      </c>
      <c r="L710" s="282">
        <f t="shared" si="372"/>
        <v>2.8168906822106945</v>
      </c>
      <c r="M710" s="282">
        <f t="shared" si="372"/>
        <v>1.5940177065818246</v>
      </c>
      <c r="N710" s="260">
        <f t="shared" si="372"/>
        <v>1.4496865471799785</v>
      </c>
      <c r="O710" s="311">
        <f t="shared" si="372"/>
        <v>0.34025995014390825</v>
      </c>
      <c r="P710" s="305">
        <f t="shared" si="372"/>
        <v>0.57651050751572952</v>
      </c>
      <c r="Q710" s="292">
        <f t="shared" si="372"/>
        <v>0.4921446034360315</v>
      </c>
      <c r="R710" s="126"/>
      <c r="S710" s="70"/>
      <c r="T710" s="70"/>
      <c r="U710" s="70"/>
      <c r="V710" s="70"/>
      <c r="W710" s="70"/>
      <c r="X710" s="70"/>
      <c r="Y710" s="70"/>
      <c r="Z710" s="70"/>
      <c r="AA710" s="940"/>
      <c r="AB710" s="294" t="s">
        <v>3</v>
      </c>
      <c r="AC710" s="305">
        <f>AC709/AC708</f>
        <v>0.72095765731739359</v>
      </c>
      <c r="AD710" s="278">
        <f>AD709/AD708</f>
        <v>0.37233870477748165</v>
      </c>
      <c r="AE710" s="343">
        <f>AE709/AE708</f>
        <v>0.26173754093834639</v>
      </c>
      <c r="AH710" s="743"/>
      <c r="AI710" s="743"/>
    </row>
    <row r="711" spans="1:35" s="267" customFormat="1" ht="15.75" thickBot="1" x14ac:dyDescent="0.3">
      <c r="A711" s="924">
        <v>41393</v>
      </c>
      <c r="B711" s="924"/>
      <c r="C711" s="924"/>
      <c r="D711" s="276"/>
      <c r="E711" s="276"/>
      <c r="F711" s="276"/>
      <c r="G711" s="276"/>
      <c r="H711" s="276"/>
      <c r="I711" s="11"/>
      <c r="J711" s="281"/>
      <c r="K711" s="281"/>
      <c r="L711" s="276"/>
      <c r="M711" s="276"/>
      <c r="N711" s="13"/>
      <c r="R711" s="12"/>
      <c r="S711" s="70"/>
      <c r="T711" s="70"/>
      <c r="U711" s="70"/>
      <c r="V711" s="70"/>
      <c r="W711" s="70"/>
      <c r="X711" s="70"/>
      <c r="Y711" s="70"/>
      <c r="Z711" s="70"/>
      <c r="AA711" s="941"/>
      <c r="AB711" s="942"/>
      <c r="AH711" s="743"/>
      <c r="AI711" s="743"/>
    </row>
    <row r="712" spans="1:35" s="267" customFormat="1" x14ac:dyDescent="0.25">
      <c r="A712" s="925" t="s">
        <v>1</v>
      </c>
      <c r="B712" s="926"/>
      <c r="C712" s="297" t="s">
        <v>12</v>
      </c>
      <c r="D712" s="266" t="s">
        <v>12</v>
      </c>
      <c r="E712" s="297" t="s">
        <v>13</v>
      </c>
      <c r="F712" s="277" t="s">
        <v>13</v>
      </c>
      <c r="G712" s="277" t="s">
        <v>13</v>
      </c>
      <c r="H712" s="277" t="s">
        <v>13</v>
      </c>
      <c r="I712" s="277" t="s">
        <v>13</v>
      </c>
      <c r="J712" s="266" t="s">
        <v>13</v>
      </c>
      <c r="K712" s="297" t="s">
        <v>2</v>
      </c>
      <c r="L712" s="277" t="s">
        <v>2</v>
      </c>
      <c r="M712" s="286" t="s">
        <v>2</v>
      </c>
      <c r="N712" s="277" t="s">
        <v>2</v>
      </c>
      <c r="O712" s="266" t="s">
        <v>2</v>
      </c>
      <c r="P712" s="328" t="s">
        <v>183</v>
      </c>
      <c r="Q712" s="327" t="s">
        <v>183</v>
      </c>
      <c r="R712" s="12"/>
      <c r="S712" s="70"/>
      <c r="T712" s="70"/>
      <c r="U712" s="70"/>
      <c r="V712" s="70"/>
      <c r="W712" s="70"/>
      <c r="X712" s="70"/>
      <c r="Y712" s="70"/>
      <c r="Z712" s="70"/>
      <c r="AA712" s="925" t="s">
        <v>1</v>
      </c>
      <c r="AB712" s="926"/>
      <c r="AC712" s="297" t="s">
        <v>12</v>
      </c>
      <c r="AD712" s="277" t="s">
        <v>13</v>
      </c>
      <c r="AE712" s="266" t="s">
        <v>2</v>
      </c>
      <c r="AH712" s="743"/>
      <c r="AI712" s="743"/>
    </row>
    <row r="713" spans="1:35" s="267" customFormat="1" ht="15.75" thickBot="1" x14ac:dyDescent="0.3">
      <c r="A713" s="931" t="s">
        <v>0</v>
      </c>
      <c r="B713" s="944"/>
      <c r="C713" s="298" t="s">
        <v>99</v>
      </c>
      <c r="D713" s="291" t="s">
        <v>100</v>
      </c>
      <c r="E713" s="298" t="s">
        <v>101</v>
      </c>
      <c r="F713" s="306" t="s">
        <v>102</v>
      </c>
      <c r="G713" s="306" t="s">
        <v>97</v>
      </c>
      <c r="H713" s="306" t="s">
        <v>104</v>
      </c>
      <c r="I713" s="306" t="s">
        <v>103</v>
      </c>
      <c r="J713" s="314" t="s">
        <v>178</v>
      </c>
      <c r="K713" s="298" t="s">
        <v>105</v>
      </c>
      <c r="L713" s="306" t="s">
        <v>107</v>
      </c>
      <c r="M713" s="312" t="s">
        <v>98</v>
      </c>
      <c r="N713" s="313" t="s">
        <v>106</v>
      </c>
      <c r="O713" s="291" t="s">
        <v>179</v>
      </c>
      <c r="P713" s="317" t="s">
        <v>182</v>
      </c>
      <c r="Q713" s="291" t="s">
        <v>184</v>
      </c>
      <c r="R713" s="12"/>
      <c r="S713" s="12"/>
      <c r="T713" s="12"/>
      <c r="U713" s="12"/>
      <c r="V713" s="12"/>
      <c r="W713" s="12"/>
      <c r="X713" s="12"/>
      <c r="Y713" s="12"/>
      <c r="Z713" s="12"/>
      <c r="AA713" s="931" t="s">
        <v>0</v>
      </c>
      <c r="AB713" s="944"/>
      <c r="AC713" s="298" t="s">
        <v>99</v>
      </c>
      <c r="AD713" s="306" t="s">
        <v>104</v>
      </c>
      <c r="AE713" s="291" t="s">
        <v>107</v>
      </c>
      <c r="AH713" s="743"/>
      <c r="AI713" s="743"/>
    </row>
    <row r="714" spans="1:35" s="267" customFormat="1" ht="15" customHeight="1" x14ac:dyDescent="0.25">
      <c r="A714" s="935" t="s">
        <v>9</v>
      </c>
      <c r="B714" s="19" t="s">
        <v>4</v>
      </c>
      <c r="C714" s="299">
        <v>143392.20000000001</v>
      </c>
      <c r="D714" s="265">
        <v>150515.79999999999</v>
      </c>
      <c r="E714" s="299">
        <v>150515.79999999999</v>
      </c>
      <c r="F714" s="283">
        <v>181997.8</v>
      </c>
      <c r="G714" s="283">
        <v>165452.5</v>
      </c>
      <c r="H714" s="283">
        <v>132132</v>
      </c>
      <c r="I714" s="283">
        <v>121331.8</v>
      </c>
      <c r="J714" s="265">
        <v>166077.9</v>
      </c>
      <c r="K714" s="299">
        <v>193027</v>
      </c>
      <c r="L714" s="283">
        <v>132132.20000000001</v>
      </c>
      <c r="M714" s="283">
        <v>82726.3</v>
      </c>
      <c r="N714" s="283">
        <v>176482.7</v>
      </c>
      <c r="O714" s="265">
        <v>83039</v>
      </c>
      <c r="P714" s="318">
        <v>55151</v>
      </c>
      <c r="Q714" s="265">
        <v>33090.5</v>
      </c>
      <c r="R714" s="70"/>
      <c r="S714" s="70"/>
      <c r="T714" s="70"/>
      <c r="U714" s="70"/>
      <c r="V714" s="70"/>
      <c r="W714" s="70"/>
      <c r="X714" s="70"/>
      <c r="Y714" s="70"/>
      <c r="Z714" s="70"/>
      <c r="AA714" s="938" t="s">
        <v>195</v>
      </c>
      <c r="AB714" s="2" t="s">
        <v>4</v>
      </c>
      <c r="AC714" s="299">
        <v>143392.20000000001</v>
      </c>
      <c r="AD714" s="283">
        <v>132132</v>
      </c>
      <c r="AE714" s="265">
        <v>132132.20000000001</v>
      </c>
      <c r="AH714" s="743"/>
      <c r="AI714" s="743"/>
    </row>
    <row r="715" spans="1:35" s="267" customFormat="1" x14ac:dyDescent="0.25">
      <c r="A715" s="936"/>
      <c r="B715" s="293" t="s">
        <v>5</v>
      </c>
      <c r="C715" s="300">
        <v>42452.9</v>
      </c>
      <c r="D715" s="264">
        <v>77798.5</v>
      </c>
      <c r="E715" s="300">
        <v>79368</v>
      </c>
      <c r="F715" s="307">
        <v>157790.20000000001</v>
      </c>
      <c r="G715" s="307">
        <v>97448.1</v>
      </c>
      <c r="H715" s="307">
        <v>51518.3</v>
      </c>
      <c r="I715" s="307">
        <v>84056.7</v>
      </c>
      <c r="J715" s="264">
        <v>13757.2</v>
      </c>
      <c r="K715" s="300">
        <v>158575.20000000001</v>
      </c>
      <c r="L715" s="307">
        <v>64981.5</v>
      </c>
      <c r="M715" s="307">
        <v>50227.5</v>
      </c>
      <c r="N715" s="307">
        <v>154514.9</v>
      </c>
      <c r="O715" s="264">
        <v>6979.2</v>
      </c>
      <c r="P715" s="319">
        <v>6996.7</v>
      </c>
      <c r="Q715" s="264">
        <v>3446.7</v>
      </c>
      <c r="R715" s="70"/>
      <c r="S715" s="70"/>
      <c r="T715" s="70"/>
      <c r="U715" s="70"/>
      <c r="V715" s="70"/>
      <c r="W715" s="70"/>
      <c r="X715" s="70"/>
      <c r="Y715" s="70"/>
      <c r="Z715" s="70"/>
      <c r="AA715" s="939"/>
      <c r="AB715" s="342" t="s">
        <v>5</v>
      </c>
      <c r="AC715" s="300">
        <v>42452.9</v>
      </c>
      <c r="AD715" s="307">
        <v>51518.3</v>
      </c>
      <c r="AE715" s="264">
        <v>64981.5</v>
      </c>
      <c r="AH715" s="743"/>
      <c r="AI715" s="743"/>
    </row>
    <row r="716" spans="1:35" s="267" customFormat="1" ht="15.75" thickBot="1" x14ac:dyDescent="0.3">
      <c r="A716" s="937"/>
      <c r="B716" s="294" t="s">
        <v>3</v>
      </c>
      <c r="C716" s="305">
        <f t="shared" ref="C716:Q716" si="373">C715/C714</f>
        <v>0.29606143151440595</v>
      </c>
      <c r="D716" s="343">
        <f t="shared" si="373"/>
        <v>0.51687929107774733</v>
      </c>
      <c r="E716" s="305">
        <f t="shared" si="373"/>
        <v>0.52730676779447738</v>
      </c>
      <c r="F716" s="278">
        <f t="shared" si="373"/>
        <v>0.86698960097319866</v>
      </c>
      <c r="G716" s="278">
        <f t="shared" si="373"/>
        <v>0.58897931430470984</v>
      </c>
      <c r="H716" s="278">
        <f t="shared" si="373"/>
        <v>0.38990025126388766</v>
      </c>
      <c r="I716" s="278">
        <f t="shared" si="373"/>
        <v>0.6927837549595407</v>
      </c>
      <c r="J716" s="292">
        <f t="shared" si="373"/>
        <v>8.283582583835658E-2</v>
      </c>
      <c r="K716" s="305">
        <f t="shared" si="373"/>
        <v>0.82151823320053674</v>
      </c>
      <c r="L716" s="278">
        <f t="shared" si="373"/>
        <v>0.49179155421615622</v>
      </c>
      <c r="M716" s="315">
        <f t="shared" si="373"/>
        <v>0.607152743444346</v>
      </c>
      <c r="N716" s="278">
        <f t="shared" si="373"/>
        <v>0.87552434317924632</v>
      </c>
      <c r="O716" s="292">
        <f t="shared" si="373"/>
        <v>8.4047254904322063E-2</v>
      </c>
      <c r="P716" s="320">
        <f t="shared" si="373"/>
        <v>0.12686442675563453</v>
      </c>
      <c r="Q716" s="292">
        <f t="shared" si="373"/>
        <v>0.10415980417340323</v>
      </c>
      <c r="R716" s="70"/>
      <c r="S716" s="70"/>
      <c r="T716" s="70"/>
      <c r="U716" s="70"/>
      <c r="V716" s="70"/>
      <c r="W716" s="70"/>
      <c r="X716" s="70"/>
      <c r="Y716" s="70"/>
      <c r="Z716" s="70"/>
      <c r="AA716" s="940"/>
      <c r="AB716" s="347" t="s">
        <v>3</v>
      </c>
      <c r="AC716" s="301">
        <f>AC715/AC714</f>
        <v>0.29606143151440595</v>
      </c>
      <c r="AD716" s="278">
        <f>AD715/AD714</f>
        <v>0.38990025126388766</v>
      </c>
      <c r="AE716" s="292">
        <f>AE715/AE714</f>
        <v>0.49179155421615622</v>
      </c>
      <c r="AH716" s="743"/>
      <c r="AI716" s="743"/>
    </row>
    <row r="717" spans="1:35" s="267" customFormat="1" ht="15" customHeight="1" x14ac:dyDescent="0.25">
      <c r="A717" s="938" t="s">
        <v>6</v>
      </c>
      <c r="B717" s="19" t="s">
        <v>7</v>
      </c>
      <c r="C717" s="297">
        <v>5870</v>
      </c>
      <c r="D717" s="266">
        <v>3333</v>
      </c>
      <c r="E717" s="297">
        <v>3330</v>
      </c>
      <c r="F717" s="277">
        <v>9457</v>
      </c>
      <c r="G717" s="277">
        <v>8210</v>
      </c>
      <c r="H717" s="277">
        <v>15543</v>
      </c>
      <c r="I717" s="277">
        <v>7403</v>
      </c>
      <c r="J717" s="266">
        <v>9599</v>
      </c>
      <c r="K717" s="297">
        <v>9289</v>
      </c>
      <c r="L717" s="277">
        <v>12295</v>
      </c>
      <c r="M717" s="277">
        <v>4145</v>
      </c>
      <c r="N717" s="277">
        <v>10027</v>
      </c>
      <c r="O717" s="266">
        <v>4799</v>
      </c>
      <c r="P717" s="321">
        <v>2000</v>
      </c>
      <c r="Q717" s="266">
        <v>1250</v>
      </c>
      <c r="R717" s="358" t="s">
        <v>198</v>
      </c>
      <c r="S717" s="126"/>
      <c r="T717" s="70"/>
      <c r="U717" s="70"/>
      <c r="V717" s="70"/>
      <c r="W717" s="70"/>
      <c r="X717" s="70"/>
      <c r="Y717" s="70"/>
      <c r="Z717" s="70"/>
      <c r="AA717" s="938" t="s">
        <v>191</v>
      </c>
      <c r="AB717" s="19" t="s">
        <v>4</v>
      </c>
      <c r="AC717" s="299">
        <v>9191.7999999999993</v>
      </c>
      <c r="AD717" s="283">
        <v>13787.7</v>
      </c>
      <c r="AE717" s="265">
        <v>13787.7</v>
      </c>
      <c r="AH717" s="743"/>
      <c r="AI717" s="743"/>
    </row>
    <row r="718" spans="1:35" s="267" customFormat="1" x14ac:dyDescent="0.25">
      <c r="A718" s="939"/>
      <c r="B718" s="295" t="s">
        <v>11</v>
      </c>
      <c r="C718" s="302">
        <f t="shared" ref="C718:Q718" si="374">C717*33.717</f>
        <v>197918.78999999998</v>
      </c>
      <c r="D718" s="263">
        <f t="shared" si="374"/>
        <v>112378.761</v>
      </c>
      <c r="E718" s="302">
        <f t="shared" si="374"/>
        <v>112277.61</v>
      </c>
      <c r="F718" s="355">
        <f t="shared" si="374"/>
        <v>318861.66899999999</v>
      </c>
      <c r="G718" s="308">
        <f t="shared" si="374"/>
        <v>276816.57</v>
      </c>
      <c r="H718" s="354">
        <f t="shared" si="374"/>
        <v>524063.33100000001</v>
      </c>
      <c r="I718" s="354">
        <f t="shared" si="374"/>
        <v>249606.951</v>
      </c>
      <c r="J718" s="354">
        <f t="shared" si="374"/>
        <v>323649.48300000001</v>
      </c>
      <c r="K718" s="322">
        <f t="shared" si="374"/>
        <v>313197.21299999999</v>
      </c>
      <c r="L718" s="308">
        <f t="shared" si="374"/>
        <v>414550.51499999996</v>
      </c>
      <c r="M718" s="308">
        <f t="shared" si="374"/>
        <v>139756.965</v>
      </c>
      <c r="N718" s="354">
        <f t="shared" si="374"/>
        <v>338080.359</v>
      </c>
      <c r="O718" s="354">
        <f t="shared" si="374"/>
        <v>161807.883</v>
      </c>
      <c r="P718" s="302">
        <f t="shared" si="374"/>
        <v>67434</v>
      </c>
      <c r="Q718" s="354">
        <f t="shared" si="374"/>
        <v>42146.25</v>
      </c>
      <c r="R718" s="70"/>
      <c r="S718" s="70"/>
      <c r="T718" s="70"/>
      <c r="U718" s="70"/>
      <c r="V718" s="70"/>
      <c r="W718" s="70"/>
      <c r="X718" s="70"/>
      <c r="Y718" s="70"/>
      <c r="Z718" s="70"/>
      <c r="AA718" s="939"/>
      <c r="AB718" s="293" t="s">
        <v>5</v>
      </c>
      <c r="AC718" s="300">
        <v>8517.7000000000007</v>
      </c>
      <c r="AD718" s="307">
        <v>13649.2</v>
      </c>
      <c r="AE718" s="264">
        <v>13649.1</v>
      </c>
      <c r="AH718" s="743"/>
      <c r="AI718" s="743"/>
    </row>
    <row r="719" spans="1:35" s="267" customFormat="1" ht="15.75" thickBot="1" x14ac:dyDescent="0.3">
      <c r="A719" s="939"/>
      <c r="B719" s="295" t="s">
        <v>79</v>
      </c>
      <c r="C719" s="302">
        <v>164000</v>
      </c>
      <c r="D719" s="263">
        <v>109880</v>
      </c>
      <c r="E719" s="302">
        <v>109880</v>
      </c>
      <c r="F719" s="308">
        <v>328000</v>
      </c>
      <c r="G719" s="308">
        <v>330905</v>
      </c>
      <c r="H719" s="308">
        <v>264264</v>
      </c>
      <c r="I719" s="308">
        <v>242663.6</v>
      </c>
      <c r="J719" s="263">
        <v>328000</v>
      </c>
      <c r="K719" s="302">
        <v>328000</v>
      </c>
      <c r="L719" s="308">
        <v>264264.40000000002</v>
      </c>
      <c r="M719" s="308">
        <v>328000</v>
      </c>
      <c r="N719" s="308">
        <v>352965.4</v>
      </c>
      <c r="O719" s="263">
        <v>328000</v>
      </c>
      <c r="P719" s="322">
        <f>2*P714</f>
        <v>110302</v>
      </c>
      <c r="Q719" s="263">
        <f>2*Q714</f>
        <v>66181</v>
      </c>
      <c r="R719" s="70"/>
      <c r="S719" s="70"/>
      <c r="T719" s="70"/>
      <c r="U719" s="70"/>
      <c r="V719" s="70"/>
      <c r="W719" s="70"/>
      <c r="X719" s="70"/>
      <c r="Y719" s="70"/>
      <c r="Z719" s="70"/>
      <c r="AA719" s="940"/>
      <c r="AB719" s="344" t="s">
        <v>3</v>
      </c>
      <c r="AC719" s="301">
        <f>AC718/AC717</f>
        <v>0.92666289518919054</v>
      </c>
      <c r="AD719" s="249">
        <f>AD718/AD717</f>
        <v>0.9899548147986974</v>
      </c>
      <c r="AE719" s="348">
        <f>AE718/AE717</f>
        <v>0.98994756195739675</v>
      </c>
      <c r="AH719" s="743"/>
      <c r="AI719" s="743"/>
    </row>
    <row r="720" spans="1:35" s="267" customFormat="1" ht="15" customHeight="1" x14ac:dyDescent="0.25">
      <c r="A720" s="939"/>
      <c r="B720" s="293" t="s">
        <v>8</v>
      </c>
      <c r="C720" s="303">
        <f>SUM(C717-159)</f>
        <v>5711</v>
      </c>
      <c r="D720" s="262">
        <f>SUM(D717-686)</f>
        <v>2647</v>
      </c>
      <c r="E720" s="303">
        <f>SUM(E717-652)</f>
        <v>2678</v>
      </c>
      <c r="F720" s="309">
        <f>SUM(F717-1211)</f>
        <v>8246</v>
      </c>
      <c r="G720" s="309">
        <f>SUM(G717-4446)</f>
        <v>3764</v>
      </c>
      <c r="H720" s="309">
        <f>SUM(H717-2089)</f>
        <v>13454</v>
      </c>
      <c r="I720" s="309">
        <f>SUM(I717-(3174-2000))</f>
        <v>6229</v>
      </c>
      <c r="J720" s="262">
        <f>SUM(J717-9230)</f>
        <v>369</v>
      </c>
      <c r="K720" s="303">
        <f>SUM(K717-909)</f>
        <v>8380</v>
      </c>
      <c r="L720" s="309">
        <f>SUM(L717-1265)</f>
        <v>11030</v>
      </c>
      <c r="M720" s="316">
        <f>SUM(M717-234)</f>
        <v>3911</v>
      </c>
      <c r="N720" s="309">
        <f>SUM(N717-(5061-2614))</f>
        <v>7580</v>
      </c>
      <c r="O720" s="262">
        <f>SUM(O717-3991)</f>
        <v>808</v>
      </c>
      <c r="P720" s="323">
        <f>SUM(P717-1057)</f>
        <v>943</v>
      </c>
      <c r="Q720" s="262">
        <f>SUM(Q717-767)</f>
        <v>483</v>
      </c>
      <c r="R720" s="12" t="s">
        <v>176</v>
      </c>
      <c r="S720" s="70"/>
      <c r="T720" s="70"/>
      <c r="U720" s="70"/>
      <c r="V720" s="70"/>
      <c r="W720" s="70"/>
      <c r="X720" s="70"/>
      <c r="Y720" s="70"/>
      <c r="Z720" s="70"/>
      <c r="AA720" s="938" t="s">
        <v>192</v>
      </c>
      <c r="AB720" s="19" t="s">
        <v>4</v>
      </c>
      <c r="AC720" s="299">
        <v>97433.600000000006</v>
      </c>
      <c r="AD720" s="283">
        <v>243584.4</v>
      </c>
      <c r="AE720" s="265">
        <v>292299.3</v>
      </c>
      <c r="AH720" s="743"/>
      <c r="AI720" s="743"/>
    </row>
    <row r="721" spans="1:35" s="267" customFormat="1" x14ac:dyDescent="0.25">
      <c r="A721" s="939"/>
      <c r="B721" s="296" t="s">
        <v>77</v>
      </c>
      <c r="C721" s="302">
        <f>(C720*33.717)</f>
        <v>192557.78699999998</v>
      </c>
      <c r="D721" s="338">
        <f>(D720*33.717)</f>
        <v>89248.89899999999</v>
      </c>
      <c r="E721" s="302">
        <f>(E720*33.717)</f>
        <v>90294.126000000004</v>
      </c>
      <c r="F721" s="338">
        <f>(F720*33.717)</f>
        <v>278030.38199999998</v>
      </c>
      <c r="G721" s="280">
        <f>(G720*33.717)*2</f>
        <v>253821.576</v>
      </c>
      <c r="H721" s="280">
        <f>(H720*33.717)</f>
        <v>453628.51799999998</v>
      </c>
      <c r="I721" s="280">
        <f>(I720*33.717)-(2000*33.717)</f>
        <v>142589.193</v>
      </c>
      <c r="J721" s="261">
        <f>J720*33.717</f>
        <v>12441.573</v>
      </c>
      <c r="K721" s="304">
        <f>K720*33.717</f>
        <v>282548.45999999996</v>
      </c>
      <c r="L721" s="280">
        <f>L720*33.717</f>
        <v>371898.51</v>
      </c>
      <c r="M721" s="280">
        <f>(M720*33.717)</f>
        <v>131867.18700000001</v>
      </c>
      <c r="N721" s="280">
        <f>N720*33.717</f>
        <v>255574.86</v>
      </c>
      <c r="O721" s="261">
        <f>O720*33.717</f>
        <v>27243.335999999999</v>
      </c>
      <c r="P721" s="324">
        <f>P720*33.717</f>
        <v>31795.130999999998</v>
      </c>
      <c r="Q721" s="325">
        <f>Q720*33.717</f>
        <v>16285.311</v>
      </c>
      <c r="R721" s="63">
        <f>344240-H721</f>
        <v>-109388.51799999998</v>
      </c>
      <c r="S721" s="70" t="s">
        <v>177</v>
      </c>
      <c r="T721" s="70"/>
      <c r="U721" s="70"/>
      <c r="V721" s="70"/>
      <c r="W721" s="70"/>
      <c r="X721" s="70"/>
      <c r="Y721" s="70"/>
      <c r="Z721" s="70"/>
      <c r="AA721" s="939"/>
      <c r="AB721" s="293" t="s">
        <v>5</v>
      </c>
      <c r="AC721" s="300">
        <v>70623.3</v>
      </c>
      <c r="AD721" s="307">
        <v>89776.7</v>
      </c>
      <c r="AE721" s="264">
        <v>76475</v>
      </c>
      <c r="AH721" s="743"/>
      <c r="AI721" s="743"/>
    </row>
    <row r="722" spans="1:35" s="267" customFormat="1" ht="15.75" thickBot="1" x14ac:dyDescent="0.3">
      <c r="A722" s="940"/>
      <c r="B722" s="294" t="s">
        <v>10</v>
      </c>
      <c r="C722" s="305">
        <f t="shared" ref="C722:Q722" si="375">C721/C714</f>
        <v>1.3428749053295783</v>
      </c>
      <c r="D722" s="292">
        <f t="shared" si="375"/>
        <v>0.59295368991162389</v>
      </c>
      <c r="E722" s="310">
        <f t="shared" si="375"/>
        <v>0.59989799077571926</v>
      </c>
      <c r="F722" s="282">
        <f t="shared" si="375"/>
        <v>1.5276579277331923</v>
      </c>
      <c r="G722" s="282">
        <f t="shared" si="375"/>
        <v>1.534105413940557</v>
      </c>
      <c r="H722" s="282">
        <f t="shared" si="375"/>
        <v>3.4331465352828987</v>
      </c>
      <c r="I722" s="282">
        <f t="shared" si="375"/>
        <v>1.175200508028398</v>
      </c>
      <c r="J722" s="311">
        <f t="shared" si="375"/>
        <v>7.4914079477161027E-2</v>
      </c>
      <c r="K722" s="310">
        <f t="shared" si="375"/>
        <v>1.4637768809544778</v>
      </c>
      <c r="L722" s="282">
        <f t="shared" si="375"/>
        <v>2.8145940959130322</v>
      </c>
      <c r="M722" s="282">
        <f t="shared" si="375"/>
        <v>1.5940177065818246</v>
      </c>
      <c r="N722" s="260">
        <f t="shared" si="375"/>
        <v>1.4481581480791033</v>
      </c>
      <c r="O722" s="311">
        <f t="shared" si="375"/>
        <v>0.32807880634400705</v>
      </c>
      <c r="P722" s="305">
        <f t="shared" si="375"/>
        <v>0.57651050751572952</v>
      </c>
      <c r="Q722" s="292">
        <f t="shared" si="375"/>
        <v>0.4921446034360315</v>
      </c>
      <c r="R722" s="126"/>
      <c r="S722" s="70"/>
      <c r="T722" s="70"/>
      <c r="U722" s="70"/>
      <c r="V722" s="70"/>
      <c r="W722" s="70"/>
      <c r="X722" s="70"/>
      <c r="Y722" s="70"/>
      <c r="Z722" s="70"/>
      <c r="AA722" s="940"/>
      <c r="AB722" s="294" t="s">
        <v>3</v>
      </c>
      <c r="AC722" s="305">
        <f>AC721/AC720</f>
        <v>0.72483516979768781</v>
      </c>
      <c r="AD722" s="278">
        <f>AD721/AD720</f>
        <v>0.36856506410098511</v>
      </c>
      <c r="AE722" s="343">
        <f>AE721/AE720</f>
        <v>0.2616325116071096</v>
      </c>
      <c r="AH722" s="743"/>
      <c r="AI722" s="743"/>
    </row>
    <row r="723" spans="1:35" s="267" customFormat="1" ht="15.75" thickBot="1" x14ac:dyDescent="0.3">
      <c r="A723" s="924">
        <v>41390</v>
      </c>
      <c r="B723" s="924"/>
      <c r="C723" s="924"/>
      <c r="D723" s="276"/>
      <c r="E723" s="276"/>
      <c r="F723" s="276"/>
      <c r="G723" s="276"/>
      <c r="H723" s="276"/>
      <c r="I723" s="11"/>
      <c r="J723" s="281"/>
      <c r="K723" s="281"/>
      <c r="L723" s="276"/>
      <c r="M723" s="276"/>
      <c r="N723" s="13"/>
      <c r="R723" s="12"/>
      <c r="S723" s="70"/>
      <c r="T723" s="70"/>
      <c r="U723" s="70"/>
      <c r="V723" s="70"/>
      <c r="W723" s="70"/>
      <c r="X723" s="70"/>
      <c r="Y723" s="70"/>
      <c r="Z723" s="70"/>
      <c r="AA723" s="941"/>
      <c r="AB723" s="942"/>
      <c r="AH723" s="743"/>
      <c r="AI723" s="743"/>
    </row>
    <row r="724" spans="1:35" s="267" customFormat="1" x14ac:dyDescent="0.25">
      <c r="A724" s="925" t="s">
        <v>1</v>
      </c>
      <c r="B724" s="926"/>
      <c r="C724" s="297" t="s">
        <v>12</v>
      </c>
      <c r="D724" s="266" t="s">
        <v>12</v>
      </c>
      <c r="E724" s="297" t="s">
        <v>13</v>
      </c>
      <c r="F724" s="277" t="s">
        <v>13</v>
      </c>
      <c r="G724" s="277" t="s">
        <v>13</v>
      </c>
      <c r="H724" s="277" t="s">
        <v>13</v>
      </c>
      <c r="I724" s="277" t="s">
        <v>13</v>
      </c>
      <c r="J724" s="266" t="s">
        <v>13</v>
      </c>
      <c r="K724" s="297" t="s">
        <v>2</v>
      </c>
      <c r="L724" s="277" t="s">
        <v>2</v>
      </c>
      <c r="M724" s="286" t="s">
        <v>2</v>
      </c>
      <c r="N724" s="277" t="s">
        <v>2</v>
      </c>
      <c r="O724" s="266" t="s">
        <v>2</v>
      </c>
      <c r="P724" s="328" t="s">
        <v>183</v>
      </c>
      <c r="Q724" s="327" t="s">
        <v>183</v>
      </c>
      <c r="R724" s="12"/>
      <c r="S724" s="70"/>
      <c r="T724" s="70"/>
      <c r="U724" s="70"/>
      <c r="V724" s="70"/>
      <c r="W724" s="70"/>
      <c r="X724" s="70"/>
      <c r="Y724" s="70"/>
      <c r="Z724" s="70"/>
      <c r="AA724" s="925" t="s">
        <v>1</v>
      </c>
      <c r="AB724" s="926"/>
      <c r="AC724" s="297" t="s">
        <v>12</v>
      </c>
      <c r="AD724" s="277" t="s">
        <v>13</v>
      </c>
      <c r="AE724" s="266" t="s">
        <v>2</v>
      </c>
      <c r="AH724" s="743"/>
      <c r="AI724" s="743"/>
    </row>
    <row r="725" spans="1:35" s="267" customFormat="1" ht="15.75" thickBot="1" x14ac:dyDescent="0.3">
      <c r="A725" s="931" t="s">
        <v>0</v>
      </c>
      <c r="B725" s="944"/>
      <c r="C725" s="298" t="s">
        <v>99</v>
      </c>
      <c r="D725" s="291" t="s">
        <v>100</v>
      </c>
      <c r="E725" s="298" t="s">
        <v>101</v>
      </c>
      <c r="F725" s="306" t="s">
        <v>102</v>
      </c>
      <c r="G725" s="306" t="s">
        <v>97</v>
      </c>
      <c r="H725" s="306" t="s">
        <v>104</v>
      </c>
      <c r="I725" s="306" t="s">
        <v>103</v>
      </c>
      <c r="J725" s="314" t="s">
        <v>178</v>
      </c>
      <c r="K725" s="298" t="s">
        <v>105</v>
      </c>
      <c r="L725" s="306" t="s">
        <v>107</v>
      </c>
      <c r="M725" s="312" t="s">
        <v>98</v>
      </c>
      <c r="N725" s="313" t="s">
        <v>106</v>
      </c>
      <c r="O725" s="291" t="s">
        <v>179</v>
      </c>
      <c r="P725" s="317" t="s">
        <v>182</v>
      </c>
      <c r="Q725" s="291" t="s">
        <v>184</v>
      </c>
      <c r="R725" s="12"/>
      <c r="S725" s="12"/>
      <c r="T725" s="12"/>
      <c r="U725" s="12"/>
      <c r="V725" s="12"/>
      <c r="W725" s="12"/>
      <c r="X725" s="12"/>
      <c r="Y725" s="12"/>
      <c r="Z725" s="12"/>
      <c r="AA725" s="931" t="s">
        <v>0</v>
      </c>
      <c r="AB725" s="944"/>
      <c r="AC725" s="298" t="s">
        <v>99</v>
      </c>
      <c r="AD725" s="306" t="s">
        <v>104</v>
      </c>
      <c r="AE725" s="291" t="s">
        <v>107</v>
      </c>
      <c r="AH725" s="743"/>
      <c r="AI725" s="743"/>
    </row>
    <row r="726" spans="1:35" s="267" customFormat="1" ht="15" customHeight="1" x14ac:dyDescent="0.25">
      <c r="A726" s="935" t="s">
        <v>9</v>
      </c>
      <c r="B726" s="19" t="s">
        <v>4</v>
      </c>
      <c r="C726" s="299">
        <v>143392.20000000001</v>
      </c>
      <c r="D726" s="265">
        <v>150515.79999999999</v>
      </c>
      <c r="E726" s="299">
        <v>150515.79999999999</v>
      </c>
      <c r="F726" s="283">
        <v>181997.8</v>
      </c>
      <c r="G726" s="283">
        <v>165452.5</v>
      </c>
      <c r="H726" s="283">
        <v>132132</v>
      </c>
      <c r="I726" s="283">
        <v>121331.8</v>
      </c>
      <c r="J726" s="265">
        <v>166077.9</v>
      </c>
      <c r="K726" s="299">
        <v>193027</v>
      </c>
      <c r="L726" s="283">
        <v>132132.20000000001</v>
      </c>
      <c r="M726" s="283">
        <v>82726.3</v>
      </c>
      <c r="N726" s="283">
        <v>176482.7</v>
      </c>
      <c r="O726" s="265">
        <v>83039</v>
      </c>
      <c r="P726" s="318">
        <v>55151</v>
      </c>
      <c r="Q726" s="265">
        <v>33090.5</v>
      </c>
      <c r="R726" s="70"/>
      <c r="S726" s="70"/>
      <c r="T726" s="70"/>
      <c r="U726" s="70"/>
      <c r="V726" s="70"/>
      <c r="W726" s="70"/>
      <c r="X726" s="70"/>
      <c r="Y726" s="70"/>
      <c r="Z726" s="70"/>
      <c r="AA726" s="938" t="s">
        <v>195</v>
      </c>
      <c r="AB726" s="2" t="s">
        <v>4</v>
      </c>
      <c r="AC726" s="299">
        <v>143392.20000000001</v>
      </c>
      <c r="AD726" s="283">
        <v>132132</v>
      </c>
      <c r="AE726" s="265">
        <v>132132.20000000001</v>
      </c>
      <c r="AH726" s="743"/>
      <c r="AI726" s="743"/>
    </row>
    <row r="727" spans="1:35" s="267" customFormat="1" x14ac:dyDescent="0.25">
      <c r="A727" s="936"/>
      <c r="B727" s="293" t="s">
        <v>5</v>
      </c>
      <c r="C727" s="300">
        <v>42193.1</v>
      </c>
      <c r="D727" s="264">
        <v>77748</v>
      </c>
      <c r="E727" s="300">
        <v>79318.100000000006</v>
      </c>
      <c r="F727" s="307">
        <v>157726.39999999999</v>
      </c>
      <c r="G727" s="307">
        <v>97137.2</v>
      </c>
      <c r="H727" s="307">
        <v>49681.1</v>
      </c>
      <c r="I727" s="307">
        <v>83148.600000000006</v>
      </c>
      <c r="J727" s="264">
        <v>13750.2</v>
      </c>
      <c r="K727" s="300">
        <v>158475</v>
      </c>
      <c r="L727" s="307">
        <v>62395.9</v>
      </c>
      <c r="M727" s="307">
        <v>50045.599999999999</v>
      </c>
      <c r="N727" s="307">
        <v>152521.60000000001</v>
      </c>
      <c r="O727" s="264">
        <v>6973.9</v>
      </c>
      <c r="P727" s="319">
        <v>6993.1</v>
      </c>
      <c r="Q727" s="264">
        <v>3442</v>
      </c>
      <c r="R727" s="70"/>
      <c r="S727" s="70"/>
      <c r="T727" s="70"/>
      <c r="U727" s="70"/>
      <c r="V727" s="70"/>
      <c r="W727" s="70"/>
      <c r="X727" s="70"/>
      <c r="Y727" s="70"/>
      <c r="Z727" s="70"/>
      <c r="AA727" s="939"/>
      <c r="AB727" s="342" t="s">
        <v>5</v>
      </c>
      <c r="AC727" s="300">
        <v>42041.3</v>
      </c>
      <c r="AD727" s="307">
        <v>46836.6</v>
      </c>
      <c r="AE727" s="264">
        <v>54552.5</v>
      </c>
      <c r="AH727" s="743"/>
      <c r="AI727" s="743"/>
    </row>
    <row r="728" spans="1:35" s="267" customFormat="1" ht="15.75" thickBot="1" x14ac:dyDescent="0.3">
      <c r="A728" s="937"/>
      <c r="B728" s="294" t="s">
        <v>3</v>
      </c>
      <c r="C728" s="305">
        <f>C727/C726</f>
        <v>0.29424961748268036</v>
      </c>
      <c r="D728" s="343">
        <v>7.0000000000000007E-2</v>
      </c>
      <c r="E728" s="305">
        <f t="shared" ref="E728:Q728" si="376">E727/E726</f>
        <v>0.5269752411374754</v>
      </c>
      <c r="F728" s="278">
        <f t="shared" si="376"/>
        <v>0.86663904728518704</v>
      </c>
      <c r="G728" s="278">
        <f t="shared" si="376"/>
        <v>0.58710022514014593</v>
      </c>
      <c r="H728" s="278">
        <f t="shared" si="376"/>
        <v>0.37599597372324645</v>
      </c>
      <c r="I728" s="278">
        <f t="shared" si="376"/>
        <v>0.68529931971667779</v>
      </c>
      <c r="J728" s="292">
        <f t="shared" si="376"/>
        <v>8.2793676943169442E-2</v>
      </c>
      <c r="K728" s="305">
        <f t="shared" si="376"/>
        <v>0.82099913483605924</v>
      </c>
      <c r="L728" s="278">
        <f t="shared" si="376"/>
        <v>0.47222327335804593</v>
      </c>
      <c r="M728" s="315">
        <f t="shared" si="376"/>
        <v>0.60495392638133216</v>
      </c>
      <c r="N728" s="278">
        <f t="shared" si="376"/>
        <v>0.86422975169804173</v>
      </c>
      <c r="O728" s="292">
        <f t="shared" si="376"/>
        <v>8.3983429472898274E-2</v>
      </c>
      <c r="P728" s="320">
        <f t="shared" si="376"/>
        <v>0.12679915142064516</v>
      </c>
      <c r="Q728" s="292">
        <f t="shared" si="376"/>
        <v>0.10401776945044651</v>
      </c>
      <c r="R728" s="70"/>
      <c r="S728" s="70"/>
      <c r="T728" s="70"/>
      <c r="U728" s="70"/>
      <c r="V728" s="70"/>
      <c r="W728" s="70"/>
      <c r="X728" s="70"/>
      <c r="Y728" s="70"/>
      <c r="Z728" s="70"/>
      <c r="AA728" s="940"/>
      <c r="AB728" s="347" t="s">
        <v>3</v>
      </c>
      <c r="AC728" s="301">
        <f>AC727/AC726</f>
        <v>0.29319098249416636</v>
      </c>
      <c r="AD728" s="278">
        <f>AD727/AD726</f>
        <v>0.35446825901371354</v>
      </c>
      <c r="AE728" s="292">
        <f>AE727/AE726</f>
        <v>0.41286302657489993</v>
      </c>
      <c r="AH728" s="743"/>
      <c r="AI728" s="743"/>
    </row>
    <row r="729" spans="1:35" s="267" customFormat="1" ht="15" customHeight="1" x14ac:dyDescent="0.25">
      <c r="A729" s="938" t="s">
        <v>6</v>
      </c>
      <c r="B729" s="19" t="s">
        <v>7</v>
      </c>
      <c r="C729" s="297">
        <v>5870</v>
      </c>
      <c r="D729" s="266">
        <v>3333</v>
      </c>
      <c r="E729" s="297">
        <v>3330</v>
      </c>
      <c r="F729" s="277">
        <v>9457</v>
      </c>
      <c r="G729" s="277">
        <v>8210</v>
      </c>
      <c r="H729" s="277">
        <v>15543</v>
      </c>
      <c r="I729" s="277">
        <v>7403</v>
      </c>
      <c r="J729" s="266">
        <v>9599</v>
      </c>
      <c r="K729" s="297">
        <v>9289</v>
      </c>
      <c r="L729" s="277">
        <v>12295</v>
      </c>
      <c r="M729" s="277">
        <v>4145</v>
      </c>
      <c r="N729" s="277">
        <v>10027</v>
      </c>
      <c r="O729" s="266">
        <v>4799</v>
      </c>
      <c r="P729" s="321">
        <v>2000</v>
      </c>
      <c r="Q729" s="266">
        <v>1250</v>
      </c>
      <c r="R729" s="358" t="s">
        <v>198</v>
      </c>
      <c r="S729" s="126"/>
      <c r="T729" s="70"/>
      <c r="U729" s="70"/>
      <c r="V729" s="70"/>
      <c r="W729" s="70"/>
      <c r="X729" s="70"/>
      <c r="Y729" s="70"/>
      <c r="Z729" s="70"/>
      <c r="AA729" s="938" t="s">
        <v>191</v>
      </c>
      <c r="AB729" s="19" t="s">
        <v>4</v>
      </c>
      <c r="AC729" s="299">
        <v>9191.7999999999993</v>
      </c>
      <c r="AD729" s="283">
        <v>13787.7</v>
      </c>
      <c r="AE729" s="265">
        <v>13787.7</v>
      </c>
      <c r="AH729" s="743"/>
      <c r="AI729" s="743"/>
    </row>
    <row r="730" spans="1:35" s="267" customFormat="1" x14ac:dyDescent="0.25">
      <c r="A730" s="939"/>
      <c r="B730" s="295" t="s">
        <v>11</v>
      </c>
      <c r="C730" s="302">
        <f t="shared" ref="C730:Q730" si="377">C729*33.717</f>
        <v>197918.78999999998</v>
      </c>
      <c r="D730" s="263">
        <f t="shared" si="377"/>
        <v>112378.761</v>
      </c>
      <c r="E730" s="302">
        <f t="shared" si="377"/>
        <v>112277.61</v>
      </c>
      <c r="F730" s="355">
        <f t="shared" si="377"/>
        <v>318861.66899999999</v>
      </c>
      <c r="G730" s="308">
        <f t="shared" si="377"/>
        <v>276816.57</v>
      </c>
      <c r="H730" s="354">
        <f t="shared" si="377"/>
        <v>524063.33100000001</v>
      </c>
      <c r="I730" s="354">
        <f t="shared" si="377"/>
        <v>249606.951</v>
      </c>
      <c r="J730" s="354">
        <f t="shared" si="377"/>
        <v>323649.48300000001</v>
      </c>
      <c r="K730" s="322">
        <f t="shared" si="377"/>
        <v>313197.21299999999</v>
      </c>
      <c r="L730" s="308">
        <f t="shared" si="377"/>
        <v>414550.51499999996</v>
      </c>
      <c r="M730" s="308">
        <f t="shared" si="377"/>
        <v>139756.965</v>
      </c>
      <c r="N730" s="354">
        <f t="shared" si="377"/>
        <v>338080.359</v>
      </c>
      <c r="O730" s="354">
        <f t="shared" si="377"/>
        <v>161807.883</v>
      </c>
      <c r="P730" s="302">
        <f t="shared" si="377"/>
        <v>67434</v>
      </c>
      <c r="Q730" s="354">
        <f t="shared" si="377"/>
        <v>42146.25</v>
      </c>
      <c r="R730" s="70"/>
      <c r="S730" s="70"/>
      <c r="T730" s="70"/>
      <c r="U730" s="70"/>
      <c r="V730" s="70"/>
      <c r="W730" s="70"/>
      <c r="X730" s="70"/>
      <c r="Y730" s="70"/>
      <c r="Z730" s="70"/>
      <c r="AA730" s="939"/>
      <c r="AB730" s="293" t="s">
        <v>5</v>
      </c>
      <c r="AC730" s="300">
        <v>8882</v>
      </c>
      <c r="AD730" s="307">
        <v>13644.7</v>
      </c>
      <c r="AE730" s="264">
        <v>13649.8</v>
      </c>
      <c r="AH730" s="743"/>
      <c r="AI730" s="743"/>
    </row>
    <row r="731" spans="1:35" s="267" customFormat="1" ht="15.75" thickBot="1" x14ac:dyDescent="0.3">
      <c r="A731" s="939"/>
      <c r="B731" s="295" t="s">
        <v>79</v>
      </c>
      <c r="C731" s="302">
        <v>164000</v>
      </c>
      <c r="D731" s="263">
        <v>109880</v>
      </c>
      <c r="E731" s="302">
        <v>109880</v>
      </c>
      <c r="F731" s="308">
        <v>328000</v>
      </c>
      <c r="G731" s="308">
        <v>330905</v>
      </c>
      <c r="H731" s="308">
        <v>264264</v>
      </c>
      <c r="I731" s="308">
        <v>242663.6</v>
      </c>
      <c r="J731" s="263">
        <v>328000</v>
      </c>
      <c r="K731" s="302">
        <v>328000</v>
      </c>
      <c r="L731" s="308">
        <v>264264.40000000002</v>
      </c>
      <c r="M731" s="308">
        <v>328000</v>
      </c>
      <c r="N731" s="308">
        <v>352965.4</v>
      </c>
      <c r="O731" s="263">
        <v>328000</v>
      </c>
      <c r="P731" s="322">
        <f>2*P726</f>
        <v>110302</v>
      </c>
      <c r="Q731" s="263">
        <f>2*Q726</f>
        <v>66181</v>
      </c>
      <c r="R731" s="70"/>
      <c r="S731" s="70"/>
      <c r="T731" s="70"/>
      <c r="U731" s="70"/>
      <c r="V731" s="70"/>
      <c r="W731" s="70"/>
      <c r="X731" s="70"/>
      <c r="Y731" s="70"/>
      <c r="Z731" s="70"/>
      <c r="AA731" s="940"/>
      <c r="AB731" s="344" t="s">
        <v>3</v>
      </c>
      <c r="AC731" s="301">
        <f>AC730/AC729</f>
        <v>0.96629604647620715</v>
      </c>
      <c r="AD731" s="249">
        <f>AD730/AD729</f>
        <v>0.98962843694017133</v>
      </c>
      <c r="AE731" s="348">
        <f>AE730/AE729</f>
        <v>0.98999833184650077</v>
      </c>
      <c r="AH731" s="743"/>
      <c r="AI731" s="743"/>
    </row>
    <row r="732" spans="1:35" s="267" customFormat="1" ht="15" customHeight="1" x14ac:dyDescent="0.25">
      <c r="A732" s="939"/>
      <c r="B732" s="293" t="s">
        <v>8</v>
      </c>
      <c r="C732" s="303">
        <f>SUM(C729-159)</f>
        <v>5711</v>
      </c>
      <c r="D732" s="262">
        <f>SUM(D729-686)</f>
        <v>2647</v>
      </c>
      <c r="E732" s="303">
        <f>SUM(E729-652)</f>
        <v>2678</v>
      </c>
      <c r="F732" s="309">
        <f>SUM(F729-1211)</f>
        <v>8246</v>
      </c>
      <c r="G732" s="309">
        <f>SUM(G729-4446)</f>
        <v>3764</v>
      </c>
      <c r="H732" s="309">
        <f>SUM(H729-2089)</f>
        <v>13454</v>
      </c>
      <c r="I732" s="309">
        <f>SUM(I729-(3186-2000))</f>
        <v>6217</v>
      </c>
      <c r="J732" s="262">
        <f>SUM(J729-9230)</f>
        <v>369</v>
      </c>
      <c r="K732" s="303">
        <f>SUM(K729-909)</f>
        <v>8380</v>
      </c>
      <c r="L732" s="309">
        <f>SUM(L729-1100)</f>
        <v>11195</v>
      </c>
      <c r="M732" s="316">
        <f>SUM(M729-234)</f>
        <v>3911</v>
      </c>
      <c r="N732" s="309">
        <f>SUM(N729-(5073-2614))</f>
        <v>7568</v>
      </c>
      <c r="O732" s="262">
        <f>SUM(O729-3991)</f>
        <v>808</v>
      </c>
      <c r="P732" s="323">
        <f>SUM(P729-1057)</f>
        <v>943</v>
      </c>
      <c r="Q732" s="262">
        <f>SUM(Q729-767)</f>
        <v>483</v>
      </c>
      <c r="R732" s="12" t="s">
        <v>176</v>
      </c>
      <c r="S732" s="70"/>
      <c r="T732" s="70"/>
      <c r="U732" s="70"/>
      <c r="V732" s="70"/>
      <c r="W732" s="70"/>
      <c r="X732" s="70"/>
      <c r="Y732" s="70"/>
      <c r="Z732" s="70"/>
      <c r="AA732" s="938" t="s">
        <v>192</v>
      </c>
      <c r="AB732" s="19" t="s">
        <v>4</v>
      </c>
      <c r="AC732" s="299">
        <v>97433.600000000006</v>
      </c>
      <c r="AD732" s="283">
        <v>243584.4</v>
      </c>
      <c r="AE732" s="265">
        <v>292299.3</v>
      </c>
      <c r="AH732" s="743"/>
      <c r="AI732" s="743"/>
    </row>
    <row r="733" spans="1:35" s="267" customFormat="1" x14ac:dyDescent="0.25">
      <c r="A733" s="939"/>
      <c r="B733" s="296" t="s">
        <v>77</v>
      </c>
      <c r="C733" s="302">
        <f>(C732*33.717)</f>
        <v>192557.78699999998</v>
      </c>
      <c r="D733" s="338">
        <f>(D732*33.717)</f>
        <v>89248.89899999999</v>
      </c>
      <c r="E733" s="302">
        <f>(E732*33.717)</f>
        <v>90294.126000000004</v>
      </c>
      <c r="F733" s="338">
        <f>(F732*33.717)</f>
        <v>278030.38199999998</v>
      </c>
      <c r="G733" s="280">
        <f>(G732*33.717)*2</f>
        <v>253821.576</v>
      </c>
      <c r="H733" s="280">
        <f>(H732*33.717)</f>
        <v>453628.51799999998</v>
      </c>
      <c r="I733" s="280">
        <f>(I732*33.717)-(2000*33.717)</f>
        <v>142184.58899999998</v>
      </c>
      <c r="J733" s="261">
        <f>J732*33.717</f>
        <v>12441.573</v>
      </c>
      <c r="K733" s="304">
        <f>K732*33.717</f>
        <v>282548.45999999996</v>
      </c>
      <c r="L733" s="280">
        <f>L732*33.717</f>
        <v>377461.815</v>
      </c>
      <c r="M733" s="280">
        <f>(M732*33.717)</f>
        <v>131867.18700000001</v>
      </c>
      <c r="N733" s="280">
        <f>N732*33.717</f>
        <v>255170.25599999999</v>
      </c>
      <c r="O733" s="261">
        <f>O732*33.717</f>
        <v>27243.335999999999</v>
      </c>
      <c r="P733" s="324">
        <f>P732*33.717</f>
        <v>31795.130999999998</v>
      </c>
      <c r="Q733" s="325">
        <f>Q732*33.717</f>
        <v>16285.311</v>
      </c>
      <c r="R733" s="63">
        <f>344240-H733</f>
        <v>-109388.51799999998</v>
      </c>
      <c r="S733" s="70" t="s">
        <v>177</v>
      </c>
      <c r="T733" s="70"/>
      <c r="U733" s="70"/>
      <c r="V733" s="70"/>
      <c r="W733" s="70"/>
      <c r="X733" s="70"/>
      <c r="Y733" s="70"/>
      <c r="Z733" s="70"/>
      <c r="AA733" s="939"/>
      <c r="AB733" s="293" t="s">
        <v>5</v>
      </c>
      <c r="AC733" s="300">
        <v>64490.9</v>
      </c>
      <c r="AD733" s="307">
        <v>79989.3</v>
      </c>
      <c r="AE733" s="264">
        <v>62980.6</v>
      </c>
      <c r="AH733" s="743"/>
      <c r="AI733" s="743"/>
    </row>
    <row r="734" spans="1:35" s="267" customFormat="1" ht="15.75" thickBot="1" x14ac:dyDescent="0.3">
      <c r="A734" s="940"/>
      <c r="B734" s="294" t="s">
        <v>10</v>
      </c>
      <c r="C734" s="305">
        <f t="shared" ref="C734:Q734" si="378">C733/C726</f>
        <v>1.3428749053295783</v>
      </c>
      <c r="D734" s="292">
        <f t="shared" si="378"/>
        <v>0.59295368991162389</v>
      </c>
      <c r="E734" s="310">
        <f t="shared" si="378"/>
        <v>0.59989799077571926</v>
      </c>
      <c r="F734" s="282">
        <f t="shared" si="378"/>
        <v>1.5276579277331923</v>
      </c>
      <c r="G734" s="282">
        <f t="shared" si="378"/>
        <v>1.534105413940557</v>
      </c>
      <c r="H734" s="282">
        <f t="shared" si="378"/>
        <v>3.4331465352828987</v>
      </c>
      <c r="I734" s="282">
        <f t="shared" si="378"/>
        <v>1.1718658175350565</v>
      </c>
      <c r="J734" s="311">
        <f t="shared" si="378"/>
        <v>7.4914079477161027E-2</v>
      </c>
      <c r="K734" s="310">
        <f t="shared" si="378"/>
        <v>1.4637768809544778</v>
      </c>
      <c r="L734" s="282">
        <f t="shared" si="378"/>
        <v>2.8566981780368446</v>
      </c>
      <c r="M734" s="282">
        <f t="shared" si="378"/>
        <v>1.5940177065818246</v>
      </c>
      <c r="N734" s="260">
        <f t="shared" si="378"/>
        <v>1.4458655494277908</v>
      </c>
      <c r="O734" s="311">
        <f t="shared" si="378"/>
        <v>0.32807880634400705</v>
      </c>
      <c r="P734" s="305">
        <f t="shared" si="378"/>
        <v>0.57651050751572952</v>
      </c>
      <c r="Q734" s="292">
        <f t="shared" si="378"/>
        <v>0.4921446034360315</v>
      </c>
      <c r="R734" s="126"/>
      <c r="S734" s="70"/>
      <c r="T734" s="70"/>
      <c r="U734" s="70"/>
      <c r="V734" s="70"/>
      <c r="W734" s="70"/>
      <c r="X734" s="70"/>
      <c r="Y734" s="70"/>
      <c r="Z734" s="70"/>
      <c r="AA734" s="940"/>
      <c r="AB734" s="294" t="s">
        <v>3</v>
      </c>
      <c r="AC734" s="305">
        <f>AC733/AC732</f>
        <v>0.66189589628218604</v>
      </c>
      <c r="AD734" s="278">
        <f>AD733/AD732</f>
        <v>0.32838433003098721</v>
      </c>
      <c r="AE734" s="343">
        <f>AE733/AE732</f>
        <v>0.21546613351451749</v>
      </c>
      <c r="AH734" s="743"/>
      <c r="AI734" s="743"/>
    </row>
    <row r="735" spans="1:35" s="267" customFormat="1" ht="15.75" thickBot="1" x14ac:dyDescent="0.3">
      <c r="A735" s="924">
        <v>41387</v>
      </c>
      <c r="B735" s="924"/>
      <c r="C735" s="924"/>
      <c r="D735" s="276"/>
      <c r="E735" s="276"/>
      <c r="F735" s="276"/>
      <c r="G735" s="276"/>
      <c r="H735" s="276"/>
      <c r="I735" s="11"/>
      <c r="J735" s="281"/>
      <c r="K735" s="281"/>
      <c r="L735" s="276"/>
      <c r="M735" s="276"/>
      <c r="N735" s="13"/>
      <c r="R735" s="12"/>
      <c r="S735" s="70"/>
      <c r="T735" s="70"/>
      <c r="U735" s="70"/>
      <c r="V735" s="70"/>
      <c r="W735" s="70"/>
      <c r="X735" s="70"/>
      <c r="Y735" s="70"/>
      <c r="Z735" s="70"/>
      <c r="AA735" s="946"/>
      <c r="AB735" s="947"/>
      <c r="AH735" s="743"/>
      <c r="AI735" s="743"/>
    </row>
    <row r="736" spans="1:35" s="267" customFormat="1" x14ac:dyDescent="0.25">
      <c r="A736" s="925" t="s">
        <v>1</v>
      </c>
      <c r="B736" s="927"/>
      <c r="C736" s="297" t="s">
        <v>12</v>
      </c>
      <c r="D736" s="266" t="s">
        <v>12</v>
      </c>
      <c r="E736" s="297" t="s">
        <v>13</v>
      </c>
      <c r="F736" s="277" t="s">
        <v>13</v>
      </c>
      <c r="G736" s="277" t="s">
        <v>13</v>
      </c>
      <c r="H736" s="277" t="s">
        <v>13</v>
      </c>
      <c r="I736" s="277" t="s">
        <v>13</v>
      </c>
      <c r="J736" s="266" t="s">
        <v>13</v>
      </c>
      <c r="K736" s="297" t="s">
        <v>2</v>
      </c>
      <c r="L736" s="277" t="s">
        <v>2</v>
      </c>
      <c r="M736" s="286" t="s">
        <v>2</v>
      </c>
      <c r="N736" s="277" t="s">
        <v>2</v>
      </c>
      <c r="O736" s="266" t="s">
        <v>2</v>
      </c>
      <c r="P736" s="328" t="s">
        <v>183</v>
      </c>
      <c r="Q736" s="327" t="s">
        <v>183</v>
      </c>
      <c r="R736" s="12"/>
      <c r="S736" s="70"/>
      <c r="T736" s="70"/>
      <c r="U736" s="70"/>
      <c r="V736" s="70"/>
      <c r="W736" s="70"/>
      <c r="X736" s="70"/>
      <c r="Y736" s="70"/>
      <c r="Z736" s="70"/>
      <c r="AA736" s="925" t="s">
        <v>1</v>
      </c>
      <c r="AB736" s="948"/>
      <c r="AC736" s="297" t="s">
        <v>12</v>
      </c>
      <c r="AD736" s="277" t="s">
        <v>13</v>
      </c>
      <c r="AE736" s="266" t="s">
        <v>2</v>
      </c>
      <c r="AH736" s="743"/>
      <c r="AI736" s="743"/>
    </row>
    <row r="737" spans="1:35" s="267" customFormat="1" ht="15.75" thickBot="1" x14ac:dyDescent="0.3">
      <c r="A737" s="931" t="s">
        <v>0</v>
      </c>
      <c r="B737" s="949"/>
      <c r="C737" s="298" t="s">
        <v>99</v>
      </c>
      <c r="D737" s="291" t="s">
        <v>100</v>
      </c>
      <c r="E737" s="298" t="s">
        <v>101</v>
      </c>
      <c r="F737" s="306" t="s">
        <v>102</v>
      </c>
      <c r="G737" s="306" t="s">
        <v>97</v>
      </c>
      <c r="H737" s="306" t="s">
        <v>104</v>
      </c>
      <c r="I737" s="306" t="s">
        <v>103</v>
      </c>
      <c r="J737" s="314" t="s">
        <v>178</v>
      </c>
      <c r="K737" s="298" t="s">
        <v>105</v>
      </c>
      <c r="L737" s="306" t="s">
        <v>107</v>
      </c>
      <c r="M737" s="312" t="s">
        <v>98</v>
      </c>
      <c r="N737" s="313" t="s">
        <v>106</v>
      </c>
      <c r="O737" s="291" t="s">
        <v>179</v>
      </c>
      <c r="P737" s="317" t="s">
        <v>182</v>
      </c>
      <c r="Q737" s="291" t="s">
        <v>184</v>
      </c>
      <c r="R737" s="12"/>
      <c r="S737" s="12"/>
      <c r="T737" s="12"/>
      <c r="U737" s="12"/>
      <c r="V737" s="12"/>
      <c r="W737" s="12"/>
      <c r="X737" s="12"/>
      <c r="Y737" s="12"/>
      <c r="Z737" s="12"/>
      <c r="AA737" s="931" t="s">
        <v>0</v>
      </c>
      <c r="AB737" s="950"/>
      <c r="AC737" s="298" t="s">
        <v>99</v>
      </c>
      <c r="AD737" s="306" t="s">
        <v>104</v>
      </c>
      <c r="AE737" s="291" t="s">
        <v>107</v>
      </c>
      <c r="AH737" s="743"/>
      <c r="AI737" s="743"/>
    </row>
    <row r="738" spans="1:35" s="267" customFormat="1" ht="15" customHeight="1" x14ac:dyDescent="0.25">
      <c r="A738" s="935" t="s">
        <v>9</v>
      </c>
      <c r="B738" s="19" t="s">
        <v>4</v>
      </c>
      <c r="C738" s="299">
        <v>143392.20000000001</v>
      </c>
      <c r="D738" s="265">
        <v>150515.79999999999</v>
      </c>
      <c r="E738" s="299">
        <v>150515.79999999999</v>
      </c>
      <c r="F738" s="283">
        <v>181997.8</v>
      </c>
      <c r="G738" s="283">
        <v>165452.5</v>
      </c>
      <c r="H738" s="283">
        <v>132132</v>
      </c>
      <c r="I738" s="283">
        <v>121331.8</v>
      </c>
      <c r="J738" s="265">
        <v>166077.9</v>
      </c>
      <c r="K738" s="299">
        <v>193027</v>
      </c>
      <c r="L738" s="283">
        <v>132132.20000000001</v>
      </c>
      <c r="M738" s="283">
        <v>82726.3</v>
      </c>
      <c r="N738" s="283">
        <v>176482.7</v>
      </c>
      <c r="O738" s="265">
        <v>83039</v>
      </c>
      <c r="P738" s="318">
        <v>55151</v>
      </c>
      <c r="Q738" s="265">
        <v>33090.5</v>
      </c>
      <c r="R738" s="70"/>
      <c r="S738" s="70"/>
      <c r="T738" s="70"/>
      <c r="U738" s="70"/>
      <c r="V738" s="70"/>
      <c r="W738" s="70"/>
      <c r="X738" s="70"/>
      <c r="Y738" s="70"/>
      <c r="Z738" s="70"/>
      <c r="AA738" s="938" t="s">
        <v>195</v>
      </c>
      <c r="AB738" s="2" t="s">
        <v>4</v>
      </c>
      <c r="AC738" s="299">
        <v>143392.20000000001</v>
      </c>
      <c r="AD738" s="283">
        <v>132132</v>
      </c>
      <c r="AE738" s="265">
        <v>132132.20000000001</v>
      </c>
      <c r="AH738" s="743"/>
      <c r="AI738" s="743"/>
    </row>
    <row r="739" spans="1:35" s="267" customFormat="1" x14ac:dyDescent="0.25">
      <c r="A739" s="936"/>
      <c r="B739" s="293" t="s">
        <v>5</v>
      </c>
      <c r="C739" s="300">
        <v>38916.6</v>
      </c>
      <c r="D739" s="264">
        <v>77721.899999999994</v>
      </c>
      <c r="E739" s="300">
        <v>79291.5</v>
      </c>
      <c r="F739" s="307">
        <v>157589.1</v>
      </c>
      <c r="G739" s="307">
        <v>96438.2</v>
      </c>
      <c r="H739" s="307">
        <v>53243.7</v>
      </c>
      <c r="I739" s="307">
        <v>83021.3</v>
      </c>
      <c r="J739" s="264">
        <v>13452.5</v>
      </c>
      <c r="K739" s="300">
        <v>158249.9</v>
      </c>
      <c r="L739" s="307">
        <v>64444.7</v>
      </c>
      <c r="M739" s="307">
        <v>49676.9</v>
      </c>
      <c r="N739" s="307">
        <v>151193.29999999999</v>
      </c>
      <c r="O739" s="264">
        <v>6825</v>
      </c>
      <c r="P739" s="319">
        <v>6992.2</v>
      </c>
      <c r="Q739" s="264">
        <v>3438.6</v>
      </c>
      <c r="R739" s="70"/>
      <c r="S739" s="70"/>
      <c r="T739" s="70"/>
      <c r="U739" s="70"/>
      <c r="V739" s="70"/>
      <c r="W739" s="70"/>
      <c r="X739" s="70"/>
      <c r="Y739" s="70"/>
      <c r="Z739" s="70"/>
      <c r="AA739" s="939"/>
      <c r="AB739" s="342" t="s">
        <v>5</v>
      </c>
      <c r="AC739" s="300">
        <v>42041.3</v>
      </c>
      <c r="AD739" s="307">
        <v>46836.6</v>
      </c>
      <c r="AE739" s="264">
        <v>54552.5</v>
      </c>
      <c r="AH739" s="743"/>
      <c r="AI739" s="743"/>
    </row>
    <row r="740" spans="1:35" s="267" customFormat="1" ht="15.75" thickBot="1" x14ac:dyDescent="0.3">
      <c r="A740" s="937"/>
      <c r="B740" s="294" t="s">
        <v>3</v>
      </c>
      <c r="C740" s="305">
        <f t="shared" ref="C740:Q740" si="379">C739/C738</f>
        <v>0.27139969956524829</v>
      </c>
      <c r="D740" s="343">
        <f t="shared" si="379"/>
        <v>0.5163703744058763</v>
      </c>
      <c r="E740" s="305">
        <f t="shared" si="379"/>
        <v>0.52679851550468459</v>
      </c>
      <c r="F740" s="278">
        <f t="shared" si="379"/>
        <v>0.86588464256161346</v>
      </c>
      <c r="G740" s="278">
        <f t="shared" si="379"/>
        <v>0.5828754476360285</v>
      </c>
      <c r="H740" s="278">
        <f t="shared" si="379"/>
        <v>0.40295840523113247</v>
      </c>
      <c r="I740" s="278">
        <f t="shared" si="379"/>
        <v>0.68425013063351903</v>
      </c>
      <c r="J740" s="292">
        <f t="shared" si="379"/>
        <v>8.1001144643567877E-2</v>
      </c>
      <c r="K740" s="305">
        <f t="shared" si="379"/>
        <v>0.81983297673382483</v>
      </c>
      <c r="L740" s="278">
        <f t="shared" si="379"/>
        <v>0.48772895630285418</v>
      </c>
      <c r="M740" s="315">
        <f t="shared" si="379"/>
        <v>0.60049706078961584</v>
      </c>
      <c r="N740" s="278">
        <f t="shared" si="379"/>
        <v>0.85670323493464218</v>
      </c>
      <c r="O740" s="292">
        <f t="shared" si="379"/>
        <v>8.2190296125916731E-2</v>
      </c>
      <c r="P740" s="320">
        <f t="shared" si="379"/>
        <v>0.12678283258689779</v>
      </c>
      <c r="Q740" s="292">
        <f t="shared" si="379"/>
        <v>0.10391502092745651</v>
      </c>
      <c r="R740" s="70"/>
      <c r="S740" s="70"/>
      <c r="T740" s="70"/>
      <c r="U740" s="70"/>
      <c r="V740" s="70"/>
      <c r="W740" s="70"/>
      <c r="X740" s="70"/>
      <c r="Y740" s="70"/>
      <c r="Z740" s="70"/>
      <c r="AA740" s="939"/>
      <c r="AB740" s="347" t="s">
        <v>3</v>
      </c>
      <c r="AC740" s="301">
        <f>AC739/AC738</f>
        <v>0.29319098249416636</v>
      </c>
      <c r="AD740" s="278">
        <f>AD739/AD738</f>
        <v>0.35446825901371354</v>
      </c>
      <c r="AE740" s="292">
        <f>AE739/AE738</f>
        <v>0.41286302657489993</v>
      </c>
      <c r="AH740" s="743"/>
      <c r="AI740" s="743"/>
    </row>
    <row r="741" spans="1:35" s="267" customFormat="1" ht="15" customHeight="1" x14ac:dyDescent="0.25">
      <c r="A741" s="938" t="s">
        <v>6</v>
      </c>
      <c r="B741" s="19" t="s">
        <v>7</v>
      </c>
      <c r="C741" s="297">
        <v>5870</v>
      </c>
      <c r="D741" s="266">
        <v>3333</v>
      </c>
      <c r="E741" s="297">
        <v>3330</v>
      </c>
      <c r="F741" s="277">
        <v>9457</v>
      </c>
      <c r="G741" s="277">
        <v>8210</v>
      </c>
      <c r="H741" s="277">
        <v>15543</v>
      </c>
      <c r="I741" s="277">
        <v>7403</v>
      </c>
      <c r="J741" s="266">
        <v>9599</v>
      </c>
      <c r="K741" s="297">
        <v>9289</v>
      </c>
      <c r="L741" s="277">
        <v>12295</v>
      </c>
      <c r="M741" s="277">
        <v>4145</v>
      </c>
      <c r="N741" s="277">
        <v>10027</v>
      </c>
      <c r="O741" s="266">
        <v>4799</v>
      </c>
      <c r="P741" s="321">
        <v>2000</v>
      </c>
      <c r="Q741" s="266">
        <v>1250</v>
      </c>
      <c r="R741" s="358" t="s">
        <v>198</v>
      </c>
      <c r="S741" s="126"/>
      <c r="T741" s="70"/>
      <c r="U741" s="70"/>
      <c r="V741" s="70"/>
      <c r="W741" s="70"/>
      <c r="X741" s="70"/>
      <c r="Y741" s="70"/>
      <c r="Z741" s="70"/>
      <c r="AA741" s="951" t="s">
        <v>191</v>
      </c>
      <c r="AB741" s="19" t="s">
        <v>4</v>
      </c>
      <c r="AC741" s="299">
        <v>9191.7999999999993</v>
      </c>
      <c r="AD741" s="283">
        <v>13787.7</v>
      </c>
      <c r="AE741" s="265">
        <v>13787.7</v>
      </c>
      <c r="AH741" s="743"/>
      <c r="AI741" s="743"/>
    </row>
    <row r="742" spans="1:35" s="267" customFormat="1" x14ac:dyDescent="0.25">
      <c r="A742" s="939"/>
      <c r="B742" s="295" t="s">
        <v>11</v>
      </c>
      <c r="C742" s="302">
        <f t="shared" ref="C742:Q742" si="380">C741*33.717</f>
        <v>197918.78999999998</v>
      </c>
      <c r="D742" s="263">
        <f t="shared" si="380"/>
        <v>112378.761</v>
      </c>
      <c r="E742" s="302">
        <f t="shared" si="380"/>
        <v>112277.61</v>
      </c>
      <c r="F742" s="355">
        <f t="shared" si="380"/>
        <v>318861.66899999999</v>
      </c>
      <c r="G742" s="308">
        <f t="shared" si="380"/>
        <v>276816.57</v>
      </c>
      <c r="H742" s="354">
        <f t="shared" si="380"/>
        <v>524063.33100000001</v>
      </c>
      <c r="I742" s="354">
        <f t="shared" si="380"/>
        <v>249606.951</v>
      </c>
      <c r="J742" s="354">
        <f t="shared" si="380"/>
        <v>323649.48300000001</v>
      </c>
      <c r="K742" s="322">
        <f t="shared" si="380"/>
        <v>313197.21299999999</v>
      </c>
      <c r="L742" s="308">
        <f t="shared" si="380"/>
        <v>414550.51499999996</v>
      </c>
      <c r="M742" s="308">
        <f t="shared" si="380"/>
        <v>139756.965</v>
      </c>
      <c r="N742" s="354">
        <f t="shared" si="380"/>
        <v>338080.359</v>
      </c>
      <c r="O742" s="354">
        <f t="shared" si="380"/>
        <v>161807.883</v>
      </c>
      <c r="P742" s="302">
        <f t="shared" si="380"/>
        <v>67434</v>
      </c>
      <c r="Q742" s="354">
        <f t="shared" si="380"/>
        <v>42146.25</v>
      </c>
      <c r="R742" s="70"/>
      <c r="S742" s="70"/>
      <c r="T742" s="70"/>
      <c r="U742" s="70"/>
      <c r="V742" s="70"/>
      <c r="W742" s="70"/>
      <c r="X742" s="70"/>
      <c r="Y742" s="70"/>
      <c r="Z742" s="70"/>
      <c r="AA742" s="952"/>
      <c r="AB742" s="293" t="s">
        <v>5</v>
      </c>
      <c r="AC742" s="300">
        <v>8882</v>
      </c>
      <c r="AD742" s="307">
        <v>13644.7</v>
      </c>
      <c r="AE742" s="264">
        <v>13649.8</v>
      </c>
      <c r="AH742" s="743"/>
      <c r="AI742" s="743"/>
    </row>
    <row r="743" spans="1:35" s="267" customFormat="1" ht="15.75" thickBot="1" x14ac:dyDescent="0.3">
      <c r="A743" s="939"/>
      <c r="B743" s="295" t="s">
        <v>79</v>
      </c>
      <c r="C743" s="302">
        <v>164000</v>
      </c>
      <c r="D743" s="263">
        <v>109880</v>
      </c>
      <c r="E743" s="302">
        <v>109880</v>
      </c>
      <c r="F743" s="308">
        <v>328000</v>
      </c>
      <c r="G743" s="308">
        <v>330905</v>
      </c>
      <c r="H743" s="308">
        <v>264264</v>
      </c>
      <c r="I743" s="308">
        <v>242663.6</v>
      </c>
      <c r="J743" s="263">
        <v>328000</v>
      </c>
      <c r="K743" s="302">
        <v>328000</v>
      </c>
      <c r="L743" s="308">
        <v>264264.40000000002</v>
      </c>
      <c r="M743" s="308">
        <v>328000</v>
      </c>
      <c r="N743" s="308">
        <v>352965.4</v>
      </c>
      <c r="O743" s="263">
        <v>328000</v>
      </c>
      <c r="P743" s="322">
        <f>2*P738</f>
        <v>110302</v>
      </c>
      <c r="Q743" s="263">
        <f>2*Q738</f>
        <v>66181</v>
      </c>
      <c r="R743" s="70"/>
      <c r="S743" s="70"/>
      <c r="T743" s="70"/>
      <c r="U743" s="70"/>
      <c r="V743" s="70"/>
      <c r="W743" s="70"/>
      <c r="X743" s="70"/>
      <c r="Y743" s="70"/>
      <c r="Z743" s="70"/>
      <c r="AA743" s="953"/>
      <c r="AB743" s="344" t="s">
        <v>3</v>
      </c>
      <c r="AC743" s="301">
        <f>AC742/AC741</f>
        <v>0.96629604647620715</v>
      </c>
      <c r="AD743" s="249">
        <f>AD742/AD741</f>
        <v>0.98962843694017133</v>
      </c>
      <c r="AE743" s="348">
        <f>AE742/AE741</f>
        <v>0.98999833184650077</v>
      </c>
      <c r="AH743" s="743"/>
      <c r="AI743" s="743"/>
    </row>
    <row r="744" spans="1:35" s="267" customFormat="1" x14ac:dyDescent="0.25">
      <c r="A744" s="939"/>
      <c r="B744" s="293" t="s">
        <v>8</v>
      </c>
      <c r="C744" s="303">
        <f>SUM(C741-168)</f>
        <v>5702</v>
      </c>
      <c r="D744" s="262">
        <f>SUM(D741-686)</f>
        <v>2647</v>
      </c>
      <c r="E744" s="303">
        <f>SUM(E741-652)</f>
        <v>2678</v>
      </c>
      <c r="F744" s="309">
        <f>SUM(F741-1211)</f>
        <v>8246</v>
      </c>
      <c r="G744" s="309">
        <f>SUM(G741-4446)</f>
        <v>3764</v>
      </c>
      <c r="H744" s="309">
        <f>SUM(H741-2089)</f>
        <v>13454</v>
      </c>
      <c r="I744" s="309">
        <f>SUM(I741-(3190-2000))</f>
        <v>6213</v>
      </c>
      <c r="J744" s="262">
        <f>SUM(J741-9230)</f>
        <v>369</v>
      </c>
      <c r="K744" s="303">
        <f>SUM(K741-909)</f>
        <v>8380</v>
      </c>
      <c r="L744" s="309">
        <f>SUM(L741-1100)</f>
        <v>11195</v>
      </c>
      <c r="M744" s="316">
        <f>SUM(M741-234)</f>
        <v>3911</v>
      </c>
      <c r="N744" s="309">
        <f>SUM(N741-(5077-2614))</f>
        <v>7564</v>
      </c>
      <c r="O744" s="262">
        <f>SUM(O741-3991)</f>
        <v>808</v>
      </c>
      <c r="P744" s="323">
        <f>SUM(P741-1261)</f>
        <v>739</v>
      </c>
      <c r="Q744" s="262">
        <f>SUM(Q741-869)</f>
        <v>381</v>
      </c>
      <c r="R744" s="12" t="s">
        <v>176</v>
      </c>
      <c r="S744" s="70"/>
      <c r="T744" s="70"/>
      <c r="U744" s="70"/>
      <c r="V744" s="70"/>
      <c r="W744" s="70"/>
      <c r="X744" s="70"/>
      <c r="Y744" s="70"/>
      <c r="Z744" s="70"/>
      <c r="AA744" s="951" t="s">
        <v>192</v>
      </c>
      <c r="AB744" s="19" t="s">
        <v>4</v>
      </c>
      <c r="AC744" s="299">
        <v>97433.600000000006</v>
      </c>
      <c r="AD744" s="283">
        <v>243584.4</v>
      </c>
      <c r="AE744" s="265">
        <v>292299.3</v>
      </c>
      <c r="AH744" s="743"/>
      <c r="AI744" s="743"/>
    </row>
    <row r="745" spans="1:35" s="267" customFormat="1" x14ac:dyDescent="0.25">
      <c r="A745" s="939"/>
      <c r="B745" s="296" t="s">
        <v>77</v>
      </c>
      <c r="C745" s="302">
        <f>(C744*33.717)</f>
        <v>192254.334</v>
      </c>
      <c r="D745" s="338">
        <f>(D744*33.717)</f>
        <v>89248.89899999999</v>
      </c>
      <c r="E745" s="302">
        <f>(E744*33.717)</f>
        <v>90294.126000000004</v>
      </c>
      <c r="F745" s="338">
        <f>(F744*33.717)</f>
        <v>278030.38199999998</v>
      </c>
      <c r="G745" s="280">
        <f>(G744*33.717)*2</f>
        <v>253821.576</v>
      </c>
      <c r="H745" s="280">
        <f>(H744*33.717)</f>
        <v>453628.51799999998</v>
      </c>
      <c r="I745" s="280">
        <f>(I744*33.717)-(2000*33.717)</f>
        <v>142049.72099999999</v>
      </c>
      <c r="J745" s="261">
        <f>J744*33.717</f>
        <v>12441.573</v>
      </c>
      <c r="K745" s="304">
        <f>K744*33.717</f>
        <v>282548.45999999996</v>
      </c>
      <c r="L745" s="280">
        <f>L744*33.717</f>
        <v>377461.815</v>
      </c>
      <c r="M745" s="280">
        <f>(M744*33.717)</f>
        <v>131867.18700000001</v>
      </c>
      <c r="N745" s="280">
        <f>N744*33.717</f>
        <v>255035.38799999998</v>
      </c>
      <c r="O745" s="261">
        <f>O744*33.717</f>
        <v>27243.335999999999</v>
      </c>
      <c r="P745" s="324">
        <f>P744*33.717</f>
        <v>24916.862999999998</v>
      </c>
      <c r="Q745" s="325">
        <f>Q744*33.717</f>
        <v>12846.177</v>
      </c>
      <c r="R745" s="63">
        <f>344240-H745</f>
        <v>-109388.51799999998</v>
      </c>
      <c r="S745" s="70" t="s">
        <v>177</v>
      </c>
      <c r="T745" s="70"/>
      <c r="U745" s="70"/>
      <c r="V745" s="70"/>
      <c r="W745" s="70"/>
      <c r="X745" s="70"/>
      <c r="Y745" s="70"/>
      <c r="Z745" s="70"/>
      <c r="AA745" s="952"/>
      <c r="AB745" s="293" t="s">
        <v>5</v>
      </c>
      <c r="AC745" s="300">
        <v>64490.9</v>
      </c>
      <c r="AD745" s="307">
        <v>79989.3</v>
      </c>
      <c r="AE745" s="264">
        <v>62980.6</v>
      </c>
      <c r="AH745" s="743"/>
      <c r="AI745" s="743"/>
    </row>
    <row r="746" spans="1:35" s="267" customFormat="1" ht="15.75" thickBot="1" x14ac:dyDescent="0.3">
      <c r="A746" s="940"/>
      <c r="B746" s="294" t="s">
        <v>10</v>
      </c>
      <c r="C746" s="305">
        <f t="shared" ref="C746:Q746" si="381">C745/C738</f>
        <v>1.3407586605129149</v>
      </c>
      <c r="D746" s="292">
        <f t="shared" si="381"/>
        <v>0.59295368991162389</v>
      </c>
      <c r="E746" s="310">
        <f t="shared" si="381"/>
        <v>0.59989799077571926</v>
      </c>
      <c r="F746" s="282">
        <f t="shared" si="381"/>
        <v>1.5276579277331923</v>
      </c>
      <c r="G746" s="282">
        <f t="shared" si="381"/>
        <v>1.534105413940557</v>
      </c>
      <c r="H746" s="282">
        <f t="shared" si="381"/>
        <v>3.4331465352828987</v>
      </c>
      <c r="I746" s="282">
        <f t="shared" si="381"/>
        <v>1.1707542540372762</v>
      </c>
      <c r="J746" s="311">
        <f t="shared" si="381"/>
        <v>7.4914079477161027E-2</v>
      </c>
      <c r="K746" s="310">
        <f t="shared" si="381"/>
        <v>1.4637768809544778</v>
      </c>
      <c r="L746" s="282">
        <f t="shared" si="381"/>
        <v>2.8566981780368446</v>
      </c>
      <c r="M746" s="282">
        <f t="shared" si="381"/>
        <v>1.5940177065818246</v>
      </c>
      <c r="N746" s="260">
        <f t="shared" si="381"/>
        <v>1.4451013498773533</v>
      </c>
      <c r="O746" s="311">
        <f t="shared" si="381"/>
        <v>0.32807880634400705</v>
      </c>
      <c r="P746" s="305">
        <f t="shared" si="381"/>
        <v>0.45179349422494602</v>
      </c>
      <c r="Q746" s="292">
        <f t="shared" si="381"/>
        <v>0.38821344494643478</v>
      </c>
      <c r="R746" s="126"/>
      <c r="S746" s="70"/>
      <c r="T746" s="70"/>
      <c r="U746" s="70"/>
      <c r="V746" s="70"/>
      <c r="W746" s="70"/>
      <c r="X746" s="70"/>
      <c r="Y746" s="70"/>
      <c r="Z746" s="70"/>
      <c r="AA746" s="954"/>
      <c r="AB746" s="294" t="s">
        <v>3</v>
      </c>
      <c r="AC746" s="305">
        <f>AC745/AC744</f>
        <v>0.66189589628218604</v>
      </c>
      <c r="AD746" s="278">
        <f>AD745/AD744</f>
        <v>0.32838433003098721</v>
      </c>
      <c r="AE746" s="343">
        <f>AE745/AE744</f>
        <v>0.21546613351451749</v>
      </c>
      <c r="AH746" s="743"/>
      <c r="AI746" s="743"/>
    </row>
    <row r="747" spans="1:35" s="267" customFormat="1" ht="15.75" thickBot="1" x14ac:dyDescent="0.3">
      <c r="A747" s="924">
        <v>41383</v>
      </c>
      <c r="B747" s="924"/>
      <c r="C747" s="924"/>
      <c r="D747" s="276"/>
      <c r="E747" s="276"/>
      <c r="F747" s="276"/>
      <c r="G747" s="276"/>
      <c r="H747" s="276"/>
      <c r="I747" s="11"/>
      <c r="J747" s="281"/>
      <c r="K747" s="281"/>
      <c r="L747" s="276"/>
      <c r="M747" s="276"/>
      <c r="N747" s="13"/>
      <c r="R747" s="12"/>
      <c r="S747" s="70"/>
      <c r="T747" s="70"/>
      <c r="U747" s="70"/>
      <c r="V747" s="70"/>
      <c r="W747" s="70"/>
      <c r="X747" s="70"/>
      <c r="Y747" s="70"/>
      <c r="Z747" s="70"/>
      <c r="AA747" s="946"/>
      <c r="AB747" s="947"/>
      <c r="AH747" s="743"/>
      <c r="AI747" s="743"/>
    </row>
    <row r="748" spans="1:35" s="267" customFormat="1" x14ac:dyDescent="0.25">
      <c r="A748" s="925" t="s">
        <v>1</v>
      </c>
      <c r="B748" s="927"/>
      <c r="C748" s="297" t="s">
        <v>12</v>
      </c>
      <c r="D748" s="266" t="s">
        <v>12</v>
      </c>
      <c r="E748" s="297" t="s">
        <v>13</v>
      </c>
      <c r="F748" s="277" t="s">
        <v>13</v>
      </c>
      <c r="G748" s="277" t="s">
        <v>13</v>
      </c>
      <c r="H748" s="277" t="s">
        <v>13</v>
      </c>
      <c r="I748" s="277" t="s">
        <v>13</v>
      </c>
      <c r="J748" s="266" t="s">
        <v>13</v>
      </c>
      <c r="K748" s="297" t="s">
        <v>2</v>
      </c>
      <c r="L748" s="277" t="s">
        <v>2</v>
      </c>
      <c r="M748" s="286" t="s">
        <v>2</v>
      </c>
      <c r="N748" s="277" t="s">
        <v>2</v>
      </c>
      <c r="O748" s="266" t="s">
        <v>2</v>
      </c>
      <c r="P748" s="328" t="s">
        <v>183</v>
      </c>
      <c r="Q748" s="327" t="s">
        <v>183</v>
      </c>
      <c r="R748" s="12"/>
      <c r="S748" s="70"/>
      <c r="T748" s="70"/>
      <c r="U748" s="70"/>
      <c r="V748" s="70"/>
      <c r="W748" s="70"/>
      <c r="X748" s="70"/>
      <c r="Y748" s="70"/>
      <c r="Z748" s="70"/>
      <c r="AA748" s="925" t="s">
        <v>1</v>
      </c>
      <c r="AB748" s="948"/>
      <c r="AC748" s="297" t="s">
        <v>12</v>
      </c>
      <c r="AD748" s="277" t="s">
        <v>13</v>
      </c>
      <c r="AE748" s="266" t="s">
        <v>2</v>
      </c>
      <c r="AH748" s="743"/>
      <c r="AI748" s="743"/>
    </row>
    <row r="749" spans="1:35" s="267" customFormat="1" ht="15.75" thickBot="1" x14ac:dyDescent="0.3">
      <c r="A749" s="931" t="s">
        <v>0</v>
      </c>
      <c r="B749" s="949"/>
      <c r="C749" s="298" t="s">
        <v>99</v>
      </c>
      <c r="D749" s="291" t="s">
        <v>100</v>
      </c>
      <c r="E749" s="298" t="s">
        <v>101</v>
      </c>
      <c r="F749" s="306" t="s">
        <v>102</v>
      </c>
      <c r="G749" s="306" t="s">
        <v>97</v>
      </c>
      <c r="H749" s="306" t="s">
        <v>104</v>
      </c>
      <c r="I749" s="306" t="s">
        <v>103</v>
      </c>
      <c r="J749" s="314" t="s">
        <v>178</v>
      </c>
      <c r="K749" s="298" t="s">
        <v>105</v>
      </c>
      <c r="L749" s="306" t="s">
        <v>107</v>
      </c>
      <c r="M749" s="312" t="s">
        <v>98</v>
      </c>
      <c r="N749" s="313" t="s">
        <v>106</v>
      </c>
      <c r="O749" s="291" t="s">
        <v>179</v>
      </c>
      <c r="P749" s="317" t="s">
        <v>182</v>
      </c>
      <c r="Q749" s="291" t="s">
        <v>184</v>
      </c>
      <c r="R749" s="12"/>
      <c r="S749" s="12"/>
      <c r="T749" s="12"/>
      <c r="U749" s="12"/>
      <c r="V749" s="12"/>
      <c r="W749" s="12"/>
      <c r="X749" s="12"/>
      <c r="Y749" s="12"/>
      <c r="Z749" s="12"/>
      <c r="AA749" s="931" t="s">
        <v>0</v>
      </c>
      <c r="AB749" s="950"/>
      <c r="AC749" s="298" t="s">
        <v>99</v>
      </c>
      <c r="AD749" s="306" t="s">
        <v>104</v>
      </c>
      <c r="AE749" s="291" t="s">
        <v>107</v>
      </c>
      <c r="AH749" s="743"/>
      <c r="AI749" s="743"/>
    </row>
    <row r="750" spans="1:35" s="267" customFormat="1" ht="15" customHeight="1" x14ac:dyDescent="0.25">
      <c r="A750" s="935" t="s">
        <v>9</v>
      </c>
      <c r="B750" s="19" t="s">
        <v>4</v>
      </c>
      <c r="C750" s="299">
        <v>143392.20000000001</v>
      </c>
      <c r="D750" s="265">
        <v>150515.79999999999</v>
      </c>
      <c r="E750" s="299">
        <v>150515.79999999999</v>
      </c>
      <c r="F750" s="283">
        <v>181997.8</v>
      </c>
      <c r="G750" s="283">
        <v>165452.5</v>
      </c>
      <c r="H750" s="283">
        <v>132132</v>
      </c>
      <c r="I750" s="283">
        <v>121331.8</v>
      </c>
      <c r="J750" s="265">
        <v>166077.9</v>
      </c>
      <c r="K750" s="299">
        <v>193027</v>
      </c>
      <c r="L750" s="283">
        <v>132132.20000000001</v>
      </c>
      <c r="M750" s="283">
        <v>82726.3</v>
      </c>
      <c r="N750" s="283">
        <v>176482.7</v>
      </c>
      <c r="O750" s="265">
        <v>83039</v>
      </c>
      <c r="P750" s="318">
        <v>55151</v>
      </c>
      <c r="Q750" s="265">
        <v>33090.5</v>
      </c>
      <c r="R750" s="70"/>
      <c r="S750" s="70"/>
      <c r="T750" s="70"/>
      <c r="U750" s="70"/>
      <c r="V750" s="70"/>
      <c r="W750" s="70"/>
      <c r="X750" s="70"/>
      <c r="Y750" s="70"/>
      <c r="Z750" s="70"/>
      <c r="AA750" s="938" t="s">
        <v>195</v>
      </c>
      <c r="AB750" s="2" t="s">
        <v>4</v>
      </c>
      <c r="AC750" s="299">
        <v>143392.20000000001</v>
      </c>
      <c r="AD750" s="283">
        <v>132132</v>
      </c>
      <c r="AE750" s="265">
        <v>132132.20000000001</v>
      </c>
      <c r="AH750" s="743"/>
      <c r="AI750" s="743"/>
    </row>
    <row r="751" spans="1:35" s="267" customFormat="1" x14ac:dyDescent="0.25">
      <c r="A751" s="936"/>
      <c r="B751" s="293" t="s">
        <v>5</v>
      </c>
      <c r="C751" s="300">
        <v>37643.300000000003</v>
      </c>
      <c r="D751" s="264">
        <v>77685.100000000006</v>
      </c>
      <c r="E751" s="300">
        <v>79095.600000000006</v>
      </c>
      <c r="F751" s="307">
        <v>157487.70000000001</v>
      </c>
      <c r="G751" s="307">
        <v>95917.5</v>
      </c>
      <c r="H751" s="307">
        <v>50505.3</v>
      </c>
      <c r="I751" s="307">
        <v>78099.8</v>
      </c>
      <c r="J751" s="264">
        <v>13432.1</v>
      </c>
      <c r="K751" s="300">
        <v>156772.79999999999</v>
      </c>
      <c r="L751" s="307">
        <v>55253.8</v>
      </c>
      <c r="M751" s="307">
        <v>49203.9</v>
      </c>
      <c r="N751" s="307">
        <v>143303.6</v>
      </c>
      <c r="O751" s="264">
        <v>6814.8</v>
      </c>
      <c r="P751" s="319">
        <v>6991</v>
      </c>
      <c r="Q751" s="264">
        <v>3438.6</v>
      </c>
      <c r="R751" s="70"/>
      <c r="S751" s="70"/>
      <c r="T751" s="70"/>
      <c r="U751" s="70"/>
      <c r="V751" s="70"/>
      <c r="W751" s="70"/>
      <c r="X751" s="70"/>
      <c r="Y751" s="70"/>
      <c r="Z751" s="70"/>
      <c r="AA751" s="939"/>
      <c r="AB751" s="342" t="s">
        <v>5</v>
      </c>
      <c r="AC751" s="300">
        <v>42041.3</v>
      </c>
      <c r="AD751" s="307">
        <v>46836.6</v>
      </c>
      <c r="AE751" s="264">
        <v>54552.5</v>
      </c>
      <c r="AH751" s="743"/>
      <c r="AI751" s="743"/>
    </row>
    <row r="752" spans="1:35" s="267" customFormat="1" ht="15.75" thickBot="1" x14ac:dyDescent="0.3">
      <c r="A752" s="937"/>
      <c r="B752" s="294" t="s">
        <v>3</v>
      </c>
      <c r="C752" s="305">
        <f t="shared" ref="C752:Q752" si="382">C751/C750</f>
        <v>0.26251985812338469</v>
      </c>
      <c r="D752" s="343">
        <f t="shared" si="382"/>
        <v>0.5161258818011133</v>
      </c>
      <c r="E752" s="305">
        <f t="shared" si="382"/>
        <v>0.52549699101356806</v>
      </c>
      <c r="F752" s="278">
        <f t="shared" si="382"/>
        <v>0.86532749296969536</v>
      </c>
      <c r="G752" s="278">
        <f t="shared" si="382"/>
        <v>0.57972832081715298</v>
      </c>
      <c r="H752" s="278">
        <f t="shared" si="382"/>
        <v>0.38223367541549363</v>
      </c>
      <c r="I752" s="278">
        <f t="shared" si="382"/>
        <v>0.64368780484588539</v>
      </c>
      <c r="J752" s="292">
        <f t="shared" si="382"/>
        <v>8.0878310720451069E-2</v>
      </c>
      <c r="K752" s="305">
        <f t="shared" si="382"/>
        <v>0.81218067938682148</v>
      </c>
      <c r="L752" s="278">
        <f t="shared" si="382"/>
        <v>0.41817058975783344</v>
      </c>
      <c r="M752" s="315">
        <f t="shared" si="382"/>
        <v>0.59477941114252664</v>
      </c>
      <c r="N752" s="278">
        <f t="shared" si="382"/>
        <v>0.8119980032037134</v>
      </c>
      <c r="O752" s="292">
        <f t="shared" si="382"/>
        <v>8.2067462276761524E-2</v>
      </c>
      <c r="P752" s="320">
        <f t="shared" si="382"/>
        <v>0.12676107414190133</v>
      </c>
      <c r="Q752" s="292">
        <f t="shared" si="382"/>
        <v>0.10391502092745651</v>
      </c>
      <c r="R752" s="70"/>
      <c r="S752" s="70"/>
      <c r="T752" s="70"/>
      <c r="U752" s="70"/>
      <c r="V752" s="70"/>
      <c r="W752" s="70"/>
      <c r="X752" s="70"/>
      <c r="Y752" s="70"/>
      <c r="Z752" s="70"/>
      <c r="AA752" s="939"/>
      <c r="AB752" s="347" t="s">
        <v>3</v>
      </c>
      <c r="AC752" s="301">
        <f>AC751/AC750</f>
        <v>0.29319098249416636</v>
      </c>
      <c r="AD752" s="278">
        <f>AD751/AD750</f>
        <v>0.35446825901371354</v>
      </c>
      <c r="AE752" s="292">
        <f>AE751/AE750</f>
        <v>0.41286302657489993</v>
      </c>
      <c r="AH752" s="743"/>
      <c r="AI752" s="743"/>
    </row>
    <row r="753" spans="1:35" s="267" customFormat="1" ht="15" customHeight="1" x14ac:dyDescent="0.25">
      <c r="A753" s="938" t="s">
        <v>6</v>
      </c>
      <c r="B753" s="19" t="s">
        <v>7</v>
      </c>
      <c r="C753" s="297">
        <v>5870</v>
      </c>
      <c r="D753" s="266">
        <v>3333</v>
      </c>
      <c r="E753" s="297">
        <v>3330</v>
      </c>
      <c r="F753" s="277">
        <v>9457</v>
      </c>
      <c r="G753" s="277">
        <v>8210</v>
      </c>
      <c r="H753" s="277">
        <v>15543</v>
      </c>
      <c r="I753" s="277">
        <v>7403</v>
      </c>
      <c r="J753" s="266">
        <v>9599</v>
      </c>
      <c r="K753" s="297">
        <v>9289</v>
      </c>
      <c r="L753" s="277">
        <v>12295</v>
      </c>
      <c r="M753" s="277">
        <v>4145</v>
      </c>
      <c r="N753" s="277">
        <v>10027</v>
      </c>
      <c r="O753" s="266">
        <v>4799</v>
      </c>
      <c r="P753" s="321">
        <v>2000</v>
      </c>
      <c r="Q753" s="266">
        <v>1250</v>
      </c>
      <c r="R753" s="358" t="s">
        <v>198</v>
      </c>
      <c r="S753" s="126"/>
      <c r="T753" s="70"/>
      <c r="U753" s="70"/>
      <c r="V753" s="70"/>
      <c r="W753" s="70"/>
      <c r="X753" s="70"/>
      <c r="Y753" s="70"/>
      <c r="Z753" s="70"/>
      <c r="AA753" s="951" t="s">
        <v>191</v>
      </c>
      <c r="AB753" s="19" t="s">
        <v>4</v>
      </c>
      <c r="AC753" s="299">
        <v>9191.7999999999993</v>
      </c>
      <c r="AD753" s="283">
        <v>13787.7</v>
      </c>
      <c r="AE753" s="265">
        <v>13787.7</v>
      </c>
      <c r="AH753" s="743"/>
      <c r="AI753" s="743"/>
    </row>
    <row r="754" spans="1:35" s="267" customFormat="1" x14ac:dyDescent="0.25">
      <c r="A754" s="939"/>
      <c r="B754" s="295" t="s">
        <v>11</v>
      </c>
      <c r="C754" s="302">
        <f t="shared" ref="C754:Q754" si="383">C753*33.717</f>
        <v>197918.78999999998</v>
      </c>
      <c r="D754" s="263">
        <f t="shared" si="383"/>
        <v>112378.761</v>
      </c>
      <c r="E754" s="302">
        <f t="shared" si="383"/>
        <v>112277.61</v>
      </c>
      <c r="F754" s="355">
        <f t="shared" si="383"/>
        <v>318861.66899999999</v>
      </c>
      <c r="G754" s="308">
        <f t="shared" si="383"/>
        <v>276816.57</v>
      </c>
      <c r="H754" s="354">
        <f t="shared" si="383"/>
        <v>524063.33100000001</v>
      </c>
      <c r="I754" s="354">
        <f t="shared" si="383"/>
        <v>249606.951</v>
      </c>
      <c r="J754" s="354">
        <f t="shared" si="383"/>
        <v>323649.48300000001</v>
      </c>
      <c r="K754" s="322">
        <f t="shared" si="383"/>
        <v>313197.21299999999</v>
      </c>
      <c r="L754" s="308">
        <f t="shared" si="383"/>
        <v>414550.51499999996</v>
      </c>
      <c r="M754" s="308">
        <f t="shared" si="383"/>
        <v>139756.965</v>
      </c>
      <c r="N754" s="354">
        <f t="shared" si="383"/>
        <v>338080.359</v>
      </c>
      <c r="O754" s="354">
        <f t="shared" si="383"/>
        <v>161807.883</v>
      </c>
      <c r="P754" s="302">
        <f t="shared" si="383"/>
        <v>67434</v>
      </c>
      <c r="Q754" s="354">
        <f t="shared" si="383"/>
        <v>42146.25</v>
      </c>
      <c r="R754" s="70"/>
      <c r="S754" s="70"/>
      <c r="T754" s="70"/>
      <c r="U754" s="70"/>
      <c r="V754" s="70"/>
      <c r="W754" s="70"/>
      <c r="X754" s="70"/>
      <c r="Y754" s="70"/>
      <c r="Z754" s="70"/>
      <c r="AA754" s="952"/>
      <c r="AB754" s="293" t="s">
        <v>5</v>
      </c>
      <c r="AC754" s="300">
        <v>8882</v>
      </c>
      <c r="AD754" s="307">
        <v>13644.7</v>
      </c>
      <c r="AE754" s="264">
        <v>13649.8</v>
      </c>
      <c r="AH754" s="743"/>
      <c r="AI754" s="743"/>
    </row>
    <row r="755" spans="1:35" s="267" customFormat="1" ht="15.75" thickBot="1" x14ac:dyDescent="0.3">
      <c r="A755" s="939"/>
      <c r="B755" s="295" t="s">
        <v>79</v>
      </c>
      <c r="C755" s="302">
        <v>164000</v>
      </c>
      <c r="D755" s="263">
        <v>109880</v>
      </c>
      <c r="E755" s="302">
        <v>109880</v>
      </c>
      <c r="F755" s="308">
        <v>328000</v>
      </c>
      <c r="G755" s="308">
        <v>330905</v>
      </c>
      <c r="H755" s="308">
        <v>264264</v>
      </c>
      <c r="I755" s="308">
        <v>242663.6</v>
      </c>
      <c r="J755" s="263">
        <v>328000</v>
      </c>
      <c r="K755" s="302">
        <v>328000</v>
      </c>
      <c r="L755" s="308">
        <v>264264.40000000002</v>
      </c>
      <c r="M755" s="308">
        <v>328000</v>
      </c>
      <c r="N755" s="308">
        <v>352965.4</v>
      </c>
      <c r="O755" s="263">
        <v>328000</v>
      </c>
      <c r="P755" s="322">
        <f>2*P750</f>
        <v>110302</v>
      </c>
      <c r="Q755" s="263">
        <f>2*Q750</f>
        <v>66181</v>
      </c>
      <c r="R755" s="70"/>
      <c r="S755" s="70"/>
      <c r="T755" s="70"/>
      <c r="U755" s="70"/>
      <c r="V755" s="70"/>
      <c r="W755" s="70"/>
      <c r="X755" s="70"/>
      <c r="Y755" s="70"/>
      <c r="Z755" s="70"/>
      <c r="AA755" s="953"/>
      <c r="AB755" s="344" t="s">
        <v>3</v>
      </c>
      <c r="AC755" s="301">
        <f>AC754/AC753</f>
        <v>0.96629604647620715</v>
      </c>
      <c r="AD755" s="249">
        <f>AD754/AD753</f>
        <v>0.98962843694017133</v>
      </c>
      <c r="AE755" s="348">
        <f>AE754/AE753</f>
        <v>0.98999833184650077</v>
      </c>
      <c r="AH755" s="743"/>
      <c r="AI755" s="743"/>
    </row>
    <row r="756" spans="1:35" s="267" customFormat="1" x14ac:dyDescent="0.25">
      <c r="A756" s="939"/>
      <c r="B756" s="293" t="s">
        <v>8</v>
      </c>
      <c r="C756" s="303">
        <f>SUM(C753-168)</f>
        <v>5702</v>
      </c>
      <c r="D756" s="262">
        <f>SUM(D753-686)</f>
        <v>2647</v>
      </c>
      <c r="E756" s="303">
        <f>SUM(E753-652)</f>
        <v>2678</v>
      </c>
      <c r="F756" s="309">
        <f>SUM(F753-1211)</f>
        <v>8246</v>
      </c>
      <c r="G756" s="309">
        <f>SUM(G753-4446)</f>
        <v>3764</v>
      </c>
      <c r="H756" s="309">
        <f>SUM(H753-2089)</f>
        <v>13454</v>
      </c>
      <c r="I756" s="309">
        <f>SUM(I753-(3223-2000))</f>
        <v>6180</v>
      </c>
      <c r="J756" s="262">
        <f>SUM(J753-9230)</f>
        <v>369</v>
      </c>
      <c r="K756" s="303">
        <f>SUM(K753-909)</f>
        <v>8380</v>
      </c>
      <c r="L756" s="309">
        <f>SUM(L753-1244)</f>
        <v>11051</v>
      </c>
      <c r="M756" s="316">
        <f>SUM(M753-242)</f>
        <v>3903</v>
      </c>
      <c r="N756" s="309">
        <f>SUM(N753-(5253-2614))</f>
        <v>7388</v>
      </c>
      <c r="O756" s="262">
        <f>SUM(O753-3991)</f>
        <v>808</v>
      </c>
      <c r="P756" s="323">
        <f>SUM(P753-1261)</f>
        <v>739</v>
      </c>
      <c r="Q756" s="262">
        <f>SUM(Q753-869)</f>
        <v>381</v>
      </c>
      <c r="R756" s="12" t="s">
        <v>176</v>
      </c>
      <c r="S756" s="70"/>
      <c r="T756" s="70"/>
      <c r="U756" s="70"/>
      <c r="V756" s="70"/>
      <c r="W756" s="70"/>
      <c r="X756" s="70"/>
      <c r="Y756" s="70"/>
      <c r="Z756" s="70"/>
      <c r="AA756" s="951" t="s">
        <v>192</v>
      </c>
      <c r="AB756" s="19" t="s">
        <v>4</v>
      </c>
      <c r="AC756" s="299">
        <v>97433.600000000006</v>
      </c>
      <c r="AD756" s="283">
        <v>243584.4</v>
      </c>
      <c r="AE756" s="265">
        <v>292299.3</v>
      </c>
      <c r="AH756" s="743"/>
      <c r="AI756" s="743"/>
    </row>
    <row r="757" spans="1:35" s="267" customFormat="1" x14ac:dyDescent="0.25">
      <c r="A757" s="939"/>
      <c r="B757" s="296" t="s">
        <v>77</v>
      </c>
      <c r="C757" s="302">
        <f>(C756*33.717)</f>
        <v>192254.334</v>
      </c>
      <c r="D757" s="338">
        <f>(D756*33.717)</f>
        <v>89248.89899999999</v>
      </c>
      <c r="E757" s="302">
        <f>(E756*33.717)</f>
        <v>90294.126000000004</v>
      </c>
      <c r="F757" s="338">
        <f>(F756*33.717)</f>
        <v>278030.38199999998</v>
      </c>
      <c r="G757" s="280">
        <f>(G756*33.717)*2</f>
        <v>253821.576</v>
      </c>
      <c r="H757" s="280">
        <f>(H756*33.717)</f>
        <v>453628.51799999998</v>
      </c>
      <c r="I757" s="280">
        <f>(I756*33.717)-(2000*33.717)</f>
        <v>140937.06</v>
      </c>
      <c r="J757" s="261">
        <f>J756*33.717</f>
        <v>12441.573</v>
      </c>
      <c r="K757" s="304">
        <f>K756*33.717</f>
        <v>282548.45999999996</v>
      </c>
      <c r="L757" s="280">
        <f>L756*33.717</f>
        <v>372606.56699999998</v>
      </c>
      <c r="M757" s="280">
        <f>(M756*33.717)</f>
        <v>131597.451</v>
      </c>
      <c r="N757" s="280">
        <f>N756*33.717</f>
        <v>249101.196</v>
      </c>
      <c r="O757" s="261">
        <f>O756*33.717</f>
        <v>27243.335999999999</v>
      </c>
      <c r="P757" s="324">
        <f>P756*33.717</f>
        <v>24916.862999999998</v>
      </c>
      <c r="Q757" s="325">
        <f>Q756*33.717</f>
        <v>12846.177</v>
      </c>
      <c r="R757" s="63">
        <f>344240-H757</f>
        <v>-109388.51799999998</v>
      </c>
      <c r="S757" s="70" t="s">
        <v>177</v>
      </c>
      <c r="T757" s="70"/>
      <c r="U757" s="70"/>
      <c r="V757" s="70"/>
      <c r="W757" s="70"/>
      <c r="X757" s="70"/>
      <c r="Y757" s="70"/>
      <c r="Z757" s="70"/>
      <c r="AA757" s="952"/>
      <c r="AB757" s="293" t="s">
        <v>5</v>
      </c>
      <c r="AC757" s="300">
        <v>64490.9</v>
      </c>
      <c r="AD757" s="307">
        <v>79989.3</v>
      </c>
      <c r="AE757" s="264">
        <v>62980.6</v>
      </c>
      <c r="AH757" s="743"/>
      <c r="AI757" s="743"/>
    </row>
    <row r="758" spans="1:35" s="267" customFormat="1" ht="15.75" thickBot="1" x14ac:dyDescent="0.3">
      <c r="A758" s="940"/>
      <c r="B758" s="294" t="s">
        <v>10</v>
      </c>
      <c r="C758" s="305">
        <f t="shared" ref="C758:Q758" si="384">C757/C750</f>
        <v>1.3407586605129149</v>
      </c>
      <c r="D758" s="292">
        <f t="shared" si="384"/>
        <v>0.59295368991162389</v>
      </c>
      <c r="E758" s="310">
        <f t="shared" si="384"/>
        <v>0.59989799077571926</v>
      </c>
      <c r="F758" s="282">
        <f t="shared" si="384"/>
        <v>1.5276579277331923</v>
      </c>
      <c r="G758" s="282">
        <f t="shared" si="384"/>
        <v>1.534105413940557</v>
      </c>
      <c r="H758" s="282">
        <f t="shared" si="384"/>
        <v>3.4331465352828987</v>
      </c>
      <c r="I758" s="282">
        <f t="shared" si="384"/>
        <v>1.1615838551805875</v>
      </c>
      <c r="J758" s="311">
        <f t="shared" si="384"/>
        <v>7.4914079477161027E-2</v>
      </c>
      <c r="K758" s="310">
        <f t="shared" si="384"/>
        <v>1.4637768809544778</v>
      </c>
      <c r="L758" s="282">
        <f t="shared" si="384"/>
        <v>2.8199527972742446</v>
      </c>
      <c r="M758" s="282">
        <f t="shared" si="384"/>
        <v>1.5907571231881517</v>
      </c>
      <c r="N758" s="260">
        <f t="shared" si="384"/>
        <v>1.4114765696581024</v>
      </c>
      <c r="O758" s="311">
        <f t="shared" si="384"/>
        <v>0.32807880634400705</v>
      </c>
      <c r="P758" s="305">
        <f t="shared" si="384"/>
        <v>0.45179349422494602</v>
      </c>
      <c r="Q758" s="292">
        <f t="shared" si="384"/>
        <v>0.38821344494643478</v>
      </c>
      <c r="R758" s="126"/>
      <c r="S758" s="70"/>
      <c r="T758" s="70"/>
      <c r="U758" s="70"/>
      <c r="V758" s="70"/>
      <c r="W758" s="70"/>
      <c r="X758" s="70"/>
      <c r="Y758" s="70"/>
      <c r="Z758" s="70"/>
      <c r="AA758" s="954"/>
      <c r="AB758" s="294" t="s">
        <v>3</v>
      </c>
      <c r="AC758" s="305">
        <f>AC757/AC756</f>
        <v>0.66189589628218604</v>
      </c>
      <c r="AD758" s="278">
        <f>AD757/AD756</f>
        <v>0.32838433003098721</v>
      </c>
      <c r="AE758" s="343">
        <f>AE757/AE756</f>
        <v>0.21546613351451749</v>
      </c>
      <c r="AH758" s="743"/>
      <c r="AI758" s="743"/>
    </row>
    <row r="759" spans="1:35" s="267" customFormat="1" ht="15.75" thickBot="1" x14ac:dyDescent="0.3">
      <c r="A759" s="924">
        <v>41379</v>
      </c>
      <c r="B759" s="924"/>
      <c r="C759" s="924"/>
      <c r="D759" s="276"/>
      <c r="E759" s="276"/>
      <c r="F759" s="276"/>
      <c r="G759" s="276"/>
      <c r="H759" s="276"/>
      <c r="I759" s="11"/>
      <c r="J759" s="281"/>
      <c r="K759" s="281"/>
      <c r="L759" s="276"/>
      <c r="M759" s="276"/>
      <c r="N759" s="13"/>
      <c r="R759" s="12"/>
      <c r="S759" s="70"/>
      <c r="T759" s="70"/>
      <c r="U759" s="70"/>
      <c r="V759" s="70"/>
      <c r="W759" s="70"/>
      <c r="X759" s="70"/>
      <c r="Y759" s="70"/>
      <c r="Z759" s="70"/>
      <c r="AA759" s="946"/>
      <c r="AB759" s="947"/>
      <c r="AH759" s="743"/>
      <c r="AI759" s="743"/>
    </row>
    <row r="760" spans="1:35" s="267" customFormat="1" x14ac:dyDescent="0.25">
      <c r="A760" s="925" t="s">
        <v>1</v>
      </c>
      <c r="B760" s="927"/>
      <c r="C760" s="297" t="s">
        <v>12</v>
      </c>
      <c r="D760" s="266" t="s">
        <v>12</v>
      </c>
      <c r="E760" s="297" t="s">
        <v>13</v>
      </c>
      <c r="F760" s="277" t="s">
        <v>13</v>
      </c>
      <c r="G760" s="277" t="s">
        <v>13</v>
      </c>
      <c r="H760" s="277" t="s">
        <v>13</v>
      </c>
      <c r="I760" s="277" t="s">
        <v>13</v>
      </c>
      <c r="J760" s="266" t="s">
        <v>13</v>
      </c>
      <c r="K760" s="297" t="s">
        <v>2</v>
      </c>
      <c r="L760" s="277" t="s">
        <v>2</v>
      </c>
      <c r="M760" s="286" t="s">
        <v>2</v>
      </c>
      <c r="N760" s="277" t="s">
        <v>2</v>
      </c>
      <c r="O760" s="266" t="s">
        <v>2</v>
      </c>
      <c r="P760" s="328" t="s">
        <v>183</v>
      </c>
      <c r="Q760" s="327" t="s">
        <v>183</v>
      </c>
      <c r="R760" s="12"/>
      <c r="S760" s="70"/>
      <c r="T760" s="70"/>
      <c r="U760" s="70"/>
      <c r="V760" s="70"/>
      <c r="W760" s="70"/>
      <c r="X760" s="70"/>
      <c r="Y760" s="70"/>
      <c r="Z760" s="70"/>
      <c r="AA760" s="925" t="s">
        <v>1</v>
      </c>
      <c r="AB760" s="948"/>
      <c r="AC760" s="297" t="s">
        <v>12</v>
      </c>
      <c r="AD760" s="277" t="s">
        <v>13</v>
      </c>
      <c r="AE760" s="266" t="s">
        <v>2</v>
      </c>
      <c r="AH760" s="743"/>
      <c r="AI760" s="743"/>
    </row>
    <row r="761" spans="1:35" s="267" customFormat="1" ht="15.75" thickBot="1" x14ac:dyDescent="0.3">
      <c r="A761" s="931" t="s">
        <v>0</v>
      </c>
      <c r="B761" s="949"/>
      <c r="C761" s="298" t="s">
        <v>99</v>
      </c>
      <c r="D761" s="291" t="s">
        <v>100</v>
      </c>
      <c r="E761" s="298" t="s">
        <v>101</v>
      </c>
      <c r="F761" s="306" t="s">
        <v>102</v>
      </c>
      <c r="G761" s="306" t="s">
        <v>97</v>
      </c>
      <c r="H761" s="306" t="s">
        <v>104</v>
      </c>
      <c r="I761" s="306" t="s">
        <v>103</v>
      </c>
      <c r="J761" s="314" t="s">
        <v>178</v>
      </c>
      <c r="K761" s="298" t="s">
        <v>105</v>
      </c>
      <c r="L761" s="306" t="s">
        <v>107</v>
      </c>
      <c r="M761" s="312" t="s">
        <v>98</v>
      </c>
      <c r="N761" s="313" t="s">
        <v>106</v>
      </c>
      <c r="O761" s="291" t="s">
        <v>179</v>
      </c>
      <c r="P761" s="317" t="s">
        <v>182</v>
      </c>
      <c r="Q761" s="291" t="s">
        <v>184</v>
      </c>
      <c r="R761" s="12"/>
      <c r="S761" s="12"/>
      <c r="T761" s="12"/>
      <c r="U761" s="12"/>
      <c r="V761" s="12"/>
      <c r="W761" s="12"/>
      <c r="X761" s="12"/>
      <c r="Y761" s="12"/>
      <c r="Z761" s="12"/>
      <c r="AA761" s="931" t="s">
        <v>0</v>
      </c>
      <c r="AB761" s="950"/>
      <c r="AC761" s="298" t="s">
        <v>99</v>
      </c>
      <c r="AD761" s="306" t="s">
        <v>104</v>
      </c>
      <c r="AE761" s="291" t="s">
        <v>107</v>
      </c>
      <c r="AH761" s="743"/>
      <c r="AI761" s="743"/>
    </row>
    <row r="762" spans="1:35" s="267" customFormat="1" ht="15" customHeight="1" x14ac:dyDescent="0.25">
      <c r="A762" s="935" t="s">
        <v>9</v>
      </c>
      <c r="B762" s="19" t="s">
        <v>4</v>
      </c>
      <c r="C762" s="299">
        <v>143392.20000000001</v>
      </c>
      <c r="D762" s="265">
        <v>150515.79999999999</v>
      </c>
      <c r="E762" s="299">
        <v>150515.79999999999</v>
      </c>
      <c r="F762" s="283">
        <v>181997.8</v>
      </c>
      <c r="G762" s="283">
        <v>165452.5</v>
      </c>
      <c r="H762" s="283">
        <v>132132</v>
      </c>
      <c r="I762" s="283">
        <v>121331.8</v>
      </c>
      <c r="J762" s="265">
        <v>166077.9</v>
      </c>
      <c r="K762" s="299">
        <v>193027</v>
      </c>
      <c r="L762" s="283">
        <v>132132.20000000001</v>
      </c>
      <c r="M762" s="283">
        <v>82726.3</v>
      </c>
      <c r="N762" s="283">
        <v>176482.7</v>
      </c>
      <c r="O762" s="265">
        <v>83039</v>
      </c>
      <c r="P762" s="318">
        <v>55151</v>
      </c>
      <c r="Q762" s="265">
        <v>33090.5</v>
      </c>
      <c r="R762" s="70"/>
      <c r="S762" s="70"/>
      <c r="T762" s="70"/>
      <c r="U762" s="70"/>
      <c r="V762" s="70"/>
      <c r="W762" s="70"/>
      <c r="X762" s="70"/>
      <c r="Y762" s="70"/>
      <c r="Z762" s="70"/>
      <c r="AA762" s="938" t="s">
        <v>195</v>
      </c>
      <c r="AB762" s="2" t="s">
        <v>4</v>
      </c>
      <c r="AC762" s="299">
        <v>143392.20000000001</v>
      </c>
      <c r="AD762" s="283">
        <v>132132</v>
      </c>
      <c r="AE762" s="265">
        <v>132132.20000000001</v>
      </c>
      <c r="AH762" s="743"/>
      <c r="AI762" s="743"/>
    </row>
    <row r="763" spans="1:35" s="267" customFormat="1" x14ac:dyDescent="0.25">
      <c r="A763" s="936"/>
      <c r="B763" s="293" t="s">
        <v>5</v>
      </c>
      <c r="C763" s="300">
        <v>37799.300000000003</v>
      </c>
      <c r="D763" s="264">
        <v>77614.8</v>
      </c>
      <c r="E763" s="300">
        <v>79025.399999999994</v>
      </c>
      <c r="F763" s="307">
        <v>157350</v>
      </c>
      <c r="G763" s="307">
        <v>93859.7</v>
      </c>
      <c r="H763" s="307">
        <v>51713.8</v>
      </c>
      <c r="I763" s="307">
        <v>78000.2</v>
      </c>
      <c r="J763" s="264">
        <v>13226.5</v>
      </c>
      <c r="K763" s="300">
        <v>156772.79999999999</v>
      </c>
      <c r="L763" s="307">
        <v>55253.8</v>
      </c>
      <c r="M763" s="307">
        <v>49203.9</v>
      </c>
      <c r="N763" s="307">
        <v>143303.6</v>
      </c>
      <c r="O763" s="264">
        <v>6706.3</v>
      </c>
      <c r="P763" s="319">
        <v>6976.4</v>
      </c>
      <c r="Q763" s="264">
        <v>3435.2</v>
      </c>
      <c r="R763" s="70"/>
      <c r="S763" s="70"/>
      <c r="T763" s="70"/>
      <c r="U763" s="70"/>
      <c r="V763" s="70"/>
      <c r="W763" s="70"/>
      <c r="X763" s="70"/>
      <c r="Y763" s="70"/>
      <c r="Z763" s="70"/>
      <c r="AA763" s="939"/>
      <c r="AB763" s="342" t="s">
        <v>5</v>
      </c>
      <c r="AC763" s="300">
        <v>42041.3</v>
      </c>
      <c r="AD763" s="307">
        <v>46836.6</v>
      </c>
      <c r="AE763" s="264">
        <v>54552.5</v>
      </c>
      <c r="AH763" s="743"/>
      <c r="AI763" s="743"/>
    </row>
    <row r="764" spans="1:35" s="267" customFormat="1" ht="15.75" thickBot="1" x14ac:dyDescent="0.3">
      <c r="A764" s="937"/>
      <c r="B764" s="294" t="s">
        <v>3</v>
      </c>
      <c r="C764" s="305">
        <f t="shared" ref="C764:Q764" si="385">C763/C762</f>
        <v>0.2636077834080236</v>
      </c>
      <c r="D764" s="343">
        <f t="shared" si="385"/>
        <v>0.51565882120016637</v>
      </c>
      <c r="E764" s="305">
        <f t="shared" si="385"/>
        <v>0.52503059479469927</v>
      </c>
      <c r="F764" s="278">
        <f t="shared" si="385"/>
        <v>0.8645708904173568</v>
      </c>
      <c r="G764" s="278">
        <f t="shared" si="385"/>
        <v>0.56729091431075385</v>
      </c>
      <c r="H764" s="278">
        <f t="shared" si="385"/>
        <v>0.3913798322889232</v>
      </c>
      <c r="I764" s="278">
        <f t="shared" si="385"/>
        <v>0.64286691535112805</v>
      </c>
      <c r="J764" s="292">
        <f t="shared" si="385"/>
        <v>7.9640337456097415E-2</v>
      </c>
      <c r="K764" s="305">
        <f t="shared" si="385"/>
        <v>0.81218067938682148</v>
      </c>
      <c r="L764" s="278">
        <f t="shared" si="385"/>
        <v>0.41817058975783344</v>
      </c>
      <c r="M764" s="315">
        <f t="shared" si="385"/>
        <v>0.59477941114252664</v>
      </c>
      <c r="N764" s="278">
        <f t="shared" si="385"/>
        <v>0.8119980032037134</v>
      </c>
      <c r="O764" s="292">
        <f t="shared" si="385"/>
        <v>8.0760847312708495E-2</v>
      </c>
      <c r="P764" s="320">
        <f t="shared" si="385"/>
        <v>0.12649634639444435</v>
      </c>
      <c r="Q764" s="292">
        <f t="shared" si="385"/>
        <v>0.10381227240446653</v>
      </c>
      <c r="R764" s="70"/>
      <c r="S764" s="70"/>
      <c r="T764" s="70"/>
      <c r="U764" s="70"/>
      <c r="V764" s="70"/>
      <c r="W764" s="70"/>
      <c r="X764" s="70"/>
      <c r="Y764" s="70"/>
      <c r="Z764" s="70"/>
      <c r="AA764" s="939"/>
      <c r="AB764" s="347" t="s">
        <v>3</v>
      </c>
      <c r="AC764" s="301">
        <f>AC763/AC762</f>
        <v>0.29319098249416636</v>
      </c>
      <c r="AD764" s="278">
        <f>AD763/AD762</f>
        <v>0.35446825901371354</v>
      </c>
      <c r="AE764" s="292">
        <f>AE763/AE762</f>
        <v>0.41286302657489993</v>
      </c>
      <c r="AH764" s="743"/>
      <c r="AI764" s="743"/>
    </row>
    <row r="765" spans="1:35" s="267" customFormat="1" ht="15" customHeight="1" x14ac:dyDescent="0.25">
      <c r="A765" s="938" t="s">
        <v>6</v>
      </c>
      <c r="B765" s="19" t="s">
        <v>7</v>
      </c>
      <c r="C765" s="297">
        <v>5870</v>
      </c>
      <c r="D765" s="266">
        <v>3333</v>
      </c>
      <c r="E765" s="297">
        <v>3330</v>
      </c>
      <c r="F765" s="277">
        <v>9457</v>
      </c>
      <c r="G765" s="277">
        <v>8210</v>
      </c>
      <c r="H765" s="277">
        <v>15543</v>
      </c>
      <c r="I765" s="277">
        <v>7403</v>
      </c>
      <c r="J765" s="266">
        <v>9599</v>
      </c>
      <c r="K765" s="297">
        <v>9289</v>
      </c>
      <c r="L765" s="277">
        <v>12295</v>
      </c>
      <c r="M765" s="277">
        <v>4145</v>
      </c>
      <c r="N765" s="277">
        <v>10027</v>
      </c>
      <c r="O765" s="266">
        <v>4799</v>
      </c>
      <c r="P765" s="321">
        <v>2000</v>
      </c>
      <c r="Q765" s="266">
        <v>1250</v>
      </c>
      <c r="R765" s="358" t="s">
        <v>198</v>
      </c>
      <c r="S765" s="126"/>
      <c r="T765" s="70"/>
      <c r="U765" s="70"/>
      <c r="V765" s="70"/>
      <c r="W765" s="70"/>
      <c r="X765" s="70"/>
      <c r="Y765" s="70"/>
      <c r="Z765" s="70"/>
      <c r="AA765" s="951" t="s">
        <v>191</v>
      </c>
      <c r="AB765" s="19" t="s">
        <v>4</v>
      </c>
      <c r="AC765" s="299">
        <v>9191.7999999999993</v>
      </c>
      <c r="AD765" s="283">
        <v>13787.7</v>
      </c>
      <c r="AE765" s="265">
        <v>13787.7</v>
      </c>
      <c r="AH765" s="743"/>
      <c r="AI765" s="743"/>
    </row>
    <row r="766" spans="1:35" s="267" customFormat="1" x14ac:dyDescent="0.25">
      <c r="A766" s="939"/>
      <c r="B766" s="295" t="s">
        <v>11</v>
      </c>
      <c r="C766" s="302">
        <f t="shared" ref="C766:Q766" si="386">C765*33.717</f>
        <v>197918.78999999998</v>
      </c>
      <c r="D766" s="263">
        <f t="shared" si="386"/>
        <v>112378.761</v>
      </c>
      <c r="E766" s="302">
        <f t="shared" si="386"/>
        <v>112277.61</v>
      </c>
      <c r="F766" s="355">
        <f t="shared" si="386"/>
        <v>318861.66899999999</v>
      </c>
      <c r="G766" s="308">
        <f t="shared" si="386"/>
        <v>276816.57</v>
      </c>
      <c r="H766" s="354">
        <f t="shared" si="386"/>
        <v>524063.33100000001</v>
      </c>
      <c r="I766" s="354">
        <f t="shared" si="386"/>
        <v>249606.951</v>
      </c>
      <c r="J766" s="354">
        <f t="shared" si="386"/>
        <v>323649.48300000001</v>
      </c>
      <c r="K766" s="322">
        <f t="shared" si="386"/>
        <v>313197.21299999999</v>
      </c>
      <c r="L766" s="308">
        <f t="shared" si="386"/>
        <v>414550.51499999996</v>
      </c>
      <c r="M766" s="308">
        <f t="shared" si="386"/>
        <v>139756.965</v>
      </c>
      <c r="N766" s="354">
        <f t="shared" si="386"/>
        <v>338080.359</v>
      </c>
      <c r="O766" s="354">
        <f t="shared" si="386"/>
        <v>161807.883</v>
      </c>
      <c r="P766" s="302">
        <f t="shared" si="386"/>
        <v>67434</v>
      </c>
      <c r="Q766" s="354">
        <f t="shared" si="386"/>
        <v>42146.25</v>
      </c>
      <c r="R766" s="70"/>
      <c r="S766" s="70"/>
      <c r="T766" s="70"/>
      <c r="U766" s="70"/>
      <c r="V766" s="70"/>
      <c r="W766" s="70"/>
      <c r="X766" s="70"/>
      <c r="Y766" s="70"/>
      <c r="Z766" s="70"/>
      <c r="AA766" s="952"/>
      <c r="AB766" s="293" t="s">
        <v>5</v>
      </c>
      <c r="AC766" s="300">
        <v>8882</v>
      </c>
      <c r="AD766" s="307">
        <v>13644.7</v>
      </c>
      <c r="AE766" s="264">
        <v>13649.8</v>
      </c>
      <c r="AH766" s="743"/>
      <c r="AI766" s="743"/>
    </row>
    <row r="767" spans="1:35" s="267" customFormat="1" ht="15.75" thickBot="1" x14ac:dyDescent="0.3">
      <c r="A767" s="939"/>
      <c r="B767" s="295" t="s">
        <v>79</v>
      </c>
      <c r="C767" s="302">
        <v>164000</v>
      </c>
      <c r="D767" s="263">
        <v>109880</v>
      </c>
      <c r="E767" s="302">
        <v>109880</v>
      </c>
      <c r="F767" s="308">
        <v>328000</v>
      </c>
      <c r="G767" s="308">
        <v>330905</v>
      </c>
      <c r="H767" s="308">
        <v>264264</v>
      </c>
      <c r="I767" s="308">
        <v>242663.6</v>
      </c>
      <c r="J767" s="263">
        <v>328000</v>
      </c>
      <c r="K767" s="302">
        <v>328000</v>
      </c>
      <c r="L767" s="308">
        <v>264264.40000000002</v>
      </c>
      <c r="M767" s="308">
        <v>328000</v>
      </c>
      <c r="N767" s="308">
        <v>352965.4</v>
      </c>
      <c r="O767" s="263">
        <v>328000</v>
      </c>
      <c r="P767" s="322">
        <f>2*P762</f>
        <v>110302</v>
      </c>
      <c r="Q767" s="263">
        <f>2*Q762</f>
        <v>66181</v>
      </c>
      <c r="R767" s="70"/>
      <c r="S767" s="70"/>
      <c r="T767" s="70"/>
      <c r="U767" s="70"/>
      <c r="V767" s="70"/>
      <c r="W767" s="70"/>
      <c r="X767" s="70"/>
      <c r="Y767" s="70"/>
      <c r="Z767" s="70"/>
      <c r="AA767" s="953"/>
      <c r="AB767" s="344" t="s">
        <v>3</v>
      </c>
      <c r="AC767" s="301">
        <f>AC766/AC765</f>
        <v>0.96629604647620715</v>
      </c>
      <c r="AD767" s="249">
        <f>AD766/AD765</f>
        <v>0.98962843694017133</v>
      </c>
      <c r="AE767" s="348">
        <f>AE766/AE765</f>
        <v>0.98999833184650077</v>
      </c>
      <c r="AH767" s="743"/>
      <c r="AI767" s="743"/>
    </row>
    <row r="768" spans="1:35" s="267" customFormat="1" x14ac:dyDescent="0.25">
      <c r="A768" s="939"/>
      <c r="B768" s="293" t="s">
        <v>8</v>
      </c>
      <c r="C768" s="303">
        <f>SUM(C765-168)</f>
        <v>5702</v>
      </c>
      <c r="D768" s="262">
        <f>SUM(D765-686)</f>
        <v>2647</v>
      </c>
      <c r="E768" s="303">
        <f>SUM(E765-652)</f>
        <v>2678</v>
      </c>
      <c r="F768" s="309">
        <f>SUM(F765-1247)</f>
        <v>8210</v>
      </c>
      <c r="G768" s="309">
        <f>SUM(G765-4454)</f>
        <v>3756</v>
      </c>
      <c r="H768" s="309">
        <f>SUM(H765-2098)</f>
        <v>13445</v>
      </c>
      <c r="I768" s="309">
        <f>SUM(I765-(3366-2000))</f>
        <v>6037</v>
      </c>
      <c r="J768" s="262">
        <f>SUM(J765-9230)</f>
        <v>369</v>
      </c>
      <c r="K768" s="303">
        <f>SUM(K765-909)</f>
        <v>8380</v>
      </c>
      <c r="L768" s="309">
        <f>SUM(L765-1244)</f>
        <v>11051</v>
      </c>
      <c r="M768" s="316">
        <f>SUM(M765-242)</f>
        <v>3903</v>
      </c>
      <c r="N768" s="309">
        <f>SUM(N765-(5253-2614))</f>
        <v>7388</v>
      </c>
      <c r="O768" s="262">
        <f>SUM(O765-3991)</f>
        <v>808</v>
      </c>
      <c r="P768" s="323">
        <f>SUM(P765-1261)</f>
        <v>739</v>
      </c>
      <c r="Q768" s="262">
        <f>SUM(Q765-869)</f>
        <v>381</v>
      </c>
      <c r="R768" s="12" t="s">
        <v>176</v>
      </c>
      <c r="S768" s="70"/>
      <c r="T768" s="70"/>
      <c r="U768" s="70"/>
      <c r="V768" s="70"/>
      <c r="W768" s="70"/>
      <c r="X768" s="70"/>
      <c r="Y768" s="70"/>
      <c r="Z768" s="70"/>
      <c r="AA768" s="951" t="s">
        <v>192</v>
      </c>
      <c r="AB768" s="19" t="s">
        <v>4</v>
      </c>
      <c r="AC768" s="299">
        <v>97433.600000000006</v>
      </c>
      <c r="AD768" s="283">
        <v>243584.4</v>
      </c>
      <c r="AE768" s="265">
        <v>292299.3</v>
      </c>
      <c r="AH768" s="743"/>
      <c r="AI768" s="743"/>
    </row>
    <row r="769" spans="1:35" s="267" customFormat="1" x14ac:dyDescent="0.25">
      <c r="A769" s="939"/>
      <c r="B769" s="296" t="s">
        <v>77</v>
      </c>
      <c r="C769" s="302">
        <f>(C768*33.717)</f>
        <v>192254.334</v>
      </c>
      <c r="D769" s="338">
        <f>(D768*33.717)</f>
        <v>89248.89899999999</v>
      </c>
      <c r="E769" s="302">
        <f>(E768*33.717)</f>
        <v>90294.126000000004</v>
      </c>
      <c r="F769" s="338">
        <f>(F768*33.717)</f>
        <v>276816.57</v>
      </c>
      <c r="G769" s="280">
        <f>(G768*33.717)*2</f>
        <v>253282.10399999999</v>
      </c>
      <c r="H769" s="280">
        <f>(H768*33.717)</f>
        <v>453325.065</v>
      </c>
      <c r="I769" s="280">
        <f>(I768*33.717)-(2000*33.717)</f>
        <v>136115.52899999998</v>
      </c>
      <c r="J769" s="261">
        <f>J768*33.717</f>
        <v>12441.573</v>
      </c>
      <c r="K769" s="304">
        <f>K768*33.717</f>
        <v>282548.45999999996</v>
      </c>
      <c r="L769" s="280">
        <f>L768*33.717</f>
        <v>372606.56699999998</v>
      </c>
      <c r="M769" s="280">
        <f>(M768*33.717)</f>
        <v>131597.451</v>
      </c>
      <c r="N769" s="280">
        <f>N768*33.717</f>
        <v>249101.196</v>
      </c>
      <c r="O769" s="261">
        <f>O768*33.717</f>
        <v>27243.335999999999</v>
      </c>
      <c r="P769" s="324">
        <f>P768*33.717</f>
        <v>24916.862999999998</v>
      </c>
      <c r="Q769" s="325">
        <f>Q768*33.717</f>
        <v>12846.177</v>
      </c>
      <c r="R769" s="63">
        <f>344240-H769</f>
        <v>-109085.065</v>
      </c>
      <c r="S769" s="70" t="s">
        <v>177</v>
      </c>
      <c r="T769" s="70"/>
      <c r="U769" s="70"/>
      <c r="V769" s="70"/>
      <c r="W769" s="70"/>
      <c r="X769" s="70"/>
      <c r="Y769" s="70"/>
      <c r="Z769" s="70"/>
      <c r="AA769" s="952"/>
      <c r="AB769" s="293" t="s">
        <v>5</v>
      </c>
      <c r="AC769" s="300">
        <v>64490.9</v>
      </c>
      <c r="AD769" s="307">
        <v>79989.3</v>
      </c>
      <c r="AE769" s="264">
        <v>62980.6</v>
      </c>
      <c r="AH769" s="743"/>
      <c r="AI769" s="743"/>
    </row>
    <row r="770" spans="1:35" s="267" customFormat="1" ht="15.75" thickBot="1" x14ac:dyDescent="0.3">
      <c r="A770" s="940"/>
      <c r="B770" s="294" t="s">
        <v>10</v>
      </c>
      <c r="C770" s="305">
        <f t="shared" ref="C770:Q770" si="387">C769/C762</f>
        <v>1.3407586605129149</v>
      </c>
      <c r="D770" s="292">
        <f t="shared" si="387"/>
        <v>0.59295368991162389</v>
      </c>
      <c r="E770" s="310">
        <f t="shared" si="387"/>
        <v>0.59989799077571926</v>
      </c>
      <c r="F770" s="282">
        <f t="shared" si="387"/>
        <v>1.520988550411049</v>
      </c>
      <c r="G770" s="282">
        <f t="shared" si="387"/>
        <v>1.5308448285761773</v>
      </c>
      <c r="H770" s="282">
        <f t="shared" si="387"/>
        <v>3.4308499455090362</v>
      </c>
      <c r="I770" s="282">
        <f t="shared" si="387"/>
        <v>1.1218454601349357</v>
      </c>
      <c r="J770" s="311">
        <f t="shared" si="387"/>
        <v>7.4914079477161027E-2</v>
      </c>
      <c r="K770" s="310">
        <f t="shared" si="387"/>
        <v>1.4637768809544778</v>
      </c>
      <c r="L770" s="282">
        <f t="shared" si="387"/>
        <v>2.8199527972742446</v>
      </c>
      <c r="M770" s="282">
        <f t="shared" si="387"/>
        <v>1.5907571231881517</v>
      </c>
      <c r="N770" s="260">
        <f t="shared" si="387"/>
        <v>1.4114765696581024</v>
      </c>
      <c r="O770" s="311">
        <f t="shared" si="387"/>
        <v>0.32807880634400705</v>
      </c>
      <c r="P770" s="305">
        <f t="shared" si="387"/>
        <v>0.45179349422494602</v>
      </c>
      <c r="Q770" s="292">
        <f t="shared" si="387"/>
        <v>0.38821344494643478</v>
      </c>
      <c r="R770" s="126"/>
      <c r="S770" s="70"/>
      <c r="T770" s="70"/>
      <c r="U770" s="70"/>
      <c r="V770" s="70"/>
      <c r="W770" s="70"/>
      <c r="X770" s="70"/>
      <c r="Y770" s="70"/>
      <c r="Z770" s="70"/>
      <c r="AA770" s="954"/>
      <c r="AB770" s="294" t="s">
        <v>3</v>
      </c>
      <c r="AC770" s="305">
        <f>AC769/AC768</f>
        <v>0.66189589628218604</v>
      </c>
      <c r="AD770" s="278">
        <f>AD769/AD768</f>
        <v>0.32838433003098721</v>
      </c>
      <c r="AE770" s="343">
        <f>AE769/AE768</f>
        <v>0.21546613351451749</v>
      </c>
      <c r="AH770" s="743"/>
      <c r="AI770" s="743"/>
    </row>
    <row r="771" spans="1:35" s="267" customFormat="1" ht="15.75" thickBot="1" x14ac:dyDescent="0.3">
      <c r="A771" s="924">
        <v>41374</v>
      </c>
      <c r="B771" s="924"/>
      <c r="C771" s="924"/>
      <c r="D771" s="276"/>
      <c r="E771" s="276"/>
      <c r="F771" s="276"/>
      <c r="G771" s="276"/>
      <c r="H771" s="276"/>
      <c r="I771" s="11"/>
      <c r="J771" s="281"/>
      <c r="K771" s="281"/>
      <c r="L771" s="276"/>
      <c r="M771" s="276"/>
      <c r="N771" s="13"/>
      <c r="R771" s="12"/>
      <c r="S771" s="70"/>
      <c r="T771" s="70"/>
      <c r="U771" s="70"/>
      <c r="V771" s="70"/>
      <c r="W771" s="70"/>
      <c r="X771" s="70"/>
      <c r="Y771" s="70"/>
      <c r="Z771" s="70"/>
      <c r="AA771" s="946"/>
      <c r="AB771" s="947"/>
      <c r="AH771" s="743"/>
      <c r="AI771" s="743"/>
    </row>
    <row r="772" spans="1:35" s="267" customFormat="1" x14ac:dyDescent="0.25">
      <c r="A772" s="925" t="s">
        <v>1</v>
      </c>
      <c r="B772" s="927"/>
      <c r="C772" s="297" t="s">
        <v>12</v>
      </c>
      <c r="D772" s="266" t="s">
        <v>12</v>
      </c>
      <c r="E772" s="297" t="s">
        <v>13</v>
      </c>
      <c r="F772" s="277" t="s">
        <v>13</v>
      </c>
      <c r="G772" s="277" t="s">
        <v>13</v>
      </c>
      <c r="H772" s="277" t="s">
        <v>13</v>
      </c>
      <c r="I772" s="277" t="s">
        <v>13</v>
      </c>
      <c r="J772" s="266" t="s">
        <v>13</v>
      </c>
      <c r="K772" s="297" t="s">
        <v>2</v>
      </c>
      <c r="L772" s="277" t="s">
        <v>2</v>
      </c>
      <c r="M772" s="286" t="s">
        <v>2</v>
      </c>
      <c r="N772" s="277" t="s">
        <v>2</v>
      </c>
      <c r="O772" s="266" t="s">
        <v>2</v>
      </c>
      <c r="P772" s="328" t="s">
        <v>183</v>
      </c>
      <c r="Q772" s="327" t="s">
        <v>183</v>
      </c>
      <c r="R772" s="12"/>
      <c r="S772" s="70"/>
      <c r="T772" s="70"/>
      <c r="U772" s="70"/>
      <c r="V772" s="70"/>
      <c r="W772" s="70"/>
      <c r="X772" s="70"/>
      <c r="Y772" s="70"/>
      <c r="Z772" s="70"/>
      <c r="AA772" s="925" t="s">
        <v>1</v>
      </c>
      <c r="AB772" s="948"/>
      <c r="AC772" s="297" t="s">
        <v>12</v>
      </c>
      <c r="AD772" s="277" t="s">
        <v>13</v>
      </c>
      <c r="AE772" s="266" t="s">
        <v>2</v>
      </c>
      <c r="AH772" s="743"/>
      <c r="AI772" s="743"/>
    </row>
    <row r="773" spans="1:35" s="267" customFormat="1" ht="15.75" thickBot="1" x14ac:dyDescent="0.3">
      <c r="A773" s="931" t="s">
        <v>0</v>
      </c>
      <c r="B773" s="949"/>
      <c r="C773" s="298" t="s">
        <v>99</v>
      </c>
      <c r="D773" s="291" t="s">
        <v>100</v>
      </c>
      <c r="E773" s="298" t="s">
        <v>101</v>
      </c>
      <c r="F773" s="306" t="s">
        <v>102</v>
      </c>
      <c r="G773" s="306" t="s">
        <v>97</v>
      </c>
      <c r="H773" s="306" t="s">
        <v>104</v>
      </c>
      <c r="I773" s="306" t="s">
        <v>103</v>
      </c>
      <c r="J773" s="314" t="s">
        <v>178</v>
      </c>
      <c r="K773" s="298" t="s">
        <v>105</v>
      </c>
      <c r="L773" s="306" t="s">
        <v>107</v>
      </c>
      <c r="M773" s="312" t="s">
        <v>98</v>
      </c>
      <c r="N773" s="313" t="s">
        <v>106</v>
      </c>
      <c r="O773" s="291" t="s">
        <v>179</v>
      </c>
      <c r="P773" s="317" t="s">
        <v>182</v>
      </c>
      <c r="Q773" s="291" t="s">
        <v>184</v>
      </c>
      <c r="R773" s="12"/>
      <c r="S773" s="12"/>
      <c r="T773" s="12"/>
      <c r="U773" s="12"/>
      <c r="V773" s="12"/>
      <c r="W773" s="12"/>
      <c r="X773" s="12"/>
      <c r="Y773" s="12"/>
      <c r="Z773" s="12"/>
      <c r="AA773" s="931" t="s">
        <v>0</v>
      </c>
      <c r="AB773" s="950"/>
      <c r="AC773" s="298" t="s">
        <v>99</v>
      </c>
      <c r="AD773" s="306" t="s">
        <v>104</v>
      </c>
      <c r="AE773" s="291" t="s">
        <v>107</v>
      </c>
      <c r="AH773" s="743"/>
      <c r="AI773" s="743"/>
    </row>
    <row r="774" spans="1:35" s="267" customFormat="1" ht="15" customHeight="1" x14ac:dyDescent="0.25">
      <c r="A774" s="935" t="s">
        <v>9</v>
      </c>
      <c r="B774" s="19" t="s">
        <v>4</v>
      </c>
      <c r="C774" s="299">
        <v>143392.20000000001</v>
      </c>
      <c r="D774" s="265">
        <v>150515.79999999999</v>
      </c>
      <c r="E774" s="299">
        <v>150515.79999999999</v>
      </c>
      <c r="F774" s="283">
        <v>181997.8</v>
      </c>
      <c r="G774" s="283">
        <v>165452.5</v>
      </c>
      <c r="H774" s="283">
        <v>132132</v>
      </c>
      <c r="I774" s="283">
        <v>121331.8</v>
      </c>
      <c r="J774" s="265">
        <v>166077.9</v>
      </c>
      <c r="K774" s="299">
        <v>193027</v>
      </c>
      <c r="L774" s="283">
        <v>132132.20000000001</v>
      </c>
      <c r="M774" s="283">
        <v>82726.3</v>
      </c>
      <c r="N774" s="283">
        <v>176482.7</v>
      </c>
      <c r="O774" s="265">
        <v>83039</v>
      </c>
      <c r="P774" s="318">
        <v>55151</v>
      </c>
      <c r="Q774" s="265">
        <v>33090.5</v>
      </c>
      <c r="R774" s="70"/>
      <c r="S774" s="70"/>
      <c r="T774" s="70"/>
      <c r="U774" s="70"/>
      <c r="V774" s="70"/>
      <c r="W774" s="70"/>
      <c r="X774" s="70"/>
      <c r="Y774" s="70"/>
      <c r="Z774" s="70"/>
      <c r="AA774" s="938" t="s">
        <v>195</v>
      </c>
      <c r="AB774" s="2" t="s">
        <v>4</v>
      </c>
      <c r="AC774" s="299">
        <v>143392.20000000001</v>
      </c>
      <c r="AD774" s="283">
        <v>132132</v>
      </c>
      <c r="AE774" s="265">
        <v>132132.20000000001</v>
      </c>
      <c r="AH774" s="743"/>
      <c r="AI774" s="743"/>
    </row>
    <row r="775" spans="1:35" s="267" customFormat="1" x14ac:dyDescent="0.25">
      <c r="A775" s="936"/>
      <c r="B775" s="293" t="s">
        <v>5</v>
      </c>
      <c r="C775" s="300">
        <v>39080.800000000003</v>
      </c>
      <c r="D775" s="264">
        <v>77587.600000000006</v>
      </c>
      <c r="E775" s="300">
        <v>78998.600000000006</v>
      </c>
      <c r="F775" s="307">
        <v>158294.6</v>
      </c>
      <c r="G775" s="307">
        <v>93859.7</v>
      </c>
      <c r="H775" s="307">
        <v>50262</v>
      </c>
      <c r="I775" s="307">
        <v>76413</v>
      </c>
      <c r="J775" s="264">
        <v>12958.5</v>
      </c>
      <c r="K775" s="300">
        <v>156851.20000000001</v>
      </c>
      <c r="L775" s="307">
        <v>55901</v>
      </c>
      <c r="M775" s="307">
        <v>48632.9</v>
      </c>
      <c r="N775" s="307">
        <v>138263.29999999999</v>
      </c>
      <c r="O775" s="264">
        <v>6752.2</v>
      </c>
      <c r="P775" s="319">
        <v>6936.2</v>
      </c>
      <c r="Q775" s="264">
        <v>3328.7</v>
      </c>
      <c r="R775" s="70"/>
      <c r="S775" s="70"/>
      <c r="T775" s="70"/>
      <c r="U775" s="70"/>
      <c r="V775" s="70"/>
      <c r="W775" s="70"/>
      <c r="X775" s="70"/>
      <c r="Y775" s="70"/>
      <c r="Z775" s="70"/>
      <c r="AA775" s="939"/>
      <c r="AB775" s="342" t="s">
        <v>5</v>
      </c>
      <c r="AC775" s="300">
        <v>42041.3</v>
      </c>
      <c r="AD775" s="307">
        <v>46836.6</v>
      </c>
      <c r="AE775" s="264">
        <v>54552.5</v>
      </c>
      <c r="AH775" s="743"/>
      <c r="AI775" s="743"/>
    </row>
    <row r="776" spans="1:35" s="267" customFormat="1" ht="15.75" thickBot="1" x14ac:dyDescent="0.3">
      <c r="A776" s="937"/>
      <c r="B776" s="294" t="s">
        <v>3</v>
      </c>
      <c r="C776" s="305">
        <f t="shared" ref="C776:Q776" si="388">C775/C774</f>
        <v>0.27254481066613107</v>
      </c>
      <c r="D776" s="343">
        <f t="shared" si="388"/>
        <v>0.51547810927490678</v>
      </c>
      <c r="E776" s="305">
        <f t="shared" si="388"/>
        <v>0.52485254039775231</v>
      </c>
      <c r="F776" s="278">
        <f t="shared" si="388"/>
        <v>0.86976106304581713</v>
      </c>
      <c r="G776" s="278">
        <f t="shared" si="388"/>
        <v>0.56729091431075385</v>
      </c>
      <c r="H776" s="278">
        <f t="shared" si="388"/>
        <v>0.38039233493778946</v>
      </c>
      <c r="I776" s="278">
        <f t="shared" si="388"/>
        <v>0.62978543135435228</v>
      </c>
      <c r="J776" s="292">
        <f t="shared" si="388"/>
        <v>7.8026636897504123E-2</v>
      </c>
      <c r="K776" s="305">
        <f t="shared" si="388"/>
        <v>0.81258684018297966</v>
      </c>
      <c r="L776" s="278">
        <f t="shared" si="388"/>
        <v>0.42306871451470568</v>
      </c>
      <c r="M776" s="315">
        <f t="shared" si="388"/>
        <v>0.58787713218166415</v>
      </c>
      <c r="N776" s="278">
        <f t="shared" si="388"/>
        <v>0.78343826335385836</v>
      </c>
      <c r="O776" s="292">
        <f t="shared" si="388"/>
        <v>8.1313599633906955E-2</v>
      </c>
      <c r="P776" s="320">
        <f t="shared" si="388"/>
        <v>0.12576743848706279</v>
      </c>
      <c r="Q776" s="292">
        <f t="shared" si="388"/>
        <v>0.10059382602257445</v>
      </c>
      <c r="R776" s="70"/>
      <c r="S776" s="70"/>
      <c r="T776" s="70"/>
      <c r="U776" s="70"/>
      <c r="V776" s="70"/>
      <c r="W776" s="70"/>
      <c r="X776" s="70"/>
      <c r="Y776" s="70"/>
      <c r="Z776" s="70"/>
      <c r="AA776" s="939"/>
      <c r="AB776" s="347" t="s">
        <v>3</v>
      </c>
      <c r="AC776" s="301">
        <f>AC775/AC774</f>
        <v>0.29319098249416636</v>
      </c>
      <c r="AD776" s="278">
        <f>AD775/AD774</f>
        <v>0.35446825901371354</v>
      </c>
      <c r="AE776" s="292">
        <f>AE775/AE774</f>
        <v>0.41286302657489993</v>
      </c>
      <c r="AH776" s="743"/>
      <c r="AI776" s="743"/>
    </row>
    <row r="777" spans="1:35" s="267" customFormat="1" ht="15" customHeight="1" x14ac:dyDescent="0.25">
      <c r="A777" s="938" t="s">
        <v>6</v>
      </c>
      <c r="B777" s="19" t="s">
        <v>7</v>
      </c>
      <c r="C777" s="297">
        <v>5870</v>
      </c>
      <c r="D777" s="266">
        <v>3333</v>
      </c>
      <c r="E777" s="297">
        <v>3330</v>
      </c>
      <c r="F777" s="277">
        <v>9457</v>
      </c>
      <c r="G777" s="277">
        <v>7870</v>
      </c>
      <c r="H777" s="277">
        <v>15543</v>
      </c>
      <c r="I777" s="277">
        <v>7403</v>
      </c>
      <c r="J777" s="266">
        <v>9599</v>
      </c>
      <c r="K777" s="297">
        <v>9289</v>
      </c>
      <c r="L777" s="277">
        <v>12295</v>
      </c>
      <c r="M777" s="277">
        <v>4133</v>
      </c>
      <c r="N777" s="277">
        <v>10027</v>
      </c>
      <c r="O777" s="266">
        <v>4799</v>
      </c>
      <c r="P777" s="321">
        <v>2000</v>
      </c>
      <c r="Q777" s="266">
        <v>1250</v>
      </c>
      <c r="R777" s="358" t="s">
        <v>198</v>
      </c>
      <c r="S777" s="126"/>
      <c r="T777" s="70"/>
      <c r="U777" s="70"/>
      <c r="V777" s="70"/>
      <c r="W777" s="70"/>
      <c r="X777" s="70"/>
      <c r="Y777" s="70"/>
      <c r="Z777" s="70"/>
      <c r="AA777" s="951" t="s">
        <v>191</v>
      </c>
      <c r="AB777" s="19" t="s">
        <v>4</v>
      </c>
      <c r="AC777" s="299">
        <v>9191.7999999999993</v>
      </c>
      <c r="AD777" s="283">
        <v>13787.7</v>
      </c>
      <c r="AE777" s="265">
        <v>13787.7</v>
      </c>
      <c r="AH777" s="743"/>
      <c r="AI777" s="743"/>
    </row>
    <row r="778" spans="1:35" s="267" customFormat="1" x14ac:dyDescent="0.25">
      <c r="A778" s="939"/>
      <c r="B778" s="295" t="s">
        <v>11</v>
      </c>
      <c r="C778" s="302">
        <f t="shared" ref="C778:Q778" si="389">C777*33.717</f>
        <v>197918.78999999998</v>
      </c>
      <c r="D778" s="263">
        <f t="shared" si="389"/>
        <v>112378.761</v>
      </c>
      <c r="E778" s="302">
        <f t="shared" si="389"/>
        <v>112277.61</v>
      </c>
      <c r="F778" s="355">
        <f t="shared" si="389"/>
        <v>318861.66899999999</v>
      </c>
      <c r="G778" s="308">
        <f t="shared" si="389"/>
        <v>265352.78999999998</v>
      </c>
      <c r="H778" s="354">
        <f t="shared" si="389"/>
        <v>524063.33100000001</v>
      </c>
      <c r="I778" s="354">
        <f t="shared" si="389"/>
        <v>249606.951</v>
      </c>
      <c r="J778" s="354">
        <f t="shared" si="389"/>
        <v>323649.48300000001</v>
      </c>
      <c r="K778" s="322">
        <f t="shared" si="389"/>
        <v>313197.21299999999</v>
      </c>
      <c r="L778" s="308">
        <f t="shared" si="389"/>
        <v>414550.51499999996</v>
      </c>
      <c r="M778" s="308">
        <f t="shared" si="389"/>
        <v>139352.361</v>
      </c>
      <c r="N778" s="354">
        <f t="shared" si="389"/>
        <v>338080.359</v>
      </c>
      <c r="O778" s="354">
        <f t="shared" si="389"/>
        <v>161807.883</v>
      </c>
      <c r="P778" s="302">
        <f t="shared" si="389"/>
        <v>67434</v>
      </c>
      <c r="Q778" s="354">
        <f t="shared" si="389"/>
        <v>42146.25</v>
      </c>
      <c r="R778" s="70"/>
      <c r="S778" s="70"/>
      <c r="T778" s="70"/>
      <c r="U778" s="70"/>
      <c r="V778" s="70"/>
      <c r="W778" s="70"/>
      <c r="X778" s="70"/>
      <c r="Y778" s="70"/>
      <c r="Z778" s="70"/>
      <c r="AA778" s="952"/>
      <c r="AB778" s="293" t="s">
        <v>5</v>
      </c>
      <c r="AC778" s="300">
        <v>8882</v>
      </c>
      <c r="AD778" s="307">
        <v>13644.7</v>
      </c>
      <c r="AE778" s="264">
        <v>13649.8</v>
      </c>
      <c r="AH778" s="743"/>
      <c r="AI778" s="743"/>
    </row>
    <row r="779" spans="1:35" s="267" customFormat="1" ht="15.75" thickBot="1" x14ac:dyDescent="0.3">
      <c r="A779" s="939"/>
      <c r="B779" s="295" t="s">
        <v>79</v>
      </c>
      <c r="C779" s="302">
        <v>164000</v>
      </c>
      <c r="D779" s="263">
        <v>109880</v>
      </c>
      <c r="E779" s="302">
        <v>109880</v>
      </c>
      <c r="F779" s="308">
        <v>328000</v>
      </c>
      <c r="G779" s="308">
        <v>330905</v>
      </c>
      <c r="H779" s="308">
        <v>264264</v>
      </c>
      <c r="I779" s="308">
        <v>242663.6</v>
      </c>
      <c r="J779" s="263">
        <v>328000</v>
      </c>
      <c r="K779" s="302">
        <v>328000</v>
      </c>
      <c r="L779" s="308">
        <v>264264.40000000002</v>
      </c>
      <c r="M779" s="308">
        <v>328000</v>
      </c>
      <c r="N779" s="308">
        <v>352965.4</v>
      </c>
      <c r="O779" s="263">
        <v>328000</v>
      </c>
      <c r="P779" s="322">
        <f>2*P774</f>
        <v>110302</v>
      </c>
      <c r="Q779" s="263">
        <f>2*Q774</f>
        <v>66181</v>
      </c>
      <c r="R779" s="70"/>
      <c r="S779" s="70"/>
      <c r="T779" s="70"/>
      <c r="U779" s="70"/>
      <c r="V779" s="70"/>
      <c r="W779" s="70"/>
      <c r="X779" s="70"/>
      <c r="Y779" s="70"/>
      <c r="Z779" s="70"/>
      <c r="AA779" s="953"/>
      <c r="AB779" s="344" t="s">
        <v>3</v>
      </c>
      <c r="AC779" s="301">
        <f>AC778/AC777</f>
        <v>0.96629604647620715</v>
      </c>
      <c r="AD779" s="249">
        <f>AD778/AD777</f>
        <v>0.98962843694017133</v>
      </c>
      <c r="AE779" s="348">
        <f>AE778/AE777</f>
        <v>0.98999833184650077</v>
      </c>
      <c r="AH779" s="743"/>
      <c r="AI779" s="743"/>
    </row>
    <row r="780" spans="1:35" s="267" customFormat="1" x14ac:dyDescent="0.25">
      <c r="A780" s="939"/>
      <c r="B780" s="293" t="s">
        <v>8</v>
      </c>
      <c r="C780" s="303">
        <f>SUM(C777-168)</f>
        <v>5702</v>
      </c>
      <c r="D780" s="262">
        <f>SUM(D777-686)</f>
        <v>2647</v>
      </c>
      <c r="E780" s="303">
        <f>SUM(E777-652)</f>
        <v>2678</v>
      </c>
      <c r="F780" s="309">
        <f>SUM(F777-1211)</f>
        <v>8246</v>
      </c>
      <c r="G780" s="309">
        <f>SUM(G777-4109)</f>
        <v>3761</v>
      </c>
      <c r="H780" s="309">
        <f>SUM(H777-2129)</f>
        <v>13414</v>
      </c>
      <c r="I780" s="309">
        <f>SUM(I777-(3437-2000))</f>
        <v>5966</v>
      </c>
      <c r="J780" s="262">
        <f>SUM(J777-9288)</f>
        <v>311</v>
      </c>
      <c r="K780" s="303">
        <f>SUM(K777-887)</f>
        <v>8402</v>
      </c>
      <c r="L780" s="309">
        <f>SUM(L777-1241)</f>
        <v>11054</v>
      </c>
      <c r="M780" s="316">
        <f>SUM(M777-213)</f>
        <v>3920</v>
      </c>
      <c r="N780" s="309">
        <f>SUM(N777-(5357-2614))</f>
        <v>7284</v>
      </c>
      <c r="O780" s="262">
        <f>SUM(O777-3991)</f>
        <v>808</v>
      </c>
      <c r="P780" s="323">
        <f>SUM(P777-1261)</f>
        <v>739</v>
      </c>
      <c r="Q780" s="262">
        <f>SUM(Q777-869)</f>
        <v>381</v>
      </c>
      <c r="R780" s="12" t="s">
        <v>176</v>
      </c>
      <c r="S780" s="70"/>
      <c r="T780" s="70"/>
      <c r="U780" s="70"/>
      <c r="V780" s="70"/>
      <c r="W780" s="70"/>
      <c r="X780" s="70"/>
      <c r="Y780" s="70"/>
      <c r="Z780" s="70"/>
      <c r="AA780" s="951" t="s">
        <v>192</v>
      </c>
      <c r="AB780" s="19" t="s">
        <v>4</v>
      </c>
      <c r="AC780" s="299">
        <v>97433.600000000006</v>
      </c>
      <c r="AD780" s="283">
        <v>243584.4</v>
      </c>
      <c r="AE780" s="265">
        <v>292299.3</v>
      </c>
      <c r="AH780" s="743"/>
      <c r="AI780" s="743"/>
    </row>
    <row r="781" spans="1:35" s="267" customFormat="1" x14ac:dyDescent="0.25">
      <c r="A781" s="939"/>
      <c r="B781" s="296" t="s">
        <v>77</v>
      </c>
      <c r="C781" s="302">
        <f>(C780*33.717)</f>
        <v>192254.334</v>
      </c>
      <c r="D781" s="338">
        <f>(D780*33.717)</f>
        <v>89248.89899999999</v>
      </c>
      <c r="E781" s="302">
        <f>(E780*33.717)</f>
        <v>90294.126000000004</v>
      </c>
      <c r="F781" s="338">
        <f>(F780*33.717)</f>
        <v>278030.38199999998</v>
      </c>
      <c r="G781" s="280">
        <f>(G780*33.717)*2</f>
        <v>253619.274</v>
      </c>
      <c r="H781" s="280">
        <f>(H780*33.717)</f>
        <v>452279.83799999999</v>
      </c>
      <c r="I781" s="280">
        <f>(I780*33.717)-(2000*33.717)</f>
        <v>133721.622</v>
      </c>
      <c r="J781" s="261">
        <f>J780*33.717</f>
        <v>10485.986999999999</v>
      </c>
      <c r="K781" s="304">
        <f>K780*33.717</f>
        <v>283290.234</v>
      </c>
      <c r="L781" s="280">
        <f>L780*33.717</f>
        <v>372707.71799999999</v>
      </c>
      <c r="M781" s="280">
        <f>(M780*33.717)</f>
        <v>132170.63999999998</v>
      </c>
      <c r="N781" s="280">
        <f>N780*33.717</f>
        <v>245594.628</v>
      </c>
      <c r="O781" s="261">
        <f>O780*33.717</f>
        <v>27243.335999999999</v>
      </c>
      <c r="P781" s="324">
        <f>P780*33.717</f>
        <v>24916.862999999998</v>
      </c>
      <c r="Q781" s="325">
        <f>Q780*33.717</f>
        <v>12846.177</v>
      </c>
      <c r="R781" s="63">
        <f>344240-H781</f>
        <v>-108039.83799999999</v>
      </c>
      <c r="S781" s="70" t="s">
        <v>177</v>
      </c>
      <c r="T781" s="70"/>
      <c r="U781" s="70"/>
      <c r="V781" s="70"/>
      <c r="W781" s="70"/>
      <c r="X781" s="70"/>
      <c r="Y781" s="70"/>
      <c r="Z781" s="70"/>
      <c r="AA781" s="952"/>
      <c r="AB781" s="293" t="s">
        <v>5</v>
      </c>
      <c r="AC781" s="300">
        <v>64490.9</v>
      </c>
      <c r="AD781" s="307">
        <v>79989.3</v>
      </c>
      <c r="AE781" s="264">
        <v>62980.6</v>
      </c>
      <c r="AH781" s="743"/>
      <c r="AI781" s="743"/>
    </row>
    <row r="782" spans="1:35" s="267" customFormat="1" ht="15.75" thickBot="1" x14ac:dyDescent="0.3">
      <c r="A782" s="940"/>
      <c r="B782" s="294" t="s">
        <v>10</v>
      </c>
      <c r="C782" s="305">
        <f t="shared" ref="C782:Q782" si="390">C781/C774</f>
        <v>1.3407586605129149</v>
      </c>
      <c r="D782" s="292">
        <f t="shared" si="390"/>
        <v>0.59295368991162389</v>
      </c>
      <c r="E782" s="310">
        <f t="shared" si="390"/>
        <v>0.59989799077571926</v>
      </c>
      <c r="F782" s="282">
        <f t="shared" si="390"/>
        <v>1.5276579277331923</v>
      </c>
      <c r="G782" s="282">
        <f t="shared" si="390"/>
        <v>1.5328826944289147</v>
      </c>
      <c r="H782" s="282">
        <f t="shared" si="390"/>
        <v>3.4229394696212876</v>
      </c>
      <c r="I782" s="282">
        <f t="shared" si="390"/>
        <v>1.1021152080493324</v>
      </c>
      <c r="J782" s="311">
        <f t="shared" si="390"/>
        <v>6.3138966713813208E-2</v>
      </c>
      <c r="K782" s="310">
        <f t="shared" si="390"/>
        <v>1.4676197319545969</v>
      </c>
      <c r="L782" s="282">
        <f t="shared" si="390"/>
        <v>2.8207183260401321</v>
      </c>
      <c r="M782" s="282">
        <f t="shared" si="390"/>
        <v>1.5976858628997064</v>
      </c>
      <c r="N782" s="260">
        <f t="shared" si="390"/>
        <v>1.3916073813467269</v>
      </c>
      <c r="O782" s="311">
        <f t="shared" si="390"/>
        <v>0.32807880634400705</v>
      </c>
      <c r="P782" s="305">
        <f t="shared" si="390"/>
        <v>0.45179349422494602</v>
      </c>
      <c r="Q782" s="292">
        <f t="shared" si="390"/>
        <v>0.38821344494643478</v>
      </c>
      <c r="R782" s="126"/>
      <c r="S782" s="70"/>
      <c r="T782" s="70"/>
      <c r="U782" s="70"/>
      <c r="V782" s="70"/>
      <c r="W782" s="70"/>
      <c r="X782" s="70"/>
      <c r="Y782" s="70"/>
      <c r="Z782" s="70"/>
      <c r="AA782" s="954"/>
      <c r="AB782" s="294" t="s">
        <v>3</v>
      </c>
      <c r="AC782" s="305">
        <f>AC781/AC780</f>
        <v>0.66189589628218604</v>
      </c>
      <c r="AD782" s="278">
        <f>AD781/AD780</f>
        <v>0.32838433003098721</v>
      </c>
      <c r="AE782" s="343">
        <f>AE781/AE780</f>
        <v>0.21546613351451749</v>
      </c>
      <c r="AH782" s="743"/>
      <c r="AI782" s="743"/>
    </row>
    <row r="783" spans="1:35" s="267" customFormat="1" ht="15.75" thickBot="1" x14ac:dyDescent="0.3">
      <c r="A783" s="924">
        <v>41373</v>
      </c>
      <c r="B783" s="924"/>
      <c r="C783" s="924"/>
      <c r="D783" s="276"/>
      <c r="E783" s="276"/>
      <c r="F783" s="276"/>
      <c r="G783" s="276"/>
      <c r="H783" s="276"/>
      <c r="I783" s="11"/>
      <c r="J783" s="281"/>
      <c r="K783" s="281"/>
      <c r="L783" s="276"/>
      <c r="M783" s="276"/>
      <c r="N783" s="13"/>
      <c r="R783" s="12"/>
      <c r="S783" s="70"/>
      <c r="T783" s="70"/>
      <c r="U783" s="70"/>
      <c r="V783" s="70"/>
      <c r="W783" s="70"/>
      <c r="X783" s="70"/>
      <c r="Y783" s="70"/>
      <c r="Z783" s="70"/>
      <c r="AA783" s="946"/>
      <c r="AB783" s="947"/>
      <c r="AH783" s="743"/>
      <c r="AI783" s="743"/>
    </row>
    <row r="784" spans="1:35" s="267" customFormat="1" x14ac:dyDescent="0.25">
      <c r="A784" s="925" t="s">
        <v>1</v>
      </c>
      <c r="B784" s="927"/>
      <c r="C784" s="297" t="s">
        <v>12</v>
      </c>
      <c r="D784" s="266" t="s">
        <v>12</v>
      </c>
      <c r="E784" s="297" t="s">
        <v>13</v>
      </c>
      <c r="F784" s="277" t="s">
        <v>13</v>
      </c>
      <c r="G784" s="277" t="s">
        <v>13</v>
      </c>
      <c r="H784" s="277" t="s">
        <v>13</v>
      </c>
      <c r="I784" s="277" t="s">
        <v>13</v>
      </c>
      <c r="J784" s="266" t="s">
        <v>13</v>
      </c>
      <c r="K784" s="297" t="s">
        <v>2</v>
      </c>
      <c r="L784" s="277" t="s">
        <v>2</v>
      </c>
      <c r="M784" s="286" t="s">
        <v>2</v>
      </c>
      <c r="N784" s="277" t="s">
        <v>2</v>
      </c>
      <c r="O784" s="266" t="s">
        <v>2</v>
      </c>
      <c r="P784" s="328" t="s">
        <v>183</v>
      </c>
      <c r="Q784" s="327" t="s">
        <v>183</v>
      </c>
      <c r="R784" s="12"/>
      <c r="S784" s="70"/>
      <c r="T784" s="70"/>
      <c r="U784" s="70"/>
      <c r="V784" s="70"/>
      <c r="W784" s="70"/>
      <c r="X784" s="70"/>
      <c r="Y784" s="70"/>
      <c r="Z784" s="70"/>
      <c r="AA784" s="925" t="s">
        <v>1</v>
      </c>
      <c r="AB784" s="948"/>
      <c r="AC784" s="297" t="s">
        <v>12</v>
      </c>
      <c r="AD784" s="277" t="s">
        <v>13</v>
      </c>
      <c r="AE784" s="266" t="s">
        <v>2</v>
      </c>
      <c r="AH784" s="743"/>
      <c r="AI784" s="743"/>
    </row>
    <row r="785" spans="1:35" s="267" customFormat="1" ht="15.75" thickBot="1" x14ac:dyDescent="0.3">
      <c r="A785" s="931" t="s">
        <v>0</v>
      </c>
      <c r="B785" s="949"/>
      <c r="C785" s="298" t="s">
        <v>99</v>
      </c>
      <c r="D785" s="291" t="s">
        <v>100</v>
      </c>
      <c r="E785" s="298" t="s">
        <v>101</v>
      </c>
      <c r="F785" s="306" t="s">
        <v>102</v>
      </c>
      <c r="G785" s="306" t="s">
        <v>97</v>
      </c>
      <c r="H785" s="306" t="s">
        <v>104</v>
      </c>
      <c r="I785" s="306" t="s">
        <v>103</v>
      </c>
      <c r="J785" s="314" t="s">
        <v>178</v>
      </c>
      <c r="K785" s="298" t="s">
        <v>105</v>
      </c>
      <c r="L785" s="306" t="s">
        <v>107</v>
      </c>
      <c r="M785" s="312" t="s">
        <v>98</v>
      </c>
      <c r="N785" s="313" t="s">
        <v>106</v>
      </c>
      <c r="O785" s="291" t="s">
        <v>179</v>
      </c>
      <c r="P785" s="317" t="s">
        <v>182</v>
      </c>
      <c r="Q785" s="291" t="s">
        <v>184</v>
      </c>
      <c r="R785" s="12"/>
      <c r="S785" s="12"/>
      <c r="T785" s="12"/>
      <c r="U785" s="12"/>
      <c r="V785" s="12"/>
      <c r="W785" s="12"/>
      <c r="X785" s="12"/>
      <c r="Y785" s="12"/>
      <c r="Z785" s="12"/>
      <c r="AA785" s="931" t="s">
        <v>0</v>
      </c>
      <c r="AB785" s="950"/>
      <c r="AC785" s="298" t="s">
        <v>99</v>
      </c>
      <c r="AD785" s="306" t="s">
        <v>104</v>
      </c>
      <c r="AE785" s="291" t="s">
        <v>107</v>
      </c>
      <c r="AH785" s="743"/>
      <c r="AI785" s="743"/>
    </row>
    <row r="786" spans="1:35" s="267" customFormat="1" ht="15" customHeight="1" x14ac:dyDescent="0.25">
      <c r="A786" s="935" t="s">
        <v>9</v>
      </c>
      <c r="B786" s="19" t="s">
        <v>4</v>
      </c>
      <c r="C786" s="299">
        <v>143392.20000000001</v>
      </c>
      <c r="D786" s="265">
        <v>150515.79999999999</v>
      </c>
      <c r="E786" s="299">
        <v>150515.79999999999</v>
      </c>
      <c r="F786" s="283">
        <v>181997.8</v>
      </c>
      <c r="G786" s="283">
        <v>165452.5</v>
      </c>
      <c r="H786" s="283">
        <v>132132</v>
      </c>
      <c r="I786" s="283">
        <v>121331.8</v>
      </c>
      <c r="J786" s="265">
        <v>166077.9</v>
      </c>
      <c r="K786" s="299">
        <v>193027</v>
      </c>
      <c r="L786" s="283">
        <v>132132.20000000001</v>
      </c>
      <c r="M786" s="283">
        <v>82726.3</v>
      </c>
      <c r="N786" s="283">
        <v>176482.7</v>
      </c>
      <c r="O786" s="265">
        <v>83039</v>
      </c>
      <c r="P786" s="318">
        <v>55151</v>
      </c>
      <c r="Q786" s="265">
        <v>33090.5</v>
      </c>
      <c r="R786" s="70"/>
      <c r="S786" s="70"/>
      <c r="T786" s="70"/>
      <c r="U786" s="70"/>
      <c r="V786" s="70"/>
      <c r="W786" s="70"/>
      <c r="X786" s="70"/>
      <c r="Y786" s="70"/>
      <c r="Z786" s="70"/>
      <c r="AA786" s="938" t="s">
        <v>195</v>
      </c>
      <c r="AB786" s="2" t="s">
        <v>4</v>
      </c>
      <c r="AC786" s="299">
        <v>143392.20000000001</v>
      </c>
      <c r="AD786" s="283">
        <v>132132</v>
      </c>
      <c r="AE786" s="265">
        <v>132132.20000000001</v>
      </c>
      <c r="AH786" s="743"/>
      <c r="AI786" s="743"/>
    </row>
    <row r="787" spans="1:35" s="267" customFormat="1" x14ac:dyDescent="0.25">
      <c r="A787" s="936"/>
      <c r="B787" s="293" t="s">
        <v>5</v>
      </c>
      <c r="C787" s="300">
        <v>40044.699999999997</v>
      </c>
      <c r="D787" s="264">
        <v>77577.600000000006</v>
      </c>
      <c r="E787" s="300">
        <v>78988.7</v>
      </c>
      <c r="F787" s="307">
        <v>158224.4</v>
      </c>
      <c r="G787" s="307">
        <v>93711.3</v>
      </c>
      <c r="H787" s="307">
        <v>50742.2</v>
      </c>
      <c r="I787" s="307">
        <v>75904.800000000003</v>
      </c>
      <c r="J787" s="264">
        <v>8904</v>
      </c>
      <c r="K787" s="300">
        <v>156789.4</v>
      </c>
      <c r="L787" s="307">
        <v>56743.199999999997</v>
      </c>
      <c r="M787" s="307">
        <v>48558.400000000001</v>
      </c>
      <c r="N787" s="307">
        <v>138251.9</v>
      </c>
      <c r="O787" s="264">
        <v>6519.2</v>
      </c>
      <c r="P787" s="319">
        <v>4493</v>
      </c>
      <c r="Q787" s="264">
        <v>3149.3</v>
      </c>
      <c r="R787" s="70"/>
      <c r="S787" s="70"/>
      <c r="T787" s="70"/>
      <c r="U787" s="70"/>
      <c r="V787" s="70"/>
      <c r="W787" s="70"/>
      <c r="X787" s="70"/>
      <c r="Y787" s="70"/>
      <c r="Z787" s="70"/>
      <c r="AA787" s="939"/>
      <c r="AB787" s="342" t="s">
        <v>5</v>
      </c>
      <c r="AC787" s="300">
        <v>42041.3</v>
      </c>
      <c r="AD787" s="307">
        <v>46836.6</v>
      </c>
      <c r="AE787" s="264">
        <v>54552.5</v>
      </c>
      <c r="AH787" s="743"/>
      <c r="AI787" s="743"/>
    </row>
    <row r="788" spans="1:35" s="267" customFormat="1" ht="15.75" thickBot="1" x14ac:dyDescent="0.3">
      <c r="A788" s="937"/>
      <c r="B788" s="294" t="s">
        <v>3</v>
      </c>
      <c r="C788" s="305">
        <f t="shared" ref="C788:Q788" si="391">C787/C786</f>
        <v>0.27926693362679417</v>
      </c>
      <c r="D788" s="343">
        <f t="shared" si="391"/>
        <v>0.51541167106709074</v>
      </c>
      <c r="E788" s="305">
        <f t="shared" si="391"/>
        <v>0.5247867665720144</v>
      </c>
      <c r="F788" s="278">
        <f t="shared" si="391"/>
        <v>0.86937534409756601</v>
      </c>
      <c r="G788" s="278">
        <f t="shared" si="391"/>
        <v>0.56639398014535891</v>
      </c>
      <c r="H788" s="278">
        <f t="shared" si="391"/>
        <v>0.3840265794811249</v>
      </c>
      <c r="I788" s="278">
        <f t="shared" si="391"/>
        <v>0.62559691688411445</v>
      </c>
      <c r="J788" s="292">
        <f t="shared" si="391"/>
        <v>5.3613394678039647E-2</v>
      </c>
      <c r="K788" s="305">
        <f t="shared" si="391"/>
        <v>0.81226667771866112</v>
      </c>
      <c r="L788" s="278">
        <f t="shared" si="391"/>
        <v>0.42944263396810156</v>
      </c>
      <c r="M788" s="315">
        <f t="shared" si="391"/>
        <v>0.58697657214211196</v>
      </c>
      <c r="N788" s="278">
        <f t="shared" si="391"/>
        <v>0.78337366778726747</v>
      </c>
      <c r="O788" s="292">
        <f t="shared" si="391"/>
        <v>7.8507689158106436E-2</v>
      </c>
      <c r="P788" s="320">
        <f t="shared" si="391"/>
        <v>8.1467244474261569E-2</v>
      </c>
      <c r="Q788" s="292">
        <f t="shared" si="391"/>
        <v>9.5172330427161875E-2</v>
      </c>
      <c r="R788" s="70"/>
      <c r="S788" s="70"/>
      <c r="T788" s="70"/>
      <c r="U788" s="70"/>
      <c r="V788" s="70"/>
      <c r="W788" s="70"/>
      <c r="X788" s="70"/>
      <c r="Y788" s="70"/>
      <c r="Z788" s="70"/>
      <c r="AA788" s="939"/>
      <c r="AB788" s="347" t="s">
        <v>3</v>
      </c>
      <c r="AC788" s="301">
        <f>AC787/AC786</f>
        <v>0.29319098249416636</v>
      </c>
      <c r="AD788" s="278">
        <f>AD787/AD786</f>
        <v>0.35446825901371354</v>
      </c>
      <c r="AE788" s="292">
        <f>AE787/AE786</f>
        <v>0.41286302657489993</v>
      </c>
      <c r="AH788" s="743"/>
      <c r="AI788" s="743"/>
    </row>
    <row r="789" spans="1:35" s="267" customFormat="1" ht="15" customHeight="1" x14ac:dyDescent="0.25">
      <c r="A789" s="938" t="s">
        <v>6</v>
      </c>
      <c r="B789" s="19" t="s">
        <v>7</v>
      </c>
      <c r="C789" s="297">
        <v>5870</v>
      </c>
      <c r="D789" s="266">
        <v>3333</v>
      </c>
      <c r="E789" s="297">
        <v>3330</v>
      </c>
      <c r="F789" s="277">
        <v>9457</v>
      </c>
      <c r="G789" s="277">
        <v>7853</v>
      </c>
      <c r="H789" s="277">
        <v>15543</v>
      </c>
      <c r="I789" s="277">
        <v>7386</v>
      </c>
      <c r="J789" s="266">
        <v>9599</v>
      </c>
      <c r="K789" s="297">
        <v>9289</v>
      </c>
      <c r="L789" s="277">
        <v>12263</v>
      </c>
      <c r="M789" s="277">
        <v>4133</v>
      </c>
      <c r="N789" s="357">
        <v>9900</v>
      </c>
      <c r="O789" s="266">
        <v>4799</v>
      </c>
      <c r="P789" s="321">
        <v>2000</v>
      </c>
      <c r="Q789" s="266">
        <v>1250</v>
      </c>
      <c r="R789" s="358" t="s">
        <v>198</v>
      </c>
      <c r="S789" s="126"/>
      <c r="T789" s="70"/>
      <c r="U789" s="70"/>
      <c r="V789" s="70"/>
      <c r="W789" s="70"/>
      <c r="X789" s="70"/>
      <c r="Y789" s="70"/>
      <c r="Z789" s="70"/>
      <c r="AA789" s="951" t="s">
        <v>191</v>
      </c>
      <c r="AB789" s="19" t="s">
        <v>4</v>
      </c>
      <c r="AC789" s="299">
        <v>9191.7999999999993</v>
      </c>
      <c r="AD789" s="283">
        <v>13787.7</v>
      </c>
      <c r="AE789" s="265">
        <v>13787.7</v>
      </c>
      <c r="AH789" s="743"/>
      <c r="AI789" s="743"/>
    </row>
    <row r="790" spans="1:35" s="267" customFormat="1" x14ac:dyDescent="0.25">
      <c r="A790" s="939"/>
      <c r="B790" s="295" t="s">
        <v>11</v>
      </c>
      <c r="C790" s="302">
        <f t="shared" ref="C790:Q790" si="392">C789*33.717</f>
        <v>197918.78999999998</v>
      </c>
      <c r="D790" s="263">
        <f t="shared" si="392"/>
        <v>112378.761</v>
      </c>
      <c r="E790" s="302">
        <f t="shared" si="392"/>
        <v>112277.61</v>
      </c>
      <c r="F790" s="355">
        <f t="shared" si="392"/>
        <v>318861.66899999999</v>
      </c>
      <c r="G790" s="308">
        <f t="shared" si="392"/>
        <v>264779.60099999997</v>
      </c>
      <c r="H790" s="354">
        <f t="shared" si="392"/>
        <v>524063.33100000001</v>
      </c>
      <c r="I790" s="354">
        <f t="shared" si="392"/>
        <v>249033.76199999999</v>
      </c>
      <c r="J790" s="354">
        <f t="shared" si="392"/>
        <v>323649.48300000001</v>
      </c>
      <c r="K790" s="322">
        <f t="shared" si="392"/>
        <v>313197.21299999999</v>
      </c>
      <c r="L790" s="308">
        <f t="shared" si="392"/>
        <v>413471.571</v>
      </c>
      <c r="M790" s="308">
        <f t="shared" si="392"/>
        <v>139352.361</v>
      </c>
      <c r="N790" s="354">
        <f t="shared" si="392"/>
        <v>333798.3</v>
      </c>
      <c r="O790" s="354">
        <f t="shared" si="392"/>
        <v>161807.883</v>
      </c>
      <c r="P790" s="302">
        <f t="shared" si="392"/>
        <v>67434</v>
      </c>
      <c r="Q790" s="354">
        <f t="shared" si="392"/>
        <v>42146.25</v>
      </c>
      <c r="R790" s="70"/>
      <c r="S790" s="70"/>
      <c r="T790" s="70"/>
      <c r="U790" s="70"/>
      <c r="V790" s="70"/>
      <c r="W790" s="70"/>
      <c r="X790" s="70"/>
      <c r="Y790" s="70"/>
      <c r="Z790" s="70"/>
      <c r="AA790" s="952"/>
      <c r="AB790" s="293" t="s">
        <v>5</v>
      </c>
      <c r="AC790" s="300">
        <v>8882</v>
      </c>
      <c r="AD790" s="307">
        <v>13644.7</v>
      </c>
      <c r="AE790" s="264">
        <v>13649.8</v>
      </c>
      <c r="AH790" s="743"/>
      <c r="AI790" s="743"/>
    </row>
    <row r="791" spans="1:35" s="267" customFormat="1" ht="15.75" thickBot="1" x14ac:dyDescent="0.3">
      <c r="A791" s="939"/>
      <c r="B791" s="295" t="s">
        <v>79</v>
      </c>
      <c r="C791" s="302">
        <v>164000</v>
      </c>
      <c r="D791" s="263">
        <v>109880</v>
      </c>
      <c r="E791" s="302">
        <v>109880</v>
      </c>
      <c r="F791" s="308">
        <v>328000</v>
      </c>
      <c r="G791" s="308">
        <v>330905</v>
      </c>
      <c r="H791" s="308">
        <v>264264</v>
      </c>
      <c r="I791" s="308">
        <v>242663.6</v>
      </c>
      <c r="J791" s="263">
        <v>328000</v>
      </c>
      <c r="K791" s="302">
        <v>328000</v>
      </c>
      <c r="L791" s="308">
        <v>264264.40000000002</v>
      </c>
      <c r="M791" s="308">
        <v>328000</v>
      </c>
      <c r="N791" s="308">
        <v>352965.4</v>
      </c>
      <c r="O791" s="263">
        <v>328000</v>
      </c>
      <c r="P791" s="322">
        <f>2*P786</f>
        <v>110302</v>
      </c>
      <c r="Q791" s="263">
        <f>2*Q786</f>
        <v>66181</v>
      </c>
      <c r="R791" s="70"/>
      <c r="S791" s="70"/>
      <c r="T791" s="70"/>
      <c r="U791" s="70"/>
      <c r="V791" s="70"/>
      <c r="W791" s="70"/>
      <c r="X791" s="70"/>
      <c r="Y791" s="70"/>
      <c r="Z791" s="70"/>
      <c r="AA791" s="953"/>
      <c r="AB791" s="344" t="s">
        <v>3</v>
      </c>
      <c r="AC791" s="301">
        <f>AC790/AC789</f>
        <v>0.96629604647620715</v>
      </c>
      <c r="AD791" s="249">
        <f>AD790/AD789</f>
        <v>0.98962843694017133</v>
      </c>
      <c r="AE791" s="348">
        <f>AE790/AE789</f>
        <v>0.98999833184650077</v>
      </c>
      <c r="AH791" s="743"/>
      <c r="AI791" s="743"/>
    </row>
    <row r="792" spans="1:35" s="267" customFormat="1" x14ac:dyDescent="0.25">
      <c r="A792" s="939"/>
      <c r="B792" s="293" t="s">
        <v>8</v>
      </c>
      <c r="C792" s="303">
        <f>SUM(C789-168)</f>
        <v>5702</v>
      </c>
      <c r="D792" s="262">
        <f>SUM(D789-686)</f>
        <v>2647</v>
      </c>
      <c r="E792" s="303">
        <f>SUM(E789-652)</f>
        <v>2678</v>
      </c>
      <c r="F792" s="309">
        <f>SUM(F789-1211)</f>
        <v>8246</v>
      </c>
      <c r="G792" s="309">
        <f>SUM(G789-4107)</f>
        <v>3746</v>
      </c>
      <c r="H792" s="309">
        <f>SUM(H789-2129)</f>
        <v>13414</v>
      </c>
      <c r="I792" s="309">
        <f>SUM(I789-(3437-2000))</f>
        <v>5949</v>
      </c>
      <c r="J792" s="262">
        <f>SUM(J789-9313)</f>
        <v>286</v>
      </c>
      <c r="K792" s="303">
        <f>SUM(K789-887)</f>
        <v>8402</v>
      </c>
      <c r="L792" s="309">
        <f>SUM(L789-1241)</f>
        <v>11022</v>
      </c>
      <c r="M792" s="316">
        <f>SUM(M789-214)</f>
        <v>3919</v>
      </c>
      <c r="N792" s="309">
        <f>SUM(N789-(5357-2614))</f>
        <v>7157</v>
      </c>
      <c r="O792" s="262">
        <f>SUM(O789-3991)</f>
        <v>808</v>
      </c>
      <c r="P792" s="323">
        <f>SUM(P789-1261)</f>
        <v>739</v>
      </c>
      <c r="Q792" s="262">
        <f>SUM(Q789-869)</f>
        <v>381</v>
      </c>
      <c r="R792" s="12" t="s">
        <v>176</v>
      </c>
      <c r="S792" s="70"/>
      <c r="T792" s="70"/>
      <c r="U792" s="70"/>
      <c r="V792" s="70"/>
      <c r="W792" s="70"/>
      <c r="X792" s="70"/>
      <c r="Y792" s="70"/>
      <c r="Z792" s="70"/>
      <c r="AA792" s="951" t="s">
        <v>192</v>
      </c>
      <c r="AB792" s="19" t="s">
        <v>4</v>
      </c>
      <c r="AC792" s="299">
        <v>97433.600000000006</v>
      </c>
      <c r="AD792" s="283">
        <v>243584.4</v>
      </c>
      <c r="AE792" s="265">
        <v>292299.3</v>
      </c>
      <c r="AH792" s="743"/>
      <c r="AI792" s="743"/>
    </row>
    <row r="793" spans="1:35" s="267" customFormat="1" x14ac:dyDescent="0.25">
      <c r="A793" s="939"/>
      <c r="B793" s="296" t="s">
        <v>77</v>
      </c>
      <c r="C793" s="302">
        <f>(C792*33.717)</f>
        <v>192254.334</v>
      </c>
      <c r="D793" s="338">
        <f>(D792*33.717)</f>
        <v>89248.89899999999</v>
      </c>
      <c r="E793" s="302">
        <f>(E792*33.717)</f>
        <v>90294.126000000004</v>
      </c>
      <c r="F793" s="338">
        <f>(F792*33.717)</f>
        <v>278030.38199999998</v>
      </c>
      <c r="G793" s="280">
        <f>(G792*33.717)*2</f>
        <v>252607.764</v>
      </c>
      <c r="H793" s="280">
        <f>(H792*33.717)</f>
        <v>452279.83799999999</v>
      </c>
      <c r="I793" s="280">
        <f>(I792*33.717)-(2000*33.717)</f>
        <v>133148.43299999999</v>
      </c>
      <c r="J793" s="261">
        <f>J792*33.717</f>
        <v>9643.0619999999999</v>
      </c>
      <c r="K793" s="304">
        <f>K792*33.717</f>
        <v>283290.234</v>
      </c>
      <c r="L793" s="280">
        <f>L792*33.717</f>
        <v>371628.77399999998</v>
      </c>
      <c r="M793" s="280">
        <f>(M792*33.717)</f>
        <v>132136.92299999998</v>
      </c>
      <c r="N793" s="280">
        <f>N792*33.717</f>
        <v>241312.56899999999</v>
      </c>
      <c r="O793" s="261">
        <f>O792*33.717</f>
        <v>27243.335999999999</v>
      </c>
      <c r="P793" s="324">
        <f>P792*33.717</f>
        <v>24916.862999999998</v>
      </c>
      <c r="Q793" s="325">
        <f>Q792*33.717</f>
        <v>12846.177</v>
      </c>
      <c r="R793" s="63">
        <f>344240-H793</f>
        <v>-108039.83799999999</v>
      </c>
      <c r="S793" s="70" t="s">
        <v>177</v>
      </c>
      <c r="T793" s="70"/>
      <c r="U793" s="70"/>
      <c r="V793" s="70"/>
      <c r="W793" s="70"/>
      <c r="X793" s="70"/>
      <c r="Y793" s="70"/>
      <c r="Z793" s="70"/>
      <c r="AA793" s="952"/>
      <c r="AB793" s="293" t="s">
        <v>5</v>
      </c>
      <c r="AC793" s="300">
        <v>64490.9</v>
      </c>
      <c r="AD793" s="307">
        <v>79989.3</v>
      </c>
      <c r="AE793" s="264">
        <v>62980.6</v>
      </c>
      <c r="AH793" s="743"/>
      <c r="AI793" s="743"/>
    </row>
    <row r="794" spans="1:35" s="267" customFormat="1" ht="15.75" thickBot="1" x14ac:dyDescent="0.3">
      <c r="A794" s="940"/>
      <c r="B794" s="294" t="s">
        <v>10</v>
      </c>
      <c r="C794" s="305">
        <f t="shared" ref="C794:Q794" si="393">C793/C786</f>
        <v>1.3407586605129149</v>
      </c>
      <c r="D794" s="292">
        <f t="shared" si="393"/>
        <v>0.59295368991162389</v>
      </c>
      <c r="E794" s="310">
        <f t="shared" si="393"/>
        <v>0.59989799077571926</v>
      </c>
      <c r="F794" s="282">
        <f t="shared" si="393"/>
        <v>1.5276579277331923</v>
      </c>
      <c r="G794" s="282">
        <f t="shared" si="393"/>
        <v>1.5267690968707031</v>
      </c>
      <c r="H794" s="282">
        <f t="shared" si="393"/>
        <v>3.4229394696212876</v>
      </c>
      <c r="I794" s="282">
        <f t="shared" si="393"/>
        <v>1.0973910631837653</v>
      </c>
      <c r="J794" s="311">
        <f t="shared" si="393"/>
        <v>5.8063487074439167E-2</v>
      </c>
      <c r="K794" s="310">
        <f t="shared" si="393"/>
        <v>1.4676197319545969</v>
      </c>
      <c r="L794" s="282">
        <f t="shared" si="393"/>
        <v>2.8125526858706653</v>
      </c>
      <c r="M794" s="282">
        <f t="shared" si="393"/>
        <v>1.5972782899754971</v>
      </c>
      <c r="N794" s="260">
        <f t="shared" si="393"/>
        <v>1.3673440456203354</v>
      </c>
      <c r="O794" s="311">
        <f t="shared" si="393"/>
        <v>0.32807880634400705</v>
      </c>
      <c r="P794" s="305">
        <f t="shared" si="393"/>
        <v>0.45179349422494602</v>
      </c>
      <c r="Q794" s="292">
        <f t="shared" si="393"/>
        <v>0.38821344494643478</v>
      </c>
      <c r="R794" s="126"/>
      <c r="S794" s="70"/>
      <c r="T794" s="70"/>
      <c r="U794" s="70"/>
      <c r="V794" s="70"/>
      <c r="W794" s="70"/>
      <c r="X794" s="70"/>
      <c r="Y794" s="70"/>
      <c r="Z794" s="70"/>
      <c r="AA794" s="954"/>
      <c r="AB794" s="294" t="s">
        <v>3</v>
      </c>
      <c r="AC794" s="305">
        <f>AC793/AC792</f>
        <v>0.66189589628218604</v>
      </c>
      <c r="AD794" s="278">
        <f>AD793/AD792</f>
        <v>0.32838433003098721</v>
      </c>
      <c r="AE794" s="343">
        <f>AE793/AE792</f>
        <v>0.21546613351451749</v>
      </c>
      <c r="AH794" s="743"/>
      <c r="AI794" s="743"/>
    </row>
    <row r="795" spans="1:35" s="267" customFormat="1" ht="15.75" thickBot="1" x14ac:dyDescent="0.3">
      <c r="A795" s="924">
        <v>41361</v>
      </c>
      <c r="B795" s="924"/>
      <c r="C795" s="924"/>
      <c r="D795" s="276"/>
      <c r="E795" s="276"/>
      <c r="F795" s="276"/>
      <c r="G795" s="276"/>
      <c r="H795" s="276"/>
      <c r="I795" s="11"/>
      <c r="J795" s="281"/>
      <c r="K795" s="281"/>
      <c r="L795" s="276"/>
      <c r="M795" s="276"/>
      <c r="N795" s="13"/>
      <c r="R795" s="12"/>
      <c r="S795" s="70"/>
      <c r="T795" s="70"/>
      <c r="U795" s="70"/>
      <c r="V795" s="70"/>
      <c r="W795" s="70"/>
      <c r="X795" s="70"/>
      <c r="Y795" s="70"/>
      <c r="Z795" s="70"/>
      <c r="AA795" s="946"/>
      <c r="AB795" s="947"/>
      <c r="AH795" s="743"/>
      <c r="AI795" s="743"/>
    </row>
    <row r="796" spans="1:35" s="267" customFormat="1" x14ac:dyDescent="0.25">
      <c r="A796" s="925" t="s">
        <v>1</v>
      </c>
      <c r="B796" s="927"/>
      <c r="C796" s="297" t="s">
        <v>12</v>
      </c>
      <c r="D796" s="266" t="s">
        <v>12</v>
      </c>
      <c r="E796" s="297" t="s">
        <v>13</v>
      </c>
      <c r="F796" s="277" t="s">
        <v>13</v>
      </c>
      <c r="G796" s="277" t="s">
        <v>13</v>
      </c>
      <c r="H796" s="277" t="s">
        <v>13</v>
      </c>
      <c r="I796" s="277" t="s">
        <v>13</v>
      </c>
      <c r="J796" s="266" t="s">
        <v>13</v>
      </c>
      <c r="K796" s="297" t="s">
        <v>2</v>
      </c>
      <c r="L796" s="277" t="s">
        <v>2</v>
      </c>
      <c r="M796" s="286" t="s">
        <v>2</v>
      </c>
      <c r="N796" s="277" t="s">
        <v>2</v>
      </c>
      <c r="O796" s="266" t="s">
        <v>2</v>
      </c>
      <c r="P796" s="328" t="s">
        <v>183</v>
      </c>
      <c r="Q796" s="327" t="s">
        <v>183</v>
      </c>
      <c r="R796" s="12"/>
      <c r="S796" s="70"/>
      <c r="T796" s="70"/>
      <c r="U796" s="70"/>
      <c r="V796" s="70"/>
      <c r="W796" s="70"/>
      <c r="X796" s="70"/>
      <c r="Y796" s="70"/>
      <c r="Z796" s="70"/>
      <c r="AA796" s="925" t="s">
        <v>1</v>
      </c>
      <c r="AB796" s="948"/>
      <c r="AC796" s="297" t="s">
        <v>12</v>
      </c>
      <c r="AD796" s="277" t="s">
        <v>13</v>
      </c>
      <c r="AE796" s="266" t="s">
        <v>2</v>
      </c>
      <c r="AH796" s="743"/>
      <c r="AI796" s="743"/>
    </row>
    <row r="797" spans="1:35" s="267" customFormat="1" ht="15.75" thickBot="1" x14ac:dyDescent="0.3">
      <c r="A797" s="931" t="s">
        <v>0</v>
      </c>
      <c r="B797" s="949"/>
      <c r="C797" s="298" t="s">
        <v>99</v>
      </c>
      <c r="D797" s="291" t="s">
        <v>100</v>
      </c>
      <c r="E797" s="298" t="s">
        <v>101</v>
      </c>
      <c r="F797" s="306" t="s">
        <v>102</v>
      </c>
      <c r="G797" s="306" t="s">
        <v>97</v>
      </c>
      <c r="H797" s="306" t="s">
        <v>104</v>
      </c>
      <c r="I797" s="306" t="s">
        <v>103</v>
      </c>
      <c r="J797" s="314" t="s">
        <v>178</v>
      </c>
      <c r="K797" s="298" t="s">
        <v>105</v>
      </c>
      <c r="L797" s="306" t="s">
        <v>107</v>
      </c>
      <c r="M797" s="312" t="s">
        <v>98</v>
      </c>
      <c r="N797" s="313" t="s">
        <v>106</v>
      </c>
      <c r="O797" s="291" t="s">
        <v>179</v>
      </c>
      <c r="P797" s="317" t="s">
        <v>182</v>
      </c>
      <c r="Q797" s="291" t="s">
        <v>184</v>
      </c>
      <c r="R797" s="12"/>
      <c r="S797" s="12"/>
      <c r="T797" s="12"/>
      <c r="U797" s="12"/>
      <c r="V797" s="12"/>
      <c r="W797" s="12"/>
      <c r="X797" s="12"/>
      <c r="Y797" s="12"/>
      <c r="Z797" s="12"/>
      <c r="AA797" s="931" t="s">
        <v>0</v>
      </c>
      <c r="AB797" s="950"/>
      <c r="AC797" s="298" t="s">
        <v>99</v>
      </c>
      <c r="AD797" s="306" t="s">
        <v>104</v>
      </c>
      <c r="AE797" s="291" t="s">
        <v>107</v>
      </c>
      <c r="AH797" s="743"/>
      <c r="AI797" s="743"/>
    </row>
    <row r="798" spans="1:35" s="267" customFormat="1" ht="15" customHeight="1" x14ac:dyDescent="0.25">
      <c r="A798" s="935" t="s">
        <v>9</v>
      </c>
      <c r="B798" s="19" t="s">
        <v>4</v>
      </c>
      <c r="C798" s="299">
        <v>143392.20000000001</v>
      </c>
      <c r="D798" s="265">
        <v>150515.79999999999</v>
      </c>
      <c r="E798" s="299">
        <v>150515.79999999999</v>
      </c>
      <c r="F798" s="283">
        <v>181997.8</v>
      </c>
      <c r="G798" s="283">
        <v>165452.5</v>
      </c>
      <c r="H798" s="283">
        <v>132132</v>
      </c>
      <c r="I798" s="283">
        <v>121331.8</v>
      </c>
      <c r="J798" s="265">
        <v>166077.9</v>
      </c>
      <c r="K798" s="299">
        <v>193027</v>
      </c>
      <c r="L798" s="283">
        <v>132132.20000000001</v>
      </c>
      <c r="M798" s="283">
        <v>82726.3</v>
      </c>
      <c r="N798" s="283">
        <v>176482.7</v>
      </c>
      <c r="O798" s="265">
        <v>83039</v>
      </c>
      <c r="P798" s="318">
        <v>55151</v>
      </c>
      <c r="Q798" s="265">
        <v>33090.5</v>
      </c>
      <c r="R798" s="70"/>
      <c r="S798" s="70"/>
      <c r="T798" s="70"/>
      <c r="U798" s="70"/>
      <c r="V798" s="70"/>
      <c r="W798" s="70"/>
      <c r="X798" s="70"/>
      <c r="Y798" s="70"/>
      <c r="Z798" s="70"/>
      <c r="AA798" s="938" t="s">
        <v>195</v>
      </c>
      <c r="AB798" s="2" t="s">
        <v>4</v>
      </c>
      <c r="AC798" s="299">
        <v>143392.20000000001</v>
      </c>
      <c r="AD798" s="283">
        <v>132132</v>
      </c>
      <c r="AE798" s="265">
        <v>132132.20000000001</v>
      </c>
      <c r="AH798" s="743"/>
      <c r="AI798" s="743"/>
    </row>
    <row r="799" spans="1:35" s="267" customFormat="1" x14ac:dyDescent="0.25">
      <c r="A799" s="936"/>
      <c r="B799" s="293" t="s">
        <v>5</v>
      </c>
      <c r="C799" s="300">
        <v>47009.8</v>
      </c>
      <c r="D799" s="264">
        <v>77541</v>
      </c>
      <c r="E799" s="300">
        <v>78952.600000000006</v>
      </c>
      <c r="F799" s="307">
        <v>157611.9</v>
      </c>
      <c r="G799" s="307">
        <v>88712.3</v>
      </c>
      <c r="H799" s="307">
        <v>48496.800000000003</v>
      </c>
      <c r="I799" s="307">
        <v>72365</v>
      </c>
      <c r="J799" s="264">
        <v>8904</v>
      </c>
      <c r="K799" s="300">
        <v>155967.1</v>
      </c>
      <c r="L799" s="307">
        <v>65005.4</v>
      </c>
      <c r="M799" s="307">
        <v>46019.5</v>
      </c>
      <c r="N799" s="307">
        <v>136586.5</v>
      </c>
      <c r="O799" s="264">
        <v>4545.3</v>
      </c>
      <c r="P799" s="319">
        <v>4493</v>
      </c>
      <c r="Q799" s="264">
        <v>3149.3</v>
      </c>
      <c r="R799" s="70"/>
      <c r="S799" s="70"/>
      <c r="T799" s="70"/>
      <c r="U799" s="70"/>
      <c r="V799" s="70"/>
      <c r="W799" s="70"/>
      <c r="X799" s="70"/>
      <c r="Y799" s="70"/>
      <c r="Z799" s="70"/>
      <c r="AA799" s="939"/>
      <c r="AB799" s="342" t="s">
        <v>5</v>
      </c>
      <c r="AC799" s="300">
        <v>42041.3</v>
      </c>
      <c r="AD799" s="307">
        <v>46836.6</v>
      </c>
      <c r="AE799" s="264">
        <v>54552.5</v>
      </c>
      <c r="AH799" s="743"/>
      <c r="AI799" s="743"/>
    </row>
    <row r="800" spans="1:35" s="267" customFormat="1" ht="15.75" thickBot="1" x14ac:dyDescent="0.3">
      <c r="A800" s="937"/>
      <c r="B800" s="294" t="s">
        <v>3</v>
      </c>
      <c r="C800" s="305">
        <f t="shared" ref="C800:Q800" si="394">C799/C798</f>
        <v>0.32784070542191274</v>
      </c>
      <c r="D800" s="343">
        <f t="shared" si="394"/>
        <v>0.51516850722648388</v>
      </c>
      <c r="E800" s="305">
        <f t="shared" si="394"/>
        <v>0.52454692464179853</v>
      </c>
      <c r="F800" s="278">
        <f t="shared" si="394"/>
        <v>0.86600991880121625</v>
      </c>
      <c r="G800" s="278">
        <f t="shared" si="394"/>
        <v>0.53617987035554016</v>
      </c>
      <c r="H800" s="278">
        <f t="shared" si="394"/>
        <v>0.36703296703296706</v>
      </c>
      <c r="I800" s="278">
        <f t="shared" si="394"/>
        <v>0.59642237237063989</v>
      </c>
      <c r="J800" s="292">
        <f t="shared" si="394"/>
        <v>5.3613394678039647E-2</v>
      </c>
      <c r="K800" s="305">
        <f t="shared" si="394"/>
        <v>0.80800665191916154</v>
      </c>
      <c r="L800" s="278">
        <f t="shared" si="394"/>
        <v>0.49197243366870447</v>
      </c>
      <c r="M800" s="315">
        <f t="shared" si="394"/>
        <v>0.55628621127742928</v>
      </c>
      <c r="N800" s="278">
        <f t="shared" si="394"/>
        <v>0.77393704878721814</v>
      </c>
      <c r="O800" s="292">
        <f t="shared" si="394"/>
        <v>5.4736930839725917E-2</v>
      </c>
      <c r="P800" s="320">
        <f t="shared" si="394"/>
        <v>8.1467244474261569E-2</v>
      </c>
      <c r="Q800" s="292">
        <f t="shared" si="394"/>
        <v>9.5172330427161875E-2</v>
      </c>
      <c r="R800" s="70"/>
      <c r="S800" s="70"/>
      <c r="T800" s="70"/>
      <c r="U800" s="70"/>
      <c r="V800" s="70"/>
      <c r="W800" s="70"/>
      <c r="X800" s="70"/>
      <c r="Y800" s="70"/>
      <c r="Z800" s="70"/>
      <c r="AA800" s="939"/>
      <c r="AB800" s="347" t="s">
        <v>3</v>
      </c>
      <c r="AC800" s="301">
        <f>AC799/AC798</f>
        <v>0.29319098249416636</v>
      </c>
      <c r="AD800" s="278">
        <f>AD799/AD798</f>
        <v>0.35446825901371354</v>
      </c>
      <c r="AE800" s="292">
        <f>AE799/AE798</f>
        <v>0.41286302657489993</v>
      </c>
      <c r="AH800" s="743"/>
      <c r="AI800" s="743"/>
    </row>
    <row r="801" spans="1:35" s="267" customFormat="1" ht="15" customHeight="1" x14ac:dyDescent="0.25">
      <c r="A801" s="938" t="s">
        <v>6</v>
      </c>
      <c r="B801" s="19" t="s">
        <v>7</v>
      </c>
      <c r="C801" s="297">
        <v>5870</v>
      </c>
      <c r="D801" s="266">
        <v>3333</v>
      </c>
      <c r="E801" s="297">
        <v>3330</v>
      </c>
      <c r="F801" s="277">
        <v>9457</v>
      </c>
      <c r="G801" s="277">
        <v>7853</v>
      </c>
      <c r="H801" s="277">
        <v>15543</v>
      </c>
      <c r="I801" s="277">
        <v>7386</v>
      </c>
      <c r="J801" s="266">
        <v>9599</v>
      </c>
      <c r="K801" s="297">
        <v>9289</v>
      </c>
      <c r="L801" s="277">
        <v>12263</v>
      </c>
      <c r="M801" s="277">
        <v>4133</v>
      </c>
      <c r="N801" s="277">
        <v>9900</v>
      </c>
      <c r="O801" s="266">
        <v>4799</v>
      </c>
      <c r="P801" s="321">
        <v>2000</v>
      </c>
      <c r="Q801" s="266">
        <v>1250</v>
      </c>
      <c r="R801" s="70"/>
      <c r="S801" s="70"/>
      <c r="T801" s="70"/>
      <c r="U801" s="70"/>
      <c r="V801" s="70"/>
      <c r="W801" s="70"/>
      <c r="X801" s="70"/>
      <c r="Y801" s="70"/>
      <c r="Z801" s="70"/>
      <c r="AA801" s="951" t="s">
        <v>191</v>
      </c>
      <c r="AB801" s="19" t="s">
        <v>4</v>
      </c>
      <c r="AC801" s="299">
        <v>9191.7999999999993</v>
      </c>
      <c r="AD801" s="283">
        <v>13787.7</v>
      </c>
      <c r="AE801" s="265">
        <v>13787.7</v>
      </c>
      <c r="AH801" s="743"/>
      <c r="AI801" s="743"/>
    </row>
    <row r="802" spans="1:35" s="267" customFormat="1" x14ac:dyDescent="0.25">
      <c r="A802" s="939"/>
      <c r="B802" s="295" t="s">
        <v>11</v>
      </c>
      <c r="C802" s="302">
        <f t="shared" ref="C802:Q802" si="395">C801*33.717</f>
        <v>197918.78999999998</v>
      </c>
      <c r="D802" s="263">
        <f t="shared" si="395"/>
        <v>112378.761</v>
      </c>
      <c r="E802" s="302">
        <f t="shared" si="395"/>
        <v>112277.61</v>
      </c>
      <c r="F802" s="355">
        <f t="shared" si="395"/>
        <v>318861.66899999999</v>
      </c>
      <c r="G802" s="308">
        <f t="shared" si="395"/>
        <v>264779.60099999997</v>
      </c>
      <c r="H802" s="354">
        <f t="shared" si="395"/>
        <v>524063.33100000001</v>
      </c>
      <c r="I802" s="354">
        <f t="shared" si="395"/>
        <v>249033.76199999999</v>
      </c>
      <c r="J802" s="354">
        <f t="shared" si="395"/>
        <v>323649.48300000001</v>
      </c>
      <c r="K802" s="322">
        <f t="shared" si="395"/>
        <v>313197.21299999999</v>
      </c>
      <c r="L802" s="308">
        <f t="shared" si="395"/>
        <v>413471.571</v>
      </c>
      <c r="M802" s="308">
        <f t="shared" si="395"/>
        <v>139352.361</v>
      </c>
      <c r="N802" s="354">
        <f t="shared" si="395"/>
        <v>333798.3</v>
      </c>
      <c r="O802" s="354">
        <f t="shared" si="395"/>
        <v>161807.883</v>
      </c>
      <c r="P802" s="302">
        <f t="shared" si="395"/>
        <v>67434</v>
      </c>
      <c r="Q802" s="354">
        <f t="shared" si="395"/>
        <v>42146.25</v>
      </c>
      <c r="R802" s="70"/>
      <c r="S802" s="70"/>
      <c r="T802" s="70"/>
      <c r="U802" s="70"/>
      <c r="V802" s="70"/>
      <c r="W802" s="70"/>
      <c r="X802" s="70"/>
      <c r="Y802" s="70"/>
      <c r="Z802" s="70"/>
      <c r="AA802" s="952"/>
      <c r="AB802" s="293" t="s">
        <v>5</v>
      </c>
      <c r="AC802" s="300">
        <v>8882</v>
      </c>
      <c r="AD802" s="307">
        <v>13644.7</v>
      </c>
      <c r="AE802" s="264">
        <v>13649.8</v>
      </c>
      <c r="AH802" s="743"/>
      <c r="AI802" s="743"/>
    </row>
    <row r="803" spans="1:35" s="267" customFormat="1" ht="15.75" thickBot="1" x14ac:dyDescent="0.3">
      <c r="A803" s="939"/>
      <c r="B803" s="295" t="s">
        <v>79</v>
      </c>
      <c r="C803" s="302">
        <v>164000</v>
      </c>
      <c r="D803" s="263">
        <v>109880</v>
      </c>
      <c r="E803" s="302">
        <v>109880</v>
      </c>
      <c r="F803" s="308">
        <v>328000</v>
      </c>
      <c r="G803" s="308">
        <v>330905</v>
      </c>
      <c r="H803" s="308">
        <v>264264</v>
      </c>
      <c r="I803" s="308">
        <v>242663.6</v>
      </c>
      <c r="J803" s="263">
        <v>328000</v>
      </c>
      <c r="K803" s="302">
        <v>328000</v>
      </c>
      <c r="L803" s="308">
        <v>264264.40000000002</v>
      </c>
      <c r="M803" s="308">
        <v>328000</v>
      </c>
      <c r="N803" s="308">
        <v>352965.4</v>
      </c>
      <c r="O803" s="263">
        <v>328000</v>
      </c>
      <c r="P803" s="322">
        <f>2*P798</f>
        <v>110302</v>
      </c>
      <c r="Q803" s="263">
        <f>2*Q798</f>
        <v>66181</v>
      </c>
      <c r="R803" s="70"/>
      <c r="S803" s="70"/>
      <c r="T803" s="70"/>
      <c r="U803" s="70"/>
      <c r="V803" s="70"/>
      <c r="W803" s="70"/>
      <c r="X803" s="70"/>
      <c r="Y803" s="70"/>
      <c r="Z803" s="70"/>
      <c r="AA803" s="953"/>
      <c r="AB803" s="344" t="s">
        <v>3</v>
      </c>
      <c r="AC803" s="301">
        <f>AC802/AC801</f>
        <v>0.96629604647620715</v>
      </c>
      <c r="AD803" s="249">
        <f>AD802/AD801</f>
        <v>0.98962843694017133</v>
      </c>
      <c r="AE803" s="348">
        <f>AE802/AE801</f>
        <v>0.98999833184650077</v>
      </c>
      <c r="AH803" s="743"/>
      <c r="AI803" s="743"/>
    </row>
    <row r="804" spans="1:35" s="267" customFormat="1" x14ac:dyDescent="0.25">
      <c r="A804" s="939"/>
      <c r="B804" s="293" t="s">
        <v>8</v>
      </c>
      <c r="C804" s="303">
        <f>SUM(C801-168)</f>
        <v>5702</v>
      </c>
      <c r="D804" s="262">
        <f>SUM(D801-686)</f>
        <v>2647</v>
      </c>
      <c r="E804" s="303">
        <f>SUM(E801-652)</f>
        <v>2678</v>
      </c>
      <c r="F804" s="309">
        <f>SUM(F801-1211)</f>
        <v>8246</v>
      </c>
      <c r="G804" s="309">
        <f>SUM(G801-4137)</f>
        <v>3716</v>
      </c>
      <c r="H804" s="309">
        <f>SUM(H801-2129)</f>
        <v>13414</v>
      </c>
      <c r="I804" s="309">
        <f>SUM(I801-(3578-2000))</f>
        <v>5808</v>
      </c>
      <c r="J804" s="262">
        <f>SUM(J801-9313)</f>
        <v>286</v>
      </c>
      <c r="K804" s="303">
        <f>SUM(K801-887)</f>
        <v>8402</v>
      </c>
      <c r="L804" s="309">
        <f>SUM(L801-1241)</f>
        <v>11022</v>
      </c>
      <c r="M804" s="316">
        <f>SUM(M801-247)</f>
        <v>3886</v>
      </c>
      <c r="N804" s="309">
        <f>SUM(N801-(5408-2614))</f>
        <v>7106</v>
      </c>
      <c r="O804" s="262">
        <f>SUM(O801-4074)</f>
        <v>725</v>
      </c>
      <c r="P804" s="323">
        <f>SUM(P801-1261)</f>
        <v>739</v>
      </c>
      <c r="Q804" s="262">
        <f>SUM(Q801-869)</f>
        <v>381</v>
      </c>
      <c r="R804" s="12" t="s">
        <v>176</v>
      </c>
      <c r="S804" s="70"/>
      <c r="T804" s="70"/>
      <c r="U804" s="70"/>
      <c r="V804" s="70"/>
      <c r="W804" s="70"/>
      <c r="X804" s="70"/>
      <c r="Y804" s="70"/>
      <c r="Z804" s="70"/>
      <c r="AA804" s="951" t="s">
        <v>192</v>
      </c>
      <c r="AB804" s="19" t="s">
        <v>4</v>
      </c>
      <c r="AC804" s="299">
        <v>97433.600000000006</v>
      </c>
      <c r="AD804" s="283">
        <v>243584.4</v>
      </c>
      <c r="AE804" s="265">
        <v>292299.3</v>
      </c>
      <c r="AH804" s="743"/>
      <c r="AI804" s="743"/>
    </row>
    <row r="805" spans="1:35" s="267" customFormat="1" x14ac:dyDescent="0.25">
      <c r="A805" s="939"/>
      <c r="B805" s="296" t="s">
        <v>77</v>
      </c>
      <c r="C805" s="302">
        <f>(C804*33.717)</f>
        <v>192254.334</v>
      </c>
      <c r="D805" s="338">
        <f>(D804*33.717)</f>
        <v>89248.89899999999</v>
      </c>
      <c r="E805" s="302">
        <f>(E804*33.717)</f>
        <v>90294.126000000004</v>
      </c>
      <c r="F805" s="338">
        <f>(F804*33.717)</f>
        <v>278030.38199999998</v>
      </c>
      <c r="G805" s="280">
        <f>(G804*33.717)*2</f>
        <v>250584.74399999998</v>
      </c>
      <c r="H805" s="280">
        <f>(H804*33.717)</f>
        <v>452279.83799999999</v>
      </c>
      <c r="I805" s="280">
        <f>(I804*33.717)-(2000*33.717)</f>
        <v>128394.33599999998</v>
      </c>
      <c r="J805" s="261">
        <f>J804*33.717</f>
        <v>9643.0619999999999</v>
      </c>
      <c r="K805" s="304">
        <f>K804*33.717</f>
        <v>283290.234</v>
      </c>
      <c r="L805" s="280">
        <f>L804*33.717</f>
        <v>371628.77399999998</v>
      </c>
      <c r="M805" s="280">
        <f>(M804*33.717)</f>
        <v>131024.26199999999</v>
      </c>
      <c r="N805" s="280">
        <f>N804*33.717</f>
        <v>239593.00199999998</v>
      </c>
      <c r="O805" s="261">
        <f>O804*33.717</f>
        <v>24444.825000000001</v>
      </c>
      <c r="P805" s="324">
        <f>P804*33.717</f>
        <v>24916.862999999998</v>
      </c>
      <c r="Q805" s="325">
        <f>Q804*33.717</f>
        <v>12846.177</v>
      </c>
      <c r="R805" s="63">
        <f>344240-H805</f>
        <v>-108039.83799999999</v>
      </c>
      <c r="S805" s="70" t="s">
        <v>177</v>
      </c>
      <c r="T805" s="70"/>
      <c r="U805" s="70"/>
      <c r="V805" s="70"/>
      <c r="W805" s="70"/>
      <c r="X805" s="70"/>
      <c r="Y805" s="70"/>
      <c r="Z805" s="70"/>
      <c r="AA805" s="952"/>
      <c r="AB805" s="293" t="s">
        <v>5</v>
      </c>
      <c r="AC805" s="300">
        <v>64490.9</v>
      </c>
      <c r="AD805" s="307">
        <v>79989.3</v>
      </c>
      <c r="AE805" s="264">
        <v>62980.6</v>
      </c>
      <c r="AH805" s="743"/>
      <c r="AI805" s="743"/>
    </row>
    <row r="806" spans="1:35" s="267" customFormat="1" ht="15.75" thickBot="1" x14ac:dyDescent="0.3">
      <c r="A806" s="940"/>
      <c r="B806" s="294" t="s">
        <v>10</v>
      </c>
      <c r="C806" s="305">
        <f t="shared" ref="C806:Q806" si="396">C805/C798</f>
        <v>1.3407586605129149</v>
      </c>
      <c r="D806" s="292">
        <f t="shared" si="396"/>
        <v>0.59295368991162389</v>
      </c>
      <c r="E806" s="310">
        <f t="shared" si="396"/>
        <v>0.59989799077571926</v>
      </c>
      <c r="F806" s="282">
        <f t="shared" si="396"/>
        <v>1.5276579277331923</v>
      </c>
      <c r="G806" s="282">
        <f t="shared" si="396"/>
        <v>1.5145419017542798</v>
      </c>
      <c r="H806" s="282">
        <f t="shared" si="396"/>
        <v>3.4229394696212876</v>
      </c>
      <c r="I806" s="282">
        <f t="shared" si="396"/>
        <v>1.0582084498870039</v>
      </c>
      <c r="J806" s="311">
        <f t="shared" si="396"/>
        <v>5.8063487074439167E-2</v>
      </c>
      <c r="K806" s="310">
        <f t="shared" si="396"/>
        <v>1.4676197319545969</v>
      </c>
      <c r="L806" s="282">
        <f t="shared" si="396"/>
        <v>2.8125526858706653</v>
      </c>
      <c r="M806" s="282">
        <f t="shared" si="396"/>
        <v>1.5838283834765967</v>
      </c>
      <c r="N806" s="260">
        <f t="shared" si="396"/>
        <v>1.357600501352257</v>
      </c>
      <c r="O806" s="311">
        <f t="shared" si="396"/>
        <v>0.29437764183094689</v>
      </c>
      <c r="P806" s="305">
        <f t="shared" si="396"/>
        <v>0.45179349422494602</v>
      </c>
      <c r="Q806" s="292">
        <f t="shared" si="396"/>
        <v>0.38821344494643478</v>
      </c>
      <c r="R806" s="126"/>
      <c r="S806" s="70"/>
      <c r="T806" s="70"/>
      <c r="U806" s="70"/>
      <c r="V806" s="70"/>
      <c r="W806" s="70"/>
      <c r="X806" s="70"/>
      <c r="Y806" s="70"/>
      <c r="Z806" s="70"/>
      <c r="AA806" s="954"/>
      <c r="AB806" s="294" t="s">
        <v>3</v>
      </c>
      <c r="AC806" s="305">
        <f>AC805/AC804</f>
        <v>0.66189589628218604</v>
      </c>
      <c r="AD806" s="278">
        <f>AD805/AD804</f>
        <v>0.32838433003098721</v>
      </c>
      <c r="AE806" s="343">
        <f>AE805/AE804</f>
        <v>0.21546613351451749</v>
      </c>
      <c r="AH806" s="743"/>
      <c r="AI806" s="743"/>
    </row>
    <row r="807" spans="1:35" s="267" customFormat="1" ht="15.75" thickBot="1" x14ac:dyDescent="0.3">
      <c r="A807" s="924">
        <v>41359</v>
      </c>
      <c r="B807" s="924"/>
      <c r="C807" s="924"/>
      <c r="D807" s="276"/>
      <c r="E807" s="276"/>
      <c r="F807" s="276"/>
      <c r="G807" s="276"/>
      <c r="H807" s="276"/>
      <c r="I807" s="11"/>
      <c r="J807" s="281"/>
      <c r="K807" s="281"/>
      <c r="L807" s="276"/>
      <c r="M807" s="276"/>
      <c r="N807" s="13"/>
      <c r="R807" s="12"/>
      <c r="S807" s="70"/>
      <c r="T807" s="70"/>
      <c r="U807" s="70"/>
      <c r="V807" s="70"/>
      <c r="W807" s="70"/>
      <c r="X807" s="70"/>
      <c r="Y807" s="70"/>
      <c r="Z807" s="70"/>
      <c r="AA807" s="946"/>
      <c r="AB807" s="947"/>
      <c r="AH807" s="743"/>
      <c r="AI807" s="743"/>
    </row>
    <row r="808" spans="1:35" s="267" customFormat="1" x14ac:dyDescent="0.25">
      <c r="A808" s="925" t="s">
        <v>1</v>
      </c>
      <c r="B808" s="927"/>
      <c r="C808" s="297" t="s">
        <v>12</v>
      </c>
      <c r="D808" s="266" t="s">
        <v>12</v>
      </c>
      <c r="E808" s="297" t="s">
        <v>13</v>
      </c>
      <c r="F808" s="277" t="s">
        <v>13</v>
      </c>
      <c r="G808" s="277" t="s">
        <v>13</v>
      </c>
      <c r="H808" s="277" t="s">
        <v>13</v>
      </c>
      <c r="I808" s="277" t="s">
        <v>13</v>
      </c>
      <c r="J808" s="266" t="s">
        <v>13</v>
      </c>
      <c r="K808" s="297" t="s">
        <v>2</v>
      </c>
      <c r="L808" s="277" t="s">
        <v>2</v>
      </c>
      <c r="M808" s="286" t="s">
        <v>2</v>
      </c>
      <c r="N808" s="277" t="s">
        <v>2</v>
      </c>
      <c r="O808" s="266" t="s">
        <v>2</v>
      </c>
      <c r="P808" s="328" t="s">
        <v>183</v>
      </c>
      <c r="Q808" s="327" t="s">
        <v>183</v>
      </c>
      <c r="R808" s="12"/>
      <c r="S808" s="70"/>
      <c r="T808" s="70"/>
      <c r="U808" s="70"/>
      <c r="V808" s="70"/>
      <c r="W808" s="70"/>
      <c r="X808" s="70"/>
      <c r="Y808" s="70"/>
      <c r="Z808" s="70"/>
      <c r="AA808" s="925" t="s">
        <v>1</v>
      </c>
      <c r="AB808" s="948"/>
      <c r="AC808" s="297" t="s">
        <v>12</v>
      </c>
      <c r="AD808" s="277" t="s">
        <v>13</v>
      </c>
      <c r="AE808" s="266" t="s">
        <v>2</v>
      </c>
      <c r="AH808" s="743"/>
      <c r="AI808" s="743"/>
    </row>
    <row r="809" spans="1:35" s="267" customFormat="1" ht="15.75" thickBot="1" x14ac:dyDescent="0.3">
      <c r="A809" s="931" t="s">
        <v>0</v>
      </c>
      <c r="B809" s="949"/>
      <c r="C809" s="298" t="s">
        <v>99</v>
      </c>
      <c r="D809" s="291" t="s">
        <v>100</v>
      </c>
      <c r="E809" s="298" t="s">
        <v>101</v>
      </c>
      <c r="F809" s="306" t="s">
        <v>102</v>
      </c>
      <c r="G809" s="306" t="s">
        <v>97</v>
      </c>
      <c r="H809" s="306" t="s">
        <v>104</v>
      </c>
      <c r="I809" s="306" t="s">
        <v>103</v>
      </c>
      <c r="J809" s="314" t="s">
        <v>178</v>
      </c>
      <c r="K809" s="298" t="s">
        <v>105</v>
      </c>
      <c r="L809" s="306" t="s">
        <v>107</v>
      </c>
      <c r="M809" s="312" t="s">
        <v>98</v>
      </c>
      <c r="N809" s="313" t="s">
        <v>106</v>
      </c>
      <c r="O809" s="291" t="s">
        <v>179</v>
      </c>
      <c r="P809" s="317" t="s">
        <v>182</v>
      </c>
      <c r="Q809" s="291" t="s">
        <v>184</v>
      </c>
      <c r="R809" s="12"/>
      <c r="S809" s="12"/>
      <c r="T809" s="12"/>
      <c r="U809" s="12"/>
      <c r="V809" s="12"/>
      <c r="W809" s="12"/>
      <c r="X809" s="12"/>
      <c r="Y809" s="12"/>
      <c r="Z809" s="12"/>
      <c r="AA809" s="931" t="s">
        <v>0</v>
      </c>
      <c r="AB809" s="950"/>
      <c r="AC809" s="298" t="s">
        <v>99</v>
      </c>
      <c r="AD809" s="306" t="s">
        <v>104</v>
      </c>
      <c r="AE809" s="291" t="s">
        <v>107</v>
      </c>
      <c r="AH809" s="743"/>
      <c r="AI809" s="743"/>
    </row>
    <row r="810" spans="1:35" s="267" customFormat="1" ht="15" customHeight="1" x14ac:dyDescent="0.25">
      <c r="A810" s="935" t="s">
        <v>9</v>
      </c>
      <c r="B810" s="19" t="s">
        <v>4</v>
      </c>
      <c r="C810" s="299">
        <v>143392.20000000001</v>
      </c>
      <c r="D810" s="265">
        <v>150515.79999999999</v>
      </c>
      <c r="E810" s="299">
        <v>150515.79999999999</v>
      </c>
      <c r="F810" s="283">
        <v>181997.8</v>
      </c>
      <c r="G810" s="283">
        <v>165452.5</v>
      </c>
      <c r="H810" s="283">
        <v>132132</v>
      </c>
      <c r="I810" s="283">
        <v>121331.8</v>
      </c>
      <c r="J810" s="265">
        <v>166077.9</v>
      </c>
      <c r="K810" s="299">
        <v>193027</v>
      </c>
      <c r="L810" s="283">
        <v>132132.20000000001</v>
      </c>
      <c r="M810" s="283">
        <v>82726.3</v>
      </c>
      <c r="N810" s="283">
        <v>176482.7</v>
      </c>
      <c r="O810" s="265">
        <v>83039</v>
      </c>
      <c r="P810" s="318">
        <v>55151</v>
      </c>
      <c r="Q810" s="265">
        <v>33090.5</v>
      </c>
      <c r="R810" s="70"/>
      <c r="S810" s="70"/>
      <c r="T810" s="70"/>
      <c r="U810" s="70"/>
      <c r="V810" s="70"/>
      <c r="W810" s="70"/>
      <c r="X810" s="70"/>
      <c r="Y810" s="70"/>
      <c r="Z810" s="70"/>
      <c r="AA810" s="938" t="s">
        <v>195</v>
      </c>
      <c r="AB810" s="2" t="s">
        <v>4</v>
      </c>
      <c r="AC810" s="299">
        <v>143392.20000000001</v>
      </c>
      <c r="AD810" s="283">
        <v>132132</v>
      </c>
      <c r="AE810" s="265">
        <v>132132.20000000001</v>
      </c>
      <c r="AH810" s="743"/>
      <c r="AI810" s="743"/>
    </row>
    <row r="811" spans="1:35" s="267" customFormat="1" x14ac:dyDescent="0.25">
      <c r="A811" s="936"/>
      <c r="B811" s="293" t="s">
        <v>5</v>
      </c>
      <c r="C811" s="300">
        <v>47091.7</v>
      </c>
      <c r="D811" s="264">
        <v>77528</v>
      </c>
      <c r="E811" s="300">
        <v>78939.5</v>
      </c>
      <c r="F811" s="307">
        <v>157573.5</v>
      </c>
      <c r="G811" s="307">
        <v>88567.8</v>
      </c>
      <c r="H811" s="307">
        <v>48811.1</v>
      </c>
      <c r="I811" s="307">
        <v>70117.2</v>
      </c>
      <c r="J811" s="264">
        <v>8851.7000000000007</v>
      </c>
      <c r="K811" s="300">
        <v>155903.79999999999</v>
      </c>
      <c r="L811" s="307">
        <v>61028</v>
      </c>
      <c r="M811" s="307">
        <v>45944.9</v>
      </c>
      <c r="N811" s="307">
        <v>136372</v>
      </c>
      <c r="O811" s="264">
        <v>4518.8</v>
      </c>
      <c r="P811" s="319">
        <v>4457.8</v>
      </c>
      <c r="Q811" s="264">
        <v>2986.8</v>
      </c>
      <c r="R811" s="70"/>
      <c r="S811" s="70"/>
      <c r="T811" s="70"/>
      <c r="U811" s="70"/>
      <c r="V811" s="70"/>
      <c r="W811" s="70"/>
      <c r="X811" s="70"/>
      <c r="Y811" s="70"/>
      <c r="Z811" s="70"/>
      <c r="AA811" s="939"/>
      <c r="AB811" s="342" t="s">
        <v>5</v>
      </c>
      <c r="AC811" s="300">
        <v>42041.3</v>
      </c>
      <c r="AD811" s="307">
        <v>46836.6</v>
      </c>
      <c r="AE811" s="264">
        <v>54552.5</v>
      </c>
      <c r="AH811" s="743"/>
      <c r="AI811" s="743"/>
    </row>
    <row r="812" spans="1:35" s="267" customFormat="1" ht="15.75" thickBot="1" x14ac:dyDescent="0.3">
      <c r="A812" s="937"/>
      <c r="B812" s="294" t="s">
        <v>3</v>
      </c>
      <c r="C812" s="305">
        <f t="shared" ref="C812:Q812" si="397">C811/C810</f>
        <v>0.32841186619634816</v>
      </c>
      <c r="D812" s="343">
        <f t="shared" si="397"/>
        <v>0.51508213755632304</v>
      </c>
      <c r="E812" s="305">
        <f t="shared" si="397"/>
        <v>0.52445989058955944</v>
      </c>
      <c r="F812" s="278">
        <f t="shared" si="397"/>
        <v>0.86579892723977991</v>
      </c>
      <c r="G812" s="278">
        <f t="shared" si="397"/>
        <v>0.53530650791012524</v>
      </c>
      <c r="H812" s="278">
        <f t="shared" si="397"/>
        <v>0.36941164895710349</v>
      </c>
      <c r="I812" s="278">
        <f t="shared" si="397"/>
        <v>0.57789631407429876</v>
      </c>
      <c r="J812" s="292">
        <f t="shared" si="397"/>
        <v>5.3298482218284315E-2</v>
      </c>
      <c r="K812" s="305">
        <f t="shared" si="397"/>
        <v>0.80767871852124307</v>
      </c>
      <c r="L812" s="278">
        <f t="shared" si="397"/>
        <v>0.46187076276638089</v>
      </c>
      <c r="M812" s="315">
        <f t="shared" si="397"/>
        <v>0.55538444243245499</v>
      </c>
      <c r="N812" s="278">
        <f t="shared" si="397"/>
        <v>0.77272163220530954</v>
      </c>
      <c r="O812" s="292">
        <f t="shared" si="397"/>
        <v>5.4417803682606972E-2</v>
      </c>
      <c r="P812" s="320">
        <f t="shared" si="397"/>
        <v>8.0828996754365293E-2</v>
      </c>
      <c r="Q812" s="292">
        <f t="shared" si="397"/>
        <v>9.0261555431317156E-2</v>
      </c>
      <c r="R812" s="70"/>
      <c r="S812" s="70"/>
      <c r="T812" s="70"/>
      <c r="U812" s="70"/>
      <c r="V812" s="70"/>
      <c r="W812" s="70"/>
      <c r="X812" s="70"/>
      <c r="Y812" s="70"/>
      <c r="Z812" s="70"/>
      <c r="AA812" s="939"/>
      <c r="AB812" s="347" t="s">
        <v>3</v>
      </c>
      <c r="AC812" s="301">
        <f>AC811/AC810</f>
        <v>0.29319098249416636</v>
      </c>
      <c r="AD812" s="278">
        <f>AD811/AD810</f>
        <v>0.35446825901371354</v>
      </c>
      <c r="AE812" s="292">
        <f>AE811/AE810</f>
        <v>0.41286302657489993</v>
      </c>
      <c r="AH812" s="743"/>
      <c r="AI812" s="743"/>
    </row>
    <row r="813" spans="1:35" s="267" customFormat="1" ht="15" customHeight="1" x14ac:dyDescent="0.25">
      <c r="A813" s="938" t="s">
        <v>6</v>
      </c>
      <c r="B813" s="19" t="s">
        <v>7</v>
      </c>
      <c r="C813" s="297">
        <v>5870</v>
      </c>
      <c r="D813" s="266">
        <v>3333</v>
      </c>
      <c r="E813" s="297">
        <v>3330</v>
      </c>
      <c r="F813" s="277">
        <v>9457</v>
      </c>
      <c r="G813" s="277">
        <v>7853</v>
      </c>
      <c r="H813" s="277">
        <v>15543</v>
      </c>
      <c r="I813" s="277">
        <v>7386</v>
      </c>
      <c r="J813" s="266">
        <v>9599</v>
      </c>
      <c r="K813" s="297">
        <v>9289</v>
      </c>
      <c r="L813" s="277">
        <v>12263</v>
      </c>
      <c r="M813" s="277">
        <v>4133</v>
      </c>
      <c r="N813" s="277">
        <v>9900</v>
      </c>
      <c r="O813" s="266">
        <v>4799</v>
      </c>
      <c r="P813" s="321">
        <v>2000</v>
      </c>
      <c r="Q813" s="266">
        <v>1250</v>
      </c>
      <c r="R813" s="70"/>
      <c r="S813" s="70"/>
      <c r="T813" s="70"/>
      <c r="U813" s="70"/>
      <c r="V813" s="70"/>
      <c r="W813" s="70"/>
      <c r="X813" s="70"/>
      <c r="Y813" s="70"/>
      <c r="Z813" s="70"/>
      <c r="AA813" s="951" t="s">
        <v>191</v>
      </c>
      <c r="AB813" s="19" t="s">
        <v>4</v>
      </c>
      <c r="AC813" s="299">
        <v>9191.7999999999993</v>
      </c>
      <c r="AD813" s="283">
        <v>13787.7</v>
      </c>
      <c r="AE813" s="265">
        <v>13787.7</v>
      </c>
      <c r="AH813" s="743"/>
      <c r="AI813" s="743"/>
    </row>
    <row r="814" spans="1:35" s="267" customFormat="1" x14ac:dyDescent="0.25">
      <c r="A814" s="939"/>
      <c r="B814" s="295" t="s">
        <v>11</v>
      </c>
      <c r="C814" s="302">
        <f t="shared" ref="C814:Q814" si="398">C813*33.717</f>
        <v>197918.78999999998</v>
      </c>
      <c r="D814" s="263">
        <f t="shared" si="398"/>
        <v>112378.761</v>
      </c>
      <c r="E814" s="302">
        <f t="shared" si="398"/>
        <v>112277.61</v>
      </c>
      <c r="F814" s="355">
        <f t="shared" si="398"/>
        <v>318861.66899999999</v>
      </c>
      <c r="G814" s="308">
        <f t="shared" si="398"/>
        <v>264779.60099999997</v>
      </c>
      <c r="H814" s="354">
        <f t="shared" si="398"/>
        <v>524063.33100000001</v>
      </c>
      <c r="I814" s="354">
        <f t="shared" si="398"/>
        <v>249033.76199999999</v>
      </c>
      <c r="J814" s="354">
        <f t="shared" si="398"/>
        <v>323649.48300000001</v>
      </c>
      <c r="K814" s="322">
        <f t="shared" si="398"/>
        <v>313197.21299999999</v>
      </c>
      <c r="L814" s="308">
        <f t="shared" si="398"/>
        <v>413471.571</v>
      </c>
      <c r="M814" s="308">
        <f t="shared" si="398"/>
        <v>139352.361</v>
      </c>
      <c r="N814" s="354">
        <f t="shared" si="398"/>
        <v>333798.3</v>
      </c>
      <c r="O814" s="354">
        <f t="shared" si="398"/>
        <v>161807.883</v>
      </c>
      <c r="P814" s="302">
        <f t="shared" si="398"/>
        <v>67434</v>
      </c>
      <c r="Q814" s="354">
        <f t="shared" si="398"/>
        <v>42146.25</v>
      </c>
      <c r="R814" s="70"/>
      <c r="S814" s="70"/>
      <c r="T814" s="70"/>
      <c r="U814" s="70"/>
      <c r="V814" s="70"/>
      <c r="W814" s="70"/>
      <c r="X814" s="70"/>
      <c r="Y814" s="70"/>
      <c r="Z814" s="70"/>
      <c r="AA814" s="952"/>
      <c r="AB814" s="293" t="s">
        <v>5</v>
      </c>
      <c r="AC814" s="300">
        <v>8882</v>
      </c>
      <c r="AD814" s="307">
        <v>13644.7</v>
      </c>
      <c r="AE814" s="264">
        <v>13649.8</v>
      </c>
      <c r="AH814" s="743"/>
      <c r="AI814" s="743"/>
    </row>
    <row r="815" spans="1:35" s="267" customFormat="1" ht="15.75" thickBot="1" x14ac:dyDescent="0.3">
      <c r="A815" s="939"/>
      <c r="B815" s="295" t="s">
        <v>79</v>
      </c>
      <c r="C815" s="302">
        <v>164000</v>
      </c>
      <c r="D815" s="263">
        <v>109880</v>
      </c>
      <c r="E815" s="302">
        <v>109880</v>
      </c>
      <c r="F815" s="308">
        <v>328000</v>
      </c>
      <c r="G815" s="308">
        <v>330905</v>
      </c>
      <c r="H815" s="308">
        <v>264264</v>
      </c>
      <c r="I815" s="308">
        <v>242663.6</v>
      </c>
      <c r="J815" s="263">
        <v>328000</v>
      </c>
      <c r="K815" s="302">
        <v>328000</v>
      </c>
      <c r="L815" s="308">
        <v>264264.40000000002</v>
      </c>
      <c r="M815" s="308">
        <v>328000</v>
      </c>
      <c r="N815" s="308">
        <v>352965.4</v>
      </c>
      <c r="O815" s="263">
        <v>328000</v>
      </c>
      <c r="P815" s="322">
        <f>2*P810</f>
        <v>110302</v>
      </c>
      <c r="Q815" s="263">
        <f>2*Q810</f>
        <v>66181</v>
      </c>
      <c r="R815" s="70"/>
      <c r="S815" s="70"/>
      <c r="T815" s="70"/>
      <c r="U815" s="70"/>
      <c r="V815" s="70"/>
      <c r="W815" s="70"/>
      <c r="X815" s="70"/>
      <c r="Y815" s="70"/>
      <c r="Z815" s="70"/>
      <c r="AA815" s="953"/>
      <c r="AB815" s="344" t="s">
        <v>3</v>
      </c>
      <c r="AC815" s="301">
        <f>AC814/AC813</f>
        <v>0.96629604647620715</v>
      </c>
      <c r="AD815" s="249">
        <f>AD814/AD813</f>
        <v>0.98962843694017133</v>
      </c>
      <c r="AE815" s="348">
        <f>AE814/AE813</f>
        <v>0.98999833184650077</v>
      </c>
      <c r="AH815" s="743"/>
      <c r="AI815" s="743"/>
    </row>
    <row r="816" spans="1:35" s="267" customFormat="1" x14ac:dyDescent="0.25">
      <c r="A816" s="939"/>
      <c r="B816" s="293" t="s">
        <v>8</v>
      </c>
      <c r="C816" s="303">
        <f>SUM(C813-168)</f>
        <v>5702</v>
      </c>
      <c r="D816" s="262">
        <f>SUM(D813-686)</f>
        <v>2647</v>
      </c>
      <c r="E816" s="303">
        <f>SUM(E813-652)</f>
        <v>2678</v>
      </c>
      <c r="F816" s="309">
        <f>SUM(F813-1211)</f>
        <v>8246</v>
      </c>
      <c r="G816" s="309">
        <f>SUM(G813-4200)</f>
        <v>3653</v>
      </c>
      <c r="H816" s="309">
        <f>SUM(H813-2129)</f>
        <v>13414</v>
      </c>
      <c r="I816" s="309">
        <f>SUM(I813-(3578-2000))</f>
        <v>5808</v>
      </c>
      <c r="J816" s="262">
        <f>SUM(J813-9313)</f>
        <v>286</v>
      </c>
      <c r="K816" s="303">
        <f>SUM(K813-887)</f>
        <v>8402</v>
      </c>
      <c r="L816" s="309">
        <f>SUM(L813-1721)</f>
        <v>10542</v>
      </c>
      <c r="M816" s="316">
        <f>SUM(M813-321)</f>
        <v>3812</v>
      </c>
      <c r="N816" s="309">
        <f>SUM(N813-(5408-2614))</f>
        <v>7106</v>
      </c>
      <c r="O816" s="262">
        <f>SUM(O813-4074)</f>
        <v>725</v>
      </c>
      <c r="P816" s="323">
        <f>SUM(P813-1261)</f>
        <v>739</v>
      </c>
      <c r="Q816" s="262">
        <f>SUM(Q813-869)</f>
        <v>381</v>
      </c>
      <c r="R816" s="12" t="s">
        <v>176</v>
      </c>
      <c r="S816" s="70"/>
      <c r="T816" s="70"/>
      <c r="U816" s="70"/>
      <c r="V816" s="70"/>
      <c r="W816" s="70"/>
      <c r="X816" s="70"/>
      <c r="Y816" s="70"/>
      <c r="Z816" s="70"/>
      <c r="AA816" s="951" t="s">
        <v>192</v>
      </c>
      <c r="AB816" s="19" t="s">
        <v>4</v>
      </c>
      <c r="AC816" s="299">
        <v>97433.600000000006</v>
      </c>
      <c r="AD816" s="283">
        <v>243584.4</v>
      </c>
      <c r="AE816" s="265">
        <v>292299.3</v>
      </c>
      <c r="AH816" s="743"/>
      <c r="AI816" s="743"/>
    </row>
    <row r="817" spans="1:35" s="267" customFormat="1" x14ac:dyDescent="0.25">
      <c r="A817" s="939"/>
      <c r="B817" s="296" t="s">
        <v>77</v>
      </c>
      <c r="C817" s="302">
        <f>(C816*33.717)</f>
        <v>192254.334</v>
      </c>
      <c r="D817" s="338">
        <f>(D816*33.717)</f>
        <v>89248.89899999999</v>
      </c>
      <c r="E817" s="302">
        <f>(E816*33.717)</f>
        <v>90294.126000000004</v>
      </c>
      <c r="F817" s="338">
        <f>(F816*33.717)</f>
        <v>278030.38199999998</v>
      </c>
      <c r="G817" s="280">
        <f>(G816*33.717)*2</f>
        <v>246336.402</v>
      </c>
      <c r="H817" s="280">
        <f>(H816*33.717)</f>
        <v>452279.83799999999</v>
      </c>
      <c r="I817" s="280">
        <f>(I816*33.717)-(2000*33.717)</f>
        <v>128394.33599999998</v>
      </c>
      <c r="J817" s="261">
        <f>J816*33.717</f>
        <v>9643.0619999999999</v>
      </c>
      <c r="K817" s="304">
        <f>K816*33.717</f>
        <v>283290.234</v>
      </c>
      <c r="L817" s="280">
        <f>L816*33.717</f>
        <v>355444.614</v>
      </c>
      <c r="M817" s="280">
        <f>(M816*33.717)</f>
        <v>128529.204</v>
      </c>
      <c r="N817" s="280">
        <f>N816*33.717</f>
        <v>239593.00199999998</v>
      </c>
      <c r="O817" s="261">
        <f>O816*33.717</f>
        <v>24444.825000000001</v>
      </c>
      <c r="P817" s="324">
        <f>P816*33.717</f>
        <v>24916.862999999998</v>
      </c>
      <c r="Q817" s="325">
        <f>Q816*33.717</f>
        <v>12846.177</v>
      </c>
      <c r="R817" s="63">
        <f>344240-H817</f>
        <v>-108039.83799999999</v>
      </c>
      <c r="S817" s="70" t="s">
        <v>177</v>
      </c>
      <c r="T817" s="70"/>
      <c r="U817" s="70"/>
      <c r="V817" s="70"/>
      <c r="W817" s="70"/>
      <c r="X817" s="70"/>
      <c r="Y817" s="70"/>
      <c r="Z817" s="70"/>
      <c r="AA817" s="952"/>
      <c r="AB817" s="293" t="s">
        <v>5</v>
      </c>
      <c r="AC817" s="300">
        <v>64490.9</v>
      </c>
      <c r="AD817" s="307">
        <v>79989.3</v>
      </c>
      <c r="AE817" s="264">
        <v>62980.6</v>
      </c>
      <c r="AH817" s="743"/>
      <c r="AI817" s="743"/>
    </row>
    <row r="818" spans="1:35" s="267" customFormat="1" ht="15.75" thickBot="1" x14ac:dyDescent="0.3">
      <c r="A818" s="940"/>
      <c r="B818" s="294" t="s">
        <v>10</v>
      </c>
      <c r="C818" s="305">
        <f t="shared" ref="C818:Q818" si="399">C817/C810</f>
        <v>1.3407586605129149</v>
      </c>
      <c r="D818" s="292">
        <f t="shared" si="399"/>
        <v>0.59295368991162389</v>
      </c>
      <c r="E818" s="310">
        <f t="shared" si="399"/>
        <v>0.59989799077571926</v>
      </c>
      <c r="F818" s="282">
        <f t="shared" si="399"/>
        <v>1.5276579277331923</v>
      </c>
      <c r="G818" s="282">
        <f t="shared" si="399"/>
        <v>1.4888647920097913</v>
      </c>
      <c r="H818" s="282">
        <f t="shared" si="399"/>
        <v>3.4229394696212876</v>
      </c>
      <c r="I818" s="282">
        <f t="shared" si="399"/>
        <v>1.0582084498870039</v>
      </c>
      <c r="J818" s="311">
        <f t="shared" si="399"/>
        <v>5.8063487074439167E-2</v>
      </c>
      <c r="K818" s="310">
        <f t="shared" si="399"/>
        <v>1.4676197319545969</v>
      </c>
      <c r="L818" s="282">
        <f t="shared" si="399"/>
        <v>2.6900680833286659</v>
      </c>
      <c r="M818" s="282">
        <f t="shared" si="399"/>
        <v>1.5536679870851229</v>
      </c>
      <c r="N818" s="260">
        <f t="shared" si="399"/>
        <v>1.357600501352257</v>
      </c>
      <c r="O818" s="311">
        <f t="shared" si="399"/>
        <v>0.29437764183094689</v>
      </c>
      <c r="P818" s="305">
        <f t="shared" si="399"/>
        <v>0.45179349422494602</v>
      </c>
      <c r="Q818" s="292">
        <f t="shared" si="399"/>
        <v>0.38821344494643478</v>
      </c>
      <c r="R818" s="126"/>
      <c r="S818" s="70"/>
      <c r="T818" s="70"/>
      <c r="U818" s="70"/>
      <c r="V818" s="70"/>
      <c r="W818" s="70"/>
      <c r="X818" s="70"/>
      <c r="Y818" s="70"/>
      <c r="Z818" s="70"/>
      <c r="AA818" s="954"/>
      <c r="AB818" s="294" t="s">
        <v>3</v>
      </c>
      <c r="AC818" s="305">
        <f>AC817/AC816</f>
        <v>0.66189589628218604</v>
      </c>
      <c r="AD818" s="278">
        <f>AD817/AD816</f>
        <v>0.32838433003098721</v>
      </c>
      <c r="AE818" s="343">
        <f>AE817/AE816</f>
        <v>0.21546613351451749</v>
      </c>
      <c r="AH818" s="743"/>
      <c r="AI818" s="743"/>
    </row>
    <row r="819" spans="1:35" s="267" customFormat="1" ht="15.75" thickBot="1" x14ac:dyDescent="0.3">
      <c r="A819" s="924">
        <v>41355</v>
      </c>
      <c r="B819" s="924"/>
      <c r="C819" s="924"/>
      <c r="D819" s="276"/>
      <c r="E819" s="276"/>
      <c r="F819" s="276"/>
      <c r="G819" s="276"/>
      <c r="H819" s="276"/>
      <c r="I819" s="11"/>
      <c r="J819" s="281"/>
      <c r="K819" s="281"/>
      <c r="L819" s="276"/>
      <c r="M819" s="276"/>
      <c r="N819" s="13"/>
      <c r="R819" s="12"/>
      <c r="S819" s="70"/>
      <c r="T819" s="70"/>
      <c r="U819" s="70"/>
      <c r="V819" s="70"/>
      <c r="W819" s="70"/>
      <c r="X819" s="70"/>
      <c r="Y819" s="70"/>
      <c r="Z819" s="70"/>
      <c r="AA819" s="946"/>
      <c r="AB819" s="947"/>
      <c r="AH819" s="743"/>
      <c r="AI819" s="743"/>
    </row>
    <row r="820" spans="1:35" s="267" customFormat="1" x14ac:dyDescent="0.25">
      <c r="A820" s="925" t="s">
        <v>1</v>
      </c>
      <c r="B820" s="927"/>
      <c r="C820" s="297" t="s">
        <v>12</v>
      </c>
      <c r="D820" s="266" t="s">
        <v>12</v>
      </c>
      <c r="E820" s="297" t="s">
        <v>13</v>
      </c>
      <c r="F820" s="277" t="s">
        <v>13</v>
      </c>
      <c r="G820" s="277" t="s">
        <v>13</v>
      </c>
      <c r="H820" s="277" t="s">
        <v>13</v>
      </c>
      <c r="I820" s="277" t="s">
        <v>13</v>
      </c>
      <c r="J820" s="266" t="s">
        <v>13</v>
      </c>
      <c r="K820" s="297" t="s">
        <v>2</v>
      </c>
      <c r="L820" s="277" t="s">
        <v>2</v>
      </c>
      <c r="M820" s="286" t="s">
        <v>2</v>
      </c>
      <c r="N820" s="277" t="s">
        <v>2</v>
      </c>
      <c r="O820" s="266" t="s">
        <v>2</v>
      </c>
      <c r="P820" s="328" t="s">
        <v>183</v>
      </c>
      <c r="Q820" s="327" t="s">
        <v>183</v>
      </c>
      <c r="R820" s="12"/>
      <c r="S820" s="70"/>
      <c r="T820" s="70"/>
      <c r="U820" s="70"/>
      <c r="V820" s="70"/>
      <c r="W820" s="70"/>
      <c r="X820" s="70"/>
      <c r="Y820" s="70"/>
      <c r="Z820" s="70"/>
      <c r="AA820" s="925" t="s">
        <v>1</v>
      </c>
      <c r="AB820" s="948"/>
      <c r="AC820" s="297" t="s">
        <v>12</v>
      </c>
      <c r="AD820" s="277" t="s">
        <v>13</v>
      </c>
      <c r="AE820" s="266" t="s">
        <v>2</v>
      </c>
      <c r="AH820" s="743"/>
      <c r="AI820" s="743"/>
    </row>
    <row r="821" spans="1:35" s="267" customFormat="1" ht="15.75" thickBot="1" x14ac:dyDescent="0.3">
      <c r="A821" s="931" t="s">
        <v>0</v>
      </c>
      <c r="B821" s="949"/>
      <c r="C821" s="298" t="s">
        <v>99</v>
      </c>
      <c r="D821" s="291" t="s">
        <v>100</v>
      </c>
      <c r="E821" s="298" t="s">
        <v>101</v>
      </c>
      <c r="F821" s="306" t="s">
        <v>102</v>
      </c>
      <c r="G821" s="306" t="s">
        <v>97</v>
      </c>
      <c r="H821" s="306" t="s">
        <v>104</v>
      </c>
      <c r="I821" s="306" t="s">
        <v>103</v>
      </c>
      <c r="J821" s="314" t="s">
        <v>178</v>
      </c>
      <c r="K821" s="298" t="s">
        <v>105</v>
      </c>
      <c r="L821" s="306" t="s">
        <v>107</v>
      </c>
      <c r="M821" s="312" t="s">
        <v>98</v>
      </c>
      <c r="N821" s="313" t="s">
        <v>106</v>
      </c>
      <c r="O821" s="291" t="s">
        <v>179</v>
      </c>
      <c r="P821" s="317" t="s">
        <v>182</v>
      </c>
      <c r="Q821" s="291" t="s">
        <v>184</v>
      </c>
      <c r="R821" s="12"/>
      <c r="S821" s="12"/>
      <c r="T821" s="12"/>
      <c r="U821" s="12"/>
      <c r="V821" s="12"/>
      <c r="W821" s="12"/>
      <c r="X821" s="12"/>
      <c r="Y821" s="12"/>
      <c r="Z821" s="12"/>
      <c r="AA821" s="931" t="s">
        <v>0</v>
      </c>
      <c r="AB821" s="950"/>
      <c r="AC821" s="298" t="s">
        <v>99</v>
      </c>
      <c r="AD821" s="306" t="s">
        <v>104</v>
      </c>
      <c r="AE821" s="291" t="s">
        <v>107</v>
      </c>
      <c r="AH821" s="743"/>
      <c r="AI821" s="743"/>
    </row>
    <row r="822" spans="1:35" s="267" customFormat="1" ht="15" customHeight="1" x14ac:dyDescent="0.25">
      <c r="A822" s="935" t="s">
        <v>9</v>
      </c>
      <c r="B822" s="19" t="s">
        <v>4</v>
      </c>
      <c r="C822" s="299">
        <v>143392.20000000001</v>
      </c>
      <c r="D822" s="265">
        <v>150515.79999999999</v>
      </c>
      <c r="E822" s="299">
        <v>150515.79999999999</v>
      </c>
      <c r="F822" s="283">
        <v>181997.8</v>
      </c>
      <c r="G822" s="283">
        <v>165452.5</v>
      </c>
      <c r="H822" s="283">
        <v>132132</v>
      </c>
      <c r="I822" s="283">
        <v>121331.8</v>
      </c>
      <c r="J822" s="265">
        <v>166077.9</v>
      </c>
      <c r="K822" s="299">
        <v>193027</v>
      </c>
      <c r="L822" s="283">
        <v>132132.20000000001</v>
      </c>
      <c r="M822" s="283">
        <v>82726.3</v>
      </c>
      <c r="N822" s="283">
        <v>176482.7</v>
      </c>
      <c r="O822" s="265">
        <v>83039</v>
      </c>
      <c r="P822" s="318">
        <v>55151</v>
      </c>
      <c r="Q822" s="265">
        <v>33090.5</v>
      </c>
      <c r="R822" s="70"/>
      <c r="S822" s="70"/>
      <c r="T822" s="70"/>
      <c r="U822" s="70"/>
      <c r="V822" s="70"/>
      <c r="W822" s="70"/>
      <c r="X822" s="70"/>
      <c r="Y822" s="70"/>
      <c r="Z822" s="70"/>
      <c r="AA822" s="938" t="s">
        <v>195</v>
      </c>
      <c r="AB822" s="2" t="s">
        <v>4</v>
      </c>
      <c r="AC822" s="299">
        <v>143392.20000000001</v>
      </c>
      <c r="AD822" s="283">
        <v>132132</v>
      </c>
      <c r="AE822" s="265">
        <v>132132.20000000001</v>
      </c>
      <c r="AH822" s="743"/>
      <c r="AI822" s="743"/>
    </row>
    <row r="823" spans="1:35" s="267" customFormat="1" x14ac:dyDescent="0.25">
      <c r="A823" s="936"/>
      <c r="B823" s="293" t="s">
        <v>5</v>
      </c>
      <c r="C823" s="300">
        <v>38702.5</v>
      </c>
      <c r="D823" s="264">
        <v>77448.399999999994</v>
      </c>
      <c r="E823" s="300">
        <v>78860.2</v>
      </c>
      <c r="F823" s="307">
        <v>157453.1</v>
      </c>
      <c r="G823" s="307">
        <v>88188.3</v>
      </c>
      <c r="H823" s="307">
        <v>45786.400000000001</v>
      </c>
      <c r="I823" s="307">
        <v>68097.3</v>
      </c>
      <c r="J823" s="264">
        <v>8107.9</v>
      </c>
      <c r="K823" s="300">
        <v>155764.9</v>
      </c>
      <c r="L823" s="307">
        <v>56205.7</v>
      </c>
      <c r="M823" s="307">
        <v>45754.2</v>
      </c>
      <c r="N823" s="307">
        <v>132376.79999999999</v>
      </c>
      <c r="O823" s="264">
        <v>4146.8999999999996</v>
      </c>
      <c r="P823" s="319">
        <v>4404.6000000000004</v>
      </c>
      <c r="Q823" s="264">
        <v>2379.1999999999998</v>
      </c>
      <c r="R823" s="70"/>
      <c r="S823" s="70"/>
      <c r="T823" s="70"/>
      <c r="U823" s="70"/>
      <c r="V823" s="70"/>
      <c r="W823" s="70"/>
      <c r="X823" s="70"/>
      <c r="Y823" s="70"/>
      <c r="Z823" s="70"/>
      <c r="AA823" s="939"/>
      <c r="AB823" s="342" t="s">
        <v>5</v>
      </c>
      <c r="AC823" s="300">
        <v>42041.3</v>
      </c>
      <c r="AD823" s="307">
        <v>46836.6</v>
      </c>
      <c r="AE823" s="264">
        <v>54552.5</v>
      </c>
      <c r="AH823" s="743"/>
      <c r="AI823" s="743"/>
    </row>
    <row r="824" spans="1:35" s="267" customFormat="1" ht="15.75" thickBot="1" x14ac:dyDescent="0.3">
      <c r="A824" s="937"/>
      <c r="B824" s="294" t="s">
        <v>3</v>
      </c>
      <c r="C824" s="301">
        <f t="shared" ref="C824:Q824" si="400">C823/C822</f>
        <v>0.26990659185088167</v>
      </c>
      <c r="D824" s="292">
        <f t="shared" si="400"/>
        <v>0.51455328942210721</v>
      </c>
      <c r="E824" s="305">
        <f t="shared" si="400"/>
        <v>0.52393303560157811</v>
      </c>
      <c r="F824" s="278">
        <f t="shared" si="400"/>
        <v>0.86513738078152602</v>
      </c>
      <c r="G824" s="278">
        <f t="shared" si="400"/>
        <v>0.53301279823514303</v>
      </c>
      <c r="H824" s="278">
        <f t="shared" si="400"/>
        <v>0.34652014652014651</v>
      </c>
      <c r="I824" s="278">
        <f t="shared" si="400"/>
        <v>0.56124857621827096</v>
      </c>
      <c r="J824" s="292">
        <f t="shared" si="400"/>
        <v>4.8819861041113841E-2</v>
      </c>
      <c r="K824" s="305">
        <f t="shared" si="400"/>
        <v>0.80695913006988662</v>
      </c>
      <c r="L824" s="278">
        <f t="shared" si="400"/>
        <v>0.42537473833024797</v>
      </c>
      <c r="M824" s="315">
        <f t="shared" si="400"/>
        <v>0.5530792504922859</v>
      </c>
      <c r="N824" s="278">
        <f t="shared" si="400"/>
        <v>0.75008371925406836</v>
      </c>
      <c r="O824" s="292">
        <f t="shared" si="400"/>
        <v>4.9939185202133932E-2</v>
      </c>
      <c r="P824" s="320">
        <f t="shared" si="400"/>
        <v>7.986437235952204E-2</v>
      </c>
      <c r="Q824" s="292">
        <f t="shared" si="400"/>
        <v>7.1899789969930947E-2</v>
      </c>
      <c r="R824" s="70"/>
      <c r="S824" s="70"/>
      <c r="T824" s="70"/>
      <c r="U824" s="70"/>
      <c r="V824" s="70"/>
      <c r="W824" s="70"/>
      <c r="X824" s="70"/>
      <c r="Y824" s="70"/>
      <c r="Z824" s="70"/>
      <c r="AA824" s="939"/>
      <c r="AB824" s="347" t="s">
        <v>3</v>
      </c>
      <c r="AC824" s="301">
        <f>AC823/AC822</f>
        <v>0.29319098249416636</v>
      </c>
      <c r="AD824" s="278">
        <f>AD823/AD822</f>
        <v>0.35446825901371354</v>
      </c>
      <c r="AE824" s="292">
        <f>AE823/AE822</f>
        <v>0.41286302657489993</v>
      </c>
      <c r="AH824" s="743"/>
      <c r="AI824" s="743"/>
    </row>
    <row r="825" spans="1:35" s="267" customFormat="1" ht="15" customHeight="1" x14ac:dyDescent="0.25">
      <c r="A825" s="938" t="s">
        <v>6</v>
      </c>
      <c r="B825" s="19" t="s">
        <v>7</v>
      </c>
      <c r="C825" s="297">
        <v>5870</v>
      </c>
      <c r="D825" s="266">
        <v>3333</v>
      </c>
      <c r="E825" s="297">
        <v>3330</v>
      </c>
      <c r="F825" s="277">
        <v>9457</v>
      </c>
      <c r="G825" s="277">
        <v>7853</v>
      </c>
      <c r="H825" s="277">
        <v>15543</v>
      </c>
      <c r="I825" s="277">
        <v>7386</v>
      </c>
      <c r="J825" s="266">
        <v>9599</v>
      </c>
      <c r="K825" s="297">
        <v>9289</v>
      </c>
      <c r="L825" s="277">
        <v>12263</v>
      </c>
      <c r="M825" s="277">
        <v>4133</v>
      </c>
      <c r="N825" s="277">
        <v>9900</v>
      </c>
      <c r="O825" s="266">
        <v>4799</v>
      </c>
      <c r="P825" s="321">
        <v>2000</v>
      </c>
      <c r="Q825" s="266">
        <v>1250</v>
      </c>
      <c r="R825" s="70"/>
      <c r="S825" s="70"/>
      <c r="T825" s="70"/>
      <c r="U825" s="70"/>
      <c r="V825" s="70"/>
      <c r="W825" s="70"/>
      <c r="X825" s="70"/>
      <c r="Y825" s="70"/>
      <c r="Z825" s="70"/>
      <c r="AA825" s="951" t="s">
        <v>191</v>
      </c>
      <c r="AB825" s="19" t="s">
        <v>4</v>
      </c>
      <c r="AC825" s="299">
        <v>9191.7999999999993</v>
      </c>
      <c r="AD825" s="283">
        <v>13787.7</v>
      </c>
      <c r="AE825" s="265">
        <v>13787.7</v>
      </c>
      <c r="AH825" s="743"/>
      <c r="AI825" s="743"/>
    </row>
    <row r="826" spans="1:35" s="267" customFormat="1" x14ac:dyDescent="0.25">
      <c r="A826" s="939"/>
      <c r="B826" s="295" t="s">
        <v>11</v>
      </c>
      <c r="C826" s="302">
        <f t="shared" ref="C826:Q826" si="401">C825*33.717</f>
        <v>197918.78999999998</v>
      </c>
      <c r="D826" s="263">
        <f t="shared" si="401"/>
        <v>112378.761</v>
      </c>
      <c r="E826" s="302">
        <f t="shared" si="401"/>
        <v>112277.61</v>
      </c>
      <c r="F826" s="355">
        <f t="shared" si="401"/>
        <v>318861.66899999999</v>
      </c>
      <c r="G826" s="308">
        <f t="shared" si="401"/>
        <v>264779.60099999997</v>
      </c>
      <c r="H826" s="354">
        <f t="shared" si="401"/>
        <v>524063.33100000001</v>
      </c>
      <c r="I826" s="354">
        <f t="shared" si="401"/>
        <v>249033.76199999999</v>
      </c>
      <c r="J826" s="354">
        <f t="shared" si="401"/>
        <v>323649.48300000001</v>
      </c>
      <c r="K826" s="322">
        <f t="shared" si="401"/>
        <v>313197.21299999999</v>
      </c>
      <c r="L826" s="308">
        <f t="shared" si="401"/>
        <v>413471.571</v>
      </c>
      <c r="M826" s="308">
        <f t="shared" si="401"/>
        <v>139352.361</v>
      </c>
      <c r="N826" s="354">
        <f t="shared" si="401"/>
        <v>333798.3</v>
      </c>
      <c r="O826" s="354">
        <f t="shared" si="401"/>
        <v>161807.883</v>
      </c>
      <c r="P826" s="302">
        <f t="shared" si="401"/>
        <v>67434</v>
      </c>
      <c r="Q826" s="354">
        <f t="shared" si="401"/>
        <v>42146.25</v>
      </c>
      <c r="R826" s="70"/>
      <c r="S826" s="70"/>
      <c r="T826" s="70"/>
      <c r="U826" s="70"/>
      <c r="V826" s="70"/>
      <c r="W826" s="70"/>
      <c r="X826" s="70"/>
      <c r="Y826" s="70"/>
      <c r="Z826" s="70"/>
      <c r="AA826" s="952"/>
      <c r="AB826" s="293" t="s">
        <v>5</v>
      </c>
      <c r="AC826" s="300">
        <v>8882</v>
      </c>
      <c r="AD826" s="307">
        <v>13644.7</v>
      </c>
      <c r="AE826" s="264">
        <v>13649.8</v>
      </c>
      <c r="AH826" s="743"/>
      <c r="AI826" s="743"/>
    </row>
    <row r="827" spans="1:35" s="267" customFormat="1" ht="15.75" thickBot="1" x14ac:dyDescent="0.3">
      <c r="A827" s="939"/>
      <c r="B827" s="295" t="s">
        <v>79</v>
      </c>
      <c r="C827" s="302">
        <v>164000</v>
      </c>
      <c r="D827" s="263">
        <v>109880</v>
      </c>
      <c r="E827" s="302">
        <v>109880</v>
      </c>
      <c r="F827" s="308">
        <v>328000</v>
      </c>
      <c r="G827" s="308">
        <v>330905</v>
      </c>
      <c r="H827" s="308">
        <v>264264</v>
      </c>
      <c r="I827" s="308">
        <v>242663.6</v>
      </c>
      <c r="J827" s="263">
        <v>328000</v>
      </c>
      <c r="K827" s="302">
        <v>328000</v>
      </c>
      <c r="L827" s="308">
        <v>264264.40000000002</v>
      </c>
      <c r="M827" s="308">
        <v>328000</v>
      </c>
      <c r="N827" s="308">
        <v>352965.4</v>
      </c>
      <c r="O827" s="263">
        <v>328000</v>
      </c>
      <c r="P827" s="322">
        <f>2*P822</f>
        <v>110302</v>
      </c>
      <c r="Q827" s="263">
        <f>2*Q822</f>
        <v>66181</v>
      </c>
      <c r="R827" s="70"/>
      <c r="S827" s="70"/>
      <c r="T827" s="70"/>
      <c r="U827" s="70"/>
      <c r="V827" s="70"/>
      <c r="W827" s="70"/>
      <c r="X827" s="70"/>
      <c r="Y827" s="70"/>
      <c r="Z827" s="70"/>
      <c r="AA827" s="953"/>
      <c r="AB827" s="344" t="s">
        <v>3</v>
      </c>
      <c r="AC827" s="301">
        <f>AC826/AC825</f>
        <v>0.96629604647620715</v>
      </c>
      <c r="AD827" s="249">
        <f>AD826/AD825</f>
        <v>0.98962843694017133</v>
      </c>
      <c r="AE827" s="348">
        <f>AE826/AE825</f>
        <v>0.98999833184650077</v>
      </c>
      <c r="AH827" s="743"/>
      <c r="AI827" s="743"/>
    </row>
    <row r="828" spans="1:35" s="267" customFormat="1" x14ac:dyDescent="0.25">
      <c r="A828" s="939"/>
      <c r="B828" s="293" t="s">
        <v>8</v>
      </c>
      <c r="C828" s="303">
        <f>SUM(C825-168)</f>
        <v>5702</v>
      </c>
      <c r="D828" s="262">
        <f>SUM(D825-686)</f>
        <v>2647</v>
      </c>
      <c r="E828" s="303">
        <f>SUM(E825-652)</f>
        <v>2678</v>
      </c>
      <c r="F828" s="309">
        <f>SUM(F825-1211)</f>
        <v>8246</v>
      </c>
      <c r="G828" s="309">
        <f>SUM(G825-4200)</f>
        <v>3653</v>
      </c>
      <c r="H828" s="309">
        <f>SUM(H825-2129)</f>
        <v>13414</v>
      </c>
      <c r="I828" s="309">
        <f>SUM(I825-(3578-2000))</f>
        <v>5808</v>
      </c>
      <c r="J828" s="262">
        <f>SUM(J825-9313)</f>
        <v>286</v>
      </c>
      <c r="K828" s="303">
        <f>SUM(K825-887)</f>
        <v>8402</v>
      </c>
      <c r="L828" s="309">
        <f>SUM(L825-1721)</f>
        <v>10542</v>
      </c>
      <c r="M828" s="316">
        <f>SUM(M825-321)</f>
        <v>3812</v>
      </c>
      <c r="N828" s="309">
        <f>SUM(N825-(5408-2614))</f>
        <v>7106</v>
      </c>
      <c r="O828" s="262">
        <f>SUM(O825-4074)</f>
        <v>725</v>
      </c>
      <c r="P828" s="323">
        <f>SUM(P825-1261)</f>
        <v>739</v>
      </c>
      <c r="Q828" s="262">
        <f>SUM(Q825-869)</f>
        <v>381</v>
      </c>
      <c r="R828" s="12" t="s">
        <v>176</v>
      </c>
      <c r="S828" s="70"/>
      <c r="T828" s="70"/>
      <c r="U828" s="70"/>
      <c r="V828" s="70"/>
      <c r="W828" s="70"/>
      <c r="X828" s="70"/>
      <c r="Y828" s="70"/>
      <c r="Z828" s="70"/>
      <c r="AA828" s="951" t="s">
        <v>192</v>
      </c>
      <c r="AB828" s="19" t="s">
        <v>4</v>
      </c>
      <c r="AC828" s="299">
        <v>97433.600000000006</v>
      </c>
      <c r="AD828" s="283">
        <v>243584.4</v>
      </c>
      <c r="AE828" s="265">
        <v>292299.3</v>
      </c>
      <c r="AH828" s="743"/>
      <c r="AI828" s="743"/>
    </row>
    <row r="829" spans="1:35" s="267" customFormat="1" x14ac:dyDescent="0.25">
      <c r="A829" s="939"/>
      <c r="B829" s="296" t="s">
        <v>77</v>
      </c>
      <c r="C829" s="302">
        <f>(C828*33.717)</f>
        <v>192254.334</v>
      </c>
      <c r="D829" s="338">
        <f>(D828*33.717)</f>
        <v>89248.89899999999</v>
      </c>
      <c r="E829" s="302">
        <f>(E828*33.717)</f>
        <v>90294.126000000004</v>
      </c>
      <c r="F829" s="338">
        <f>(F828*33.717)</f>
        <v>278030.38199999998</v>
      </c>
      <c r="G829" s="280">
        <f>(G828*33.717)*2</f>
        <v>246336.402</v>
      </c>
      <c r="H829" s="280">
        <f>(H828*33.717)</f>
        <v>452279.83799999999</v>
      </c>
      <c r="I829" s="280">
        <f>(I828*33.717)-(2000*33.717)</f>
        <v>128394.33599999998</v>
      </c>
      <c r="J829" s="261">
        <f>J828*33.717</f>
        <v>9643.0619999999999</v>
      </c>
      <c r="K829" s="304">
        <f>K828*33.717</f>
        <v>283290.234</v>
      </c>
      <c r="L829" s="280">
        <f>L828*33.717</f>
        <v>355444.614</v>
      </c>
      <c r="M829" s="280">
        <f>(M828*33.717)</f>
        <v>128529.204</v>
      </c>
      <c r="N829" s="280">
        <f>N828*33.717</f>
        <v>239593.00199999998</v>
      </c>
      <c r="O829" s="261">
        <f>O828*33.717</f>
        <v>24444.825000000001</v>
      </c>
      <c r="P829" s="324">
        <f>P828*33.717</f>
        <v>24916.862999999998</v>
      </c>
      <c r="Q829" s="325">
        <f>Q828*33.717</f>
        <v>12846.177</v>
      </c>
      <c r="R829" s="63">
        <f>344240-H829</f>
        <v>-108039.83799999999</v>
      </c>
      <c r="S829" s="70" t="s">
        <v>177</v>
      </c>
      <c r="T829" s="70"/>
      <c r="U829" s="70"/>
      <c r="V829" s="70"/>
      <c r="W829" s="70"/>
      <c r="X829" s="70"/>
      <c r="Y829" s="70"/>
      <c r="Z829" s="70"/>
      <c r="AA829" s="952"/>
      <c r="AB829" s="293" t="s">
        <v>5</v>
      </c>
      <c r="AC829" s="300">
        <v>64490.9</v>
      </c>
      <c r="AD829" s="307">
        <v>79989.3</v>
      </c>
      <c r="AE829" s="264">
        <v>62980.6</v>
      </c>
      <c r="AH829" s="743"/>
      <c r="AI829" s="743"/>
    </row>
    <row r="830" spans="1:35" s="267" customFormat="1" ht="15.75" thickBot="1" x14ac:dyDescent="0.3">
      <c r="A830" s="940"/>
      <c r="B830" s="294" t="s">
        <v>10</v>
      </c>
      <c r="C830" s="305">
        <f t="shared" ref="C830:Q830" si="402">C829/C822</f>
        <v>1.3407586605129149</v>
      </c>
      <c r="D830" s="292">
        <f t="shared" si="402"/>
        <v>0.59295368991162389</v>
      </c>
      <c r="E830" s="310">
        <f t="shared" si="402"/>
        <v>0.59989799077571926</v>
      </c>
      <c r="F830" s="282">
        <f t="shared" si="402"/>
        <v>1.5276579277331923</v>
      </c>
      <c r="G830" s="282">
        <f t="shared" si="402"/>
        <v>1.4888647920097913</v>
      </c>
      <c r="H830" s="282">
        <f t="shared" si="402"/>
        <v>3.4229394696212876</v>
      </c>
      <c r="I830" s="282">
        <f t="shared" si="402"/>
        <v>1.0582084498870039</v>
      </c>
      <c r="J830" s="311">
        <f t="shared" si="402"/>
        <v>5.8063487074439167E-2</v>
      </c>
      <c r="K830" s="310">
        <f t="shared" si="402"/>
        <v>1.4676197319545969</v>
      </c>
      <c r="L830" s="282">
        <f t="shared" si="402"/>
        <v>2.6900680833286659</v>
      </c>
      <c r="M830" s="282">
        <f t="shared" si="402"/>
        <v>1.5536679870851229</v>
      </c>
      <c r="N830" s="260">
        <f t="shared" si="402"/>
        <v>1.357600501352257</v>
      </c>
      <c r="O830" s="311">
        <f t="shared" si="402"/>
        <v>0.29437764183094689</v>
      </c>
      <c r="P830" s="305">
        <f t="shared" si="402"/>
        <v>0.45179349422494602</v>
      </c>
      <c r="Q830" s="292">
        <f t="shared" si="402"/>
        <v>0.38821344494643478</v>
      </c>
      <c r="R830" s="126"/>
      <c r="S830" s="70"/>
      <c r="T830" s="70"/>
      <c r="U830" s="70"/>
      <c r="V830" s="70"/>
      <c r="W830" s="70"/>
      <c r="X830" s="70"/>
      <c r="Y830" s="70"/>
      <c r="Z830" s="70"/>
      <c r="AA830" s="954"/>
      <c r="AB830" s="294" t="s">
        <v>3</v>
      </c>
      <c r="AC830" s="305">
        <f>AC829/AC828</f>
        <v>0.66189589628218604</v>
      </c>
      <c r="AD830" s="278">
        <f>AD829/AD828</f>
        <v>0.32838433003098721</v>
      </c>
      <c r="AE830" s="343">
        <f>AE829/AE828</f>
        <v>0.21546613351451749</v>
      </c>
      <c r="AH830" s="743"/>
      <c r="AI830" s="743"/>
    </row>
    <row r="831" spans="1:35" s="267" customFormat="1" ht="15.75" thickBot="1" x14ac:dyDescent="0.3">
      <c r="A831" s="924">
        <v>41353</v>
      </c>
      <c r="B831" s="924"/>
      <c r="C831" s="924"/>
      <c r="D831" s="276"/>
      <c r="E831" s="276"/>
      <c r="F831" s="276"/>
      <c r="G831" s="276"/>
      <c r="H831" s="276"/>
      <c r="I831" s="11"/>
      <c r="J831" s="281"/>
      <c r="K831" s="281"/>
      <c r="L831" s="276"/>
      <c r="M831" s="276"/>
      <c r="N831" s="13"/>
      <c r="R831" s="12"/>
      <c r="S831" s="70"/>
      <c r="T831" s="70"/>
      <c r="U831" s="70"/>
      <c r="V831" s="70"/>
      <c r="W831" s="70"/>
      <c r="X831" s="70"/>
      <c r="Y831" s="70"/>
      <c r="Z831" s="70"/>
      <c r="AA831" s="946"/>
      <c r="AB831" s="947"/>
      <c r="AH831" s="743"/>
      <c r="AI831" s="743"/>
    </row>
    <row r="832" spans="1:35" s="267" customFormat="1" x14ac:dyDescent="0.25">
      <c r="A832" s="925" t="s">
        <v>1</v>
      </c>
      <c r="B832" s="927"/>
      <c r="C832" s="297" t="s">
        <v>12</v>
      </c>
      <c r="D832" s="266" t="s">
        <v>12</v>
      </c>
      <c r="E832" s="297" t="s">
        <v>13</v>
      </c>
      <c r="F832" s="277" t="s">
        <v>13</v>
      </c>
      <c r="G832" s="277" t="s">
        <v>13</v>
      </c>
      <c r="H832" s="277" t="s">
        <v>13</v>
      </c>
      <c r="I832" s="277" t="s">
        <v>13</v>
      </c>
      <c r="J832" s="266" t="s">
        <v>13</v>
      </c>
      <c r="K832" s="297" t="s">
        <v>2</v>
      </c>
      <c r="L832" s="277" t="s">
        <v>2</v>
      </c>
      <c r="M832" s="286" t="s">
        <v>2</v>
      </c>
      <c r="N832" s="277" t="s">
        <v>2</v>
      </c>
      <c r="O832" s="266" t="s">
        <v>2</v>
      </c>
      <c r="P832" s="328" t="s">
        <v>183</v>
      </c>
      <c r="Q832" s="327" t="s">
        <v>183</v>
      </c>
      <c r="R832" s="12"/>
      <c r="S832" s="70"/>
      <c r="T832" s="70"/>
      <c r="U832" s="70"/>
      <c r="V832" s="70"/>
      <c r="W832" s="70"/>
      <c r="X832" s="70"/>
      <c r="Y832" s="70"/>
      <c r="Z832" s="70"/>
      <c r="AA832" s="925" t="s">
        <v>1</v>
      </c>
      <c r="AB832" s="948"/>
      <c r="AC832" s="297" t="s">
        <v>12</v>
      </c>
      <c r="AD832" s="277" t="s">
        <v>13</v>
      </c>
      <c r="AE832" s="266" t="s">
        <v>2</v>
      </c>
      <c r="AH832" s="743"/>
      <c r="AI832" s="743"/>
    </row>
    <row r="833" spans="1:35" s="267" customFormat="1" ht="15.75" thickBot="1" x14ac:dyDescent="0.3">
      <c r="A833" s="931" t="s">
        <v>0</v>
      </c>
      <c r="B833" s="949"/>
      <c r="C833" s="298" t="s">
        <v>99</v>
      </c>
      <c r="D833" s="291" t="s">
        <v>100</v>
      </c>
      <c r="E833" s="298" t="s">
        <v>101</v>
      </c>
      <c r="F833" s="306" t="s">
        <v>102</v>
      </c>
      <c r="G833" s="306" t="s">
        <v>97</v>
      </c>
      <c r="H833" s="306" t="s">
        <v>104</v>
      </c>
      <c r="I833" s="306" t="s">
        <v>103</v>
      </c>
      <c r="J833" s="314" t="s">
        <v>178</v>
      </c>
      <c r="K833" s="298" t="s">
        <v>105</v>
      </c>
      <c r="L833" s="306" t="s">
        <v>107</v>
      </c>
      <c r="M833" s="312" t="s">
        <v>98</v>
      </c>
      <c r="N833" s="313" t="s">
        <v>106</v>
      </c>
      <c r="O833" s="291" t="s">
        <v>179</v>
      </c>
      <c r="P833" s="317" t="s">
        <v>182</v>
      </c>
      <c r="Q833" s="291" t="s">
        <v>184</v>
      </c>
      <c r="R833" s="12"/>
      <c r="S833" s="12"/>
      <c r="T833" s="12"/>
      <c r="U833" s="12"/>
      <c r="V833" s="12"/>
      <c r="W833" s="12"/>
      <c r="X833" s="12"/>
      <c r="Y833" s="12"/>
      <c r="Z833" s="12"/>
      <c r="AA833" s="931" t="s">
        <v>0</v>
      </c>
      <c r="AB833" s="950"/>
      <c r="AC833" s="298" t="s">
        <v>99</v>
      </c>
      <c r="AD833" s="306" t="s">
        <v>104</v>
      </c>
      <c r="AE833" s="291" t="s">
        <v>107</v>
      </c>
      <c r="AH833" s="743"/>
      <c r="AI833" s="743"/>
    </row>
    <row r="834" spans="1:35" s="267" customFormat="1" ht="15" customHeight="1" x14ac:dyDescent="0.25">
      <c r="A834" s="935" t="s">
        <v>9</v>
      </c>
      <c r="B834" s="19" t="s">
        <v>4</v>
      </c>
      <c r="C834" s="299">
        <v>143392.20000000001</v>
      </c>
      <c r="D834" s="265">
        <v>150515.79999999999</v>
      </c>
      <c r="E834" s="299">
        <v>150515.79999999999</v>
      </c>
      <c r="F834" s="283">
        <v>181997.8</v>
      </c>
      <c r="G834" s="283">
        <v>165452.5</v>
      </c>
      <c r="H834" s="283">
        <v>132132</v>
      </c>
      <c r="I834" s="283">
        <v>121331.8</v>
      </c>
      <c r="J834" s="265">
        <v>166077.9</v>
      </c>
      <c r="K834" s="299">
        <v>193027</v>
      </c>
      <c r="L834" s="283">
        <v>132132.20000000001</v>
      </c>
      <c r="M834" s="283">
        <v>82726.3</v>
      </c>
      <c r="N834" s="283">
        <v>176482.7</v>
      </c>
      <c r="O834" s="265">
        <v>83039</v>
      </c>
      <c r="P834" s="318">
        <v>55151</v>
      </c>
      <c r="Q834" s="265">
        <v>33090.5</v>
      </c>
      <c r="R834" s="70"/>
      <c r="S834" s="70"/>
      <c r="T834" s="70"/>
      <c r="U834" s="70"/>
      <c r="V834" s="70"/>
      <c r="W834" s="70"/>
      <c r="X834" s="70"/>
      <c r="Y834" s="70"/>
      <c r="Z834" s="70"/>
      <c r="AA834" s="938" t="s">
        <v>195</v>
      </c>
      <c r="AB834" s="2" t="s">
        <v>4</v>
      </c>
      <c r="AC834" s="299">
        <v>143392.20000000001</v>
      </c>
      <c r="AD834" s="283">
        <v>132132</v>
      </c>
      <c r="AE834" s="265">
        <v>132132.20000000001</v>
      </c>
      <c r="AH834" s="743"/>
      <c r="AI834" s="743"/>
    </row>
    <row r="835" spans="1:35" s="267" customFormat="1" x14ac:dyDescent="0.25">
      <c r="A835" s="936"/>
      <c r="B835" s="293" t="s">
        <v>5</v>
      </c>
      <c r="C835" s="300">
        <v>39154.6</v>
      </c>
      <c r="D835" s="264">
        <v>77430.899999999994</v>
      </c>
      <c r="E835" s="300">
        <v>78842.7</v>
      </c>
      <c r="F835" s="307">
        <v>157354.70000000001</v>
      </c>
      <c r="G835" s="307">
        <v>87927.4</v>
      </c>
      <c r="H835" s="307">
        <v>46130.400000000001</v>
      </c>
      <c r="I835" s="307">
        <v>68071.7</v>
      </c>
      <c r="J835" s="264">
        <v>8105.2</v>
      </c>
      <c r="K835" s="300">
        <v>155731</v>
      </c>
      <c r="L835" s="307">
        <v>58232.9</v>
      </c>
      <c r="M835" s="307">
        <v>45650.400000000001</v>
      </c>
      <c r="N835" s="307">
        <v>132312.4</v>
      </c>
      <c r="O835" s="264">
        <v>4145.3</v>
      </c>
      <c r="P835" s="319">
        <v>4330.6000000000004</v>
      </c>
      <c r="Q835" s="264">
        <v>2358.9</v>
      </c>
      <c r="R835" s="70"/>
      <c r="S835" s="70"/>
      <c r="T835" s="70"/>
      <c r="U835" s="70"/>
      <c r="V835" s="70"/>
      <c r="W835" s="70"/>
      <c r="X835" s="70"/>
      <c r="Y835" s="70"/>
      <c r="Z835" s="70"/>
      <c r="AA835" s="939"/>
      <c r="AB835" s="342" t="s">
        <v>5</v>
      </c>
      <c r="AC835" s="300">
        <v>42041.3</v>
      </c>
      <c r="AD835" s="307">
        <v>46836.6</v>
      </c>
      <c r="AE835" s="264">
        <v>54552.5</v>
      </c>
      <c r="AH835" s="743"/>
      <c r="AI835" s="743"/>
    </row>
    <row r="836" spans="1:35" s="267" customFormat="1" ht="15.75" thickBot="1" x14ac:dyDescent="0.3">
      <c r="A836" s="937"/>
      <c r="B836" s="294" t="s">
        <v>3</v>
      </c>
      <c r="C836" s="301">
        <f t="shared" ref="C836:Q836" si="403">C835/C834</f>
        <v>0.27305948301232558</v>
      </c>
      <c r="D836" s="292">
        <f t="shared" si="403"/>
        <v>0.51443702255842905</v>
      </c>
      <c r="E836" s="305">
        <f t="shared" si="403"/>
        <v>0.52381676873789995</v>
      </c>
      <c r="F836" s="278">
        <f t="shared" si="403"/>
        <v>0.86459671490534518</v>
      </c>
      <c r="G836" s="278">
        <f t="shared" si="403"/>
        <v>0.53143591060878492</v>
      </c>
      <c r="H836" s="278">
        <f t="shared" si="403"/>
        <v>0.3491236036690582</v>
      </c>
      <c r="I836" s="278">
        <f t="shared" si="403"/>
        <v>0.56103758454090347</v>
      </c>
      <c r="J836" s="292">
        <f t="shared" si="403"/>
        <v>4.8803603610113086E-2</v>
      </c>
      <c r="K836" s="305">
        <f t="shared" si="403"/>
        <v>0.80678350697052748</v>
      </c>
      <c r="L836" s="278">
        <f t="shared" si="403"/>
        <v>0.44071694863174909</v>
      </c>
      <c r="M836" s="315">
        <f t="shared" si="403"/>
        <v>0.55182451046402414</v>
      </c>
      <c r="N836" s="278">
        <f t="shared" si="403"/>
        <v>0.74971881096560733</v>
      </c>
      <c r="O836" s="292">
        <f t="shared" si="403"/>
        <v>4.9919917147364497E-2</v>
      </c>
      <c r="P836" s="320">
        <f t="shared" si="403"/>
        <v>7.8522601584740087E-2</v>
      </c>
      <c r="Q836" s="292">
        <f t="shared" si="403"/>
        <v>7.1286320847373116E-2</v>
      </c>
      <c r="R836" s="70"/>
      <c r="S836" s="70"/>
      <c r="T836" s="70"/>
      <c r="U836" s="70"/>
      <c r="V836" s="70"/>
      <c r="W836" s="70"/>
      <c r="X836" s="70"/>
      <c r="Y836" s="70"/>
      <c r="Z836" s="70"/>
      <c r="AA836" s="939"/>
      <c r="AB836" s="347" t="s">
        <v>3</v>
      </c>
      <c r="AC836" s="301">
        <f>AC835/AC834</f>
        <v>0.29319098249416636</v>
      </c>
      <c r="AD836" s="278">
        <f>AD835/AD834</f>
        <v>0.35446825901371354</v>
      </c>
      <c r="AE836" s="292">
        <f>AE835/AE834</f>
        <v>0.41286302657489993</v>
      </c>
      <c r="AH836" s="743"/>
      <c r="AI836" s="743"/>
    </row>
    <row r="837" spans="1:35" s="267" customFormat="1" ht="15" customHeight="1" x14ac:dyDescent="0.25">
      <c r="A837" s="938" t="s">
        <v>6</v>
      </c>
      <c r="B837" s="19" t="s">
        <v>7</v>
      </c>
      <c r="C837" s="297">
        <v>5870</v>
      </c>
      <c r="D837" s="266">
        <v>3333</v>
      </c>
      <c r="E837" s="297">
        <v>3330</v>
      </c>
      <c r="F837" s="277">
        <v>9457</v>
      </c>
      <c r="G837" s="277">
        <v>7753</v>
      </c>
      <c r="H837" s="277">
        <v>15543</v>
      </c>
      <c r="I837" s="277">
        <v>7183</v>
      </c>
      <c r="J837" s="266">
        <v>9599</v>
      </c>
      <c r="K837" s="297">
        <v>9289</v>
      </c>
      <c r="L837" s="277">
        <v>12263</v>
      </c>
      <c r="M837" s="277">
        <v>4133</v>
      </c>
      <c r="N837" s="277">
        <v>9900</v>
      </c>
      <c r="O837" s="266">
        <v>4799</v>
      </c>
      <c r="P837" s="321">
        <v>1400</v>
      </c>
      <c r="Q837" s="266">
        <v>1000</v>
      </c>
      <c r="R837" s="70"/>
      <c r="S837" s="70"/>
      <c r="T837" s="70"/>
      <c r="U837" s="70"/>
      <c r="V837" s="70"/>
      <c r="W837" s="70"/>
      <c r="X837" s="70"/>
      <c r="Y837" s="70"/>
      <c r="Z837" s="70"/>
      <c r="AA837" s="951" t="s">
        <v>191</v>
      </c>
      <c r="AB837" s="19" t="s">
        <v>4</v>
      </c>
      <c r="AC837" s="299">
        <v>9191.7999999999993</v>
      </c>
      <c r="AD837" s="283">
        <v>13787.7</v>
      </c>
      <c r="AE837" s="265">
        <v>13787.7</v>
      </c>
      <c r="AH837" s="743"/>
      <c r="AI837" s="743"/>
    </row>
    <row r="838" spans="1:35" s="267" customFormat="1" x14ac:dyDescent="0.25">
      <c r="A838" s="939"/>
      <c r="B838" s="295" t="s">
        <v>11</v>
      </c>
      <c r="C838" s="302">
        <f t="shared" ref="C838:Q838" si="404">C837*33.72</f>
        <v>197936.4</v>
      </c>
      <c r="D838" s="263">
        <f t="shared" si="404"/>
        <v>112388.76</v>
      </c>
      <c r="E838" s="302">
        <f t="shared" si="404"/>
        <v>112287.59999999999</v>
      </c>
      <c r="F838" s="308">
        <f t="shared" si="404"/>
        <v>318890.03999999998</v>
      </c>
      <c r="G838" s="308">
        <f t="shared" si="404"/>
        <v>261431.16</v>
      </c>
      <c r="H838" s="308">
        <f t="shared" si="404"/>
        <v>524109.95999999996</v>
      </c>
      <c r="I838" s="308">
        <f t="shared" si="404"/>
        <v>242210.75999999998</v>
      </c>
      <c r="J838" s="263">
        <f t="shared" si="404"/>
        <v>323678.27999999997</v>
      </c>
      <c r="K838" s="302">
        <f t="shared" si="404"/>
        <v>313225.08</v>
      </c>
      <c r="L838" s="308">
        <f t="shared" si="404"/>
        <v>413508.36</v>
      </c>
      <c r="M838" s="308">
        <f t="shared" si="404"/>
        <v>139364.76</v>
      </c>
      <c r="N838" s="308">
        <f t="shared" si="404"/>
        <v>333828</v>
      </c>
      <c r="O838" s="263">
        <f t="shared" si="404"/>
        <v>161822.28</v>
      </c>
      <c r="P838" s="322">
        <f t="shared" si="404"/>
        <v>47208</v>
      </c>
      <c r="Q838" s="263">
        <f t="shared" si="404"/>
        <v>33720</v>
      </c>
      <c r="R838" s="70"/>
      <c r="S838" s="70"/>
      <c r="T838" s="70"/>
      <c r="U838" s="70"/>
      <c r="V838" s="70"/>
      <c r="W838" s="70"/>
      <c r="X838" s="70"/>
      <c r="Y838" s="70"/>
      <c r="Z838" s="70"/>
      <c r="AA838" s="952"/>
      <c r="AB838" s="293" t="s">
        <v>5</v>
      </c>
      <c r="AC838" s="300">
        <v>8882</v>
      </c>
      <c r="AD838" s="307">
        <v>13644.7</v>
      </c>
      <c r="AE838" s="264">
        <v>13649.8</v>
      </c>
      <c r="AH838" s="743"/>
      <c r="AI838" s="743"/>
    </row>
    <row r="839" spans="1:35" s="267" customFormat="1" ht="15.75" thickBot="1" x14ac:dyDescent="0.3">
      <c r="A839" s="939"/>
      <c r="B839" s="295" t="s">
        <v>79</v>
      </c>
      <c r="C839" s="302">
        <v>164000</v>
      </c>
      <c r="D839" s="263">
        <v>109880</v>
      </c>
      <c r="E839" s="302">
        <v>109880</v>
      </c>
      <c r="F839" s="308">
        <v>328000</v>
      </c>
      <c r="G839" s="308">
        <v>330905</v>
      </c>
      <c r="H839" s="308">
        <v>264264</v>
      </c>
      <c r="I839" s="308">
        <v>242663.6</v>
      </c>
      <c r="J839" s="263">
        <v>328000</v>
      </c>
      <c r="K839" s="302">
        <v>328000</v>
      </c>
      <c r="L839" s="308">
        <v>264264.40000000002</v>
      </c>
      <c r="M839" s="308">
        <v>328000</v>
      </c>
      <c r="N839" s="308">
        <v>352965.4</v>
      </c>
      <c r="O839" s="263">
        <v>328000</v>
      </c>
      <c r="P839" s="322">
        <f>2*P834</f>
        <v>110302</v>
      </c>
      <c r="Q839" s="263">
        <f>2*Q834</f>
        <v>66181</v>
      </c>
      <c r="R839" s="70"/>
      <c r="S839" s="70"/>
      <c r="T839" s="70"/>
      <c r="U839" s="70"/>
      <c r="V839" s="70"/>
      <c r="W839" s="70"/>
      <c r="X839" s="70"/>
      <c r="Y839" s="70"/>
      <c r="Z839" s="70"/>
      <c r="AA839" s="953"/>
      <c r="AB839" s="344" t="s">
        <v>3</v>
      </c>
      <c r="AC839" s="301">
        <f>AC838/AC837</f>
        <v>0.96629604647620715</v>
      </c>
      <c r="AD839" s="249">
        <f>AD838/AD837</f>
        <v>0.98962843694017133</v>
      </c>
      <c r="AE839" s="348">
        <f>AE838/AE837</f>
        <v>0.98999833184650077</v>
      </c>
      <c r="AH839" s="743"/>
      <c r="AI839" s="743"/>
    </row>
    <row r="840" spans="1:35" s="267" customFormat="1" x14ac:dyDescent="0.25">
      <c r="A840" s="939"/>
      <c r="B840" s="293" t="s">
        <v>8</v>
      </c>
      <c r="C840" s="303">
        <f>SUM(C837-168)</f>
        <v>5702</v>
      </c>
      <c r="D840" s="262">
        <f>SUM(D837-686)</f>
        <v>2647</v>
      </c>
      <c r="E840" s="303">
        <f>SUM(E837-652)</f>
        <v>2678</v>
      </c>
      <c r="F840" s="309">
        <f>SUM(F837-1211)</f>
        <v>8246</v>
      </c>
      <c r="G840" s="309">
        <f>SUM(G837-4151)</f>
        <v>3602</v>
      </c>
      <c r="H840" s="309">
        <f>SUM(H837-2129)</f>
        <v>13414</v>
      </c>
      <c r="I840" s="309">
        <f>SUM(I837-(3624-2000))</f>
        <v>5559</v>
      </c>
      <c r="J840" s="262">
        <f>SUM(J837-9313)</f>
        <v>286</v>
      </c>
      <c r="K840" s="303">
        <f>SUM(K837-962)</f>
        <v>8327</v>
      </c>
      <c r="L840" s="309">
        <f>SUM(L837-1721)</f>
        <v>10542</v>
      </c>
      <c r="M840" s="316">
        <f>SUM(M837-345)</f>
        <v>3788</v>
      </c>
      <c r="N840" s="309">
        <f>SUM(N837-(5454-2614))</f>
        <v>7060</v>
      </c>
      <c r="O840" s="262">
        <f>SUM(O837-4074)</f>
        <v>725</v>
      </c>
      <c r="P840" s="323">
        <f>SUM(P837-825)</f>
        <v>575</v>
      </c>
      <c r="Q840" s="262">
        <f>SUM(Q837-655)</f>
        <v>345</v>
      </c>
      <c r="R840" s="12" t="s">
        <v>176</v>
      </c>
      <c r="S840" s="70"/>
      <c r="T840" s="70"/>
      <c r="U840" s="70"/>
      <c r="V840" s="70"/>
      <c r="W840" s="70"/>
      <c r="X840" s="70"/>
      <c r="Y840" s="70"/>
      <c r="Z840" s="70"/>
      <c r="AA840" s="951" t="s">
        <v>192</v>
      </c>
      <c r="AB840" s="19" t="s">
        <v>4</v>
      </c>
      <c r="AC840" s="299">
        <v>97433.600000000006</v>
      </c>
      <c r="AD840" s="283">
        <v>243584.4</v>
      </c>
      <c r="AE840" s="265">
        <v>292299.3</v>
      </c>
      <c r="AH840" s="743"/>
      <c r="AI840" s="743"/>
    </row>
    <row r="841" spans="1:35" s="267" customFormat="1" x14ac:dyDescent="0.25">
      <c r="A841" s="939"/>
      <c r="B841" s="296" t="s">
        <v>77</v>
      </c>
      <c r="C841" s="302">
        <f>(C840*33.717)</f>
        <v>192254.334</v>
      </c>
      <c r="D841" s="338">
        <f>(D840*33.717)</f>
        <v>89248.89899999999</v>
      </c>
      <c r="E841" s="302">
        <f>(E840*33.717)</f>
        <v>90294.126000000004</v>
      </c>
      <c r="F841" s="338">
        <f>(F840*33.717)</f>
        <v>278030.38199999998</v>
      </c>
      <c r="G841" s="280">
        <f>(G840*33.717)*2</f>
        <v>242897.26799999998</v>
      </c>
      <c r="H841" s="280">
        <f>(H840*33.717)</f>
        <v>452279.83799999999</v>
      </c>
      <c r="I841" s="280">
        <f>(I840*33.717)-(2000*33.717)</f>
        <v>119998.80299999999</v>
      </c>
      <c r="J841" s="261">
        <f>J840*33.717</f>
        <v>9643.0619999999999</v>
      </c>
      <c r="K841" s="304">
        <f>K840*33.717</f>
        <v>280761.45899999997</v>
      </c>
      <c r="L841" s="280">
        <f>L840*33.717</f>
        <v>355444.614</v>
      </c>
      <c r="M841" s="280">
        <f>(M840*33.717)</f>
        <v>127719.996</v>
      </c>
      <c r="N841" s="280">
        <f>N840*33.717</f>
        <v>238042.02</v>
      </c>
      <c r="O841" s="261">
        <f>O840*33.717</f>
        <v>24444.825000000001</v>
      </c>
      <c r="P841" s="324">
        <f>P840*33.717</f>
        <v>19387.274999999998</v>
      </c>
      <c r="Q841" s="325">
        <f>Q840*33.717</f>
        <v>11632.365</v>
      </c>
      <c r="R841" s="63">
        <f>344240-H841</f>
        <v>-108039.83799999999</v>
      </c>
      <c r="S841" s="70" t="s">
        <v>177</v>
      </c>
      <c r="T841" s="70"/>
      <c r="U841" s="70"/>
      <c r="V841" s="70"/>
      <c r="W841" s="70"/>
      <c r="X841" s="70"/>
      <c r="Y841" s="70"/>
      <c r="Z841" s="70"/>
      <c r="AA841" s="952"/>
      <c r="AB841" s="293" t="s">
        <v>5</v>
      </c>
      <c r="AC841" s="300">
        <v>64490.9</v>
      </c>
      <c r="AD841" s="307">
        <v>79989.3</v>
      </c>
      <c r="AE841" s="264">
        <v>62980.6</v>
      </c>
      <c r="AH841" s="743"/>
      <c r="AI841" s="743"/>
    </row>
    <row r="842" spans="1:35" s="267" customFormat="1" ht="15.75" thickBot="1" x14ac:dyDescent="0.3">
      <c r="A842" s="940"/>
      <c r="B842" s="294" t="s">
        <v>10</v>
      </c>
      <c r="C842" s="305">
        <f t="shared" ref="C842:Q842" si="405">C841/C834</f>
        <v>1.3407586605129149</v>
      </c>
      <c r="D842" s="292">
        <f t="shared" si="405"/>
        <v>0.59295368991162389</v>
      </c>
      <c r="E842" s="310">
        <f t="shared" si="405"/>
        <v>0.59989799077571926</v>
      </c>
      <c r="F842" s="282">
        <f t="shared" si="405"/>
        <v>1.5276579277331923</v>
      </c>
      <c r="G842" s="282">
        <f t="shared" si="405"/>
        <v>1.4680785603118718</v>
      </c>
      <c r="H842" s="282">
        <f t="shared" si="405"/>
        <v>3.4229394696212876</v>
      </c>
      <c r="I842" s="282">
        <f t="shared" si="405"/>
        <v>0.98901362215016986</v>
      </c>
      <c r="J842" s="311">
        <f t="shared" si="405"/>
        <v>5.8063487074439167E-2</v>
      </c>
      <c r="K842" s="310">
        <f t="shared" si="405"/>
        <v>1.4545191035450997</v>
      </c>
      <c r="L842" s="282">
        <f t="shared" si="405"/>
        <v>2.6900680833286659</v>
      </c>
      <c r="M842" s="282">
        <f t="shared" si="405"/>
        <v>1.5438862369041042</v>
      </c>
      <c r="N842" s="260">
        <f t="shared" si="405"/>
        <v>1.3488122065222254</v>
      </c>
      <c r="O842" s="311">
        <f t="shared" si="405"/>
        <v>0.29437764183094689</v>
      </c>
      <c r="P842" s="305">
        <f t="shared" si="405"/>
        <v>0.3515307972656887</v>
      </c>
      <c r="Q842" s="292">
        <f t="shared" si="405"/>
        <v>0.35153185959716532</v>
      </c>
      <c r="R842" s="126"/>
      <c r="S842" s="70"/>
      <c r="T842" s="70"/>
      <c r="U842" s="70"/>
      <c r="V842" s="70"/>
      <c r="W842" s="70"/>
      <c r="X842" s="70"/>
      <c r="Y842" s="70"/>
      <c r="Z842" s="70"/>
      <c r="AA842" s="954"/>
      <c r="AB842" s="294" t="s">
        <v>3</v>
      </c>
      <c r="AC842" s="305">
        <f>AC841/AC840</f>
        <v>0.66189589628218604</v>
      </c>
      <c r="AD842" s="278">
        <f>AD841/AD840</f>
        <v>0.32838433003098721</v>
      </c>
      <c r="AE842" s="343">
        <f>AE841/AE840</f>
        <v>0.21546613351451749</v>
      </c>
      <c r="AH842" s="743"/>
      <c r="AI842" s="743"/>
    </row>
    <row r="843" spans="1:35" s="267" customFormat="1" ht="15.75" thickBot="1" x14ac:dyDescent="0.3">
      <c r="A843" s="924">
        <v>41351</v>
      </c>
      <c r="B843" s="924"/>
      <c r="C843" s="924"/>
      <c r="D843" s="276"/>
      <c r="E843" s="276"/>
      <c r="F843" s="276"/>
      <c r="G843" s="276"/>
      <c r="H843" s="276"/>
      <c r="I843" s="11"/>
      <c r="J843" s="281"/>
      <c r="K843" s="281"/>
      <c r="L843" s="276"/>
      <c r="M843" s="276"/>
      <c r="N843" s="13"/>
      <c r="R843" s="12"/>
      <c r="S843" s="70"/>
      <c r="T843" s="70"/>
      <c r="U843" s="70"/>
      <c r="V843" s="70"/>
      <c r="W843" s="70"/>
      <c r="X843" s="70"/>
      <c r="Y843" s="70"/>
      <c r="Z843" s="70"/>
      <c r="AA843" s="946"/>
      <c r="AB843" s="947"/>
      <c r="AH843" s="743"/>
      <c r="AI843" s="743"/>
    </row>
    <row r="844" spans="1:35" s="267" customFormat="1" x14ac:dyDescent="0.25">
      <c r="A844" s="925" t="s">
        <v>1</v>
      </c>
      <c r="B844" s="927"/>
      <c r="C844" s="297" t="s">
        <v>12</v>
      </c>
      <c r="D844" s="266" t="s">
        <v>12</v>
      </c>
      <c r="E844" s="297" t="s">
        <v>13</v>
      </c>
      <c r="F844" s="277" t="s">
        <v>13</v>
      </c>
      <c r="G844" s="277" t="s">
        <v>13</v>
      </c>
      <c r="H844" s="277" t="s">
        <v>13</v>
      </c>
      <c r="I844" s="277" t="s">
        <v>13</v>
      </c>
      <c r="J844" s="266" t="s">
        <v>13</v>
      </c>
      <c r="K844" s="297" t="s">
        <v>2</v>
      </c>
      <c r="L844" s="277" t="s">
        <v>2</v>
      </c>
      <c r="M844" s="286" t="s">
        <v>2</v>
      </c>
      <c r="N844" s="277" t="s">
        <v>2</v>
      </c>
      <c r="O844" s="266" t="s">
        <v>2</v>
      </c>
      <c r="P844" s="328" t="s">
        <v>183</v>
      </c>
      <c r="Q844" s="327" t="s">
        <v>183</v>
      </c>
      <c r="R844" s="12"/>
      <c r="S844" s="70"/>
      <c r="T844" s="70"/>
      <c r="U844" s="70"/>
      <c r="V844" s="70"/>
      <c r="W844" s="70"/>
      <c r="X844" s="70"/>
      <c r="Y844" s="70"/>
      <c r="Z844" s="70"/>
      <c r="AA844" s="925" t="s">
        <v>1</v>
      </c>
      <c r="AB844" s="948"/>
      <c r="AC844" s="297" t="s">
        <v>12</v>
      </c>
      <c r="AD844" s="277" t="s">
        <v>13</v>
      </c>
      <c r="AE844" s="266" t="s">
        <v>2</v>
      </c>
      <c r="AH844" s="743"/>
      <c r="AI844" s="743"/>
    </row>
    <row r="845" spans="1:35" s="267" customFormat="1" ht="15.75" thickBot="1" x14ac:dyDescent="0.3">
      <c r="A845" s="931" t="s">
        <v>0</v>
      </c>
      <c r="B845" s="949"/>
      <c r="C845" s="298" t="s">
        <v>99</v>
      </c>
      <c r="D845" s="291" t="s">
        <v>100</v>
      </c>
      <c r="E845" s="298" t="s">
        <v>101</v>
      </c>
      <c r="F845" s="306" t="s">
        <v>102</v>
      </c>
      <c r="G845" s="306" t="s">
        <v>97</v>
      </c>
      <c r="H845" s="306" t="s">
        <v>104</v>
      </c>
      <c r="I845" s="306" t="s">
        <v>103</v>
      </c>
      <c r="J845" s="314" t="s">
        <v>178</v>
      </c>
      <c r="K845" s="298" t="s">
        <v>105</v>
      </c>
      <c r="L845" s="306" t="s">
        <v>107</v>
      </c>
      <c r="M845" s="312" t="s">
        <v>98</v>
      </c>
      <c r="N845" s="313" t="s">
        <v>106</v>
      </c>
      <c r="O845" s="291" t="s">
        <v>179</v>
      </c>
      <c r="P845" s="317" t="s">
        <v>182</v>
      </c>
      <c r="Q845" s="291" t="s">
        <v>184</v>
      </c>
      <c r="R845" s="12"/>
      <c r="S845" s="12"/>
      <c r="T845" s="12"/>
      <c r="U845" s="12"/>
      <c r="V845" s="12"/>
      <c r="W845" s="12"/>
      <c r="X845" s="12"/>
      <c r="Y845" s="12"/>
      <c r="Z845" s="12"/>
      <c r="AA845" s="931" t="s">
        <v>0</v>
      </c>
      <c r="AB845" s="950"/>
      <c r="AC845" s="298" t="s">
        <v>99</v>
      </c>
      <c r="AD845" s="306" t="s">
        <v>104</v>
      </c>
      <c r="AE845" s="291" t="s">
        <v>107</v>
      </c>
      <c r="AH845" s="743"/>
      <c r="AI845" s="743"/>
    </row>
    <row r="846" spans="1:35" s="267" customFormat="1" ht="15" customHeight="1" x14ac:dyDescent="0.25">
      <c r="A846" s="935" t="s">
        <v>9</v>
      </c>
      <c r="B846" s="19" t="s">
        <v>4</v>
      </c>
      <c r="C846" s="299">
        <v>143392.20000000001</v>
      </c>
      <c r="D846" s="265">
        <v>150515.79999999999</v>
      </c>
      <c r="E846" s="299">
        <v>150515.79999999999</v>
      </c>
      <c r="F846" s="283">
        <v>181997.8</v>
      </c>
      <c r="G846" s="283">
        <v>165452.5</v>
      </c>
      <c r="H846" s="283">
        <v>132132</v>
      </c>
      <c r="I846" s="283">
        <v>121331.8</v>
      </c>
      <c r="J846" s="265">
        <v>166077.9</v>
      </c>
      <c r="K846" s="299">
        <v>193027</v>
      </c>
      <c r="L846" s="283">
        <v>132132.20000000001</v>
      </c>
      <c r="M846" s="283">
        <v>82726.3</v>
      </c>
      <c r="N846" s="283">
        <v>176482.7</v>
      </c>
      <c r="O846" s="265">
        <v>83039</v>
      </c>
      <c r="P846" s="318">
        <v>55151</v>
      </c>
      <c r="Q846" s="265">
        <v>33090.5</v>
      </c>
      <c r="R846" s="70"/>
      <c r="S846" s="70"/>
      <c r="T846" s="70"/>
      <c r="U846" s="70"/>
      <c r="V846" s="70"/>
      <c r="W846" s="70"/>
      <c r="X846" s="70"/>
      <c r="Y846" s="70"/>
      <c r="Z846" s="70"/>
      <c r="AA846" s="938" t="s">
        <v>195</v>
      </c>
      <c r="AB846" s="2" t="s">
        <v>4</v>
      </c>
      <c r="AC846" s="299">
        <v>143392.20000000001</v>
      </c>
      <c r="AD846" s="283">
        <v>132132</v>
      </c>
      <c r="AE846" s="265">
        <v>132132.20000000001</v>
      </c>
      <c r="AH846" s="743"/>
      <c r="AI846" s="743"/>
    </row>
    <row r="847" spans="1:35" s="267" customFormat="1" x14ac:dyDescent="0.25">
      <c r="A847" s="936"/>
      <c r="B847" s="293" t="s">
        <v>5</v>
      </c>
      <c r="C847" s="300">
        <v>39557.1</v>
      </c>
      <c r="D847" s="264">
        <v>77413</v>
      </c>
      <c r="E847" s="300">
        <v>78824.899999999994</v>
      </c>
      <c r="F847" s="307">
        <v>156673.70000000001</v>
      </c>
      <c r="G847" s="307">
        <v>87785.600000000006</v>
      </c>
      <c r="H847" s="307">
        <v>46817</v>
      </c>
      <c r="I847" s="307">
        <v>68045.399999999994</v>
      </c>
      <c r="J847" s="264">
        <v>8102.6</v>
      </c>
      <c r="K847" s="300">
        <v>155696.20000000001</v>
      </c>
      <c r="L847" s="307">
        <v>58263.6</v>
      </c>
      <c r="M847" s="307">
        <v>44761.599999999999</v>
      </c>
      <c r="N847" s="307">
        <v>132266.29999999999</v>
      </c>
      <c r="O847" s="264">
        <v>4143.5</v>
      </c>
      <c r="P847" s="319">
        <v>4329.7</v>
      </c>
      <c r="Q847" s="264">
        <v>2353.6</v>
      </c>
      <c r="R847" s="70"/>
      <c r="S847" s="70"/>
      <c r="T847" s="70"/>
      <c r="U847" s="70"/>
      <c r="V847" s="70"/>
      <c r="W847" s="70"/>
      <c r="X847" s="70"/>
      <c r="Y847" s="70"/>
      <c r="Z847" s="70"/>
      <c r="AA847" s="939"/>
      <c r="AB847" s="342" t="s">
        <v>5</v>
      </c>
      <c r="AC847" s="300">
        <v>42041.3</v>
      </c>
      <c r="AD847" s="307">
        <v>46836.6</v>
      </c>
      <c r="AE847" s="264">
        <v>54552.5</v>
      </c>
      <c r="AH847" s="743"/>
      <c r="AI847" s="743"/>
    </row>
    <row r="848" spans="1:35" s="267" customFormat="1" ht="15.75" thickBot="1" x14ac:dyDescent="0.3">
      <c r="A848" s="937"/>
      <c r="B848" s="294" t="s">
        <v>3</v>
      </c>
      <c r="C848" s="301">
        <f t="shared" ref="C848:Q848" si="406">C847/C846</f>
        <v>0.27586646972429457</v>
      </c>
      <c r="D848" s="292">
        <f t="shared" si="406"/>
        <v>0.51431809816643836</v>
      </c>
      <c r="E848" s="305">
        <f t="shared" si="406"/>
        <v>0.5236985087279874</v>
      </c>
      <c r="F848" s="278">
        <f t="shared" si="406"/>
        <v>0.86085491143299542</v>
      </c>
      <c r="G848" s="278">
        <f t="shared" si="406"/>
        <v>0.53057886704643331</v>
      </c>
      <c r="H848" s="278">
        <f t="shared" si="406"/>
        <v>0.35431992250174066</v>
      </c>
      <c r="I848" s="278">
        <f t="shared" si="406"/>
        <v>0.56082082355985807</v>
      </c>
      <c r="J848" s="292">
        <f t="shared" si="406"/>
        <v>4.8787948306186435E-2</v>
      </c>
      <c r="K848" s="305">
        <f t="shared" si="406"/>
        <v>0.80660322131100837</v>
      </c>
      <c r="L848" s="278">
        <f t="shared" si="406"/>
        <v>0.44094929169422742</v>
      </c>
      <c r="M848" s="315">
        <f t="shared" si="406"/>
        <v>0.54108064787135401</v>
      </c>
      <c r="N848" s="278">
        <f t="shared" si="406"/>
        <v>0.74945759556035796</v>
      </c>
      <c r="O848" s="292">
        <f t="shared" si="406"/>
        <v>4.9898240585748863E-2</v>
      </c>
      <c r="P848" s="320">
        <f t="shared" si="406"/>
        <v>7.8506282750992723E-2</v>
      </c>
      <c r="Q848" s="292">
        <f t="shared" si="406"/>
        <v>7.1126154032124023E-2</v>
      </c>
      <c r="R848" s="70"/>
      <c r="S848" s="70"/>
      <c r="T848" s="70"/>
      <c r="U848" s="70"/>
      <c r="V848" s="70"/>
      <c r="W848" s="70"/>
      <c r="X848" s="70"/>
      <c r="Y848" s="70"/>
      <c r="Z848" s="70"/>
      <c r="AA848" s="939"/>
      <c r="AB848" s="347" t="s">
        <v>3</v>
      </c>
      <c r="AC848" s="301">
        <f>AC847/AC846</f>
        <v>0.29319098249416636</v>
      </c>
      <c r="AD848" s="278">
        <f>AD847/AD846</f>
        <v>0.35446825901371354</v>
      </c>
      <c r="AE848" s="292">
        <f>AE847/AE846</f>
        <v>0.41286302657489993</v>
      </c>
      <c r="AH848" s="743"/>
      <c r="AI848" s="743"/>
    </row>
    <row r="849" spans="1:35" s="267" customFormat="1" ht="15" customHeight="1" x14ac:dyDescent="0.25">
      <c r="A849" s="938" t="s">
        <v>6</v>
      </c>
      <c r="B849" s="19" t="s">
        <v>7</v>
      </c>
      <c r="C849" s="297">
        <v>5870</v>
      </c>
      <c r="D849" s="266">
        <v>3333</v>
      </c>
      <c r="E849" s="297">
        <v>3330</v>
      </c>
      <c r="F849" s="277">
        <v>9457</v>
      </c>
      <c r="G849" s="277">
        <v>7753</v>
      </c>
      <c r="H849" s="277">
        <v>15543</v>
      </c>
      <c r="I849" s="277">
        <v>7183</v>
      </c>
      <c r="J849" s="266">
        <v>9599</v>
      </c>
      <c r="K849" s="297">
        <v>9289</v>
      </c>
      <c r="L849" s="277">
        <v>12263</v>
      </c>
      <c r="M849" s="277">
        <v>4133</v>
      </c>
      <c r="N849" s="277">
        <v>9508</v>
      </c>
      <c r="O849" s="266">
        <v>4799</v>
      </c>
      <c r="P849" s="321">
        <v>1400</v>
      </c>
      <c r="Q849" s="266">
        <v>1000</v>
      </c>
      <c r="R849" s="70"/>
      <c r="S849" s="70"/>
      <c r="T849" s="70"/>
      <c r="U849" s="70"/>
      <c r="V849" s="70"/>
      <c r="W849" s="70"/>
      <c r="X849" s="70"/>
      <c r="Y849" s="70"/>
      <c r="Z849" s="70"/>
      <c r="AA849" s="951" t="s">
        <v>191</v>
      </c>
      <c r="AB849" s="19" t="s">
        <v>4</v>
      </c>
      <c r="AC849" s="299">
        <v>9191.7999999999993</v>
      </c>
      <c r="AD849" s="283">
        <v>13787.7</v>
      </c>
      <c r="AE849" s="265">
        <v>13787.7</v>
      </c>
      <c r="AH849" s="743"/>
      <c r="AI849" s="743"/>
    </row>
    <row r="850" spans="1:35" s="267" customFormat="1" x14ac:dyDescent="0.25">
      <c r="A850" s="939"/>
      <c r="B850" s="295" t="s">
        <v>11</v>
      </c>
      <c r="C850" s="302">
        <f t="shared" ref="C850:Q850" si="407">C849*33.72</f>
        <v>197936.4</v>
      </c>
      <c r="D850" s="263">
        <f t="shared" si="407"/>
        <v>112388.76</v>
      </c>
      <c r="E850" s="302">
        <f t="shared" si="407"/>
        <v>112287.59999999999</v>
      </c>
      <c r="F850" s="308">
        <f t="shared" si="407"/>
        <v>318890.03999999998</v>
      </c>
      <c r="G850" s="308">
        <f t="shared" si="407"/>
        <v>261431.16</v>
      </c>
      <c r="H850" s="308">
        <f t="shared" si="407"/>
        <v>524109.95999999996</v>
      </c>
      <c r="I850" s="308">
        <f t="shared" si="407"/>
        <v>242210.75999999998</v>
      </c>
      <c r="J850" s="263">
        <f t="shared" si="407"/>
        <v>323678.27999999997</v>
      </c>
      <c r="K850" s="302">
        <f t="shared" si="407"/>
        <v>313225.08</v>
      </c>
      <c r="L850" s="308">
        <f t="shared" si="407"/>
        <v>413508.36</v>
      </c>
      <c r="M850" s="308">
        <f t="shared" si="407"/>
        <v>139364.76</v>
      </c>
      <c r="N850" s="308">
        <f t="shared" si="407"/>
        <v>320609.76</v>
      </c>
      <c r="O850" s="263">
        <f t="shared" si="407"/>
        <v>161822.28</v>
      </c>
      <c r="P850" s="322">
        <f t="shared" si="407"/>
        <v>47208</v>
      </c>
      <c r="Q850" s="263">
        <f t="shared" si="407"/>
        <v>33720</v>
      </c>
      <c r="R850" s="70"/>
      <c r="S850" s="70"/>
      <c r="T850" s="70"/>
      <c r="U850" s="70"/>
      <c r="V850" s="70"/>
      <c r="W850" s="70"/>
      <c r="X850" s="70"/>
      <c r="Y850" s="70"/>
      <c r="Z850" s="70"/>
      <c r="AA850" s="952"/>
      <c r="AB850" s="293" t="s">
        <v>5</v>
      </c>
      <c r="AC850" s="300">
        <v>8882</v>
      </c>
      <c r="AD850" s="307">
        <v>13644.7</v>
      </c>
      <c r="AE850" s="264">
        <v>13649.8</v>
      </c>
      <c r="AH850" s="743"/>
      <c r="AI850" s="743"/>
    </row>
    <row r="851" spans="1:35" s="267" customFormat="1" ht="15.75" thickBot="1" x14ac:dyDescent="0.3">
      <c r="A851" s="939"/>
      <c r="B851" s="295" t="s">
        <v>79</v>
      </c>
      <c r="C851" s="302">
        <v>164000</v>
      </c>
      <c r="D851" s="263">
        <v>109880</v>
      </c>
      <c r="E851" s="302">
        <v>109880</v>
      </c>
      <c r="F851" s="308">
        <v>328000</v>
      </c>
      <c r="G851" s="308">
        <v>330905</v>
      </c>
      <c r="H851" s="308">
        <v>264264</v>
      </c>
      <c r="I851" s="308">
        <v>242663.6</v>
      </c>
      <c r="J851" s="263">
        <v>328000</v>
      </c>
      <c r="K851" s="302">
        <v>328000</v>
      </c>
      <c r="L851" s="308">
        <v>264264.40000000002</v>
      </c>
      <c r="M851" s="308">
        <v>328000</v>
      </c>
      <c r="N851" s="308">
        <v>352965.4</v>
      </c>
      <c r="O851" s="263">
        <v>328000</v>
      </c>
      <c r="P851" s="322">
        <f>2*P846</f>
        <v>110302</v>
      </c>
      <c r="Q851" s="263">
        <f>2*Q846</f>
        <v>66181</v>
      </c>
      <c r="R851" s="70"/>
      <c r="S851" s="70"/>
      <c r="T851" s="70"/>
      <c r="U851" s="70"/>
      <c r="V851" s="70"/>
      <c r="W851" s="70"/>
      <c r="X851" s="70"/>
      <c r="Y851" s="70"/>
      <c r="Z851" s="70"/>
      <c r="AA851" s="953"/>
      <c r="AB851" s="344" t="s">
        <v>3</v>
      </c>
      <c r="AC851" s="301">
        <f>AC850/AC849</f>
        <v>0.96629604647620715</v>
      </c>
      <c r="AD851" s="249">
        <f>AD850/AD849</f>
        <v>0.98962843694017133</v>
      </c>
      <c r="AE851" s="348">
        <f>AE850/AE849</f>
        <v>0.98999833184650077</v>
      </c>
      <c r="AH851" s="743"/>
      <c r="AI851" s="743"/>
    </row>
    <row r="852" spans="1:35" s="267" customFormat="1" x14ac:dyDescent="0.25">
      <c r="A852" s="939"/>
      <c r="B852" s="293" t="s">
        <v>8</v>
      </c>
      <c r="C852" s="303">
        <f>SUM(C849-168)</f>
        <v>5702</v>
      </c>
      <c r="D852" s="262">
        <f>SUM(D849-686)</f>
        <v>2647</v>
      </c>
      <c r="E852" s="303">
        <f>SUM(E849-652)</f>
        <v>2678</v>
      </c>
      <c r="F852" s="309">
        <f>SUM(F849-1211)</f>
        <v>8246</v>
      </c>
      <c r="G852" s="309">
        <f>SUM(G849-4214)</f>
        <v>3539</v>
      </c>
      <c r="H852" s="309">
        <f>SUM(H849-2129)</f>
        <v>13414</v>
      </c>
      <c r="I852" s="309">
        <f>SUM(I849-(3680-2000))</f>
        <v>5503</v>
      </c>
      <c r="J852" s="262">
        <f>SUM(J849-9313)</f>
        <v>286</v>
      </c>
      <c r="K852" s="303">
        <f>SUM(K849-962)</f>
        <v>8327</v>
      </c>
      <c r="L852" s="309">
        <f>SUM(L849-1786)</f>
        <v>10477</v>
      </c>
      <c r="M852" s="316">
        <f>SUM(M849-408)</f>
        <v>3725</v>
      </c>
      <c r="N852" s="309">
        <f>SUM(N849-(5510-2614))</f>
        <v>6612</v>
      </c>
      <c r="O852" s="262">
        <f>SUM(O849-4074)</f>
        <v>725</v>
      </c>
      <c r="P852" s="323">
        <f>SUM(P849-861)</f>
        <v>539</v>
      </c>
      <c r="Q852" s="262">
        <f>SUM(Q849-655)</f>
        <v>345</v>
      </c>
      <c r="R852" s="12" t="s">
        <v>176</v>
      </c>
      <c r="S852" s="70"/>
      <c r="T852" s="70"/>
      <c r="U852" s="70"/>
      <c r="V852" s="70"/>
      <c r="W852" s="70"/>
      <c r="X852" s="70"/>
      <c r="Y852" s="70"/>
      <c r="Z852" s="70"/>
      <c r="AA852" s="951" t="s">
        <v>192</v>
      </c>
      <c r="AB852" s="19" t="s">
        <v>4</v>
      </c>
      <c r="AC852" s="299">
        <v>97433.600000000006</v>
      </c>
      <c r="AD852" s="283">
        <v>243584.4</v>
      </c>
      <c r="AE852" s="265">
        <v>292299.3</v>
      </c>
      <c r="AH852" s="743"/>
      <c r="AI852" s="743"/>
    </row>
    <row r="853" spans="1:35" s="267" customFormat="1" x14ac:dyDescent="0.25">
      <c r="A853" s="939"/>
      <c r="B853" s="296" t="s">
        <v>77</v>
      </c>
      <c r="C853" s="302">
        <f>(C852*33.717)</f>
        <v>192254.334</v>
      </c>
      <c r="D853" s="338">
        <f>(D852*33.717)</f>
        <v>89248.89899999999</v>
      </c>
      <c r="E853" s="302">
        <f>(E852*33.717)</f>
        <v>90294.126000000004</v>
      </c>
      <c r="F853" s="338">
        <f>(F852*33.717)</f>
        <v>278030.38199999998</v>
      </c>
      <c r="G853" s="280">
        <f>(G852*33.717)*2</f>
        <v>238648.92599999998</v>
      </c>
      <c r="H853" s="280">
        <f>(H852*33.717)</f>
        <v>452279.83799999999</v>
      </c>
      <c r="I853" s="280">
        <f>(I852*33.717)-(2000*33.717)</f>
        <v>118110.65099999998</v>
      </c>
      <c r="J853" s="261">
        <f>J852*33.717</f>
        <v>9643.0619999999999</v>
      </c>
      <c r="K853" s="304">
        <f>K852*33.717</f>
        <v>280761.45899999997</v>
      </c>
      <c r="L853" s="280">
        <f>L852*33.717</f>
        <v>353253.00899999996</v>
      </c>
      <c r="M853" s="280">
        <f>(M852*33.717)</f>
        <v>125595.825</v>
      </c>
      <c r="N853" s="280">
        <f>N852*33.717</f>
        <v>222936.804</v>
      </c>
      <c r="O853" s="261">
        <f>O852*33.717</f>
        <v>24444.825000000001</v>
      </c>
      <c r="P853" s="324">
        <f>P852*33.717</f>
        <v>18173.463</v>
      </c>
      <c r="Q853" s="325">
        <f>Q852*33.717</f>
        <v>11632.365</v>
      </c>
      <c r="R853" s="63">
        <f>344240-H853</f>
        <v>-108039.83799999999</v>
      </c>
      <c r="S853" s="70" t="s">
        <v>177</v>
      </c>
      <c r="T853" s="70"/>
      <c r="U853" s="70"/>
      <c r="V853" s="70"/>
      <c r="W853" s="70"/>
      <c r="X853" s="70"/>
      <c r="Y853" s="70"/>
      <c r="Z853" s="70"/>
      <c r="AA853" s="952"/>
      <c r="AB853" s="293" t="s">
        <v>5</v>
      </c>
      <c r="AC853" s="300">
        <v>64490.9</v>
      </c>
      <c r="AD853" s="307">
        <v>79989.3</v>
      </c>
      <c r="AE853" s="264">
        <v>62980.6</v>
      </c>
      <c r="AH853" s="743"/>
      <c r="AI853" s="743"/>
    </row>
    <row r="854" spans="1:35" s="267" customFormat="1" ht="15.75" thickBot="1" x14ac:dyDescent="0.3">
      <c r="A854" s="940"/>
      <c r="B854" s="294" t="s">
        <v>10</v>
      </c>
      <c r="C854" s="305">
        <f t="shared" ref="C854:Q854" si="408">C853/C846</f>
        <v>1.3407586605129149</v>
      </c>
      <c r="D854" s="292">
        <f t="shared" si="408"/>
        <v>0.59295368991162389</v>
      </c>
      <c r="E854" s="310">
        <f t="shared" si="408"/>
        <v>0.59989799077571926</v>
      </c>
      <c r="F854" s="282">
        <f t="shared" si="408"/>
        <v>1.5276579277331923</v>
      </c>
      <c r="G854" s="282">
        <f t="shared" si="408"/>
        <v>1.4424014505673832</v>
      </c>
      <c r="H854" s="282">
        <f t="shared" si="408"/>
        <v>3.4229394696212876</v>
      </c>
      <c r="I854" s="282">
        <f t="shared" si="408"/>
        <v>0.97345173318124334</v>
      </c>
      <c r="J854" s="311">
        <f t="shared" si="408"/>
        <v>5.8063487074439167E-2</v>
      </c>
      <c r="K854" s="310">
        <f t="shared" si="408"/>
        <v>1.4545191035450997</v>
      </c>
      <c r="L854" s="282">
        <f t="shared" si="408"/>
        <v>2.6734816267344366</v>
      </c>
      <c r="M854" s="282">
        <f t="shared" si="408"/>
        <v>1.5182091426789304</v>
      </c>
      <c r="N854" s="260">
        <f t="shared" si="408"/>
        <v>1.2632218568732232</v>
      </c>
      <c r="O854" s="311">
        <f t="shared" si="408"/>
        <v>0.29437764183094689</v>
      </c>
      <c r="P854" s="305">
        <f t="shared" si="408"/>
        <v>0.32952191256731517</v>
      </c>
      <c r="Q854" s="292">
        <f t="shared" si="408"/>
        <v>0.35153185959716532</v>
      </c>
      <c r="R854" s="126"/>
      <c r="S854" s="70"/>
      <c r="T854" s="70"/>
      <c r="U854" s="70"/>
      <c r="V854" s="70"/>
      <c r="W854" s="70"/>
      <c r="X854" s="70"/>
      <c r="Y854" s="70"/>
      <c r="Z854" s="70"/>
      <c r="AA854" s="954"/>
      <c r="AB854" s="294" t="s">
        <v>3</v>
      </c>
      <c r="AC854" s="305">
        <f>AC853/AC852</f>
        <v>0.66189589628218604</v>
      </c>
      <c r="AD854" s="278">
        <f>AD853/AD852</f>
        <v>0.32838433003098721</v>
      </c>
      <c r="AE854" s="343">
        <f>AE853/AE852</f>
        <v>0.21546613351451749</v>
      </c>
      <c r="AH854" s="743"/>
      <c r="AI854" s="743"/>
    </row>
    <row r="855" spans="1:35" s="267" customFormat="1" ht="15.75" thickBot="1" x14ac:dyDescent="0.3">
      <c r="A855" s="924">
        <v>41347</v>
      </c>
      <c r="B855" s="924"/>
      <c r="C855" s="924"/>
      <c r="D855" s="276"/>
      <c r="E855" s="276"/>
      <c r="F855" s="276"/>
      <c r="G855" s="276"/>
      <c r="H855" s="276"/>
      <c r="I855" s="11"/>
      <c r="J855" s="281"/>
      <c r="K855" s="281"/>
      <c r="L855" s="276"/>
      <c r="M855" s="276"/>
      <c r="N855" s="13"/>
      <c r="R855" s="12"/>
      <c r="S855" s="70"/>
      <c r="T855" s="70"/>
      <c r="U855" s="70"/>
      <c r="V855" s="70"/>
      <c r="W855" s="70"/>
      <c r="X855" s="70"/>
      <c r="Y855" s="70"/>
      <c r="Z855" s="70"/>
      <c r="AA855" s="939" t="s">
        <v>6</v>
      </c>
      <c r="AB855" s="345" t="s">
        <v>7</v>
      </c>
      <c r="AC855" s="297">
        <v>5870</v>
      </c>
      <c r="AD855" s="277">
        <v>15543</v>
      </c>
      <c r="AE855" s="266">
        <v>12263</v>
      </c>
      <c r="AH855" s="743"/>
      <c r="AI855" s="743"/>
    </row>
    <row r="856" spans="1:35" s="267" customFormat="1" x14ac:dyDescent="0.25">
      <c r="A856" s="925" t="s">
        <v>1</v>
      </c>
      <c r="B856" s="927"/>
      <c r="C856" s="297" t="s">
        <v>12</v>
      </c>
      <c r="D856" s="266" t="s">
        <v>12</v>
      </c>
      <c r="E856" s="297" t="s">
        <v>13</v>
      </c>
      <c r="F856" s="277" t="s">
        <v>13</v>
      </c>
      <c r="G856" s="277" t="s">
        <v>13</v>
      </c>
      <c r="H856" s="277" t="s">
        <v>13</v>
      </c>
      <c r="I856" s="277" t="s">
        <v>13</v>
      </c>
      <c r="J856" s="266" t="s">
        <v>13</v>
      </c>
      <c r="K856" s="297" t="s">
        <v>2</v>
      </c>
      <c r="L856" s="277" t="s">
        <v>2</v>
      </c>
      <c r="M856" s="286" t="s">
        <v>2</v>
      </c>
      <c r="N856" s="277" t="s">
        <v>2</v>
      </c>
      <c r="O856" s="266" t="s">
        <v>2</v>
      </c>
      <c r="P856" s="328" t="s">
        <v>183</v>
      </c>
      <c r="Q856" s="327" t="s">
        <v>183</v>
      </c>
      <c r="R856" s="12"/>
      <c r="S856" s="70"/>
      <c r="T856" s="70"/>
      <c r="U856" s="70"/>
      <c r="V856" s="70"/>
      <c r="W856" s="70"/>
      <c r="X856" s="70"/>
      <c r="Y856" s="70"/>
      <c r="Z856" s="70"/>
      <c r="AA856" s="939"/>
      <c r="AB856" s="295" t="s">
        <v>11</v>
      </c>
      <c r="AC856" s="302">
        <f>AC855*33.717</f>
        <v>197918.78999999998</v>
      </c>
      <c r="AD856" s="308">
        <f>AD855*33.717</f>
        <v>524063.33100000001</v>
      </c>
      <c r="AE856" s="263">
        <f>AE855*33.717</f>
        <v>413471.571</v>
      </c>
      <c r="AH856" s="743"/>
      <c r="AI856" s="743"/>
    </row>
    <row r="857" spans="1:35" s="267" customFormat="1" ht="15.75" thickBot="1" x14ac:dyDescent="0.3">
      <c r="A857" s="931" t="s">
        <v>0</v>
      </c>
      <c r="B857" s="949"/>
      <c r="C857" s="298" t="s">
        <v>99</v>
      </c>
      <c r="D857" s="291" t="s">
        <v>100</v>
      </c>
      <c r="E857" s="298" t="s">
        <v>101</v>
      </c>
      <c r="F857" s="306" t="s">
        <v>102</v>
      </c>
      <c r="G857" s="306" t="s">
        <v>97</v>
      </c>
      <c r="H857" s="306" t="s">
        <v>104</v>
      </c>
      <c r="I857" s="306" t="s">
        <v>103</v>
      </c>
      <c r="J857" s="314" t="s">
        <v>178</v>
      </c>
      <c r="K857" s="298" t="s">
        <v>105</v>
      </c>
      <c r="L857" s="306" t="s">
        <v>107</v>
      </c>
      <c r="M857" s="312" t="s">
        <v>98</v>
      </c>
      <c r="N857" s="313" t="s">
        <v>106</v>
      </c>
      <c r="O857" s="291" t="s">
        <v>179</v>
      </c>
      <c r="P857" s="317" t="s">
        <v>182</v>
      </c>
      <c r="Q857" s="291" t="s">
        <v>184</v>
      </c>
      <c r="R857" s="12"/>
      <c r="S857" s="12"/>
      <c r="T857" s="12"/>
      <c r="U857" s="12"/>
      <c r="V857" s="12"/>
      <c r="W857" s="12"/>
      <c r="X857" s="12"/>
      <c r="Y857" s="12"/>
      <c r="Z857" s="12"/>
      <c r="AA857" s="939"/>
      <c r="AB857" s="293" t="s">
        <v>8</v>
      </c>
      <c r="AC857" s="303">
        <v>5702</v>
      </c>
      <c r="AD857" s="309">
        <v>13391</v>
      </c>
      <c r="AE857" s="262">
        <v>10203</v>
      </c>
      <c r="AH857" s="743"/>
      <c r="AI857" s="743"/>
    </row>
    <row r="858" spans="1:35" s="267" customFormat="1" ht="15" customHeight="1" x14ac:dyDescent="0.25">
      <c r="A858" s="935" t="s">
        <v>9</v>
      </c>
      <c r="B858" s="19" t="s">
        <v>4</v>
      </c>
      <c r="C858" s="299">
        <v>143392.20000000001</v>
      </c>
      <c r="D858" s="265">
        <v>150515.79999999999</v>
      </c>
      <c r="E858" s="299">
        <v>150515.79999999999</v>
      </c>
      <c r="F858" s="283">
        <v>181997.8</v>
      </c>
      <c r="G858" s="283">
        <v>165452.5</v>
      </c>
      <c r="H858" s="283">
        <v>132132</v>
      </c>
      <c r="I858" s="283">
        <v>121331.8</v>
      </c>
      <c r="J858" s="265">
        <v>166077.9</v>
      </c>
      <c r="K858" s="299">
        <v>193027</v>
      </c>
      <c r="L858" s="283">
        <v>132132.20000000001</v>
      </c>
      <c r="M858" s="283">
        <v>82726.3</v>
      </c>
      <c r="N858" s="283">
        <v>176482.7</v>
      </c>
      <c r="O858" s="265">
        <v>83039</v>
      </c>
      <c r="P858" s="318">
        <v>55151</v>
      </c>
      <c r="Q858" s="265">
        <v>33090.5</v>
      </c>
      <c r="R858" s="70"/>
      <c r="S858" s="70"/>
      <c r="T858" s="70"/>
      <c r="U858" s="70"/>
      <c r="V858" s="70"/>
      <c r="W858" s="70"/>
      <c r="X858" s="70"/>
      <c r="Y858" s="70"/>
      <c r="Z858" s="70"/>
      <c r="AA858" s="939"/>
      <c r="AB858" s="296" t="s">
        <v>77</v>
      </c>
      <c r="AC858" s="302">
        <f>(AC857*33.717)</f>
        <v>192254.334</v>
      </c>
      <c r="AD858" s="280">
        <f>(AD857*33.717)</f>
        <v>451504.34700000001</v>
      </c>
      <c r="AE858" s="261">
        <f>AE857*33.717</f>
        <v>344014.55099999998</v>
      </c>
      <c r="AH858" s="743"/>
      <c r="AI858" s="743"/>
    </row>
    <row r="859" spans="1:35" s="267" customFormat="1" ht="15.75" thickBot="1" x14ac:dyDescent="0.3">
      <c r="A859" s="936"/>
      <c r="B859" s="293" t="s">
        <v>5</v>
      </c>
      <c r="C859" s="300">
        <v>40482.699999999997</v>
      </c>
      <c r="D859" s="264">
        <v>77239.899999999994</v>
      </c>
      <c r="E859" s="300">
        <v>78613.8</v>
      </c>
      <c r="F859" s="307">
        <v>156476.9</v>
      </c>
      <c r="G859" s="307">
        <v>85582.7</v>
      </c>
      <c r="H859" s="307">
        <v>45708.800000000003</v>
      </c>
      <c r="I859" s="307">
        <v>67831.5</v>
      </c>
      <c r="J859" s="264">
        <v>7622.8</v>
      </c>
      <c r="K859" s="300">
        <v>155362.79999999999</v>
      </c>
      <c r="L859" s="307">
        <v>55157.1</v>
      </c>
      <c r="M859" s="307">
        <v>44761.599999999999</v>
      </c>
      <c r="N859" s="307">
        <v>131873.9</v>
      </c>
      <c r="O859" s="264">
        <v>3903.1</v>
      </c>
      <c r="P859" s="319">
        <v>4320.7</v>
      </c>
      <c r="Q859" s="264">
        <v>2308.5</v>
      </c>
      <c r="R859" s="70"/>
      <c r="S859" s="70"/>
      <c r="T859" s="70"/>
      <c r="U859" s="70"/>
      <c r="V859" s="70"/>
      <c r="W859" s="70"/>
      <c r="X859" s="70"/>
      <c r="Y859" s="70"/>
      <c r="Z859" s="70"/>
      <c r="AA859" s="939"/>
      <c r="AB859" s="346" t="s">
        <v>193</v>
      </c>
      <c r="AC859" s="305">
        <f>AC856/(AC846+AC849+AC852)</f>
        <v>0.79161942999212842</v>
      </c>
      <c r="AD859" s="278">
        <f>AD856/(AD846+AD849+AD852)</f>
        <v>1.3454629386442916</v>
      </c>
      <c r="AE859" s="292">
        <f>AE856/(AE846+AE849+AE852)</f>
        <v>0.94352682630062756</v>
      </c>
      <c r="AH859" s="743"/>
      <c r="AI859" s="743"/>
    </row>
    <row r="860" spans="1:35" s="267" customFormat="1" ht="15.75" thickBot="1" x14ac:dyDescent="0.3">
      <c r="A860" s="937"/>
      <c r="B860" s="294" t="s">
        <v>3</v>
      </c>
      <c r="C860" s="301">
        <f t="shared" ref="C860:Q860" si="409">C859/C858</f>
        <v>0.2823214930798188</v>
      </c>
      <c r="D860" s="292">
        <f t="shared" si="409"/>
        <v>0.51316805278914235</v>
      </c>
      <c r="E860" s="305">
        <f t="shared" si="409"/>
        <v>0.52229599816099048</v>
      </c>
      <c r="F860" s="278">
        <f t="shared" si="409"/>
        <v>0.8597735796806335</v>
      </c>
      <c r="G860" s="278">
        <f t="shared" si="409"/>
        <v>0.51726447167616085</v>
      </c>
      <c r="H860" s="278">
        <f t="shared" si="409"/>
        <v>0.34593285502376414</v>
      </c>
      <c r="I860" s="278">
        <f t="shared" si="409"/>
        <v>0.55905788919310517</v>
      </c>
      <c r="J860" s="292">
        <f t="shared" si="409"/>
        <v>4.5898942604645172E-2</v>
      </c>
      <c r="K860" s="305">
        <f t="shared" si="409"/>
        <v>0.80487600180285657</v>
      </c>
      <c r="L860" s="278">
        <f t="shared" si="409"/>
        <v>0.4174387469519163</v>
      </c>
      <c r="M860" s="315">
        <f t="shared" si="409"/>
        <v>0.54108064787135401</v>
      </c>
      <c r="N860" s="278">
        <f t="shared" si="409"/>
        <v>0.7472341481629643</v>
      </c>
      <c r="O860" s="292">
        <f t="shared" si="409"/>
        <v>4.7003215356639649E-2</v>
      </c>
      <c r="P860" s="320">
        <f t="shared" si="409"/>
        <v>7.8343094413519249E-2</v>
      </c>
      <c r="Q860" s="292">
        <f t="shared" si="409"/>
        <v>6.9763225094815737E-2</v>
      </c>
      <c r="R860" s="70"/>
      <c r="S860" s="70"/>
      <c r="T860" s="70"/>
      <c r="U860" s="70"/>
      <c r="V860" s="70"/>
      <c r="W860" s="70"/>
      <c r="X860" s="70"/>
      <c r="Y860" s="70"/>
      <c r="Z860" s="70"/>
      <c r="AA860" s="940"/>
      <c r="AB860" s="346" t="s">
        <v>194</v>
      </c>
      <c r="AC860" s="305">
        <f>AC858/(AC846+AC849+AC852)</f>
        <v>0.7689632009906503</v>
      </c>
      <c r="AD860" s="278">
        <f>AD858/(AD846+AD849+AD852)</f>
        <v>1.1591773924844437</v>
      </c>
      <c r="AE860" s="292">
        <f>AE858/(AE846+AE849+AE852)</f>
        <v>0.78502847661626873</v>
      </c>
      <c r="AH860" s="743"/>
      <c r="AI860" s="743"/>
    </row>
    <row r="861" spans="1:35" s="267" customFormat="1" ht="15" customHeight="1" x14ac:dyDescent="0.25">
      <c r="A861" s="938" t="s">
        <v>6</v>
      </c>
      <c r="B861" s="19" t="s">
        <v>7</v>
      </c>
      <c r="C861" s="297">
        <v>5870</v>
      </c>
      <c r="D861" s="266">
        <v>3333</v>
      </c>
      <c r="E861" s="297">
        <v>3330</v>
      </c>
      <c r="F861" s="277">
        <v>9457</v>
      </c>
      <c r="G861" s="277">
        <v>7753</v>
      </c>
      <c r="H861" s="277">
        <v>15543</v>
      </c>
      <c r="I861" s="277">
        <v>7183</v>
      </c>
      <c r="J861" s="266">
        <v>9599</v>
      </c>
      <c r="K861" s="297">
        <v>9289</v>
      </c>
      <c r="L861" s="277">
        <v>12263</v>
      </c>
      <c r="M861" s="277">
        <v>4133</v>
      </c>
      <c r="N861" s="277">
        <v>9494</v>
      </c>
      <c r="O861" s="266">
        <v>4799</v>
      </c>
      <c r="P861" s="321">
        <v>1400</v>
      </c>
      <c r="Q861" s="266">
        <v>1000</v>
      </c>
      <c r="R861" s="70"/>
      <c r="S861" s="70"/>
      <c r="T861" s="70"/>
      <c r="U861" s="70"/>
      <c r="V861" s="70"/>
      <c r="W861" s="70"/>
      <c r="X861" s="70"/>
      <c r="Y861" s="70"/>
      <c r="Z861" s="70"/>
      <c r="AA861" s="70"/>
      <c r="AB861" s="70"/>
      <c r="AC861" s="70"/>
      <c r="AH861" s="743"/>
      <c r="AI861" s="743"/>
    </row>
    <row r="862" spans="1:35" s="267" customFormat="1" x14ac:dyDescent="0.25">
      <c r="A862" s="939"/>
      <c r="B862" s="295" t="s">
        <v>11</v>
      </c>
      <c r="C862" s="302">
        <f t="shared" ref="C862:Q862" si="410">C861*33.72</f>
        <v>197936.4</v>
      </c>
      <c r="D862" s="263">
        <f t="shared" si="410"/>
        <v>112388.76</v>
      </c>
      <c r="E862" s="302">
        <f t="shared" si="410"/>
        <v>112287.59999999999</v>
      </c>
      <c r="F862" s="308">
        <f t="shared" si="410"/>
        <v>318890.03999999998</v>
      </c>
      <c r="G862" s="308">
        <f t="shared" si="410"/>
        <v>261431.16</v>
      </c>
      <c r="H862" s="308">
        <f t="shared" si="410"/>
        <v>524109.95999999996</v>
      </c>
      <c r="I862" s="308">
        <f t="shared" si="410"/>
        <v>242210.75999999998</v>
      </c>
      <c r="J862" s="263">
        <f t="shared" si="410"/>
        <v>323678.27999999997</v>
      </c>
      <c r="K862" s="302">
        <f t="shared" si="410"/>
        <v>313225.08</v>
      </c>
      <c r="L862" s="308">
        <f t="shared" si="410"/>
        <v>413508.36</v>
      </c>
      <c r="M862" s="308">
        <f t="shared" si="410"/>
        <v>139364.76</v>
      </c>
      <c r="N862" s="308">
        <f t="shared" si="410"/>
        <v>320137.68</v>
      </c>
      <c r="O862" s="263">
        <f t="shared" si="410"/>
        <v>161822.28</v>
      </c>
      <c r="P862" s="322">
        <f t="shared" si="410"/>
        <v>47208</v>
      </c>
      <c r="Q862" s="263">
        <f t="shared" si="410"/>
        <v>33720</v>
      </c>
      <c r="R862" s="70"/>
      <c r="S862" s="70"/>
      <c r="T862" s="70"/>
      <c r="U862" s="70"/>
      <c r="V862" s="70"/>
      <c r="W862" s="70"/>
      <c r="X862" s="70"/>
      <c r="Y862" s="70"/>
      <c r="Z862" s="70"/>
      <c r="AA862" s="70"/>
      <c r="AB862" s="349" t="s">
        <v>196</v>
      </c>
      <c r="AC862" s="350">
        <f>AC846+AC849+AC852</f>
        <v>250017.6</v>
      </c>
      <c r="AD862" s="350">
        <f>AD846+AD849+AD852</f>
        <v>389504.1</v>
      </c>
      <c r="AE862" s="350">
        <f>AE846+AE849+AE852</f>
        <v>438219.2</v>
      </c>
      <c r="AH862" s="743"/>
      <c r="AI862" s="743"/>
    </row>
    <row r="863" spans="1:35" s="267" customFormat="1" x14ac:dyDescent="0.25">
      <c r="A863" s="939"/>
      <c r="B863" s="295" t="s">
        <v>79</v>
      </c>
      <c r="C863" s="302">
        <v>164000</v>
      </c>
      <c r="D863" s="263">
        <v>109880</v>
      </c>
      <c r="E863" s="302">
        <v>109880</v>
      </c>
      <c r="F863" s="308">
        <v>328000</v>
      </c>
      <c r="G863" s="308">
        <v>330905</v>
      </c>
      <c r="H863" s="308">
        <v>264264</v>
      </c>
      <c r="I863" s="308">
        <v>242663.6</v>
      </c>
      <c r="J863" s="263">
        <v>328000</v>
      </c>
      <c r="K863" s="302">
        <v>328000</v>
      </c>
      <c r="L863" s="308">
        <v>264264.40000000002</v>
      </c>
      <c r="M863" s="308">
        <v>328000</v>
      </c>
      <c r="N863" s="308">
        <v>352965.4</v>
      </c>
      <c r="O863" s="263">
        <v>328000</v>
      </c>
      <c r="P863" s="322">
        <f>2*P858</f>
        <v>110302</v>
      </c>
      <c r="Q863" s="263">
        <f>2*Q858</f>
        <v>66181</v>
      </c>
      <c r="R863" s="70"/>
      <c r="S863" s="70"/>
      <c r="T863" s="70"/>
      <c r="U863" s="70"/>
      <c r="V863" s="70"/>
      <c r="W863" s="70"/>
      <c r="X863" s="70"/>
      <c r="Y863" s="70"/>
      <c r="Z863" s="70"/>
      <c r="AA863" s="70"/>
      <c r="AB863" s="349" t="s">
        <v>197</v>
      </c>
      <c r="AC863" s="350">
        <f>(AC862-AC856)/1024</f>
        <v>50.877744140625026</v>
      </c>
      <c r="AD863" s="350">
        <f>(AD862-AD856)/1024</f>
        <v>-131.40549902343753</v>
      </c>
      <c r="AE863" s="350">
        <f>(AE862-AE856)/1024</f>
        <v>24.167606445312515</v>
      </c>
      <c r="AH863" s="743"/>
      <c r="AI863" s="743"/>
    </row>
    <row r="864" spans="1:35" s="267" customFormat="1" x14ac:dyDescent="0.25">
      <c r="A864" s="939"/>
      <c r="B864" s="293" t="s">
        <v>8</v>
      </c>
      <c r="C864" s="303">
        <f>SUM(C861-168)</f>
        <v>5702</v>
      </c>
      <c r="D864" s="262">
        <f>SUM(D861-686)</f>
        <v>2647</v>
      </c>
      <c r="E864" s="303">
        <f>SUM(E861-652)</f>
        <v>2678</v>
      </c>
      <c r="F864" s="309">
        <f>SUM(F861-1211)</f>
        <v>8246</v>
      </c>
      <c r="G864" s="309">
        <f>SUM(G861-4214)</f>
        <v>3539</v>
      </c>
      <c r="H864" s="309">
        <f>SUM(H861-2129)</f>
        <v>13414</v>
      </c>
      <c r="I864" s="309">
        <f>SUM(I861-(3680-2000))</f>
        <v>5503</v>
      </c>
      <c r="J864" s="262">
        <f>SUM(J861-9313)</f>
        <v>286</v>
      </c>
      <c r="K864" s="303">
        <f>SUM(K861-962)</f>
        <v>8327</v>
      </c>
      <c r="L864" s="309">
        <f>SUM(L861-1786)</f>
        <v>10477</v>
      </c>
      <c r="M864" s="316">
        <f>SUM(M861-408)</f>
        <v>3725</v>
      </c>
      <c r="N864" s="309">
        <f>SUM(N861-(5510-2614))</f>
        <v>6598</v>
      </c>
      <c r="O864" s="262">
        <f>SUM(O861-4074)</f>
        <v>725</v>
      </c>
      <c r="P864" s="323">
        <f>SUM(P861-861)</f>
        <v>539</v>
      </c>
      <c r="Q864" s="262">
        <f>SUM(Q861-655)</f>
        <v>345</v>
      </c>
      <c r="R864" s="12" t="s">
        <v>176</v>
      </c>
      <c r="S864" s="70"/>
      <c r="T864" s="70"/>
      <c r="U864" s="70"/>
      <c r="V864" s="70"/>
      <c r="W864" s="70"/>
      <c r="X864" s="70"/>
      <c r="Y864" s="70"/>
      <c r="Z864" s="70"/>
      <c r="AA864" s="276"/>
      <c r="AB864" s="276"/>
      <c r="AH864" s="743"/>
      <c r="AI864" s="743"/>
    </row>
    <row r="865" spans="1:35" s="267" customFormat="1" x14ac:dyDescent="0.25">
      <c r="A865" s="939"/>
      <c r="B865" s="296" t="s">
        <v>77</v>
      </c>
      <c r="C865" s="302">
        <f>(C864*33.717)</f>
        <v>192254.334</v>
      </c>
      <c r="D865" s="338">
        <f>(D864*33.717)</f>
        <v>89248.89899999999</v>
      </c>
      <c r="E865" s="302">
        <f>(E864*33.717)</f>
        <v>90294.126000000004</v>
      </c>
      <c r="F865" s="338">
        <f>(F864*33.717)</f>
        <v>278030.38199999998</v>
      </c>
      <c r="G865" s="280">
        <f>(G864*33.717)*2</f>
        <v>238648.92599999998</v>
      </c>
      <c r="H865" s="280">
        <f>(H864*33.717)</f>
        <v>452279.83799999999</v>
      </c>
      <c r="I865" s="280">
        <f>(I864*33.717)-(2000*33.717)</f>
        <v>118110.65099999998</v>
      </c>
      <c r="J865" s="261">
        <f>J864*33.717</f>
        <v>9643.0619999999999</v>
      </c>
      <c r="K865" s="304">
        <f>K864*33.717</f>
        <v>280761.45899999997</v>
      </c>
      <c r="L865" s="280">
        <f>L864*33.717</f>
        <v>353253.00899999996</v>
      </c>
      <c r="M865" s="280">
        <f>(M864*33.717)</f>
        <v>125595.825</v>
      </c>
      <c r="N865" s="280">
        <f>N864*33.717</f>
        <v>222464.766</v>
      </c>
      <c r="O865" s="261">
        <f>O864*33.717</f>
        <v>24444.825000000001</v>
      </c>
      <c r="P865" s="324">
        <f>P864*33.717</f>
        <v>18173.463</v>
      </c>
      <c r="Q865" s="325">
        <f>Q864*33.717</f>
        <v>11632.365</v>
      </c>
      <c r="R865" s="63">
        <f>344240-H865</f>
        <v>-108039.83799999999</v>
      </c>
      <c r="S865" s="70" t="s">
        <v>177</v>
      </c>
      <c r="T865" s="70"/>
      <c r="U865" s="70"/>
      <c r="V865" s="70"/>
      <c r="W865" s="70"/>
      <c r="X865" s="70"/>
      <c r="Y865" s="70"/>
      <c r="Z865" s="70"/>
      <c r="AA865" s="276"/>
      <c r="AB865" s="276"/>
      <c r="AH865" s="743"/>
      <c r="AI865" s="743"/>
    </row>
    <row r="866" spans="1:35" s="267" customFormat="1" ht="15.75" thickBot="1" x14ac:dyDescent="0.3">
      <c r="A866" s="940"/>
      <c r="B866" s="294" t="s">
        <v>10</v>
      </c>
      <c r="C866" s="305">
        <f t="shared" ref="C866:Q866" si="411">C865/C858</f>
        <v>1.3407586605129149</v>
      </c>
      <c r="D866" s="292">
        <f t="shared" si="411"/>
        <v>0.59295368991162389</v>
      </c>
      <c r="E866" s="310">
        <f t="shared" si="411"/>
        <v>0.59989799077571926</v>
      </c>
      <c r="F866" s="282">
        <f t="shared" si="411"/>
        <v>1.5276579277331923</v>
      </c>
      <c r="G866" s="282">
        <f t="shared" si="411"/>
        <v>1.4424014505673832</v>
      </c>
      <c r="H866" s="282">
        <f t="shared" si="411"/>
        <v>3.4229394696212876</v>
      </c>
      <c r="I866" s="282">
        <f t="shared" si="411"/>
        <v>0.97345173318124334</v>
      </c>
      <c r="J866" s="311">
        <f t="shared" si="411"/>
        <v>5.8063487074439167E-2</v>
      </c>
      <c r="K866" s="310">
        <f t="shared" si="411"/>
        <v>1.4545191035450997</v>
      </c>
      <c r="L866" s="282">
        <f t="shared" si="411"/>
        <v>2.6734816267344366</v>
      </c>
      <c r="M866" s="282">
        <f t="shared" si="411"/>
        <v>1.5182091426789304</v>
      </c>
      <c r="N866" s="260">
        <f t="shared" si="411"/>
        <v>1.2605471584466919</v>
      </c>
      <c r="O866" s="311">
        <f t="shared" si="411"/>
        <v>0.29437764183094689</v>
      </c>
      <c r="P866" s="305">
        <f t="shared" si="411"/>
        <v>0.32952191256731517</v>
      </c>
      <c r="Q866" s="292">
        <f t="shared" si="411"/>
        <v>0.35153185959716532</v>
      </c>
      <c r="R866" s="126"/>
      <c r="S866" s="70"/>
      <c r="T866" s="70"/>
      <c r="U866" s="70"/>
      <c r="V866" s="70"/>
      <c r="W866" s="70"/>
      <c r="X866" s="70"/>
      <c r="Y866" s="70"/>
      <c r="Z866" s="70"/>
      <c r="AA866" s="276"/>
      <c r="AB866" s="276"/>
      <c r="AH866" s="743"/>
      <c r="AI866" s="743"/>
    </row>
    <row r="867" spans="1:35" s="267" customFormat="1" ht="15.75" thickBot="1" x14ac:dyDescent="0.3">
      <c r="A867" s="924">
        <v>41345</v>
      </c>
      <c r="B867" s="924"/>
      <c r="C867" s="924"/>
      <c r="D867" s="276"/>
      <c r="E867" s="276"/>
      <c r="F867" s="276"/>
      <c r="G867" s="276"/>
      <c r="H867" s="276"/>
      <c r="I867" s="11"/>
      <c r="J867" s="281"/>
      <c r="K867" s="281"/>
      <c r="L867" s="276"/>
      <c r="M867" s="276"/>
      <c r="N867" s="13"/>
      <c r="R867" s="12"/>
      <c r="S867" s="70"/>
      <c r="T867" s="70"/>
      <c r="U867" s="70"/>
      <c r="V867" s="70"/>
      <c r="W867" s="70"/>
      <c r="X867" s="70"/>
      <c r="Y867" s="70"/>
      <c r="Z867" s="70"/>
      <c r="AA867" s="276"/>
      <c r="AB867" s="276"/>
      <c r="AH867" s="743"/>
      <c r="AI867" s="743"/>
    </row>
    <row r="868" spans="1:35" s="267" customFormat="1" x14ac:dyDescent="0.25">
      <c r="A868" s="925" t="s">
        <v>1</v>
      </c>
      <c r="B868" s="927"/>
      <c r="C868" s="297" t="s">
        <v>12</v>
      </c>
      <c r="D868" s="266" t="s">
        <v>12</v>
      </c>
      <c r="E868" s="297" t="s">
        <v>13</v>
      </c>
      <c r="F868" s="277" t="s">
        <v>13</v>
      </c>
      <c r="G868" s="277" t="s">
        <v>13</v>
      </c>
      <c r="H868" s="277" t="s">
        <v>13</v>
      </c>
      <c r="I868" s="277" t="s">
        <v>13</v>
      </c>
      <c r="J868" s="266" t="s">
        <v>13</v>
      </c>
      <c r="K868" s="297" t="s">
        <v>2</v>
      </c>
      <c r="L868" s="277" t="s">
        <v>2</v>
      </c>
      <c r="M868" s="286" t="s">
        <v>2</v>
      </c>
      <c r="N868" s="277" t="s">
        <v>2</v>
      </c>
      <c r="O868" s="266" t="s">
        <v>2</v>
      </c>
      <c r="P868" s="328" t="s">
        <v>183</v>
      </c>
      <c r="Q868" s="327" t="s">
        <v>183</v>
      </c>
      <c r="R868" s="12"/>
      <c r="S868" s="70"/>
      <c r="T868" s="70"/>
      <c r="U868" s="70"/>
      <c r="V868" s="70"/>
      <c r="W868" s="70"/>
      <c r="X868" s="70"/>
      <c r="Y868" s="70"/>
      <c r="Z868" s="70"/>
      <c r="AA868" s="276"/>
      <c r="AB868" s="276"/>
      <c r="AH868" s="743"/>
      <c r="AI868" s="743"/>
    </row>
    <row r="869" spans="1:35" s="267" customFormat="1" ht="15.75" thickBot="1" x14ac:dyDescent="0.3">
      <c r="A869" s="931" t="s">
        <v>0</v>
      </c>
      <c r="B869" s="949"/>
      <c r="C869" s="298" t="s">
        <v>99</v>
      </c>
      <c r="D869" s="291" t="s">
        <v>100</v>
      </c>
      <c r="E869" s="298" t="s">
        <v>101</v>
      </c>
      <c r="F869" s="306" t="s">
        <v>102</v>
      </c>
      <c r="G869" s="306" t="s">
        <v>97</v>
      </c>
      <c r="H869" s="306" t="s">
        <v>104</v>
      </c>
      <c r="I869" s="306" t="s">
        <v>103</v>
      </c>
      <c r="J869" s="314" t="s">
        <v>178</v>
      </c>
      <c r="K869" s="298" t="s">
        <v>105</v>
      </c>
      <c r="L869" s="306" t="s">
        <v>107</v>
      </c>
      <c r="M869" s="312" t="s">
        <v>98</v>
      </c>
      <c r="N869" s="313" t="s">
        <v>106</v>
      </c>
      <c r="O869" s="291" t="s">
        <v>179</v>
      </c>
      <c r="P869" s="317" t="s">
        <v>182</v>
      </c>
      <c r="Q869" s="291" t="s">
        <v>184</v>
      </c>
      <c r="R869" s="12"/>
      <c r="S869" s="12"/>
      <c r="T869" s="12"/>
      <c r="U869" s="12"/>
      <c r="V869" s="12"/>
      <c r="W869" s="12"/>
      <c r="X869" s="12"/>
      <c r="Y869" s="12"/>
      <c r="Z869" s="12"/>
      <c r="AA869" s="126"/>
      <c r="AB869" s="125"/>
      <c r="AC869" s="126"/>
      <c r="AH869" s="743"/>
      <c r="AI869" s="743"/>
    </row>
    <row r="870" spans="1:35" s="267" customFormat="1" ht="15" customHeight="1" x14ac:dyDescent="0.25">
      <c r="A870" s="935" t="s">
        <v>9</v>
      </c>
      <c r="B870" s="19" t="s">
        <v>4</v>
      </c>
      <c r="C870" s="299">
        <v>143392.20000000001</v>
      </c>
      <c r="D870" s="265">
        <v>150515.79999999999</v>
      </c>
      <c r="E870" s="299">
        <v>150515.79999999999</v>
      </c>
      <c r="F870" s="283">
        <v>181997.8</v>
      </c>
      <c r="G870" s="283">
        <v>165452.5</v>
      </c>
      <c r="H870" s="283">
        <v>132132</v>
      </c>
      <c r="I870" s="283">
        <v>121331.8</v>
      </c>
      <c r="J870" s="265">
        <v>166077.9</v>
      </c>
      <c r="K870" s="299">
        <v>193027</v>
      </c>
      <c r="L870" s="283">
        <v>132132.20000000001</v>
      </c>
      <c r="M870" s="283">
        <v>82726.3</v>
      </c>
      <c r="N870" s="283">
        <v>176482.7</v>
      </c>
      <c r="O870" s="265">
        <v>83039</v>
      </c>
      <c r="P870" s="318">
        <v>55151</v>
      </c>
      <c r="Q870" s="265">
        <v>33090.5</v>
      </c>
      <c r="R870" s="70"/>
      <c r="S870" s="70"/>
      <c r="T870" s="70"/>
      <c r="U870" s="70"/>
      <c r="V870" s="70"/>
      <c r="W870" s="70"/>
      <c r="X870" s="70"/>
      <c r="Y870" s="70"/>
      <c r="Z870" s="70"/>
      <c r="AA870" s="70"/>
      <c r="AB870" s="70"/>
      <c r="AC870" s="70"/>
      <c r="AH870" s="743"/>
      <c r="AI870" s="743"/>
    </row>
    <row r="871" spans="1:35" s="267" customFormat="1" x14ac:dyDescent="0.25">
      <c r="A871" s="936"/>
      <c r="B871" s="293" t="s">
        <v>5</v>
      </c>
      <c r="C871" s="300">
        <v>42041.3</v>
      </c>
      <c r="D871" s="264">
        <v>77208.800000000003</v>
      </c>
      <c r="E871" s="300">
        <v>78613.8</v>
      </c>
      <c r="F871" s="307">
        <v>156441.29999999999</v>
      </c>
      <c r="G871" s="307">
        <v>85582.7</v>
      </c>
      <c r="H871" s="307">
        <v>46836.6</v>
      </c>
      <c r="I871" s="307">
        <v>67734.7</v>
      </c>
      <c r="J871" s="264">
        <v>7622</v>
      </c>
      <c r="K871" s="300">
        <v>155295</v>
      </c>
      <c r="L871" s="307">
        <v>54552.5</v>
      </c>
      <c r="M871" s="307">
        <v>44431.4</v>
      </c>
      <c r="N871" s="307">
        <v>132073.5</v>
      </c>
      <c r="O871" s="264">
        <v>3902.7</v>
      </c>
      <c r="P871" s="319">
        <v>4319.5</v>
      </c>
      <c r="Q871" s="264">
        <v>2201.5</v>
      </c>
      <c r="R871" s="70"/>
      <c r="S871" s="70"/>
      <c r="T871" s="70"/>
      <c r="U871" s="70"/>
      <c r="V871" s="70"/>
      <c r="W871" s="70"/>
      <c r="X871" s="70"/>
      <c r="Y871" s="70"/>
      <c r="Z871" s="70"/>
      <c r="AA871" s="70"/>
      <c r="AB871" s="70"/>
      <c r="AC871" s="70"/>
      <c r="AH871" s="743"/>
      <c r="AI871" s="743"/>
    </row>
    <row r="872" spans="1:35" s="267" customFormat="1" ht="15.75" thickBot="1" x14ac:dyDescent="0.3">
      <c r="A872" s="937"/>
      <c r="B872" s="294" t="s">
        <v>3</v>
      </c>
      <c r="C872" s="301">
        <f t="shared" ref="C872:Q872" si="412">C871/C870</f>
        <v>0.29319098249416636</v>
      </c>
      <c r="D872" s="292">
        <f t="shared" si="412"/>
        <v>0.51296142996283456</v>
      </c>
      <c r="E872" s="305">
        <f t="shared" si="412"/>
        <v>0.52229599816099048</v>
      </c>
      <c r="F872" s="278">
        <f t="shared" si="412"/>
        <v>0.85957797292055182</v>
      </c>
      <c r="G872" s="278">
        <f t="shared" si="412"/>
        <v>0.51726447167616085</v>
      </c>
      <c r="H872" s="278">
        <f t="shared" si="412"/>
        <v>0.35446825901371354</v>
      </c>
      <c r="I872" s="278">
        <f t="shared" si="412"/>
        <v>0.5582600769130599</v>
      </c>
      <c r="J872" s="292">
        <f t="shared" si="412"/>
        <v>4.5894125588052358E-2</v>
      </c>
      <c r="K872" s="305">
        <f t="shared" si="412"/>
        <v>0.80452475560413828</v>
      </c>
      <c r="L872" s="278">
        <f t="shared" si="412"/>
        <v>0.41286302657489993</v>
      </c>
      <c r="M872" s="315">
        <f t="shared" si="412"/>
        <v>0.53708917236719156</v>
      </c>
      <c r="N872" s="278">
        <f t="shared" si="412"/>
        <v>0.748365137206083</v>
      </c>
      <c r="O872" s="292">
        <f t="shared" si="412"/>
        <v>4.6998398342947285E-2</v>
      </c>
      <c r="P872" s="320">
        <f t="shared" si="412"/>
        <v>7.8321335968522782E-2</v>
      </c>
      <c r="Q872" s="292">
        <f t="shared" si="412"/>
        <v>6.6529668636013353E-2</v>
      </c>
      <c r="R872" s="70"/>
      <c r="S872" s="70"/>
      <c r="T872" s="70"/>
      <c r="U872" s="70"/>
      <c r="V872" s="70"/>
      <c r="W872" s="70"/>
      <c r="X872" s="70"/>
      <c r="Y872" s="70"/>
      <c r="Z872" s="70"/>
      <c r="AA872" s="70"/>
      <c r="AB872" s="70"/>
      <c r="AC872" s="70"/>
      <c r="AH872" s="743"/>
      <c r="AI872" s="743"/>
    </row>
    <row r="873" spans="1:35" s="267" customFormat="1" ht="15" customHeight="1" x14ac:dyDescent="0.25">
      <c r="A873" s="938" t="s">
        <v>6</v>
      </c>
      <c r="B873" s="19" t="s">
        <v>7</v>
      </c>
      <c r="C873" s="297">
        <v>5870</v>
      </c>
      <c r="D873" s="266">
        <v>3333</v>
      </c>
      <c r="E873" s="297">
        <v>3330</v>
      </c>
      <c r="F873" s="277">
        <v>9457</v>
      </c>
      <c r="G873" s="277">
        <v>7753</v>
      </c>
      <c r="H873" s="277">
        <v>15543</v>
      </c>
      <c r="I873" s="277">
        <v>7183</v>
      </c>
      <c r="J873" s="266">
        <v>9599</v>
      </c>
      <c r="K873" s="297">
        <v>9289</v>
      </c>
      <c r="L873" s="277">
        <v>12263</v>
      </c>
      <c r="M873" s="277">
        <v>4133</v>
      </c>
      <c r="N873" s="277">
        <v>9494</v>
      </c>
      <c r="O873" s="266">
        <v>4799</v>
      </c>
      <c r="P873" s="321">
        <v>1400</v>
      </c>
      <c r="Q873" s="266">
        <v>1000</v>
      </c>
      <c r="R873" s="70"/>
      <c r="S873" s="70"/>
      <c r="T873" s="70"/>
      <c r="U873" s="70"/>
      <c r="V873" s="70"/>
      <c r="W873" s="70"/>
      <c r="X873" s="70"/>
      <c r="Y873" s="70"/>
      <c r="Z873" s="70"/>
      <c r="AA873" s="70"/>
      <c r="AB873" s="70"/>
      <c r="AC873" s="70"/>
      <c r="AH873" s="743"/>
      <c r="AI873" s="743"/>
    </row>
    <row r="874" spans="1:35" s="267" customFormat="1" x14ac:dyDescent="0.25">
      <c r="A874" s="939"/>
      <c r="B874" s="295" t="s">
        <v>11</v>
      </c>
      <c r="C874" s="302">
        <f t="shared" ref="C874:Q874" si="413">C873*33.72</f>
        <v>197936.4</v>
      </c>
      <c r="D874" s="263">
        <f t="shared" si="413"/>
        <v>112388.76</v>
      </c>
      <c r="E874" s="302">
        <f t="shared" si="413"/>
        <v>112287.59999999999</v>
      </c>
      <c r="F874" s="308">
        <f t="shared" si="413"/>
        <v>318890.03999999998</v>
      </c>
      <c r="G874" s="308">
        <f t="shared" si="413"/>
        <v>261431.16</v>
      </c>
      <c r="H874" s="308">
        <f t="shared" si="413"/>
        <v>524109.95999999996</v>
      </c>
      <c r="I874" s="308">
        <f t="shared" si="413"/>
        <v>242210.75999999998</v>
      </c>
      <c r="J874" s="263">
        <f t="shared" si="413"/>
        <v>323678.27999999997</v>
      </c>
      <c r="K874" s="302">
        <f t="shared" si="413"/>
        <v>313225.08</v>
      </c>
      <c r="L874" s="308">
        <f t="shared" si="413"/>
        <v>413508.36</v>
      </c>
      <c r="M874" s="308">
        <f t="shared" si="413"/>
        <v>139364.76</v>
      </c>
      <c r="N874" s="308">
        <f t="shared" si="413"/>
        <v>320137.68</v>
      </c>
      <c r="O874" s="263">
        <f t="shared" si="413"/>
        <v>161822.28</v>
      </c>
      <c r="P874" s="322">
        <f t="shared" si="413"/>
        <v>47208</v>
      </c>
      <c r="Q874" s="263">
        <f t="shared" si="413"/>
        <v>33720</v>
      </c>
      <c r="R874" s="70"/>
      <c r="S874" s="70"/>
      <c r="T874" s="70"/>
      <c r="U874" s="70"/>
      <c r="V874" s="70"/>
      <c r="W874" s="70"/>
      <c r="X874" s="70"/>
      <c r="Y874" s="70"/>
      <c r="Z874" s="70"/>
      <c r="AA874" s="70"/>
      <c r="AB874" s="70"/>
      <c r="AC874" s="70"/>
      <c r="AH874" s="743"/>
      <c r="AI874" s="743"/>
    </row>
    <row r="875" spans="1:35" s="267" customFormat="1" x14ac:dyDescent="0.25">
      <c r="A875" s="939"/>
      <c r="B875" s="295" t="s">
        <v>79</v>
      </c>
      <c r="C875" s="302">
        <v>164000</v>
      </c>
      <c r="D875" s="263">
        <v>109880</v>
      </c>
      <c r="E875" s="302">
        <v>109880</v>
      </c>
      <c r="F875" s="308">
        <v>328000</v>
      </c>
      <c r="G875" s="308">
        <v>330905</v>
      </c>
      <c r="H875" s="308">
        <v>264264</v>
      </c>
      <c r="I875" s="308">
        <v>242663.6</v>
      </c>
      <c r="J875" s="263">
        <v>328000</v>
      </c>
      <c r="K875" s="302">
        <v>328000</v>
      </c>
      <c r="L875" s="308">
        <v>264264.40000000002</v>
      </c>
      <c r="M875" s="308">
        <v>328000</v>
      </c>
      <c r="N875" s="308">
        <v>352965.4</v>
      </c>
      <c r="O875" s="263">
        <v>328000</v>
      </c>
      <c r="P875" s="322">
        <f>2*P870</f>
        <v>110302</v>
      </c>
      <c r="Q875" s="263">
        <f>2*Q870</f>
        <v>66181</v>
      </c>
      <c r="R875" s="70"/>
      <c r="S875" s="70"/>
      <c r="T875" s="70"/>
      <c r="U875" s="70"/>
      <c r="V875" s="70"/>
      <c r="W875" s="70"/>
      <c r="X875" s="70"/>
      <c r="Y875" s="70"/>
      <c r="Z875" s="70"/>
      <c r="AA875" s="70"/>
      <c r="AB875" s="70"/>
      <c r="AC875" s="70"/>
      <c r="AH875" s="743"/>
      <c r="AI875" s="743"/>
    </row>
    <row r="876" spans="1:35" s="267" customFormat="1" x14ac:dyDescent="0.25">
      <c r="A876" s="939"/>
      <c r="B876" s="293" t="s">
        <v>8</v>
      </c>
      <c r="C876" s="303">
        <f>SUM(C873-168)</f>
        <v>5702</v>
      </c>
      <c r="D876" s="262">
        <f>SUM(D873-686)</f>
        <v>2647</v>
      </c>
      <c r="E876" s="303">
        <f>SUM(E873-652)</f>
        <v>2678</v>
      </c>
      <c r="F876" s="309">
        <f>SUM(F873-1211)</f>
        <v>8246</v>
      </c>
      <c r="G876" s="309">
        <f>SUM(G873-4214)</f>
        <v>3539</v>
      </c>
      <c r="H876" s="309">
        <f>SUM(H873-2152)</f>
        <v>13391</v>
      </c>
      <c r="I876" s="309">
        <f>SUM(I873-(3790-2000))</f>
        <v>5393</v>
      </c>
      <c r="J876" s="262">
        <f>SUM(J873-9313)</f>
        <v>286</v>
      </c>
      <c r="K876" s="303">
        <f>SUM(K873-962)</f>
        <v>8327</v>
      </c>
      <c r="L876" s="309">
        <f>SUM(L873-2060)</f>
        <v>10203</v>
      </c>
      <c r="M876" s="316">
        <f>SUM(M873-408)</f>
        <v>3725</v>
      </c>
      <c r="N876" s="309">
        <f>SUM(N873-(5635-2614))</f>
        <v>6473</v>
      </c>
      <c r="O876" s="262">
        <f>SUM(O873-4074)</f>
        <v>725</v>
      </c>
      <c r="P876" s="323">
        <f>SUM(P873-861)</f>
        <v>539</v>
      </c>
      <c r="Q876" s="262">
        <f>SUM(Q873-655)</f>
        <v>345</v>
      </c>
      <c r="R876" s="12" t="s">
        <v>176</v>
      </c>
      <c r="S876" s="70"/>
      <c r="T876" s="70"/>
      <c r="U876" s="70"/>
      <c r="V876" s="70"/>
      <c r="W876" s="70"/>
      <c r="X876" s="70"/>
      <c r="Y876" s="70"/>
      <c r="Z876" s="70"/>
      <c r="AA876" s="276"/>
      <c r="AB876" s="276"/>
      <c r="AH876" s="743"/>
      <c r="AI876" s="743"/>
    </row>
    <row r="877" spans="1:35" s="267" customFormat="1" x14ac:dyDescent="0.25">
      <c r="A877" s="939"/>
      <c r="B877" s="296" t="s">
        <v>77</v>
      </c>
      <c r="C877" s="302">
        <f>(C876*33.717)</f>
        <v>192254.334</v>
      </c>
      <c r="D877" s="338">
        <f>(D876*33.717)</f>
        <v>89248.89899999999</v>
      </c>
      <c r="E877" s="302">
        <f>(E876*33.717)</f>
        <v>90294.126000000004</v>
      </c>
      <c r="F877" s="338">
        <f>(F876*33.717)</f>
        <v>278030.38199999998</v>
      </c>
      <c r="G877" s="280">
        <f>(G876*33.717)*2</f>
        <v>238648.92599999998</v>
      </c>
      <c r="H877" s="280">
        <f>(H876*33.717)</f>
        <v>451504.34700000001</v>
      </c>
      <c r="I877" s="280">
        <f>(I876*33.717)-(2000*33.717)</f>
        <v>114401.78099999999</v>
      </c>
      <c r="J877" s="261">
        <f>J876*33.717</f>
        <v>9643.0619999999999</v>
      </c>
      <c r="K877" s="304">
        <f>K876*33.717</f>
        <v>280761.45899999997</v>
      </c>
      <c r="L877" s="280">
        <f>L876*33.717</f>
        <v>344014.55099999998</v>
      </c>
      <c r="M877" s="280">
        <f>(M876*33.717)</f>
        <v>125595.825</v>
      </c>
      <c r="N877" s="280">
        <f>N876*33.717</f>
        <v>218250.141</v>
      </c>
      <c r="O877" s="261">
        <f>O876*33.717</f>
        <v>24444.825000000001</v>
      </c>
      <c r="P877" s="324">
        <f>P876*33.717</f>
        <v>18173.463</v>
      </c>
      <c r="Q877" s="325">
        <f>Q876*33.717</f>
        <v>11632.365</v>
      </c>
      <c r="R877" s="63">
        <f>344240-H877</f>
        <v>-107264.34700000001</v>
      </c>
      <c r="S877" s="70" t="s">
        <v>177</v>
      </c>
      <c r="T877" s="70"/>
      <c r="U877" s="70"/>
      <c r="V877" s="70"/>
      <c r="W877" s="70"/>
      <c r="X877" s="70"/>
      <c r="Y877" s="70"/>
      <c r="Z877" s="70"/>
      <c r="AA877" s="276"/>
      <c r="AB877" s="276"/>
      <c r="AH877" s="743"/>
      <c r="AI877" s="743"/>
    </row>
    <row r="878" spans="1:35" s="267" customFormat="1" ht="15.75" thickBot="1" x14ac:dyDescent="0.3">
      <c r="A878" s="940"/>
      <c r="B878" s="294" t="s">
        <v>10</v>
      </c>
      <c r="C878" s="305">
        <f t="shared" ref="C878:Q878" si="414">C877/C870</f>
        <v>1.3407586605129149</v>
      </c>
      <c r="D878" s="292">
        <f t="shared" si="414"/>
        <v>0.59295368991162389</v>
      </c>
      <c r="E878" s="310">
        <f t="shared" si="414"/>
        <v>0.59989799077571926</v>
      </c>
      <c r="F878" s="282">
        <f t="shared" si="414"/>
        <v>1.5276579277331923</v>
      </c>
      <c r="G878" s="282">
        <f t="shared" si="414"/>
        <v>1.4424014505673832</v>
      </c>
      <c r="H878" s="282">
        <f t="shared" si="414"/>
        <v>3.4170704068658613</v>
      </c>
      <c r="I878" s="282">
        <f t="shared" si="414"/>
        <v>0.94288373699228056</v>
      </c>
      <c r="J878" s="311">
        <f t="shared" si="414"/>
        <v>5.8063487074439167E-2</v>
      </c>
      <c r="K878" s="310">
        <f t="shared" si="414"/>
        <v>1.4545191035450997</v>
      </c>
      <c r="L878" s="282">
        <f t="shared" si="414"/>
        <v>2.6035633327833785</v>
      </c>
      <c r="M878" s="282">
        <f t="shared" si="414"/>
        <v>1.5182091426789304</v>
      </c>
      <c r="N878" s="260">
        <f t="shared" si="414"/>
        <v>1.2366659224955194</v>
      </c>
      <c r="O878" s="311">
        <f t="shared" si="414"/>
        <v>0.29437764183094689</v>
      </c>
      <c r="P878" s="305">
        <f t="shared" si="414"/>
        <v>0.32952191256731517</v>
      </c>
      <c r="Q878" s="292">
        <f t="shared" si="414"/>
        <v>0.35153185959716532</v>
      </c>
      <c r="R878" s="126"/>
      <c r="S878" s="70"/>
      <c r="T878" s="70"/>
      <c r="U878" s="70"/>
      <c r="V878" s="70"/>
      <c r="W878" s="70"/>
      <c r="X878" s="70"/>
      <c r="Y878" s="70"/>
      <c r="Z878" s="70"/>
      <c r="AA878" s="276"/>
      <c r="AB878" s="276"/>
      <c r="AH878" s="743"/>
      <c r="AI878" s="743"/>
    </row>
    <row r="879" spans="1:35" s="267" customFormat="1" ht="15.75" thickBot="1" x14ac:dyDescent="0.3">
      <c r="A879" s="924">
        <v>41344</v>
      </c>
      <c r="B879" s="924"/>
      <c r="C879" s="924"/>
      <c r="D879" s="276"/>
      <c r="E879" s="276"/>
      <c r="F879" s="276"/>
      <c r="G879" s="276"/>
      <c r="H879" s="276"/>
      <c r="I879" s="11"/>
      <c r="J879" s="281"/>
      <c r="K879" s="281"/>
      <c r="L879" s="276"/>
      <c r="M879" s="276"/>
      <c r="N879" s="13"/>
      <c r="R879" s="12"/>
      <c r="S879" s="70"/>
      <c r="T879" s="70"/>
      <c r="U879" s="70"/>
      <c r="V879" s="70"/>
      <c r="W879" s="70"/>
      <c r="X879" s="70"/>
      <c r="Y879" s="70"/>
      <c r="Z879" s="70"/>
      <c r="AA879" s="276"/>
      <c r="AB879" s="276"/>
      <c r="AH879" s="743"/>
      <c r="AI879" s="743"/>
    </row>
    <row r="880" spans="1:35" s="267" customFormat="1" x14ac:dyDescent="0.25">
      <c r="A880" s="925" t="s">
        <v>1</v>
      </c>
      <c r="B880" s="927"/>
      <c r="C880" s="297" t="s">
        <v>12</v>
      </c>
      <c r="D880" s="266" t="s">
        <v>12</v>
      </c>
      <c r="E880" s="297" t="s">
        <v>13</v>
      </c>
      <c r="F880" s="277" t="s">
        <v>13</v>
      </c>
      <c r="G880" s="277" t="s">
        <v>13</v>
      </c>
      <c r="H880" s="277" t="s">
        <v>13</v>
      </c>
      <c r="I880" s="277" t="s">
        <v>13</v>
      </c>
      <c r="J880" s="266" t="s">
        <v>13</v>
      </c>
      <c r="K880" s="297" t="s">
        <v>2</v>
      </c>
      <c r="L880" s="277" t="s">
        <v>2</v>
      </c>
      <c r="M880" s="286" t="s">
        <v>2</v>
      </c>
      <c r="N880" s="277" t="s">
        <v>2</v>
      </c>
      <c r="O880" s="266" t="s">
        <v>2</v>
      </c>
      <c r="P880" s="328" t="s">
        <v>183</v>
      </c>
      <c r="Q880" s="327" t="s">
        <v>183</v>
      </c>
      <c r="R880" s="12"/>
      <c r="S880" s="70"/>
      <c r="T880" s="70"/>
      <c r="U880" s="70"/>
      <c r="V880" s="70"/>
      <c r="W880" s="70"/>
      <c r="X880" s="70"/>
      <c r="Y880" s="70"/>
      <c r="Z880" s="70"/>
      <c r="AA880" s="276"/>
      <c r="AB880" s="276"/>
      <c r="AH880" s="743"/>
      <c r="AI880" s="743"/>
    </row>
    <row r="881" spans="1:35" s="267" customFormat="1" ht="15.75" thickBot="1" x14ac:dyDescent="0.3">
      <c r="A881" s="931" t="s">
        <v>0</v>
      </c>
      <c r="B881" s="949"/>
      <c r="C881" s="298" t="s">
        <v>99</v>
      </c>
      <c r="D881" s="291" t="s">
        <v>100</v>
      </c>
      <c r="E881" s="298" t="s">
        <v>101</v>
      </c>
      <c r="F881" s="306" t="s">
        <v>102</v>
      </c>
      <c r="G881" s="306" t="s">
        <v>97</v>
      </c>
      <c r="H881" s="306" t="s">
        <v>104</v>
      </c>
      <c r="I881" s="306" t="s">
        <v>103</v>
      </c>
      <c r="J881" s="314" t="s">
        <v>178</v>
      </c>
      <c r="K881" s="298" t="s">
        <v>105</v>
      </c>
      <c r="L881" s="306" t="s">
        <v>107</v>
      </c>
      <c r="M881" s="312" t="s">
        <v>98</v>
      </c>
      <c r="N881" s="313" t="s">
        <v>106</v>
      </c>
      <c r="O881" s="291" t="s">
        <v>179</v>
      </c>
      <c r="P881" s="317" t="s">
        <v>182</v>
      </c>
      <c r="Q881" s="291" t="s">
        <v>184</v>
      </c>
      <c r="R881" s="12"/>
      <c r="S881" s="12"/>
      <c r="T881" s="12"/>
      <c r="U881" s="12"/>
      <c r="V881" s="12"/>
      <c r="W881" s="12"/>
      <c r="X881" s="12"/>
      <c r="Y881" s="12"/>
      <c r="Z881" s="12"/>
      <c r="AA881" s="126"/>
      <c r="AB881" s="125"/>
      <c r="AC881" s="126"/>
      <c r="AH881" s="743"/>
      <c r="AI881" s="743"/>
    </row>
    <row r="882" spans="1:35" s="267" customFormat="1" ht="15" customHeight="1" x14ac:dyDescent="0.25">
      <c r="A882" s="935" t="s">
        <v>9</v>
      </c>
      <c r="B882" s="19" t="s">
        <v>4</v>
      </c>
      <c r="C882" s="299">
        <v>143392.20000000001</v>
      </c>
      <c r="D882" s="265">
        <v>150515.79999999999</v>
      </c>
      <c r="E882" s="299">
        <v>150515.79999999999</v>
      </c>
      <c r="F882" s="283">
        <v>181997.8</v>
      </c>
      <c r="G882" s="283">
        <v>165452.5</v>
      </c>
      <c r="H882" s="283">
        <v>132132</v>
      </c>
      <c r="I882" s="283">
        <v>121331.8</v>
      </c>
      <c r="J882" s="265">
        <v>166077.9</v>
      </c>
      <c r="K882" s="299">
        <v>193027</v>
      </c>
      <c r="L882" s="283">
        <v>132132.20000000001</v>
      </c>
      <c r="M882" s="283">
        <v>82726.3</v>
      </c>
      <c r="N882" s="283">
        <v>176482.7</v>
      </c>
      <c r="O882" s="265">
        <v>83039</v>
      </c>
      <c r="P882" s="318">
        <v>55151</v>
      </c>
      <c r="Q882" s="265">
        <v>33090.5</v>
      </c>
      <c r="R882" s="70"/>
      <c r="S882" s="70"/>
      <c r="T882" s="70"/>
      <c r="U882" s="70"/>
      <c r="V882" s="70"/>
      <c r="W882" s="70"/>
      <c r="X882" s="70"/>
      <c r="Y882" s="70"/>
      <c r="Z882" s="70"/>
      <c r="AA882" s="70"/>
      <c r="AB882" s="70"/>
      <c r="AC882" s="70"/>
      <c r="AH882" s="743"/>
      <c r="AI882" s="743"/>
    </row>
    <row r="883" spans="1:35" s="267" customFormat="1" x14ac:dyDescent="0.25">
      <c r="A883" s="936"/>
      <c r="B883" s="293" t="s">
        <v>5</v>
      </c>
      <c r="C883" s="300">
        <v>42701.5</v>
      </c>
      <c r="D883" s="264">
        <v>77199.3</v>
      </c>
      <c r="E883" s="300">
        <v>78613.8</v>
      </c>
      <c r="F883" s="307">
        <v>156422.20000000001</v>
      </c>
      <c r="G883" s="307">
        <v>85582.7</v>
      </c>
      <c r="H883" s="307">
        <v>47094.9</v>
      </c>
      <c r="I883" s="307">
        <v>67688.7</v>
      </c>
      <c r="J883" s="264">
        <v>7622</v>
      </c>
      <c r="K883" s="300">
        <v>155259.9</v>
      </c>
      <c r="L883" s="307">
        <v>55077.9</v>
      </c>
      <c r="M883" s="307">
        <v>44382.3</v>
      </c>
      <c r="N883" s="307">
        <v>132047.70000000001</v>
      </c>
      <c r="O883" s="264">
        <v>3902.3</v>
      </c>
      <c r="P883" s="319">
        <v>4274.8999999999996</v>
      </c>
      <c r="Q883" s="264">
        <v>2165</v>
      </c>
      <c r="R883" s="70"/>
      <c r="S883" s="70"/>
      <c r="T883" s="70"/>
      <c r="U883" s="70"/>
      <c r="V883" s="70"/>
      <c r="W883" s="70"/>
      <c r="X883" s="70"/>
      <c r="Y883" s="70"/>
      <c r="Z883" s="70"/>
      <c r="AA883" s="70"/>
      <c r="AB883" s="70"/>
      <c r="AC883" s="70"/>
      <c r="AH883" s="743"/>
      <c r="AI883" s="743"/>
    </row>
    <row r="884" spans="1:35" s="267" customFormat="1" ht="15.75" thickBot="1" x14ac:dyDescent="0.3">
      <c r="A884" s="937"/>
      <c r="B884" s="294" t="s">
        <v>3</v>
      </c>
      <c r="C884" s="301">
        <f t="shared" ref="C884:Q884" si="415">C883/C882</f>
        <v>0.29779513808979846</v>
      </c>
      <c r="D884" s="292">
        <f t="shared" si="415"/>
        <v>0.51289831366540928</v>
      </c>
      <c r="E884" s="305">
        <f t="shared" si="415"/>
        <v>0.52229599816099048</v>
      </c>
      <c r="F884" s="278">
        <f t="shared" si="415"/>
        <v>0.85947302659702496</v>
      </c>
      <c r="G884" s="278">
        <f t="shared" si="415"/>
        <v>0.51726447167616085</v>
      </c>
      <c r="H884" s="278">
        <f t="shared" si="415"/>
        <v>0.35642312233221324</v>
      </c>
      <c r="I884" s="278">
        <f t="shared" si="415"/>
        <v>0.55788095124279036</v>
      </c>
      <c r="J884" s="292">
        <f t="shared" si="415"/>
        <v>4.5894125588052358E-2</v>
      </c>
      <c r="K884" s="305">
        <f t="shared" si="415"/>
        <v>0.80434291575789907</v>
      </c>
      <c r="L884" s="278">
        <f t="shared" si="415"/>
        <v>0.41683934725978977</v>
      </c>
      <c r="M884" s="315">
        <f t="shared" si="415"/>
        <v>0.53649564890488277</v>
      </c>
      <c r="N884" s="278">
        <f t="shared" si="415"/>
        <v>0.74821894723958782</v>
      </c>
      <c r="O884" s="292">
        <f t="shared" si="415"/>
        <v>4.6993581329254928E-2</v>
      </c>
      <c r="P884" s="320">
        <f t="shared" si="415"/>
        <v>7.7512647096154186E-2</v>
      </c>
      <c r="Q884" s="292">
        <f t="shared" si="415"/>
        <v>6.5426633021562083E-2</v>
      </c>
      <c r="R884" s="70"/>
      <c r="S884" s="70"/>
      <c r="T884" s="70"/>
      <c r="U884" s="70"/>
      <c r="V884" s="70"/>
      <c r="W884" s="70"/>
      <c r="X884" s="70"/>
      <c r="Y884" s="70"/>
      <c r="Z884" s="70"/>
      <c r="AA884" s="70"/>
      <c r="AB884" s="70"/>
      <c r="AC884" s="70"/>
      <c r="AH884" s="743"/>
      <c r="AI884" s="743"/>
    </row>
    <row r="885" spans="1:35" s="267" customFormat="1" ht="15" customHeight="1" x14ac:dyDescent="0.25">
      <c r="A885" s="938" t="s">
        <v>6</v>
      </c>
      <c r="B885" s="19" t="s">
        <v>7</v>
      </c>
      <c r="C885" s="297">
        <v>5870</v>
      </c>
      <c r="D885" s="266">
        <v>3333</v>
      </c>
      <c r="E885" s="297">
        <v>3330</v>
      </c>
      <c r="F885" s="277">
        <v>9457</v>
      </c>
      <c r="G885" s="277">
        <v>7753</v>
      </c>
      <c r="H885" s="277">
        <v>15143</v>
      </c>
      <c r="I885" s="277">
        <v>7183</v>
      </c>
      <c r="J885" s="266">
        <v>9599</v>
      </c>
      <c r="K885" s="297">
        <v>9289</v>
      </c>
      <c r="L885" s="277">
        <v>11463</v>
      </c>
      <c r="M885" s="277">
        <v>4133</v>
      </c>
      <c r="N885" s="277">
        <v>9494</v>
      </c>
      <c r="O885" s="266">
        <v>4799</v>
      </c>
      <c r="P885" s="321">
        <v>1400</v>
      </c>
      <c r="Q885" s="266">
        <v>1000</v>
      </c>
      <c r="R885" s="70"/>
      <c r="S885" s="70"/>
      <c r="T885" s="70"/>
      <c r="U885" s="70"/>
      <c r="V885" s="70"/>
      <c r="W885" s="70"/>
      <c r="X885" s="70"/>
      <c r="Y885" s="70"/>
      <c r="Z885" s="70"/>
      <c r="AA885" s="70"/>
      <c r="AB885" s="70"/>
      <c r="AC885" s="70"/>
      <c r="AH885" s="743"/>
      <c r="AI885" s="743"/>
    </row>
    <row r="886" spans="1:35" s="267" customFormat="1" x14ac:dyDescent="0.25">
      <c r="A886" s="939"/>
      <c r="B886" s="295" t="s">
        <v>11</v>
      </c>
      <c r="C886" s="302">
        <f t="shared" ref="C886:Q886" si="416">C885*33.72</f>
        <v>197936.4</v>
      </c>
      <c r="D886" s="263">
        <f t="shared" si="416"/>
        <v>112388.76</v>
      </c>
      <c r="E886" s="302">
        <f t="shared" si="416"/>
        <v>112287.59999999999</v>
      </c>
      <c r="F886" s="308">
        <f t="shared" si="416"/>
        <v>318890.03999999998</v>
      </c>
      <c r="G886" s="308">
        <f t="shared" si="416"/>
        <v>261431.16</v>
      </c>
      <c r="H886" s="308">
        <f t="shared" si="416"/>
        <v>510621.95999999996</v>
      </c>
      <c r="I886" s="308">
        <f t="shared" si="416"/>
        <v>242210.75999999998</v>
      </c>
      <c r="J886" s="263">
        <f t="shared" si="416"/>
        <v>323678.27999999997</v>
      </c>
      <c r="K886" s="302">
        <f t="shared" si="416"/>
        <v>313225.08</v>
      </c>
      <c r="L886" s="308">
        <f t="shared" si="416"/>
        <v>386532.36</v>
      </c>
      <c r="M886" s="308">
        <f t="shared" si="416"/>
        <v>139364.76</v>
      </c>
      <c r="N886" s="308">
        <f t="shared" si="416"/>
        <v>320137.68</v>
      </c>
      <c r="O886" s="263">
        <f t="shared" si="416"/>
        <v>161822.28</v>
      </c>
      <c r="P886" s="322">
        <f t="shared" si="416"/>
        <v>47208</v>
      </c>
      <c r="Q886" s="263">
        <f t="shared" si="416"/>
        <v>33720</v>
      </c>
      <c r="R886" s="70"/>
      <c r="S886" s="70"/>
      <c r="T886" s="70"/>
      <c r="U886" s="70"/>
      <c r="V886" s="70"/>
      <c r="W886" s="70"/>
      <c r="X886" s="70"/>
      <c r="Y886" s="70"/>
      <c r="Z886" s="70"/>
      <c r="AA886" s="70"/>
      <c r="AB886" s="70"/>
      <c r="AC886" s="70"/>
      <c r="AH886" s="743"/>
      <c r="AI886" s="743"/>
    </row>
    <row r="887" spans="1:35" s="267" customFormat="1" x14ac:dyDescent="0.25">
      <c r="A887" s="939"/>
      <c r="B887" s="295" t="s">
        <v>79</v>
      </c>
      <c r="C887" s="302">
        <v>164000</v>
      </c>
      <c r="D887" s="263">
        <v>109880</v>
      </c>
      <c r="E887" s="302">
        <v>109880</v>
      </c>
      <c r="F887" s="308">
        <v>328000</v>
      </c>
      <c r="G887" s="308">
        <v>330905</v>
      </c>
      <c r="H887" s="308">
        <v>264264</v>
      </c>
      <c r="I887" s="308">
        <v>242663.6</v>
      </c>
      <c r="J887" s="263">
        <v>328000</v>
      </c>
      <c r="K887" s="302">
        <v>328000</v>
      </c>
      <c r="L887" s="308">
        <v>264264.40000000002</v>
      </c>
      <c r="M887" s="308">
        <v>328000</v>
      </c>
      <c r="N887" s="308">
        <v>352965.4</v>
      </c>
      <c r="O887" s="263">
        <v>328000</v>
      </c>
      <c r="P887" s="322">
        <f>2*P882</f>
        <v>110302</v>
      </c>
      <c r="Q887" s="263">
        <f>2*Q882</f>
        <v>66181</v>
      </c>
      <c r="R887" s="70"/>
      <c r="S887" s="70"/>
      <c r="T887" s="70"/>
      <c r="U887" s="70"/>
      <c r="V887" s="70"/>
      <c r="W887" s="70"/>
      <c r="X887" s="70"/>
      <c r="Y887" s="70"/>
      <c r="Z887" s="70"/>
      <c r="AA887" s="70"/>
      <c r="AB887" s="70"/>
      <c r="AC887" s="70"/>
      <c r="AH887" s="743"/>
      <c r="AI887" s="743"/>
    </row>
    <row r="888" spans="1:35" s="267" customFormat="1" x14ac:dyDescent="0.25">
      <c r="A888" s="939"/>
      <c r="B888" s="293" t="s">
        <v>8</v>
      </c>
      <c r="C888" s="303">
        <f>SUM(C885-168)</f>
        <v>5702</v>
      </c>
      <c r="D888" s="262">
        <f>SUM(D885-686)</f>
        <v>2647</v>
      </c>
      <c r="E888" s="303">
        <f>SUM(E885-652)</f>
        <v>2678</v>
      </c>
      <c r="F888" s="309">
        <f>SUM(F885-1211)</f>
        <v>8246</v>
      </c>
      <c r="G888" s="309">
        <f>SUM(G885-4214)</f>
        <v>3539</v>
      </c>
      <c r="H888" s="309">
        <f>SUM(H885-1752)</f>
        <v>13391</v>
      </c>
      <c r="I888" s="309">
        <f>SUM(I885-(3790-2000))</f>
        <v>5393</v>
      </c>
      <c r="J888" s="262">
        <f>SUM(J885-9313)</f>
        <v>286</v>
      </c>
      <c r="K888" s="303">
        <f>SUM(K885-962)</f>
        <v>8327</v>
      </c>
      <c r="L888" s="309">
        <f>SUM(L885-1262)</f>
        <v>10201</v>
      </c>
      <c r="M888" s="316">
        <f>SUM(M885-408)</f>
        <v>3725</v>
      </c>
      <c r="N888" s="309">
        <f>SUM(N885-(5635-2614))</f>
        <v>6473</v>
      </c>
      <c r="O888" s="262">
        <f>SUM(O885-4074)</f>
        <v>725</v>
      </c>
      <c r="P888" s="323">
        <f>SUM(P885-861)</f>
        <v>539</v>
      </c>
      <c r="Q888" s="262">
        <f>SUM(Q885-655)</f>
        <v>345</v>
      </c>
      <c r="R888" s="12" t="s">
        <v>176</v>
      </c>
      <c r="S888" s="70"/>
      <c r="T888" s="70"/>
      <c r="U888" s="70"/>
      <c r="V888" s="70"/>
      <c r="W888" s="70"/>
      <c r="X888" s="70"/>
      <c r="Y888" s="70"/>
      <c r="Z888" s="70"/>
      <c r="AA888" s="276"/>
      <c r="AB888" s="276"/>
      <c r="AH888" s="743"/>
      <c r="AI888" s="743"/>
    </row>
    <row r="889" spans="1:35" s="267" customFormat="1" x14ac:dyDescent="0.25">
      <c r="A889" s="939"/>
      <c r="B889" s="296" t="s">
        <v>77</v>
      </c>
      <c r="C889" s="302">
        <f>(C888*33.717)</f>
        <v>192254.334</v>
      </c>
      <c r="D889" s="338">
        <f>(D888*33.717)</f>
        <v>89248.89899999999</v>
      </c>
      <c r="E889" s="302">
        <f>(E888*33.717)</f>
        <v>90294.126000000004</v>
      </c>
      <c r="F889" s="338">
        <f>(F888*33.717)</f>
        <v>278030.38199999998</v>
      </c>
      <c r="G889" s="280">
        <f>(G888*33.717)*2</f>
        <v>238648.92599999998</v>
      </c>
      <c r="H889" s="280">
        <f>(H888*33.717)</f>
        <v>451504.34700000001</v>
      </c>
      <c r="I889" s="280">
        <f>(I888*33.717)-(2000*33.717)</f>
        <v>114401.78099999999</v>
      </c>
      <c r="J889" s="261">
        <f>J888*33.717</f>
        <v>9643.0619999999999</v>
      </c>
      <c r="K889" s="304">
        <f>K888*33.717</f>
        <v>280761.45899999997</v>
      </c>
      <c r="L889" s="280">
        <f>L888*33.717</f>
        <v>343947.11699999997</v>
      </c>
      <c r="M889" s="280">
        <f>(M888*33.717)</f>
        <v>125595.825</v>
      </c>
      <c r="N889" s="280">
        <f>N888*33.717</f>
        <v>218250.141</v>
      </c>
      <c r="O889" s="261">
        <f>O888*33.717</f>
        <v>24444.825000000001</v>
      </c>
      <c r="P889" s="324">
        <f>P888*33.717</f>
        <v>18173.463</v>
      </c>
      <c r="Q889" s="325">
        <f>Q888*33.717</f>
        <v>11632.365</v>
      </c>
      <c r="R889" s="63">
        <f>344240-H889</f>
        <v>-107264.34700000001</v>
      </c>
      <c r="S889" s="70" t="s">
        <v>177</v>
      </c>
      <c r="T889" s="70"/>
      <c r="U889" s="70"/>
      <c r="V889" s="70"/>
      <c r="W889" s="70"/>
      <c r="X889" s="70"/>
      <c r="Y889" s="70"/>
      <c r="Z889" s="70"/>
      <c r="AA889" s="276"/>
      <c r="AB889" s="276"/>
      <c r="AH889" s="743"/>
      <c r="AI889" s="743"/>
    </row>
    <row r="890" spans="1:35" s="267" customFormat="1" ht="15.75" thickBot="1" x14ac:dyDescent="0.3">
      <c r="A890" s="940"/>
      <c r="B890" s="294" t="s">
        <v>10</v>
      </c>
      <c r="C890" s="305">
        <f t="shared" ref="C890:Q890" si="417">C889/C882</f>
        <v>1.3407586605129149</v>
      </c>
      <c r="D890" s="292">
        <f t="shared" si="417"/>
        <v>0.59295368991162389</v>
      </c>
      <c r="E890" s="310">
        <f t="shared" si="417"/>
        <v>0.59989799077571926</v>
      </c>
      <c r="F890" s="282">
        <f t="shared" si="417"/>
        <v>1.5276579277331923</v>
      </c>
      <c r="G890" s="282">
        <f t="shared" si="417"/>
        <v>1.4424014505673832</v>
      </c>
      <c r="H890" s="282">
        <f t="shared" si="417"/>
        <v>3.4170704068658613</v>
      </c>
      <c r="I890" s="282">
        <f t="shared" si="417"/>
        <v>0.94288373699228056</v>
      </c>
      <c r="J890" s="311">
        <f t="shared" si="417"/>
        <v>5.8063487074439167E-2</v>
      </c>
      <c r="K890" s="310">
        <f t="shared" si="417"/>
        <v>1.4545191035450997</v>
      </c>
      <c r="L890" s="282">
        <f t="shared" si="417"/>
        <v>2.6030529802727869</v>
      </c>
      <c r="M890" s="282">
        <f t="shared" si="417"/>
        <v>1.5182091426789304</v>
      </c>
      <c r="N890" s="260">
        <f t="shared" si="417"/>
        <v>1.2366659224955194</v>
      </c>
      <c r="O890" s="311">
        <f t="shared" si="417"/>
        <v>0.29437764183094689</v>
      </c>
      <c r="P890" s="305">
        <f t="shared" si="417"/>
        <v>0.32952191256731517</v>
      </c>
      <c r="Q890" s="292">
        <f t="shared" si="417"/>
        <v>0.35153185959716532</v>
      </c>
      <c r="R890" s="126"/>
      <c r="S890" s="70"/>
      <c r="T890" s="70"/>
      <c r="U890" s="70"/>
      <c r="V890" s="70"/>
      <c r="W890" s="70"/>
      <c r="X890" s="70"/>
      <c r="Y890" s="70"/>
      <c r="Z890" s="70"/>
      <c r="AA890" s="276"/>
      <c r="AB890" s="276"/>
      <c r="AH890" s="743"/>
      <c r="AI890" s="743"/>
    </row>
    <row r="891" spans="1:35" s="267" customFormat="1" ht="15.75" thickBot="1" x14ac:dyDescent="0.3">
      <c r="A891" s="924">
        <v>41341</v>
      </c>
      <c r="B891" s="924"/>
      <c r="C891" s="924"/>
      <c r="D891" s="276"/>
      <c r="E891" s="276"/>
      <c r="F891" s="276"/>
      <c r="G891" s="276"/>
      <c r="H891" s="276"/>
      <c r="I891" s="11"/>
      <c r="J891" s="281"/>
      <c r="K891" s="281"/>
      <c r="L891" s="276"/>
      <c r="M891" s="276"/>
      <c r="N891" s="13"/>
      <c r="R891" s="12"/>
      <c r="S891" s="70"/>
      <c r="T891" s="70"/>
      <c r="U891" s="70"/>
      <c r="V891" s="70"/>
      <c r="W891" s="70"/>
      <c r="X891" s="70"/>
      <c r="Y891" s="70"/>
      <c r="Z891" s="70"/>
      <c r="AA891" s="276"/>
      <c r="AB891" s="276"/>
      <c r="AH891" s="743"/>
      <c r="AI891" s="743"/>
    </row>
    <row r="892" spans="1:35" s="267" customFormat="1" x14ac:dyDescent="0.25">
      <c r="A892" s="925" t="s">
        <v>1</v>
      </c>
      <c r="B892" s="927"/>
      <c r="C892" s="297" t="s">
        <v>12</v>
      </c>
      <c r="D892" s="266" t="s">
        <v>12</v>
      </c>
      <c r="E892" s="297" t="s">
        <v>13</v>
      </c>
      <c r="F892" s="277" t="s">
        <v>13</v>
      </c>
      <c r="G892" s="277" t="s">
        <v>13</v>
      </c>
      <c r="H892" s="277" t="s">
        <v>13</v>
      </c>
      <c r="I892" s="277" t="s">
        <v>13</v>
      </c>
      <c r="J892" s="266" t="s">
        <v>13</v>
      </c>
      <c r="K892" s="297" t="s">
        <v>2</v>
      </c>
      <c r="L892" s="277" t="s">
        <v>2</v>
      </c>
      <c r="M892" s="286" t="s">
        <v>2</v>
      </c>
      <c r="N892" s="277" t="s">
        <v>2</v>
      </c>
      <c r="O892" s="266" t="s">
        <v>2</v>
      </c>
      <c r="P892" s="328" t="s">
        <v>183</v>
      </c>
      <c r="Q892" s="327" t="s">
        <v>183</v>
      </c>
      <c r="R892" s="12"/>
      <c r="S892" s="70"/>
      <c r="T892" s="70"/>
      <c r="U892" s="70"/>
      <c r="V892" s="70"/>
      <c r="W892" s="70"/>
      <c r="X892" s="70"/>
      <c r="Y892" s="70"/>
      <c r="Z892" s="70"/>
      <c r="AA892" s="276"/>
      <c r="AB892" s="276"/>
      <c r="AH892" s="743"/>
      <c r="AI892" s="743"/>
    </row>
    <row r="893" spans="1:35" s="267" customFormat="1" ht="15.75" thickBot="1" x14ac:dyDescent="0.3">
      <c r="A893" s="931" t="s">
        <v>0</v>
      </c>
      <c r="B893" s="949"/>
      <c r="C893" s="298" t="s">
        <v>99</v>
      </c>
      <c r="D893" s="291" t="s">
        <v>100</v>
      </c>
      <c r="E893" s="298" t="s">
        <v>101</v>
      </c>
      <c r="F893" s="306" t="s">
        <v>102</v>
      </c>
      <c r="G893" s="306" t="s">
        <v>97</v>
      </c>
      <c r="H893" s="306" t="s">
        <v>104</v>
      </c>
      <c r="I893" s="306" t="s">
        <v>103</v>
      </c>
      <c r="J893" s="314" t="s">
        <v>178</v>
      </c>
      <c r="K893" s="298" t="s">
        <v>105</v>
      </c>
      <c r="L893" s="306" t="s">
        <v>107</v>
      </c>
      <c r="M893" s="312" t="s">
        <v>98</v>
      </c>
      <c r="N893" s="313" t="s">
        <v>106</v>
      </c>
      <c r="O893" s="291" t="s">
        <v>179</v>
      </c>
      <c r="P893" s="317" t="s">
        <v>182</v>
      </c>
      <c r="Q893" s="291" t="s">
        <v>184</v>
      </c>
      <c r="R893" s="12"/>
      <c r="S893" s="12"/>
      <c r="T893" s="12"/>
      <c r="U893" s="12"/>
      <c r="V893" s="12"/>
      <c r="W893" s="12"/>
      <c r="X893" s="12"/>
      <c r="Y893" s="12"/>
      <c r="Z893" s="12"/>
      <c r="AA893" s="126"/>
      <c r="AB893" s="125"/>
      <c r="AC893" s="126"/>
      <c r="AH893" s="743"/>
      <c r="AI893" s="743"/>
    </row>
    <row r="894" spans="1:35" s="267" customFormat="1" ht="15" customHeight="1" x14ac:dyDescent="0.25">
      <c r="A894" s="935" t="s">
        <v>9</v>
      </c>
      <c r="B894" s="19" t="s">
        <v>4</v>
      </c>
      <c r="C894" s="299">
        <v>143392.20000000001</v>
      </c>
      <c r="D894" s="265">
        <v>150515.79999999999</v>
      </c>
      <c r="E894" s="299">
        <v>150515.79999999999</v>
      </c>
      <c r="F894" s="283">
        <v>181997.8</v>
      </c>
      <c r="G894" s="283">
        <v>165452.5</v>
      </c>
      <c r="H894" s="283">
        <v>132132</v>
      </c>
      <c r="I894" s="283">
        <v>121331.8</v>
      </c>
      <c r="J894" s="265">
        <v>166077.9</v>
      </c>
      <c r="K894" s="299">
        <v>193027</v>
      </c>
      <c r="L894" s="283">
        <v>132132.20000000001</v>
      </c>
      <c r="M894" s="283">
        <v>82726.3</v>
      </c>
      <c r="N894" s="283">
        <v>176482.7</v>
      </c>
      <c r="O894" s="265">
        <v>83039</v>
      </c>
      <c r="P894" s="318">
        <v>55151</v>
      </c>
      <c r="Q894" s="265">
        <v>33090.5</v>
      </c>
      <c r="R894" s="70"/>
      <c r="S894" s="70"/>
      <c r="T894" s="70"/>
      <c r="U894" s="70"/>
      <c r="V894" s="70"/>
      <c r="W894" s="70"/>
      <c r="X894" s="70"/>
      <c r="Y894" s="70"/>
      <c r="Z894" s="70"/>
      <c r="AA894" s="70"/>
      <c r="AB894" s="70"/>
      <c r="AC894" s="70"/>
      <c r="AH894" s="743"/>
      <c r="AI894" s="743"/>
    </row>
    <row r="895" spans="1:35" s="267" customFormat="1" x14ac:dyDescent="0.25">
      <c r="A895" s="936"/>
      <c r="B895" s="293" t="s">
        <v>5</v>
      </c>
      <c r="C895" s="300">
        <v>41411.300000000003</v>
      </c>
      <c r="D895" s="264">
        <v>77180.399999999994</v>
      </c>
      <c r="E895" s="300">
        <v>78594.899999999994</v>
      </c>
      <c r="F895" s="307">
        <v>155940</v>
      </c>
      <c r="G895" s="307">
        <v>84718.7</v>
      </c>
      <c r="H895" s="307">
        <v>43663.7</v>
      </c>
      <c r="I895" s="307">
        <v>66269</v>
      </c>
      <c r="J895" s="264">
        <v>7619.8</v>
      </c>
      <c r="K895" s="300">
        <v>155005.29999999999</v>
      </c>
      <c r="L895" s="307">
        <v>52424.2</v>
      </c>
      <c r="M895" s="307">
        <v>43915</v>
      </c>
      <c r="N895" s="307">
        <v>129430</v>
      </c>
      <c r="O895" s="264">
        <v>3901.2</v>
      </c>
      <c r="P895" s="319">
        <v>4225.8</v>
      </c>
      <c r="Q895" s="264">
        <v>2048.6999999999998</v>
      </c>
      <c r="R895" s="70"/>
      <c r="S895" s="70"/>
      <c r="T895" s="70"/>
      <c r="U895" s="70"/>
      <c r="V895" s="70"/>
      <c r="W895" s="70"/>
      <c r="X895" s="70"/>
      <c r="Y895" s="70"/>
      <c r="Z895" s="70"/>
      <c r="AA895" s="70"/>
      <c r="AB895" s="70"/>
      <c r="AC895" s="70"/>
      <c r="AH895" s="743"/>
      <c r="AI895" s="743"/>
    </row>
    <row r="896" spans="1:35" s="267" customFormat="1" ht="15.75" thickBot="1" x14ac:dyDescent="0.3">
      <c r="A896" s="937"/>
      <c r="B896" s="294" t="s">
        <v>3</v>
      </c>
      <c r="C896" s="301">
        <f t="shared" ref="C896:Q896" si="418">C895/C894</f>
        <v>0.28879743807543229</v>
      </c>
      <c r="D896" s="292">
        <f t="shared" si="418"/>
        <v>0.51277274545263685</v>
      </c>
      <c r="E896" s="305">
        <f t="shared" si="418"/>
        <v>0.52217042994821805</v>
      </c>
      <c r="F896" s="278">
        <f t="shared" si="418"/>
        <v>0.8568235440208618</v>
      </c>
      <c r="G896" s="278">
        <f t="shared" si="418"/>
        <v>0.51204242909596409</v>
      </c>
      <c r="H896" s="278">
        <f t="shared" si="418"/>
        <v>0.33045515090969635</v>
      </c>
      <c r="I896" s="278">
        <f t="shared" si="418"/>
        <v>0.54617997919753924</v>
      </c>
      <c r="J896" s="292">
        <f t="shared" si="418"/>
        <v>4.5880878792422114E-2</v>
      </c>
      <c r="K896" s="305">
        <f t="shared" si="418"/>
        <v>0.80302392929486544</v>
      </c>
      <c r="L896" s="278">
        <f t="shared" si="418"/>
        <v>0.39675567348458585</v>
      </c>
      <c r="M896" s="315">
        <f t="shared" si="418"/>
        <v>0.53084690116685984</v>
      </c>
      <c r="N896" s="278">
        <f t="shared" si="418"/>
        <v>0.733386331918086</v>
      </c>
      <c r="O896" s="292">
        <f t="shared" si="418"/>
        <v>4.6980334541600929E-2</v>
      </c>
      <c r="P896" s="320">
        <f t="shared" si="418"/>
        <v>7.6622364055048867E-2</v>
      </c>
      <c r="Q896" s="292">
        <f t="shared" si="418"/>
        <v>6.1912029132228277E-2</v>
      </c>
      <c r="R896" s="70"/>
      <c r="S896" s="70"/>
      <c r="T896" s="70"/>
      <c r="U896" s="70"/>
      <c r="V896" s="70"/>
      <c r="W896" s="70"/>
      <c r="X896" s="70"/>
      <c r="Y896" s="70"/>
      <c r="Z896" s="70"/>
      <c r="AA896" s="70"/>
      <c r="AB896" s="70"/>
      <c r="AC896" s="70"/>
      <c r="AH896" s="743"/>
      <c r="AI896" s="743"/>
    </row>
    <row r="897" spans="1:35" s="267" customFormat="1" ht="15" customHeight="1" x14ac:dyDescent="0.25">
      <c r="A897" s="938" t="s">
        <v>6</v>
      </c>
      <c r="B897" s="19" t="s">
        <v>7</v>
      </c>
      <c r="C897" s="297">
        <v>5870</v>
      </c>
      <c r="D897" s="266">
        <v>3333</v>
      </c>
      <c r="E897" s="297">
        <v>3330</v>
      </c>
      <c r="F897" s="277">
        <v>9457</v>
      </c>
      <c r="G897" s="277">
        <v>7753</v>
      </c>
      <c r="H897" s="277">
        <v>15143</v>
      </c>
      <c r="I897" s="277">
        <v>7183</v>
      </c>
      <c r="J897" s="266">
        <v>9599</v>
      </c>
      <c r="K897" s="297">
        <v>9289</v>
      </c>
      <c r="L897" s="277">
        <v>11463</v>
      </c>
      <c r="M897" s="277">
        <v>4133</v>
      </c>
      <c r="N897" s="277">
        <v>9494</v>
      </c>
      <c r="O897" s="266">
        <v>4799</v>
      </c>
      <c r="P897" s="321">
        <v>1400</v>
      </c>
      <c r="Q897" s="266">
        <v>1000</v>
      </c>
      <c r="R897" s="70"/>
      <c r="S897" s="70"/>
      <c r="T897" s="70"/>
      <c r="U897" s="70"/>
      <c r="V897" s="70"/>
      <c r="W897" s="70"/>
      <c r="X897" s="70"/>
      <c r="Y897" s="70"/>
      <c r="Z897" s="70"/>
      <c r="AA897" s="70"/>
      <c r="AB897" s="70"/>
      <c r="AC897" s="70"/>
      <c r="AH897" s="743"/>
      <c r="AI897" s="743"/>
    </row>
    <row r="898" spans="1:35" s="267" customFormat="1" x14ac:dyDescent="0.25">
      <c r="A898" s="939"/>
      <c r="B898" s="295" t="s">
        <v>11</v>
      </c>
      <c r="C898" s="302">
        <f t="shared" ref="C898:Q898" si="419">C897*33.72</f>
        <v>197936.4</v>
      </c>
      <c r="D898" s="263">
        <f t="shared" si="419"/>
        <v>112388.76</v>
      </c>
      <c r="E898" s="302">
        <f t="shared" si="419"/>
        <v>112287.59999999999</v>
      </c>
      <c r="F898" s="308">
        <f t="shared" si="419"/>
        <v>318890.03999999998</v>
      </c>
      <c r="G898" s="308">
        <f t="shared" si="419"/>
        <v>261431.16</v>
      </c>
      <c r="H898" s="308">
        <f t="shared" si="419"/>
        <v>510621.95999999996</v>
      </c>
      <c r="I898" s="308">
        <f t="shared" si="419"/>
        <v>242210.75999999998</v>
      </c>
      <c r="J898" s="263">
        <f t="shared" si="419"/>
        <v>323678.27999999997</v>
      </c>
      <c r="K898" s="302">
        <f t="shared" si="419"/>
        <v>313225.08</v>
      </c>
      <c r="L898" s="308">
        <f t="shared" si="419"/>
        <v>386532.36</v>
      </c>
      <c r="M898" s="308">
        <f t="shared" si="419"/>
        <v>139364.76</v>
      </c>
      <c r="N898" s="308">
        <f t="shared" si="419"/>
        <v>320137.68</v>
      </c>
      <c r="O898" s="263">
        <f t="shared" si="419"/>
        <v>161822.28</v>
      </c>
      <c r="P898" s="322">
        <f t="shared" si="419"/>
        <v>47208</v>
      </c>
      <c r="Q898" s="263">
        <f t="shared" si="419"/>
        <v>33720</v>
      </c>
      <c r="R898" s="70"/>
      <c r="S898" s="70"/>
      <c r="T898" s="70"/>
      <c r="U898" s="70"/>
      <c r="V898" s="70"/>
      <c r="W898" s="70"/>
      <c r="X898" s="70"/>
      <c r="Y898" s="70"/>
      <c r="Z898" s="70"/>
      <c r="AA898" s="70"/>
      <c r="AB898" s="70"/>
      <c r="AC898" s="70"/>
      <c r="AH898" s="743"/>
      <c r="AI898" s="743"/>
    </row>
    <row r="899" spans="1:35" s="267" customFormat="1" x14ac:dyDescent="0.25">
      <c r="A899" s="939"/>
      <c r="B899" s="295" t="s">
        <v>79</v>
      </c>
      <c r="C899" s="302">
        <v>164000</v>
      </c>
      <c r="D899" s="263">
        <v>109880</v>
      </c>
      <c r="E899" s="302">
        <v>109880</v>
      </c>
      <c r="F899" s="308">
        <v>328000</v>
      </c>
      <c r="G899" s="308">
        <v>330905</v>
      </c>
      <c r="H899" s="308">
        <v>264264</v>
      </c>
      <c r="I899" s="308">
        <v>242663.6</v>
      </c>
      <c r="J899" s="263">
        <v>328000</v>
      </c>
      <c r="K899" s="302">
        <v>328000</v>
      </c>
      <c r="L899" s="308">
        <v>264264.40000000002</v>
      </c>
      <c r="M899" s="308">
        <v>328000</v>
      </c>
      <c r="N899" s="308">
        <v>352965.4</v>
      </c>
      <c r="O899" s="263">
        <v>328000</v>
      </c>
      <c r="P899" s="322">
        <f>2*P894</f>
        <v>110302</v>
      </c>
      <c r="Q899" s="263">
        <f>2*Q894</f>
        <v>66181</v>
      </c>
      <c r="R899" s="70"/>
      <c r="S899" s="70"/>
      <c r="T899" s="70"/>
      <c r="U899" s="70"/>
      <c r="V899" s="70"/>
      <c r="W899" s="70"/>
      <c r="X899" s="70"/>
      <c r="Y899" s="70"/>
      <c r="Z899" s="70"/>
      <c r="AA899" s="70"/>
      <c r="AB899" s="70"/>
      <c r="AC899" s="70"/>
      <c r="AH899" s="743"/>
      <c r="AI899" s="743"/>
    </row>
    <row r="900" spans="1:35" s="267" customFormat="1" x14ac:dyDescent="0.25">
      <c r="A900" s="939"/>
      <c r="B900" s="293" t="s">
        <v>8</v>
      </c>
      <c r="C900" s="303">
        <f>SUM(C897-195)</f>
        <v>5675</v>
      </c>
      <c r="D900" s="262">
        <f>SUM(D897-689)</f>
        <v>2644</v>
      </c>
      <c r="E900" s="303">
        <f>SUM(E897-655)</f>
        <v>2675</v>
      </c>
      <c r="F900" s="309">
        <f>SUM(F897-1211)</f>
        <v>8246</v>
      </c>
      <c r="G900" s="309">
        <f>SUM(G897-4214)</f>
        <v>3539</v>
      </c>
      <c r="H900" s="309">
        <f>SUM(H897-1752)</f>
        <v>13391</v>
      </c>
      <c r="I900" s="309">
        <f>SUM(I897-(3790-2000))</f>
        <v>5393</v>
      </c>
      <c r="J900" s="262">
        <f>SUM(J897-9313)</f>
        <v>286</v>
      </c>
      <c r="K900" s="303">
        <f>SUM(K897-962)</f>
        <v>8327</v>
      </c>
      <c r="L900" s="309">
        <f>SUM(L897-1262)</f>
        <v>10201</v>
      </c>
      <c r="M900" s="316">
        <f>SUM(M897-408)</f>
        <v>3725</v>
      </c>
      <c r="N900" s="309">
        <f>SUM(N897-(5635-2614))</f>
        <v>6473</v>
      </c>
      <c r="O900" s="262">
        <f>SUM(O897-4074)</f>
        <v>725</v>
      </c>
      <c r="P900" s="323">
        <f>SUM(P897-861)</f>
        <v>539</v>
      </c>
      <c r="Q900" s="262">
        <f>SUM(Q897-655)</f>
        <v>345</v>
      </c>
      <c r="R900" s="12" t="s">
        <v>176</v>
      </c>
      <c r="S900" s="70"/>
      <c r="T900" s="70"/>
      <c r="U900" s="70"/>
      <c r="V900" s="70"/>
      <c r="W900" s="70"/>
      <c r="X900" s="70"/>
      <c r="Y900" s="70"/>
      <c r="Z900" s="70"/>
      <c r="AA900" s="276"/>
      <c r="AB900" s="276"/>
      <c r="AH900" s="743"/>
      <c r="AI900" s="743"/>
    </row>
    <row r="901" spans="1:35" s="267" customFormat="1" x14ac:dyDescent="0.25">
      <c r="A901" s="939"/>
      <c r="B901" s="296" t="s">
        <v>77</v>
      </c>
      <c r="C901" s="304">
        <f>C900*33.72</f>
        <v>191361</v>
      </c>
      <c r="D901" s="261">
        <f>D900*33.72</f>
        <v>89155.68</v>
      </c>
      <c r="E901" s="304">
        <f>E900*33.72</f>
        <v>90201</v>
      </c>
      <c r="F901" s="280">
        <f>F900*33.72</f>
        <v>278055.12</v>
      </c>
      <c r="G901" s="280">
        <f>G900*33.72*2</f>
        <v>238670.16</v>
      </c>
      <c r="H901" s="280">
        <f>H900*33.72</f>
        <v>451544.51999999996</v>
      </c>
      <c r="I901" s="280">
        <f>(I900*33.72)-(2000*33.72)</f>
        <v>114411.95999999999</v>
      </c>
      <c r="J901" s="261">
        <f>J900*33.72</f>
        <v>9643.92</v>
      </c>
      <c r="K901" s="304">
        <f>K900*33.72</f>
        <v>280786.44</v>
      </c>
      <c r="L901" s="280">
        <f>L900*33.72</f>
        <v>343977.72</v>
      </c>
      <c r="M901" s="280">
        <f>((M900*33.72)-(2614*33.72))*2</f>
        <v>74925.84</v>
      </c>
      <c r="N901" s="280">
        <f>N900*33.72</f>
        <v>218269.56</v>
      </c>
      <c r="O901" s="261">
        <f>O900*33.72</f>
        <v>24447</v>
      </c>
      <c r="P901" s="324">
        <f>P900*33.72</f>
        <v>18175.079999999998</v>
      </c>
      <c r="Q901" s="325">
        <f>Q900*33.72</f>
        <v>11633.4</v>
      </c>
      <c r="R901" s="63">
        <f>344240-H901</f>
        <v>-107304.51999999996</v>
      </c>
      <c r="S901" s="70" t="s">
        <v>177</v>
      </c>
      <c r="T901" s="70"/>
      <c r="U901" s="70"/>
      <c r="V901" s="70"/>
      <c r="W901" s="70"/>
      <c r="X901" s="70"/>
      <c r="Y901" s="70"/>
      <c r="Z901" s="70"/>
      <c r="AA901" s="276"/>
      <c r="AB901" s="276"/>
      <c r="AH901" s="743"/>
      <c r="AI901" s="743"/>
    </row>
    <row r="902" spans="1:35" s="267" customFormat="1" ht="15.75" thickBot="1" x14ac:dyDescent="0.3">
      <c r="A902" s="940"/>
      <c r="B902" s="294" t="s">
        <v>10</v>
      </c>
      <c r="C902" s="305">
        <f t="shared" ref="C902:Q902" si="420">C901/C894</f>
        <v>1.3345286563704302</v>
      </c>
      <c r="D902" s="292">
        <f t="shared" si="420"/>
        <v>0.59233435958218339</v>
      </c>
      <c r="E902" s="310">
        <f t="shared" si="420"/>
        <v>0.59927927832161143</v>
      </c>
      <c r="F902" s="282">
        <f t="shared" si="420"/>
        <v>1.5277938524531616</v>
      </c>
      <c r="G902" s="282">
        <f t="shared" si="420"/>
        <v>1.4425297895166287</v>
      </c>
      <c r="H902" s="282">
        <f t="shared" si="420"/>
        <v>3.4173744437380797</v>
      </c>
      <c r="I902" s="282">
        <f t="shared" si="420"/>
        <v>0.94296763090962132</v>
      </c>
      <c r="J902" s="311">
        <f t="shared" si="420"/>
        <v>5.8068653324734959E-2</v>
      </c>
      <c r="K902" s="310">
        <f t="shared" si="420"/>
        <v>1.4546485206732738</v>
      </c>
      <c r="L902" s="282">
        <f t="shared" si="420"/>
        <v>2.6032845892220058</v>
      </c>
      <c r="M902" s="282">
        <f t="shared" si="420"/>
        <v>0.90570761656208476</v>
      </c>
      <c r="N902" s="260">
        <f t="shared" si="420"/>
        <v>1.2367759559435569</v>
      </c>
      <c r="O902" s="311">
        <f t="shared" si="420"/>
        <v>0.29440383434289913</v>
      </c>
      <c r="P902" s="305">
        <f t="shared" si="420"/>
        <v>0.32955123207194786</v>
      </c>
      <c r="Q902" s="292">
        <f t="shared" si="420"/>
        <v>0.35156313745636963</v>
      </c>
      <c r="R902" s="126"/>
      <c r="S902" s="70"/>
      <c r="T902" s="70"/>
      <c r="U902" s="70"/>
      <c r="V902" s="70"/>
      <c r="W902" s="70"/>
      <c r="X902" s="70"/>
      <c r="Y902" s="70"/>
      <c r="Z902" s="70"/>
      <c r="AA902" s="276"/>
      <c r="AB902" s="276"/>
      <c r="AH902" s="743"/>
      <c r="AI902" s="743"/>
    </row>
    <row r="903" spans="1:35" s="267" customFormat="1" ht="15.75" thickBot="1" x14ac:dyDescent="0.3">
      <c r="A903" s="924">
        <v>41340</v>
      </c>
      <c r="B903" s="924"/>
      <c r="C903" s="924"/>
      <c r="D903" s="276"/>
      <c r="E903" s="276"/>
      <c r="F903" s="276"/>
      <c r="G903" s="276"/>
      <c r="H903" s="276"/>
      <c r="I903" s="11"/>
      <c r="J903" s="281"/>
      <c r="K903" s="281"/>
      <c r="L903" s="276"/>
      <c r="M903" s="276"/>
      <c r="N903" s="13"/>
      <c r="R903" s="12"/>
      <c r="S903" s="70"/>
      <c r="T903" s="70"/>
      <c r="U903" s="70"/>
      <c r="V903" s="70"/>
      <c r="W903" s="70"/>
      <c r="X903" s="70"/>
      <c r="Y903" s="70"/>
      <c r="Z903" s="70"/>
      <c r="AA903" s="276"/>
      <c r="AB903" s="276"/>
      <c r="AH903" s="743"/>
      <c r="AI903" s="743"/>
    </row>
    <row r="904" spans="1:35" s="267" customFormat="1" x14ac:dyDescent="0.25">
      <c r="A904" s="925" t="s">
        <v>1</v>
      </c>
      <c r="B904" s="927"/>
      <c r="C904" s="297" t="s">
        <v>12</v>
      </c>
      <c r="D904" s="266" t="s">
        <v>12</v>
      </c>
      <c r="E904" s="297" t="s">
        <v>13</v>
      </c>
      <c r="F904" s="277" t="s">
        <v>13</v>
      </c>
      <c r="G904" s="277" t="s">
        <v>13</v>
      </c>
      <c r="H904" s="277" t="s">
        <v>13</v>
      </c>
      <c r="I904" s="277" t="s">
        <v>13</v>
      </c>
      <c r="J904" s="266" t="s">
        <v>13</v>
      </c>
      <c r="K904" s="297" t="s">
        <v>2</v>
      </c>
      <c r="L904" s="277" t="s">
        <v>2</v>
      </c>
      <c r="M904" s="286" t="s">
        <v>2</v>
      </c>
      <c r="N904" s="277" t="s">
        <v>2</v>
      </c>
      <c r="O904" s="266" t="s">
        <v>2</v>
      </c>
      <c r="P904" s="328" t="s">
        <v>183</v>
      </c>
      <c r="Q904" s="327" t="s">
        <v>183</v>
      </c>
      <c r="R904" s="12"/>
      <c r="S904" s="70"/>
      <c r="T904" s="70"/>
      <c r="U904" s="70"/>
      <c r="V904" s="70"/>
      <c r="W904" s="70"/>
      <c r="X904" s="70"/>
      <c r="Y904" s="70"/>
      <c r="Z904" s="70"/>
      <c r="AA904" s="276"/>
      <c r="AB904" s="276"/>
      <c r="AH904" s="743"/>
      <c r="AI904" s="743"/>
    </row>
    <row r="905" spans="1:35" s="267" customFormat="1" ht="15.75" thickBot="1" x14ac:dyDescent="0.3">
      <c r="A905" s="931" t="s">
        <v>0</v>
      </c>
      <c r="B905" s="949"/>
      <c r="C905" s="298" t="s">
        <v>99</v>
      </c>
      <c r="D905" s="291" t="s">
        <v>100</v>
      </c>
      <c r="E905" s="298" t="s">
        <v>101</v>
      </c>
      <c r="F905" s="306" t="s">
        <v>102</v>
      </c>
      <c r="G905" s="306" t="s">
        <v>97</v>
      </c>
      <c r="H905" s="306" t="s">
        <v>104</v>
      </c>
      <c r="I905" s="306" t="s">
        <v>103</v>
      </c>
      <c r="J905" s="314" t="s">
        <v>178</v>
      </c>
      <c r="K905" s="298" t="s">
        <v>105</v>
      </c>
      <c r="L905" s="306" t="s">
        <v>107</v>
      </c>
      <c r="M905" s="312" t="s">
        <v>98</v>
      </c>
      <c r="N905" s="313" t="s">
        <v>106</v>
      </c>
      <c r="O905" s="291" t="s">
        <v>179</v>
      </c>
      <c r="P905" s="317" t="s">
        <v>182</v>
      </c>
      <c r="Q905" s="291" t="s">
        <v>184</v>
      </c>
      <c r="R905" s="12"/>
      <c r="S905" s="12"/>
      <c r="T905" s="12"/>
      <c r="U905" s="12"/>
      <c r="V905" s="12"/>
      <c r="W905" s="12"/>
      <c r="X905" s="12"/>
      <c r="Y905" s="12"/>
      <c r="Z905" s="12"/>
      <c r="AA905" s="126"/>
      <c r="AB905" s="125"/>
      <c r="AC905" s="126"/>
      <c r="AH905" s="743"/>
      <c r="AI905" s="743"/>
    </row>
    <row r="906" spans="1:35" s="267" customFormat="1" ht="15" customHeight="1" x14ac:dyDescent="0.25">
      <c r="A906" s="935" t="s">
        <v>9</v>
      </c>
      <c r="B906" s="19" t="s">
        <v>4</v>
      </c>
      <c r="C906" s="299">
        <v>143392.20000000001</v>
      </c>
      <c r="D906" s="265">
        <v>150515.79999999999</v>
      </c>
      <c r="E906" s="299">
        <v>150515.79999999999</v>
      </c>
      <c r="F906" s="283">
        <v>181997.8</v>
      </c>
      <c r="G906" s="283">
        <v>165452.5</v>
      </c>
      <c r="H906" s="283">
        <v>132132</v>
      </c>
      <c r="I906" s="283">
        <v>121331.8</v>
      </c>
      <c r="J906" s="265">
        <v>166077.9</v>
      </c>
      <c r="K906" s="299">
        <v>193027</v>
      </c>
      <c r="L906" s="283">
        <v>132132.20000000001</v>
      </c>
      <c r="M906" s="283">
        <v>82726.3</v>
      </c>
      <c r="N906" s="283">
        <v>176482.7</v>
      </c>
      <c r="O906" s="265">
        <v>83039</v>
      </c>
      <c r="P906" s="318">
        <v>55151</v>
      </c>
      <c r="Q906" s="265">
        <v>33090.5</v>
      </c>
      <c r="R906" s="70"/>
      <c r="S906" s="70"/>
      <c r="T906" s="70"/>
      <c r="U906" s="70"/>
      <c r="V906" s="70"/>
      <c r="W906" s="70"/>
      <c r="X906" s="70"/>
      <c r="Y906" s="70"/>
      <c r="Z906" s="70"/>
      <c r="AA906" s="70"/>
      <c r="AB906" s="70"/>
      <c r="AC906" s="70"/>
      <c r="AH906" s="743"/>
      <c r="AI906" s="743"/>
    </row>
    <row r="907" spans="1:35" s="267" customFormat="1" x14ac:dyDescent="0.25">
      <c r="A907" s="936"/>
      <c r="B907" s="293" t="s">
        <v>5</v>
      </c>
      <c r="C907" s="300">
        <v>41607</v>
      </c>
      <c r="D907" s="264">
        <v>77144.100000000006</v>
      </c>
      <c r="E907" s="300">
        <v>78586.8</v>
      </c>
      <c r="F907" s="307">
        <v>155728.1</v>
      </c>
      <c r="G907" s="307">
        <v>84622.7</v>
      </c>
      <c r="H907" s="307">
        <v>44431</v>
      </c>
      <c r="I907" s="307">
        <v>66230</v>
      </c>
      <c r="J907" s="264">
        <v>7619.8</v>
      </c>
      <c r="K907" s="300">
        <v>154924.79999999999</v>
      </c>
      <c r="L907" s="307">
        <v>53178.3</v>
      </c>
      <c r="M907" s="307">
        <v>43866.8</v>
      </c>
      <c r="N907" s="307">
        <v>129370.9</v>
      </c>
      <c r="O907" s="264">
        <v>3901.2</v>
      </c>
      <c r="P907" s="319">
        <v>2990.8</v>
      </c>
      <c r="Q907" s="264">
        <v>1960.9</v>
      </c>
      <c r="R907" s="70"/>
      <c r="S907" s="70"/>
      <c r="T907" s="70"/>
      <c r="U907" s="70"/>
      <c r="V907" s="70"/>
      <c r="W907" s="70"/>
      <c r="X907" s="70"/>
      <c r="Y907" s="70"/>
      <c r="Z907" s="70"/>
      <c r="AA907" s="70"/>
      <c r="AB907" s="70"/>
      <c r="AC907" s="70"/>
      <c r="AH907" s="743"/>
      <c r="AI907" s="743"/>
    </row>
    <row r="908" spans="1:35" s="267" customFormat="1" ht="15.75" thickBot="1" x14ac:dyDescent="0.3">
      <c r="A908" s="937"/>
      <c r="B908" s="294" t="s">
        <v>3</v>
      </c>
      <c r="C908" s="301">
        <f t="shared" ref="C908:Q908" si="421">C907/C906</f>
        <v>0.2901622263972517</v>
      </c>
      <c r="D908" s="292">
        <f t="shared" si="421"/>
        <v>0.51253157475826461</v>
      </c>
      <c r="E908" s="305">
        <f t="shared" si="421"/>
        <v>0.52211661499988715</v>
      </c>
      <c r="F908" s="278">
        <f t="shared" si="421"/>
        <v>0.85565924423262263</v>
      </c>
      <c r="G908" s="278">
        <f t="shared" si="421"/>
        <v>0.51146220214260885</v>
      </c>
      <c r="H908" s="278">
        <f t="shared" si="421"/>
        <v>0.33626222262585898</v>
      </c>
      <c r="I908" s="278">
        <f t="shared" si="421"/>
        <v>0.54585854656404997</v>
      </c>
      <c r="J908" s="292">
        <f t="shared" si="421"/>
        <v>4.5880878792422114E-2</v>
      </c>
      <c r="K908" s="305">
        <f t="shared" si="421"/>
        <v>0.80260688919166745</v>
      </c>
      <c r="L908" s="278">
        <f t="shared" si="421"/>
        <v>0.40246283646227032</v>
      </c>
      <c r="M908" s="315">
        <f t="shared" si="421"/>
        <v>0.530264256953351</v>
      </c>
      <c r="N908" s="278">
        <f t="shared" si="421"/>
        <v>0.73305145490181178</v>
      </c>
      <c r="O908" s="292">
        <f t="shared" si="421"/>
        <v>4.6980334541600929E-2</v>
      </c>
      <c r="P908" s="320">
        <f t="shared" si="421"/>
        <v>5.4229297746187739E-2</v>
      </c>
      <c r="Q908" s="292">
        <f t="shared" si="421"/>
        <v>5.9258699626781104E-2</v>
      </c>
      <c r="R908" s="70"/>
      <c r="S908" s="70"/>
      <c r="T908" s="70"/>
      <c r="U908" s="70"/>
      <c r="V908" s="70"/>
      <c r="W908" s="70"/>
      <c r="X908" s="70"/>
      <c r="Y908" s="70"/>
      <c r="Z908" s="70"/>
      <c r="AA908" s="70"/>
      <c r="AB908" s="70"/>
      <c r="AC908" s="70"/>
      <c r="AH908" s="743"/>
      <c r="AI908" s="743"/>
    </row>
    <row r="909" spans="1:35" s="267" customFormat="1" ht="15" customHeight="1" x14ac:dyDescent="0.25">
      <c r="A909" s="938" t="s">
        <v>6</v>
      </c>
      <c r="B909" s="19" t="s">
        <v>7</v>
      </c>
      <c r="C909" s="297">
        <v>5806</v>
      </c>
      <c r="D909" s="266">
        <v>3333</v>
      </c>
      <c r="E909" s="297">
        <v>3330</v>
      </c>
      <c r="F909" s="277">
        <v>9457</v>
      </c>
      <c r="G909" s="277">
        <v>7753</v>
      </c>
      <c r="H909" s="277">
        <v>15143</v>
      </c>
      <c r="I909" s="277">
        <v>7183</v>
      </c>
      <c r="J909" s="266">
        <v>9599</v>
      </c>
      <c r="K909" s="297">
        <v>9289</v>
      </c>
      <c r="L909" s="277">
        <v>11463</v>
      </c>
      <c r="M909" s="277">
        <v>4133</v>
      </c>
      <c r="N909" s="277">
        <v>9494</v>
      </c>
      <c r="O909" s="266">
        <v>4799</v>
      </c>
      <c r="P909" s="321">
        <v>1400</v>
      </c>
      <c r="Q909" s="266">
        <v>1000</v>
      </c>
      <c r="R909" s="70"/>
      <c r="S909" s="70"/>
      <c r="T909" s="70"/>
      <c r="U909" s="70"/>
      <c r="V909" s="70"/>
      <c r="W909" s="70"/>
      <c r="X909" s="70"/>
      <c r="Y909" s="70"/>
      <c r="Z909" s="70"/>
      <c r="AA909" s="70"/>
      <c r="AB909" s="70"/>
      <c r="AC909" s="70"/>
      <c r="AH909" s="743"/>
      <c r="AI909" s="743"/>
    </row>
    <row r="910" spans="1:35" s="267" customFormat="1" x14ac:dyDescent="0.25">
      <c r="A910" s="939"/>
      <c r="B910" s="295" t="s">
        <v>11</v>
      </c>
      <c r="C910" s="302">
        <f t="shared" ref="C910:Q910" si="422">C909*33.72</f>
        <v>195778.32</v>
      </c>
      <c r="D910" s="263">
        <f t="shared" si="422"/>
        <v>112388.76</v>
      </c>
      <c r="E910" s="302">
        <f t="shared" si="422"/>
        <v>112287.59999999999</v>
      </c>
      <c r="F910" s="308">
        <f t="shared" si="422"/>
        <v>318890.03999999998</v>
      </c>
      <c r="G910" s="308">
        <f t="shared" si="422"/>
        <v>261431.16</v>
      </c>
      <c r="H910" s="308">
        <f t="shared" si="422"/>
        <v>510621.95999999996</v>
      </c>
      <c r="I910" s="308">
        <f t="shared" si="422"/>
        <v>242210.75999999998</v>
      </c>
      <c r="J910" s="263">
        <f t="shared" si="422"/>
        <v>323678.27999999997</v>
      </c>
      <c r="K910" s="302">
        <f t="shared" si="422"/>
        <v>313225.08</v>
      </c>
      <c r="L910" s="308">
        <f t="shared" si="422"/>
        <v>386532.36</v>
      </c>
      <c r="M910" s="308">
        <f t="shared" si="422"/>
        <v>139364.76</v>
      </c>
      <c r="N910" s="308">
        <f t="shared" si="422"/>
        <v>320137.68</v>
      </c>
      <c r="O910" s="263">
        <f>O909*33.72</f>
        <v>161822.28</v>
      </c>
      <c r="P910" s="322">
        <f t="shared" si="422"/>
        <v>47208</v>
      </c>
      <c r="Q910" s="263">
        <f t="shared" si="422"/>
        <v>33720</v>
      </c>
      <c r="R910" s="70"/>
      <c r="S910" s="70"/>
      <c r="T910" s="70"/>
      <c r="U910" s="70"/>
      <c r="V910" s="70"/>
      <c r="W910" s="70"/>
      <c r="X910" s="70"/>
      <c r="Y910" s="70"/>
      <c r="Z910" s="70"/>
      <c r="AA910" s="70"/>
      <c r="AB910" s="70"/>
      <c r="AC910" s="70"/>
      <c r="AH910" s="743"/>
      <c r="AI910" s="743"/>
    </row>
    <row r="911" spans="1:35" s="267" customFormat="1" x14ac:dyDescent="0.25">
      <c r="A911" s="939"/>
      <c r="B911" s="295" t="s">
        <v>79</v>
      </c>
      <c r="C911" s="302">
        <v>164000</v>
      </c>
      <c r="D911" s="263">
        <v>109880</v>
      </c>
      <c r="E911" s="302">
        <v>109880</v>
      </c>
      <c r="F911" s="308">
        <v>328000</v>
      </c>
      <c r="G911" s="308">
        <v>330905</v>
      </c>
      <c r="H911" s="308">
        <v>264264</v>
      </c>
      <c r="I911" s="308">
        <v>242663.6</v>
      </c>
      <c r="J911" s="263">
        <v>328000</v>
      </c>
      <c r="K911" s="302">
        <v>328000</v>
      </c>
      <c r="L911" s="308">
        <v>264264.40000000002</v>
      </c>
      <c r="M911" s="308">
        <v>328000</v>
      </c>
      <c r="N911" s="308">
        <v>352965.4</v>
      </c>
      <c r="O911" s="263">
        <v>328000</v>
      </c>
      <c r="P911" s="322">
        <f>2*P906</f>
        <v>110302</v>
      </c>
      <c r="Q911" s="263">
        <f>2*Q906</f>
        <v>66181</v>
      </c>
      <c r="R911" s="70"/>
      <c r="S911" s="70"/>
      <c r="T911" s="70"/>
      <c r="U911" s="70"/>
      <c r="V911" s="70"/>
      <c r="W911" s="70"/>
      <c r="X911" s="70"/>
      <c r="Y911" s="70"/>
      <c r="Z911" s="70"/>
      <c r="AA911" s="70"/>
      <c r="AB911" s="70"/>
      <c r="AC911" s="70"/>
      <c r="AH911" s="743"/>
      <c r="AI911" s="743"/>
    </row>
    <row r="912" spans="1:35" s="267" customFormat="1" x14ac:dyDescent="0.25">
      <c r="A912" s="939"/>
      <c r="B912" s="293" t="s">
        <v>8</v>
      </c>
      <c r="C912" s="303">
        <f>SUM(C909-168)</f>
        <v>5638</v>
      </c>
      <c r="D912" s="262">
        <f>SUM(D909-692)</f>
        <v>2641</v>
      </c>
      <c r="E912" s="303">
        <f>SUM(E909-658)</f>
        <v>2672</v>
      </c>
      <c r="F912" s="309">
        <f>SUM(F909-1211)</f>
        <v>8246</v>
      </c>
      <c r="G912" s="309">
        <f>SUM(G909-4214)</f>
        <v>3539</v>
      </c>
      <c r="H912" s="309">
        <f>SUM(H909-1752)</f>
        <v>13391</v>
      </c>
      <c r="I912" s="309">
        <f>SUM(I909-(3808-2000))</f>
        <v>5375</v>
      </c>
      <c r="J912" s="262">
        <f>SUM(J909-9313)</f>
        <v>286</v>
      </c>
      <c r="K912" s="303">
        <f>SUM(K909-962)</f>
        <v>8327</v>
      </c>
      <c r="L912" s="309">
        <f>SUM(L909-1262)</f>
        <v>10201</v>
      </c>
      <c r="M912" s="316">
        <f>SUM(M909-408)</f>
        <v>3725</v>
      </c>
      <c r="N912" s="309">
        <f>SUM(N909-(5653-2614))</f>
        <v>6455</v>
      </c>
      <c r="O912" s="262">
        <f>SUM(O909-4074)</f>
        <v>725</v>
      </c>
      <c r="P912" s="323">
        <f>SUM(P909-861)</f>
        <v>539</v>
      </c>
      <c r="Q912" s="262">
        <f>SUM(Q909-685)</f>
        <v>315</v>
      </c>
      <c r="R912" s="12" t="s">
        <v>176</v>
      </c>
      <c r="S912" s="70"/>
      <c r="T912" s="70"/>
      <c r="U912" s="70"/>
      <c r="V912" s="70"/>
      <c r="W912" s="70"/>
      <c r="X912" s="70"/>
      <c r="Y912" s="70"/>
      <c r="Z912" s="70"/>
      <c r="AA912" s="276"/>
      <c r="AB912" s="276"/>
      <c r="AH912" s="743"/>
      <c r="AI912" s="743"/>
    </row>
    <row r="913" spans="1:35" s="267" customFormat="1" x14ac:dyDescent="0.25">
      <c r="A913" s="939"/>
      <c r="B913" s="296" t="s">
        <v>77</v>
      </c>
      <c r="C913" s="304">
        <f>C912*33.72</f>
        <v>190113.36</v>
      </c>
      <c r="D913" s="261">
        <f>D912*33.72</f>
        <v>89054.52</v>
      </c>
      <c r="E913" s="304">
        <f>E912*33.72</f>
        <v>90099.839999999997</v>
      </c>
      <c r="F913" s="280">
        <f>F912*33.72</f>
        <v>278055.12</v>
      </c>
      <c r="G913" s="280">
        <f>G912*33.72*2</f>
        <v>238670.16</v>
      </c>
      <c r="H913" s="280">
        <f>H912*33.72</f>
        <v>451544.51999999996</v>
      </c>
      <c r="I913" s="280">
        <f>(I912*33.72)-(2000*33.72)</f>
        <v>113805</v>
      </c>
      <c r="J913" s="261">
        <f>J912*33.72</f>
        <v>9643.92</v>
      </c>
      <c r="K913" s="304">
        <f>K912*33.72</f>
        <v>280786.44</v>
      </c>
      <c r="L913" s="280">
        <f>L912*33.72</f>
        <v>343977.72</v>
      </c>
      <c r="M913" s="280">
        <f>((M912*33.72)-(2614*33.72))*2</f>
        <v>74925.84</v>
      </c>
      <c r="N913" s="280">
        <f>N912*33.72</f>
        <v>217662.6</v>
      </c>
      <c r="O913" s="261">
        <f>O912*33.72</f>
        <v>24447</v>
      </c>
      <c r="P913" s="324">
        <f>P912*33.72</f>
        <v>18175.079999999998</v>
      </c>
      <c r="Q913" s="325">
        <f>Q912*33.72</f>
        <v>10621.8</v>
      </c>
      <c r="R913" s="63">
        <f>344240-H913</f>
        <v>-107304.51999999996</v>
      </c>
      <c r="S913" s="70" t="s">
        <v>177</v>
      </c>
      <c r="T913" s="70"/>
      <c r="U913" s="70"/>
      <c r="V913" s="70"/>
      <c r="W913" s="70"/>
      <c r="X913" s="70"/>
      <c r="Y913" s="70"/>
      <c r="Z913" s="70"/>
      <c r="AA913" s="276"/>
      <c r="AB913" s="276"/>
      <c r="AH913" s="743"/>
      <c r="AI913" s="743"/>
    </row>
    <row r="914" spans="1:35" s="267" customFormat="1" ht="15.75" thickBot="1" x14ac:dyDescent="0.3">
      <c r="A914" s="940"/>
      <c r="B914" s="294" t="s">
        <v>10</v>
      </c>
      <c r="C914" s="305">
        <f t="shared" ref="C914:Q914" si="423">C913/C906</f>
        <v>1.3258277646901293</v>
      </c>
      <c r="D914" s="292">
        <f t="shared" si="423"/>
        <v>0.59166227067191624</v>
      </c>
      <c r="E914" s="310">
        <f t="shared" si="423"/>
        <v>0.59860718941134416</v>
      </c>
      <c r="F914" s="282">
        <f t="shared" si="423"/>
        <v>1.5277938524531616</v>
      </c>
      <c r="G914" s="282">
        <f t="shared" si="423"/>
        <v>1.4425297895166287</v>
      </c>
      <c r="H914" s="282">
        <f t="shared" si="423"/>
        <v>3.4173744437380797</v>
      </c>
      <c r="I914" s="282">
        <f t="shared" si="423"/>
        <v>0.9379651501090398</v>
      </c>
      <c r="J914" s="311">
        <f t="shared" si="423"/>
        <v>5.8068653324734959E-2</v>
      </c>
      <c r="K914" s="310">
        <f t="shared" si="423"/>
        <v>1.4546485206732738</v>
      </c>
      <c r="L914" s="282">
        <f t="shared" si="423"/>
        <v>2.6032845892220058</v>
      </c>
      <c r="M914" s="282">
        <f t="shared" si="423"/>
        <v>0.90570761656208476</v>
      </c>
      <c r="N914" s="260">
        <f t="shared" si="423"/>
        <v>1.2333367519875886</v>
      </c>
      <c r="O914" s="311">
        <f>O913/O906</f>
        <v>0.29440383434289913</v>
      </c>
      <c r="P914" s="305">
        <f t="shared" si="423"/>
        <v>0.32955123207194786</v>
      </c>
      <c r="Q914" s="292">
        <f t="shared" si="423"/>
        <v>0.32099242985146792</v>
      </c>
      <c r="R914" s="126"/>
      <c r="S914" s="70"/>
      <c r="T914" s="70"/>
      <c r="U914" s="70"/>
      <c r="V914" s="70"/>
      <c r="W914" s="70"/>
      <c r="X914" s="70"/>
      <c r="Y914" s="70"/>
      <c r="Z914" s="70"/>
      <c r="AA914" s="276"/>
      <c r="AB914" s="276"/>
      <c r="AH914" s="743"/>
      <c r="AI914" s="743"/>
    </row>
    <row r="915" spans="1:35" ht="15.75" thickBot="1" x14ac:dyDescent="0.3">
      <c r="A915" s="924">
        <v>41337</v>
      </c>
      <c r="B915" s="924"/>
      <c r="C915" s="924"/>
      <c r="N915" s="13"/>
    </row>
    <row r="916" spans="1:35" x14ac:dyDescent="0.25">
      <c r="A916" s="925" t="s">
        <v>1</v>
      </c>
      <c r="B916" s="927"/>
      <c r="C916" s="297" t="s">
        <v>12</v>
      </c>
      <c r="D916" s="266" t="s">
        <v>12</v>
      </c>
      <c r="E916" s="297" t="s">
        <v>13</v>
      </c>
      <c r="F916" s="277" t="s">
        <v>13</v>
      </c>
      <c r="G916" s="277" t="s">
        <v>13</v>
      </c>
      <c r="H916" s="277" t="s">
        <v>13</v>
      </c>
      <c r="I916" s="277" t="s">
        <v>13</v>
      </c>
      <c r="J916" s="266" t="s">
        <v>13</v>
      </c>
      <c r="K916" s="297" t="s">
        <v>2</v>
      </c>
      <c r="L916" s="277" t="s">
        <v>2</v>
      </c>
      <c r="M916" s="286" t="s">
        <v>2</v>
      </c>
      <c r="N916" s="277" t="s">
        <v>2</v>
      </c>
      <c r="O916" s="266" t="s">
        <v>2</v>
      </c>
      <c r="P916" s="229"/>
      <c r="Q916" s="329"/>
    </row>
    <row r="917" spans="1:35" ht="15.75" thickBot="1" x14ac:dyDescent="0.3">
      <c r="A917" s="931" t="s">
        <v>0</v>
      </c>
      <c r="B917" s="949"/>
      <c r="C917" s="298" t="s">
        <v>99</v>
      </c>
      <c r="D917" s="291" t="s">
        <v>100</v>
      </c>
      <c r="E917" s="298" t="s">
        <v>101</v>
      </c>
      <c r="F917" s="306" t="s">
        <v>102</v>
      </c>
      <c r="G917" s="306" t="s">
        <v>97</v>
      </c>
      <c r="H917" s="306" t="s">
        <v>104</v>
      </c>
      <c r="I917" s="306" t="s">
        <v>103</v>
      </c>
      <c r="J917" s="291" t="s">
        <v>179</v>
      </c>
      <c r="K917" s="298" t="s">
        <v>105</v>
      </c>
      <c r="L917" s="306" t="s">
        <v>107</v>
      </c>
      <c r="M917" s="312" t="s">
        <v>98</v>
      </c>
      <c r="N917" s="313" t="s">
        <v>106</v>
      </c>
      <c r="O917" s="314" t="s">
        <v>178</v>
      </c>
      <c r="P917" s="289"/>
      <c r="Q917" s="330"/>
      <c r="S917" s="12"/>
      <c r="T917" s="12"/>
      <c r="U917" s="12"/>
      <c r="V917" s="12"/>
      <c r="W917" s="12"/>
      <c r="X917" s="12"/>
      <c r="Y917" s="12"/>
      <c r="Z917" s="12"/>
      <c r="AA917" s="126"/>
      <c r="AB917" s="125"/>
      <c r="AC917" s="126"/>
    </row>
    <row r="918" spans="1:35" ht="15" customHeight="1" x14ac:dyDescent="0.25">
      <c r="A918" s="935" t="s">
        <v>9</v>
      </c>
      <c r="B918" s="19" t="s">
        <v>4</v>
      </c>
      <c r="C918" s="299">
        <v>143392.20000000001</v>
      </c>
      <c r="D918" s="265">
        <v>150515.79999999999</v>
      </c>
      <c r="E918" s="299">
        <v>150515.79999999999</v>
      </c>
      <c r="F918" s="283">
        <v>181997.8</v>
      </c>
      <c r="G918" s="283">
        <v>165452.5</v>
      </c>
      <c r="H918" s="283">
        <v>132132</v>
      </c>
      <c r="I918" s="283">
        <v>121331.8</v>
      </c>
      <c r="J918" s="265">
        <v>83039</v>
      </c>
      <c r="K918" s="299">
        <v>193027</v>
      </c>
      <c r="L918" s="283">
        <v>132132.20000000001</v>
      </c>
      <c r="M918" s="283">
        <v>82726.3</v>
      </c>
      <c r="N918" s="283">
        <v>176482.7</v>
      </c>
      <c r="O918" s="265">
        <v>166077.9</v>
      </c>
      <c r="P918" s="231"/>
      <c r="Q918" s="331"/>
      <c r="R918" s="70"/>
      <c r="AA918" s="70"/>
      <c r="AB918" s="70"/>
      <c r="AC918" s="70"/>
    </row>
    <row r="919" spans="1:35" x14ac:dyDescent="0.25">
      <c r="A919" s="936"/>
      <c r="B919" s="293" t="s">
        <v>5</v>
      </c>
      <c r="C919" s="300">
        <v>40061.1</v>
      </c>
      <c r="D919" s="264">
        <v>77144.100000000006</v>
      </c>
      <c r="E919" s="300">
        <v>78558.399999999994</v>
      </c>
      <c r="F919" s="307">
        <v>155682.1</v>
      </c>
      <c r="G919" s="307">
        <v>84170.4</v>
      </c>
      <c r="H919" s="307">
        <v>45246</v>
      </c>
      <c r="I919" s="307">
        <v>66149.7</v>
      </c>
      <c r="J919" s="264">
        <v>3729.6</v>
      </c>
      <c r="K919" s="300">
        <v>154764.4</v>
      </c>
      <c r="L919" s="307">
        <v>51979</v>
      </c>
      <c r="M919" s="307">
        <v>43516.6</v>
      </c>
      <c r="N919" s="307">
        <v>129310.8</v>
      </c>
      <c r="O919" s="264">
        <v>7276.7</v>
      </c>
      <c r="P919" s="232"/>
      <c r="Q919" s="332"/>
      <c r="R919" s="70"/>
      <c r="AA919" s="70"/>
      <c r="AB919" s="70"/>
      <c r="AC919" s="70"/>
    </row>
    <row r="920" spans="1:35" ht="15.75" thickBot="1" x14ac:dyDescent="0.3">
      <c r="A920" s="937"/>
      <c r="B920" s="294" t="s">
        <v>3</v>
      </c>
      <c r="C920" s="301">
        <f t="shared" ref="C920:O920" si="424">C919/C918</f>
        <v>0.27938130525928184</v>
      </c>
      <c r="D920" s="292">
        <f t="shared" si="424"/>
        <v>0.51253157475826461</v>
      </c>
      <c r="E920" s="305">
        <f t="shared" si="424"/>
        <v>0.52192793048968944</v>
      </c>
      <c r="F920" s="278">
        <f t="shared" si="424"/>
        <v>0.85540649392465196</v>
      </c>
      <c r="G920" s="278">
        <f t="shared" si="424"/>
        <v>0.50872848702799889</v>
      </c>
      <c r="H920" s="278">
        <f t="shared" si="424"/>
        <v>0.3424302969757515</v>
      </c>
      <c r="I920" s="278">
        <f t="shared" si="424"/>
        <v>0.54519672501355787</v>
      </c>
      <c r="J920" s="292">
        <f t="shared" si="424"/>
        <v>4.4913835667577881E-2</v>
      </c>
      <c r="K920" s="305">
        <f t="shared" si="424"/>
        <v>0.80177591735871145</v>
      </c>
      <c r="L920" s="278">
        <f t="shared" si="424"/>
        <v>0.39338632066975343</v>
      </c>
      <c r="M920" s="315">
        <f t="shared" si="424"/>
        <v>0.52603102036474492</v>
      </c>
      <c r="N920" s="278">
        <f t="shared" si="424"/>
        <v>0.73271091160776658</v>
      </c>
      <c r="O920" s="292">
        <f t="shared" si="424"/>
        <v>4.3814980801178245E-2</v>
      </c>
      <c r="P920" s="233"/>
      <c r="Q920" s="333"/>
      <c r="R920" s="70"/>
      <c r="AA920" s="70"/>
      <c r="AB920" s="70"/>
      <c r="AC920" s="70"/>
    </row>
    <row r="921" spans="1:35" ht="15" customHeight="1" x14ac:dyDescent="0.25">
      <c r="A921" s="938" t="s">
        <v>6</v>
      </c>
      <c r="B921" s="19" t="s">
        <v>7</v>
      </c>
      <c r="C921" s="297">
        <v>5806</v>
      </c>
      <c r="D921" s="266">
        <v>3333</v>
      </c>
      <c r="E921" s="297">
        <v>3330</v>
      </c>
      <c r="F921" s="277">
        <v>9457</v>
      </c>
      <c r="G921" s="277">
        <v>7653</v>
      </c>
      <c r="H921" s="277">
        <v>15143</v>
      </c>
      <c r="I921" s="277">
        <v>7183</v>
      </c>
      <c r="J921" s="266">
        <v>4799</v>
      </c>
      <c r="K921" s="297">
        <v>9289</v>
      </c>
      <c r="L921" s="277">
        <v>11171</v>
      </c>
      <c r="M921" s="277">
        <v>4133</v>
      </c>
      <c r="N921" s="277">
        <v>9494</v>
      </c>
      <c r="O921" s="266">
        <v>9599</v>
      </c>
      <c r="P921" s="234"/>
      <c r="Q921" s="326"/>
      <c r="R921" s="70"/>
      <c r="AA921" s="70"/>
      <c r="AB921" s="70"/>
      <c r="AC921" s="70"/>
    </row>
    <row r="922" spans="1:35" x14ac:dyDescent="0.25">
      <c r="A922" s="939"/>
      <c r="B922" s="295" t="s">
        <v>11</v>
      </c>
      <c r="C922" s="302">
        <f t="shared" ref="C922:O922" si="425">C921*33.72</f>
        <v>195778.32</v>
      </c>
      <c r="D922" s="263">
        <f t="shared" si="425"/>
        <v>112388.76</v>
      </c>
      <c r="E922" s="302">
        <f t="shared" si="425"/>
        <v>112287.59999999999</v>
      </c>
      <c r="F922" s="308">
        <f t="shared" si="425"/>
        <v>318890.03999999998</v>
      </c>
      <c r="G922" s="308">
        <f t="shared" si="425"/>
        <v>258059.16</v>
      </c>
      <c r="H922" s="308">
        <f t="shared" si="425"/>
        <v>510621.95999999996</v>
      </c>
      <c r="I922" s="308">
        <f t="shared" si="425"/>
        <v>242210.75999999998</v>
      </c>
      <c r="J922" s="263">
        <f t="shared" si="425"/>
        <v>161822.28</v>
      </c>
      <c r="K922" s="302">
        <f t="shared" si="425"/>
        <v>313225.08</v>
      </c>
      <c r="L922" s="308">
        <f t="shared" si="425"/>
        <v>376686.12</v>
      </c>
      <c r="M922" s="308">
        <f t="shared" si="425"/>
        <v>139364.76</v>
      </c>
      <c r="N922" s="308">
        <f t="shared" si="425"/>
        <v>320137.68</v>
      </c>
      <c r="O922" s="263">
        <f t="shared" si="425"/>
        <v>323678.27999999997</v>
      </c>
      <c r="P922" s="235"/>
      <c r="Q922" s="334"/>
      <c r="R922" s="70"/>
      <c r="AA922" s="70"/>
      <c r="AB922" s="70"/>
      <c r="AC922" s="70"/>
    </row>
    <row r="923" spans="1:35" x14ac:dyDescent="0.25">
      <c r="A923" s="939"/>
      <c r="B923" s="295" t="s">
        <v>79</v>
      </c>
      <c r="C923" s="302">
        <v>164000</v>
      </c>
      <c r="D923" s="263">
        <v>109880</v>
      </c>
      <c r="E923" s="302">
        <v>109880</v>
      </c>
      <c r="F923" s="308">
        <v>328000</v>
      </c>
      <c r="G923" s="308">
        <v>330905</v>
      </c>
      <c r="H923" s="308">
        <v>264264</v>
      </c>
      <c r="I923" s="308">
        <v>242663.6</v>
      </c>
      <c r="J923" s="263">
        <v>328000</v>
      </c>
      <c r="K923" s="302">
        <v>328000</v>
      </c>
      <c r="L923" s="308">
        <v>264264.40000000002</v>
      </c>
      <c r="M923" s="308">
        <v>328000</v>
      </c>
      <c r="N923" s="308">
        <v>352965.4</v>
      </c>
      <c r="O923" s="263">
        <v>328000</v>
      </c>
      <c r="P923" s="235"/>
      <c r="Q923" s="334"/>
      <c r="R923" s="70"/>
      <c r="AA923" s="70"/>
      <c r="AB923" s="70"/>
      <c r="AC923" s="70"/>
    </row>
    <row r="924" spans="1:35" x14ac:dyDescent="0.25">
      <c r="A924" s="939"/>
      <c r="B924" s="293" t="s">
        <v>8</v>
      </c>
      <c r="C924" s="303">
        <f>SUM(C921-168)</f>
        <v>5638</v>
      </c>
      <c r="D924" s="262">
        <f>SUM(D921-692)</f>
        <v>2641</v>
      </c>
      <c r="E924" s="303">
        <f>SUM(E921-658)</f>
        <v>2672</v>
      </c>
      <c r="F924" s="309">
        <f>SUM(F921-1211)</f>
        <v>8246</v>
      </c>
      <c r="G924" s="309">
        <f>SUM(G921-4123)</f>
        <v>3530</v>
      </c>
      <c r="H924" s="309">
        <f>SUM(H921-1752)</f>
        <v>13391</v>
      </c>
      <c r="I924" s="309">
        <f>SUM(I921-(3808-2000))</f>
        <v>5375</v>
      </c>
      <c r="J924" s="262">
        <f>SUM(J921-4074)</f>
        <v>725</v>
      </c>
      <c r="K924" s="303">
        <f>SUM(K921-950)</f>
        <v>8339</v>
      </c>
      <c r="L924" s="309">
        <f>SUM(L921-1353)</f>
        <v>9818</v>
      </c>
      <c r="M924" s="316">
        <f>SUM(M921-417)</f>
        <v>3716</v>
      </c>
      <c r="N924" s="309">
        <f>SUM(N921-(5653-2614))</f>
        <v>6455</v>
      </c>
      <c r="O924" s="262">
        <f>SUM(O921-9313)</f>
        <v>286</v>
      </c>
      <c r="P924" s="236"/>
      <c r="Q924" s="335"/>
      <c r="R924" s="12" t="s">
        <v>176</v>
      </c>
    </row>
    <row r="925" spans="1:35" x14ac:dyDescent="0.25">
      <c r="A925" s="939"/>
      <c r="B925" s="296" t="s">
        <v>77</v>
      </c>
      <c r="C925" s="304">
        <f>C924*33.72</f>
        <v>190113.36</v>
      </c>
      <c r="D925" s="261">
        <f>D924*33.72</f>
        <v>89054.52</v>
      </c>
      <c r="E925" s="304">
        <f>E924*33.72</f>
        <v>90099.839999999997</v>
      </c>
      <c r="F925" s="280">
        <f>F924*33.72</f>
        <v>278055.12</v>
      </c>
      <c r="G925" s="280">
        <f>G924*33.72*2</f>
        <v>238063.19999999998</v>
      </c>
      <c r="H925" s="280">
        <f>H924*33.72</f>
        <v>451544.51999999996</v>
      </c>
      <c r="I925" s="280">
        <f>(I924*33.72)-(2000*33.72)</f>
        <v>113805</v>
      </c>
      <c r="J925" s="261">
        <f>J924*33.72</f>
        <v>24447</v>
      </c>
      <c r="K925" s="304">
        <f>K924*33.72</f>
        <v>281191.08</v>
      </c>
      <c r="L925" s="280">
        <f>L924*33.72</f>
        <v>331062.95999999996</v>
      </c>
      <c r="M925" s="280">
        <f>((M924*33.72)-(2614*33.72))*2</f>
        <v>74318.879999999976</v>
      </c>
      <c r="N925" s="280">
        <f>N924*33.72</f>
        <v>217662.6</v>
      </c>
      <c r="O925" s="261">
        <f>O924*33.72</f>
        <v>9643.92</v>
      </c>
      <c r="P925" s="237"/>
      <c r="Q925" s="336"/>
      <c r="R925" s="63">
        <f>344240-H925</f>
        <v>-107304.51999999996</v>
      </c>
      <c r="S925" s="70" t="s">
        <v>177</v>
      </c>
    </row>
    <row r="926" spans="1:35" ht="15.75" thickBot="1" x14ac:dyDescent="0.3">
      <c r="A926" s="940"/>
      <c r="B926" s="294" t="s">
        <v>10</v>
      </c>
      <c r="C926" s="305">
        <f t="shared" ref="C926:O926" si="426">C925/C918</f>
        <v>1.3258277646901293</v>
      </c>
      <c r="D926" s="292">
        <f t="shared" si="426"/>
        <v>0.59166227067191624</v>
      </c>
      <c r="E926" s="310">
        <f t="shared" si="426"/>
        <v>0.59860718941134416</v>
      </c>
      <c r="F926" s="282">
        <f t="shared" si="426"/>
        <v>1.5277938524531616</v>
      </c>
      <c r="G926" s="282">
        <f t="shared" si="426"/>
        <v>1.4388613046040404</v>
      </c>
      <c r="H926" s="282">
        <f t="shared" si="426"/>
        <v>3.4173744437380797</v>
      </c>
      <c r="I926" s="282">
        <f t="shared" si="426"/>
        <v>0.9379651501090398</v>
      </c>
      <c r="J926" s="311">
        <f t="shared" si="426"/>
        <v>0.29440383434289913</v>
      </c>
      <c r="K926" s="310">
        <f t="shared" si="426"/>
        <v>1.4567448077211997</v>
      </c>
      <c r="L926" s="282">
        <f t="shared" si="426"/>
        <v>2.5055433876072595</v>
      </c>
      <c r="M926" s="282">
        <f t="shared" si="426"/>
        <v>0.89837065117139259</v>
      </c>
      <c r="N926" s="260">
        <f t="shared" si="426"/>
        <v>1.2333367519875886</v>
      </c>
      <c r="O926" s="311">
        <f t="shared" si="426"/>
        <v>5.8068653324734959E-2</v>
      </c>
      <c r="P926" s="233"/>
      <c r="Q926" s="333"/>
      <c r="R926" s="126"/>
    </row>
    <row r="927" spans="1:35" ht="15.75" thickBot="1" x14ac:dyDescent="0.3">
      <c r="A927" s="924">
        <v>41334</v>
      </c>
      <c r="B927" s="924"/>
      <c r="C927" s="924"/>
      <c r="J927" s="281"/>
      <c r="K927" s="281"/>
      <c r="L927" s="276"/>
      <c r="M927" s="276"/>
      <c r="N927" s="13"/>
    </row>
    <row r="928" spans="1:35" x14ac:dyDescent="0.25">
      <c r="A928" s="925" t="s">
        <v>1</v>
      </c>
      <c r="B928" s="948"/>
      <c r="C928" s="56" t="s">
        <v>12</v>
      </c>
      <c r="D928" s="56" t="s">
        <v>12</v>
      </c>
      <c r="E928" s="56" t="s">
        <v>13</v>
      </c>
      <c r="F928" s="56" t="s">
        <v>13</v>
      </c>
      <c r="G928" s="56" t="s">
        <v>13</v>
      </c>
      <c r="H928" s="56" t="s">
        <v>13</v>
      </c>
      <c r="I928" s="56" t="s">
        <v>13</v>
      </c>
      <c r="J928" s="277" t="s">
        <v>2</v>
      </c>
      <c r="K928" s="277" t="s">
        <v>2</v>
      </c>
      <c r="L928" s="277" t="s">
        <v>2</v>
      </c>
      <c r="M928" s="286" t="s">
        <v>2</v>
      </c>
      <c r="N928" s="229"/>
      <c r="O928" s="326"/>
      <c r="P928" s="326"/>
      <c r="Q928" s="326"/>
    </row>
    <row r="929" spans="1:29" ht="15.75" thickBot="1" x14ac:dyDescent="0.3">
      <c r="A929" s="931" t="s">
        <v>0</v>
      </c>
      <c r="B929" s="955"/>
      <c r="C929" s="69" t="s">
        <v>99</v>
      </c>
      <c r="D929" s="69" t="s">
        <v>100</v>
      </c>
      <c r="E929" s="69" t="s">
        <v>101</v>
      </c>
      <c r="F929" s="69" t="s">
        <v>102</v>
      </c>
      <c r="G929" s="69" t="s">
        <v>97</v>
      </c>
      <c r="H929" s="69" t="s">
        <v>104</v>
      </c>
      <c r="I929" s="69" t="s">
        <v>103</v>
      </c>
      <c r="J929" s="69" t="s">
        <v>105</v>
      </c>
      <c r="K929" s="69" t="s">
        <v>107</v>
      </c>
      <c r="L929" s="69" t="s">
        <v>98</v>
      </c>
      <c r="M929" s="222" t="s">
        <v>106</v>
      </c>
      <c r="N929" s="289"/>
      <c r="O929" s="275"/>
      <c r="P929" s="275"/>
      <c r="Q929" s="275"/>
      <c r="S929" s="12"/>
      <c r="T929" s="12"/>
      <c r="U929" s="12"/>
      <c r="V929" s="12"/>
      <c r="W929" s="12"/>
      <c r="X929" s="12"/>
      <c r="Y929" s="12"/>
      <c r="Z929" s="12"/>
      <c r="AA929" s="126"/>
      <c r="AB929" s="125"/>
      <c r="AC929" s="126"/>
    </row>
    <row r="930" spans="1:29" ht="15" customHeight="1" x14ac:dyDescent="0.25">
      <c r="A930" s="935" t="s">
        <v>9</v>
      </c>
      <c r="B930" s="2" t="s">
        <v>4</v>
      </c>
      <c r="C930" s="66">
        <v>143392.20000000001</v>
      </c>
      <c r="D930" s="66">
        <v>150515.79999999999</v>
      </c>
      <c r="E930" s="66">
        <v>150515.79999999999</v>
      </c>
      <c r="F930" s="66">
        <v>181997.8</v>
      </c>
      <c r="G930" s="66">
        <v>165452.5</v>
      </c>
      <c r="H930" s="66">
        <v>132132</v>
      </c>
      <c r="I930" s="66">
        <v>121331.8</v>
      </c>
      <c r="J930" s="283">
        <v>193027</v>
      </c>
      <c r="K930" s="283">
        <v>132132.20000000001</v>
      </c>
      <c r="L930" s="283">
        <v>82726.3</v>
      </c>
      <c r="M930" s="283">
        <v>176482.7</v>
      </c>
      <c r="N930" s="231"/>
      <c r="R930" s="70"/>
      <c r="AA930" s="70"/>
      <c r="AB930" s="70"/>
      <c r="AC930" s="70"/>
    </row>
    <row r="931" spans="1:29" x14ac:dyDescent="0.25">
      <c r="A931" s="936"/>
      <c r="B931" s="52" t="s">
        <v>5</v>
      </c>
      <c r="C931" s="67">
        <v>42104.9</v>
      </c>
      <c r="D931" s="67">
        <v>77082.5</v>
      </c>
      <c r="E931" s="67">
        <v>78496.899999999994</v>
      </c>
      <c r="F931" s="67">
        <v>154701.70000000001</v>
      </c>
      <c r="G931" s="67">
        <v>83491.899999999994</v>
      </c>
      <c r="H931" s="67">
        <v>39570.9</v>
      </c>
      <c r="I931" s="67">
        <v>66078.600000000006</v>
      </c>
      <c r="J931" s="284">
        <v>154109</v>
      </c>
      <c r="K931" s="284">
        <v>52135.9</v>
      </c>
      <c r="L931" s="284">
        <v>43150.9</v>
      </c>
      <c r="M931" s="284">
        <v>128781.3</v>
      </c>
      <c r="N931" s="232"/>
      <c r="R931" s="70"/>
      <c r="AA931" s="70"/>
      <c r="AB931" s="70"/>
      <c r="AC931" s="70"/>
    </row>
    <row r="932" spans="1:29" ht="15.75" thickBot="1" x14ac:dyDescent="0.3">
      <c r="A932" s="937"/>
      <c r="B932" s="3" t="s">
        <v>3</v>
      </c>
      <c r="C932" s="57">
        <f t="shared" ref="C932:M932" si="427">C931/C930</f>
        <v>0.29363452126405759</v>
      </c>
      <c r="D932" s="58">
        <f t="shared" si="427"/>
        <v>0.5121223153981177</v>
      </c>
      <c r="E932" s="58">
        <f t="shared" si="427"/>
        <v>0.52151933551162066</v>
      </c>
      <c r="F932" s="58">
        <f t="shared" si="427"/>
        <v>0.85001961562172745</v>
      </c>
      <c r="G932" s="58">
        <f t="shared" si="427"/>
        <v>0.50462761215454588</v>
      </c>
      <c r="H932" s="58">
        <f t="shared" si="427"/>
        <v>0.29948006538915634</v>
      </c>
      <c r="I932" s="58">
        <f t="shared" si="427"/>
        <v>0.54461072859711968</v>
      </c>
      <c r="J932" s="278">
        <f t="shared" si="427"/>
        <v>0.79838053743776782</v>
      </c>
      <c r="K932" s="278">
        <f t="shared" si="427"/>
        <v>0.39457376778711017</v>
      </c>
      <c r="L932" s="278">
        <f t="shared" si="427"/>
        <v>0.52161041893569515</v>
      </c>
      <c r="M932" s="287">
        <f t="shared" si="427"/>
        <v>0.7297106175279503</v>
      </c>
      <c r="N932" s="233"/>
      <c r="R932" s="70"/>
      <c r="AA932" s="70"/>
      <c r="AB932" s="70"/>
      <c r="AC932" s="70"/>
    </row>
    <row r="933" spans="1:29" ht="15" customHeight="1" x14ac:dyDescent="0.25">
      <c r="A933" s="938" t="s">
        <v>6</v>
      </c>
      <c r="B933" s="19" t="s">
        <v>7</v>
      </c>
      <c r="C933" s="56">
        <v>5806</v>
      </c>
      <c r="D933" s="56">
        <v>3333</v>
      </c>
      <c r="E933" s="56">
        <v>3330</v>
      </c>
      <c r="F933" s="56">
        <v>9457</v>
      </c>
      <c r="G933" s="56">
        <v>7653</v>
      </c>
      <c r="H933" s="56">
        <v>15143</v>
      </c>
      <c r="I933" s="56">
        <v>7183</v>
      </c>
      <c r="J933" s="277">
        <v>9289</v>
      </c>
      <c r="K933" s="277">
        <v>11171</v>
      </c>
      <c r="L933" s="277">
        <v>4133</v>
      </c>
      <c r="M933" s="277">
        <v>9494</v>
      </c>
      <c r="N933" s="234"/>
      <c r="R933" s="70"/>
      <c r="AA933" s="70"/>
      <c r="AB933" s="70"/>
      <c r="AC933" s="70"/>
    </row>
    <row r="934" spans="1:29" x14ac:dyDescent="0.25">
      <c r="A934" s="939"/>
      <c r="B934" s="20" t="s">
        <v>11</v>
      </c>
      <c r="C934" s="59">
        <f t="shared" ref="C934:M934" si="428">C933*33.72</f>
        <v>195778.32</v>
      </c>
      <c r="D934" s="59">
        <f t="shared" si="428"/>
        <v>112388.76</v>
      </c>
      <c r="E934" s="59">
        <f t="shared" si="428"/>
        <v>112287.59999999999</v>
      </c>
      <c r="F934" s="59">
        <f t="shared" si="428"/>
        <v>318890.03999999998</v>
      </c>
      <c r="G934" s="59">
        <f t="shared" si="428"/>
        <v>258059.16</v>
      </c>
      <c r="H934" s="59">
        <f t="shared" si="428"/>
        <v>510621.95999999996</v>
      </c>
      <c r="I934" s="59">
        <f t="shared" si="428"/>
        <v>242210.75999999998</v>
      </c>
      <c r="J934" s="279">
        <f t="shared" si="428"/>
        <v>313225.08</v>
      </c>
      <c r="K934" s="279">
        <f t="shared" si="428"/>
        <v>376686.12</v>
      </c>
      <c r="L934" s="279">
        <f t="shared" si="428"/>
        <v>139364.76</v>
      </c>
      <c r="M934" s="279">
        <f t="shared" si="428"/>
        <v>320137.68</v>
      </c>
      <c r="N934" s="235"/>
      <c r="R934" s="70"/>
      <c r="AA934" s="70"/>
      <c r="AB934" s="70"/>
      <c r="AC934" s="70"/>
    </row>
    <row r="935" spans="1:29" x14ac:dyDescent="0.25">
      <c r="A935" s="939"/>
      <c r="B935" s="20" t="s">
        <v>79</v>
      </c>
      <c r="C935" s="59">
        <v>164000</v>
      </c>
      <c r="D935" s="59">
        <v>109880</v>
      </c>
      <c r="E935" s="59">
        <v>109880</v>
      </c>
      <c r="F935" s="59">
        <v>328000</v>
      </c>
      <c r="G935" s="59">
        <v>330905</v>
      </c>
      <c r="H935" s="59">
        <v>264264</v>
      </c>
      <c r="I935" s="59">
        <v>242663.6</v>
      </c>
      <c r="J935" s="279">
        <v>328000</v>
      </c>
      <c r="K935" s="279">
        <v>264264.40000000002</v>
      </c>
      <c r="L935" s="279">
        <v>328000</v>
      </c>
      <c r="M935" s="279">
        <v>352965.4</v>
      </c>
      <c r="N935" s="235"/>
      <c r="R935" s="70"/>
      <c r="AA935" s="70"/>
      <c r="AB935" s="70"/>
      <c r="AC935" s="70"/>
    </row>
    <row r="936" spans="1:29" x14ac:dyDescent="0.25">
      <c r="A936" s="939"/>
      <c r="B936" s="54" t="s">
        <v>8</v>
      </c>
      <c r="C936" s="68">
        <f>SUM(C933-168)</f>
        <v>5638</v>
      </c>
      <c r="D936" s="68">
        <f>SUM(D933-676)</f>
        <v>2657</v>
      </c>
      <c r="E936" s="68">
        <f>SUM(E933-654)</f>
        <v>2676</v>
      </c>
      <c r="F936" s="68">
        <f>SUM(F933-1211)</f>
        <v>8246</v>
      </c>
      <c r="G936" s="68">
        <f>SUM(G933-4123)</f>
        <v>3530</v>
      </c>
      <c r="H936" s="68">
        <f>SUM(H933-1752)</f>
        <v>13391</v>
      </c>
      <c r="I936" s="68">
        <f>SUM(I933-(3823-2000))</f>
        <v>5360</v>
      </c>
      <c r="J936" s="285">
        <f>SUM(J933-950)</f>
        <v>8339</v>
      </c>
      <c r="K936" s="285">
        <f>SUM(K933-1353)</f>
        <v>9818</v>
      </c>
      <c r="L936" s="285">
        <f>SUM(L933-417)</f>
        <v>3716</v>
      </c>
      <c r="M936" s="288">
        <f>SUM(M933-(5653-2614))</f>
        <v>6455</v>
      </c>
      <c r="N936" s="236"/>
      <c r="R936" s="12" t="s">
        <v>176</v>
      </c>
    </row>
    <row r="937" spans="1:29" x14ac:dyDescent="0.25">
      <c r="A937" s="939"/>
      <c r="B937" s="21" t="s">
        <v>77</v>
      </c>
      <c r="C937" s="250">
        <f>C936*33.72</f>
        <v>190113.36</v>
      </c>
      <c r="D937" s="250">
        <f>D936*33.72</f>
        <v>89594.04</v>
      </c>
      <c r="E937" s="250">
        <f>E936*33.72</f>
        <v>90234.72</v>
      </c>
      <c r="F937" s="250">
        <f>F936*33.72</f>
        <v>278055.12</v>
      </c>
      <c r="G937" s="250">
        <f>G936*33.72*2</f>
        <v>238063.19999999998</v>
      </c>
      <c r="H937" s="250">
        <f>H936*33.72</f>
        <v>451544.51999999996</v>
      </c>
      <c r="I937" s="250">
        <f>(I936*33.72)-(2000*33.72)</f>
        <v>113299.19999999998</v>
      </c>
      <c r="J937" s="250">
        <f>J936*33.72</f>
        <v>281191.08</v>
      </c>
      <c r="K937" s="250">
        <f>K936*33.72</f>
        <v>331062.95999999996</v>
      </c>
      <c r="L937" s="250">
        <f>L936*33.72</f>
        <v>125303.51999999999</v>
      </c>
      <c r="M937" s="250">
        <f>((M936*33.72)-(2614*33.72))*2</f>
        <v>259037.04</v>
      </c>
      <c r="N937" s="237"/>
      <c r="R937" s="63">
        <f>344240-H937</f>
        <v>-107304.51999999996</v>
      </c>
      <c r="S937" s="70" t="s">
        <v>177</v>
      </c>
    </row>
    <row r="938" spans="1:29" ht="15.75" thickBot="1" x14ac:dyDescent="0.3">
      <c r="A938" s="940"/>
      <c r="B938" s="201" t="s">
        <v>10</v>
      </c>
      <c r="C938" s="58">
        <f t="shared" ref="C938:M938" si="429">C937/C930</f>
        <v>1.3258277646901293</v>
      </c>
      <c r="D938" s="58">
        <f t="shared" si="429"/>
        <v>0.59524674486000806</v>
      </c>
      <c r="E938" s="62">
        <f t="shared" si="429"/>
        <v>0.59950330795836726</v>
      </c>
      <c r="F938" s="62">
        <f t="shared" si="429"/>
        <v>1.5277938524531616</v>
      </c>
      <c r="G938" s="62">
        <f t="shared" si="429"/>
        <v>1.4388613046040404</v>
      </c>
      <c r="H938" s="62">
        <f t="shared" si="429"/>
        <v>3.4173744437380797</v>
      </c>
      <c r="I938" s="62">
        <f t="shared" si="429"/>
        <v>0.93379641610855502</v>
      </c>
      <c r="J938" s="62">
        <f t="shared" si="429"/>
        <v>1.4567448077211997</v>
      </c>
      <c r="K938" s="62">
        <f t="shared" si="429"/>
        <v>2.5055433876072595</v>
      </c>
      <c r="L938" s="62">
        <f t="shared" si="429"/>
        <v>1.5146757439895171</v>
      </c>
      <c r="M938" s="259">
        <f t="shared" si="429"/>
        <v>1.4677758216527739</v>
      </c>
      <c r="N938" s="233"/>
      <c r="R938" s="126"/>
    </row>
    <row r="939" spans="1:29" ht="15.75" thickBot="1" x14ac:dyDescent="0.3">
      <c r="A939" s="924">
        <v>41330</v>
      </c>
      <c r="B939" s="924"/>
      <c r="C939" s="924"/>
      <c r="N939" s="13"/>
    </row>
    <row r="940" spans="1:29" x14ac:dyDescent="0.25">
      <c r="A940" s="925" t="s">
        <v>1</v>
      </c>
      <c r="B940" s="948"/>
      <c r="C940" s="56" t="s">
        <v>12</v>
      </c>
      <c r="D940" s="56" t="s">
        <v>12</v>
      </c>
      <c r="E940" s="56" t="s">
        <v>13</v>
      </c>
      <c r="F940" s="56" t="s">
        <v>13</v>
      </c>
      <c r="G940" s="56" t="s">
        <v>13</v>
      </c>
      <c r="H940" s="56" t="s">
        <v>13</v>
      </c>
      <c r="I940" s="56" t="s">
        <v>13</v>
      </c>
      <c r="J940" s="56" t="s">
        <v>2</v>
      </c>
      <c r="K940" s="56" t="s">
        <v>2</v>
      </c>
      <c r="L940" s="56" t="s">
        <v>2</v>
      </c>
      <c r="M940" s="221" t="s">
        <v>2</v>
      </c>
      <c r="N940" s="229"/>
    </row>
    <row r="941" spans="1:29" ht="15.75" thickBot="1" x14ac:dyDescent="0.3">
      <c r="A941" s="931" t="s">
        <v>0</v>
      </c>
      <c r="B941" s="955"/>
      <c r="C941" s="69" t="s">
        <v>99</v>
      </c>
      <c r="D941" s="69" t="s">
        <v>100</v>
      </c>
      <c r="E941" s="69" t="s">
        <v>101</v>
      </c>
      <c r="F941" s="69" t="s">
        <v>102</v>
      </c>
      <c r="G941" s="69" t="s">
        <v>97</v>
      </c>
      <c r="H941" s="69" t="s">
        <v>104</v>
      </c>
      <c r="I941" s="69" t="s">
        <v>103</v>
      </c>
      <c r="J941" s="69" t="s">
        <v>105</v>
      </c>
      <c r="K941" s="69" t="s">
        <v>107</v>
      </c>
      <c r="L941" s="69" t="s">
        <v>98</v>
      </c>
      <c r="M941" s="222" t="s">
        <v>106</v>
      </c>
      <c r="N941" s="230"/>
      <c r="S941" s="12"/>
      <c r="T941" s="12"/>
      <c r="U941" s="12"/>
      <c r="V941" s="12"/>
      <c r="W941" s="12"/>
      <c r="X941" s="12"/>
      <c r="Y941" s="12"/>
      <c r="Z941" s="12"/>
      <c r="AA941" s="126"/>
      <c r="AB941" s="125"/>
      <c r="AC941" s="126"/>
    </row>
    <row r="942" spans="1:29" ht="15" customHeight="1" x14ac:dyDescent="0.25">
      <c r="A942" s="935" t="s">
        <v>9</v>
      </c>
      <c r="B942" s="2" t="s">
        <v>4</v>
      </c>
      <c r="C942" s="66">
        <v>143392.20000000001</v>
      </c>
      <c r="D942" s="66">
        <v>150515.79999999999</v>
      </c>
      <c r="E942" s="66">
        <v>150515.79999999999</v>
      </c>
      <c r="F942" s="66">
        <v>181997.8</v>
      </c>
      <c r="G942" s="66">
        <v>165452.5</v>
      </c>
      <c r="H942" s="66">
        <v>132132</v>
      </c>
      <c r="I942" s="66">
        <v>121331.8</v>
      </c>
      <c r="J942" s="66">
        <v>193027</v>
      </c>
      <c r="K942" s="66">
        <v>132132.20000000001</v>
      </c>
      <c r="L942" s="66">
        <v>82726.3</v>
      </c>
      <c r="M942" s="66">
        <v>176482.7</v>
      </c>
      <c r="N942" s="231"/>
      <c r="R942" s="70"/>
      <c r="AA942" s="70"/>
      <c r="AB942" s="70"/>
      <c r="AC942" s="70"/>
    </row>
    <row r="943" spans="1:29" x14ac:dyDescent="0.25">
      <c r="A943" s="936"/>
      <c r="B943" s="52" t="s">
        <v>5</v>
      </c>
      <c r="C943" s="67">
        <v>44106.7</v>
      </c>
      <c r="D943" s="67">
        <v>77041.600000000006</v>
      </c>
      <c r="E943" s="67">
        <v>78455.8</v>
      </c>
      <c r="F943" s="67">
        <v>154467.79999999999</v>
      </c>
      <c r="G943" s="67">
        <v>82839.7</v>
      </c>
      <c r="H943" s="67">
        <v>41446.9</v>
      </c>
      <c r="I943" s="67">
        <v>65086.8</v>
      </c>
      <c r="J943" s="67">
        <v>153674.9</v>
      </c>
      <c r="K943" s="67">
        <v>51201</v>
      </c>
      <c r="L943" s="67">
        <v>42824.800000000003</v>
      </c>
      <c r="M943" s="67">
        <v>128489.1</v>
      </c>
      <c r="N943" s="232"/>
      <c r="R943" s="70"/>
      <c r="AA943" s="70"/>
      <c r="AB943" s="70"/>
      <c r="AC943" s="70"/>
    </row>
    <row r="944" spans="1:29" ht="15.75" thickBot="1" x14ac:dyDescent="0.3">
      <c r="A944" s="937"/>
      <c r="B944" s="3" t="s">
        <v>3</v>
      </c>
      <c r="C944" s="57">
        <f t="shared" ref="C944:M944" si="430">C943/C942</f>
        <v>0.30759483430758433</v>
      </c>
      <c r="D944" s="58">
        <f t="shared" si="430"/>
        <v>0.51185058312815013</v>
      </c>
      <c r="E944" s="58">
        <f t="shared" si="430"/>
        <v>0.52124627447749683</v>
      </c>
      <c r="F944" s="58">
        <f t="shared" si="430"/>
        <v>0.84873443525141512</v>
      </c>
      <c r="G944" s="58">
        <f t="shared" si="430"/>
        <v>0.50068569529018903</v>
      </c>
      <c r="H944" s="58">
        <f t="shared" si="430"/>
        <v>0.31367798867798868</v>
      </c>
      <c r="I944" s="58">
        <f t="shared" si="430"/>
        <v>0.53643644947161417</v>
      </c>
      <c r="J944" s="58">
        <f t="shared" si="430"/>
        <v>0.79613162925393854</v>
      </c>
      <c r="K944" s="58">
        <f t="shared" si="430"/>
        <v>0.38749827823952071</v>
      </c>
      <c r="L944" s="58">
        <f t="shared" si="430"/>
        <v>0.5176685044538436</v>
      </c>
      <c r="M944" s="225">
        <f t="shared" si="430"/>
        <v>0.72805493116322451</v>
      </c>
      <c r="N944" s="233"/>
      <c r="R944" s="70"/>
      <c r="AA944" s="70"/>
      <c r="AB944" s="70"/>
      <c r="AC944" s="70"/>
    </row>
    <row r="945" spans="1:29" ht="15" customHeight="1" x14ac:dyDescent="0.25">
      <c r="A945" s="938" t="s">
        <v>6</v>
      </c>
      <c r="B945" s="19" t="s">
        <v>7</v>
      </c>
      <c r="C945" s="56">
        <v>5806</v>
      </c>
      <c r="D945" s="56">
        <v>3333</v>
      </c>
      <c r="E945" s="56">
        <v>3330</v>
      </c>
      <c r="F945" s="56">
        <v>9457</v>
      </c>
      <c r="G945" s="56">
        <v>7653</v>
      </c>
      <c r="H945" s="56">
        <v>15143</v>
      </c>
      <c r="I945" s="56">
        <v>7183</v>
      </c>
      <c r="J945" s="56">
        <v>9289</v>
      </c>
      <c r="K945" s="56">
        <v>11171</v>
      </c>
      <c r="L945" s="56">
        <v>4133</v>
      </c>
      <c r="M945" s="56">
        <v>9494</v>
      </c>
      <c r="N945" s="234"/>
      <c r="R945" s="70"/>
      <c r="AA945" s="70"/>
      <c r="AB945" s="70"/>
      <c r="AC945" s="70"/>
    </row>
    <row r="946" spans="1:29" x14ac:dyDescent="0.25">
      <c r="A946" s="939"/>
      <c r="B946" s="20" t="s">
        <v>11</v>
      </c>
      <c r="C946" s="59">
        <f t="shared" ref="C946:M946" si="431">C945*33.72</f>
        <v>195778.32</v>
      </c>
      <c r="D946" s="59">
        <f t="shared" si="431"/>
        <v>112388.76</v>
      </c>
      <c r="E946" s="59">
        <f t="shared" si="431"/>
        <v>112287.59999999999</v>
      </c>
      <c r="F946" s="59">
        <f t="shared" si="431"/>
        <v>318890.03999999998</v>
      </c>
      <c r="G946" s="59">
        <f t="shared" si="431"/>
        <v>258059.16</v>
      </c>
      <c r="H946" s="59">
        <f t="shared" si="431"/>
        <v>510621.95999999996</v>
      </c>
      <c r="I946" s="59">
        <f t="shared" si="431"/>
        <v>242210.75999999998</v>
      </c>
      <c r="J946" s="59">
        <f t="shared" si="431"/>
        <v>313225.08</v>
      </c>
      <c r="K946" s="59">
        <f t="shared" si="431"/>
        <v>376686.12</v>
      </c>
      <c r="L946" s="59">
        <f t="shared" si="431"/>
        <v>139364.76</v>
      </c>
      <c r="M946" s="59">
        <f t="shared" si="431"/>
        <v>320137.68</v>
      </c>
      <c r="N946" s="235"/>
      <c r="R946" s="70"/>
      <c r="AA946" s="70"/>
      <c r="AB946" s="70"/>
      <c r="AC946" s="70"/>
    </row>
    <row r="947" spans="1:29" x14ac:dyDescent="0.25">
      <c r="A947" s="939"/>
      <c r="B947" s="20" t="s">
        <v>79</v>
      </c>
      <c r="C947" s="59">
        <v>164000</v>
      </c>
      <c r="D947" s="59">
        <v>109880</v>
      </c>
      <c r="E947" s="59">
        <v>109880</v>
      </c>
      <c r="F947" s="59">
        <v>328000</v>
      </c>
      <c r="G947" s="59">
        <v>330905</v>
      </c>
      <c r="H947" s="59">
        <v>264264</v>
      </c>
      <c r="I947" s="59">
        <v>242663.6</v>
      </c>
      <c r="J947" s="59">
        <v>328000</v>
      </c>
      <c r="K947" s="59">
        <v>264264.40000000002</v>
      </c>
      <c r="L947" s="59">
        <v>328000</v>
      </c>
      <c r="M947" s="59">
        <v>352965.4</v>
      </c>
      <c r="N947" s="235"/>
      <c r="R947" s="70"/>
      <c r="AA947" s="70"/>
      <c r="AB947" s="70"/>
      <c r="AC947" s="70"/>
    </row>
    <row r="948" spans="1:29" x14ac:dyDescent="0.25">
      <c r="A948" s="939"/>
      <c r="B948" s="54" t="s">
        <v>8</v>
      </c>
      <c r="C948" s="68">
        <f>SUM(C945-168)</f>
        <v>5638</v>
      </c>
      <c r="D948" s="68">
        <f>SUM(D945-676)</f>
        <v>2657</v>
      </c>
      <c r="E948" s="68">
        <f>SUM(E945-654)</f>
        <v>2676</v>
      </c>
      <c r="F948" s="68">
        <f>SUM(F945-1211)</f>
        <v>8246</v>
      </c>
      <c r="G948" s="68">
        <f>SUM(G945-4138)</f>
        <v>3515</v>
      </c>
      <c r="H948" s="68">
        <f>SUM(H945-1770)</f>
        <v>13373</v>
      </c>
      <c r="I948" s="68">
        <f>SUM(I945-(3865-2000))</f>
        <v>5318</v>
      </c>
      <c r="J948" s="68">
        <f>SUM(J945-1257)</f>
        <v>8032</v>
      </c>
      <c r="K948" s="68">
        <f>SUM(K945-1353)</f>
        <v>9818</v>
      </c>
      <c r="L948" s="68">
        <f>SUM(L945-447)</f>
        <v>3686</v>
      </c>
      <c r="M948" s="227">
        <f>SUM(M945-(5653-2614))</f>
        <v>6455</v>
      </c>
      <c r="N948" s="236"/>
      <c r="R948" s="12" t="s">
        <v>176</v>
      </c>
    </row>
    <row r="949" spans="1:29" x14ac:dyDescent="0.25">
      <c r="A949" s="939"/>
      <c r="B949" s="21" t="s">
        <v>77</v>
      </c>
      <c r="C949" s="250">
        <f>C948*33.72</f>
        <v>190113.36</v>
      </c>
      <c r="D949" s="250">
        <f>D948*33.72</f>
        <v>89594.04</v>
      </c>
      <c r="E949" s="250">
        <f>E948*33.72</f>
        <v>90234.72</v>
      </c>
      <c r="F949" s="250">
        <f>F948*33.72</f>
        <v>278055.12</v>
      </c>
      <c r="G949" s="250">
        <f>G948*33.72*2</f>
        <v>237051.6</v>
      </c>
      <c r="H949" s="250">
        <f>H948*33.72</f>
        <v>450937.56</v>
      </c>
      <c r="I949" s="250">
        <f>(I948*33.72)-(2000*33.72)</f>
        <v>111882.95999999999</v>
      </c>
      <c r="J949" s="250">
        <f>J948*33.72</f>
        <v>270839.03999999998</v>
      </c>
      <c r="K949" s="250">
        <f>K948*33.72</f>
        <v>331062.95999999996</v>
      </c>
      <c r="L949" s="250">
        <f>L948*33.72</f>
        <v>124291.92</v>
      </c>
      <c r="M949" s="250">
        <f>((M948*33.72)-(2614*33.72))*2</f>
        <v>259037.04</v>
      </c>
      <c r="N949" s="237"/>
      <c r="R949" s="63">
        <f>344240-H949</f>
        <v>-106697.56</v>
      </c>
      <c r="S949" s="70" t="s">
        <v>177</v>
      </c>
    </row>
    <row r="950" spans="1:29" ht="15.75" thickBot="1" x14ac:dyDescent="0.3">
      <c r="A950" s="940"/>
      <c r="B950" s="201" t="s">
        <v>10</v>
      </c>
      <c r="C950" s="58">
        <f t="shared" ref="C950:M950" si="432">C949/C942</f>
        <v>1.3258277646901293</v>
      </c>
      <c r="D950" s="58">
        <f t="shared" si="432"/>
        <v>0.59524674486000806</v>
      </c>
      <c r="E950" s="62">
        <f t="shared" si="432"/>
        <v>0.59950330795836726</v>
      </c>
      <c r="F950" s="62">
        <f t="shared" si="432"/>
        <v>1.5277938524531616</v>
      </c>
      <c r="G950" s="62">
        <f t="shared" si="432"/>
        <v>1.4327471630830602</v>
      </c>
      <c r="H950" s="62">
        <f t="shared" si="432"/>
        <v>3.412780855508128</v>
      </c>
      <c r="I950" s="62">
        <f t="shared" si="432"/>
        <v>0.92212396090719817</v>
      </c>
      <c r="J950" s="62">
        <f t="shared" si="432"/>
        <v>1.403114797411761</v>
      </c>
      <c r="K950" s="62">
        <f t="shared" si="432"/>
        <v>2.5055433876072595</v>
      </c>
      <c r="L950" s="62">
        <f t="shared" si="432"/>
        <v>1.502447468338364</v>
      </c>
      <c r="M950" s="259">
        <f t="shared" si="432"/>
        <v>1.4677758216527739</v>
      </c>
      <c r="N950" s="233"/>
      <c r="R950" s="126"/>
    </row>
    <row r="951" spans="1:29" ht="15.75" thickBot="1" x14ac:dyDescent="0.3">
      <c r="A951" s="924">
        <v>41327</v>
      </c>
      <c r="B951" s="924"/>
      <c r="C951" s="924"/>
      <c r="N951" s="13"/>
    </row>
    <row r="952" spans="1:29" x14ac:dyDescent="0.25">
      <c r="A952" s="925" t="s">
        <v>1</v>
      </c>
      <c r="B952" s="948"/>
      <c r="C952" s="56" t="s">
        <v>12</v>
      </c>
      <c r="D952" s="56" t="s">
        <v>12</v>
      </c>
      <c r="E952" s="56" t="s">
        <v>13</v>
      </c>
      <c r="F952" s="56" t="s">
        <v>13</v>
      </c>
      <c r="G952" s="56" t="s">
        <v>13</v>
      </c>
      <c r="H952" s="56" t="s">
        <v>13</v>
      </c>
      <c r="I952" s="56" t="s">
        <v>13</v>
      </c>
      <c r="J952" s="56" t="s">
        <v>2</v>
      </c>
      <c r="K952" s="56" t="s">
        <v>2</v>
      </c>
      <c r="L952" s="56" t="s">
        <v>2</v>
      </c>
      <c r="M952" s="221" t="s">
        <v>2</v>
      </c>
      <c r="N952" s="229"/>
    </row>
    <row r="953" spans="1:29" ht="15.75" thickBot="1" x14ac:dyDescent="0.3">
      <c r="A953" s="931" t="s">
        <v>0</v>
      </c>
      <c r="B953" s="955"/>
      <c r="C953" s="69" t="s">
        <v>99</v>
      </c>
      <c r="D953" s="69" t="s">
        <v>100</v>
      </c>
      <c r="E953" s="69" t="s">
        <v>101</v>
      </c>
      <c r="F953" s="69" t="s">
        <v>102</v>
      </c>
      <c r="G953" s="69" t="s">
        <v>97</v>
      </c>
      <c r="H953" s="69" t="s">
        <v>104</v>
      </c>
      <c r="I953" s="69" t="s">
        <v>103</v>
      </c>
      <c r="J953" s="69" t="s">
        <v>105</v>
      </c>
      <c r="K953" s="69" t="s">
        <v>107</v>
      </c>
      <c r="L953" s="69" t="s">
        <v>98</v>
      </c>
      <c r="M953" s="222" t="s">
        <v>106</v>
      </c>
      <c r="N953" s="230"/>
      <c r="S953" s="12"/>
      <c r="T953" s="12"/>
      <c r="U953" s="12"/>
      <c r="V953" s="12"/>
      <c r="W953" s="12"/>
      <c r="X953" s="12"/>
      <c r="Y953" s="12"/>
      <c r="Z953" s="12"/>
      <c r="AA953" s="126"/>
      <c r="AB953" s="125"/>
      <c r="AC953" s="126"/>
    </row>
    <row r="954" spans="1:29" ht="15" customHeight="1" x14ac:dyDescent="0.25">
      <c r="A954" s="935" t="s">
        <v>9</v>
      </c>
      <c r="B954" s="2" t="s">
        <v>4</v>
      </c>
      <c r="C954" s="66">
        <v>143392.20000000001</v>
      </c>
      <c r="D954" s="66">
        <v>150515.79999999999</v>
      </c>
      <c r="E954" s="66">
        <v>150515.79999999999</v>
      </c>
      <c r="F954" s="66">
        <v>181997.8</v>
      </c>
      <c r="G954" s="66">
        <v>165452.5</v>
      </c>
      <c r="H954" s="66">
        <v>132132</v>
      </c>
      <c r="I954" s="66">
        <v>121331.8</v>
      </c>
      <c r="J954" s="66">
        <v>193027</v>
      </c>
      <c r="K954" s="66">
        <v>132132.20000000001</v>
      </c>
      <c r="L954" s="66">
        <v>82726.3</v>
      </c>
      <c r="M954" s="66">
        <v>176482.7</v>
      </c>
      <c r="N954" s="231"/>
      <c r="R954" s="70"/>
      <c r="AA954" s="70"/>
      <c r="AB954" s="70"/>
      <c r="AC954" s="70"/>
    </row>
    <row r="955" spans="1:29" x14ac:dyDescent="0.25">
      <c r="A955" s="936"/>
      <c r="B955" s="52" t="s">
        <v>5</v>
      </c>
      <c r="C955" s="67">
        <v>44030.400000000001</v>
      </c>
      <c r="D955" s="67">
        <v>77025.8</v>
      </c>
      <c r="E955" s="67">
        <v>78440.100000000006</v>
      </c>
      <c r="F955" s="67">
        <v>154372</v>
      </c>
      <c r="G955" s="67">
        <v>81753.3</v>
      </c>
      <c r="H955" s="67">
        <v>40193.9</v>
      </c>
      <c r="I955" s="67">
        <v>64836.800000000003</v>
      </c>
      <c r="J955" s="67">
        <v>153327.29999999999</v>
      </c>
      <c r="K955" s="67">
        <v>50522.6</v>
      </c>
      <c r="L955" s="67">
        <v>42717.1</v>
      </c>
      <c r="M955" s="67">
        <v>127990.39999999999</v>
      </c>
      <c r="N955" s="232"/>
      <c r="R955" s="70"/>
      <c r="AA955" s="70"/>
      <c r="AB955" s="70"/>
      <c r="AC955" s="70"/>
    </row>
    <row r="956" spans="1:29" ht="15.75" thickBot="1" x14ac:dyDescent="0.3">
      <c r="A956" s="937"/>
      <c r="B956" s="3" t="s">
        <v>3</v>
      </c>
      <c r="C956" s="57">
        <f t="shared" ref="C956:M956" si="433">C955/C954</f>
        <v>0.30706272726131545</v>
      </c>
      <c r="D956" s="58">
        <f t="shared" si="433"/>
        <v>0.51174561075980074</v>
      </c>
      <c r="E956" s="58">
        <f t="shared" si="433"/>
        <v>0.52114196649122557</v>
      </c>
      <c r="F956" s="58">
        <f t="shared" si="433"/>
        <v>0.84820805526220655</v>
      </c>
      <c r="G956" s="58">
        <f t="shared" si="433"/>
        <v>0.49411946026805276</v>
      </c>
      <c r="H956" s="58">
        <f t="shared" si="433"/>
        <v>0.30419504737686559</v>
      </c>
      <c r="I956" s="58">
        <f t="shared" si="433"/>
        <v>0.53437598387232366</v>
      </c>
      <c r="J956" s="58">
        <f t="shared" si="433"/>
        <v>0.79433084490770711</v>
      </c>
      <c r="K956" s="58">
        <f t="shared" si="433"/>
        <v>0.38236402633120459</v>
      </c>
      <c r="L956" s="58">
        <f t="shared" si="433"/>
        <v>0.51636662101411523</v>
      </c>
      <c r="M956" s="225">
        <f t="shared" si="433"/>
        <v>0.72522915843875913</v>
      </c>
      <c r="N956" s="233"/>
      <c r="R956" s="70"/>
      <c r="AA956" s="70"/>
      <c r="AB956" s="70"/>
      <c r="AC956" s="70"/>
    </row>
    <row r="957" spans="1:29" ht="15" customHeight="1" x14ac:dyDescent="0.25">
      <c r="A957" s="938" t="s">
        <v>6</v>
      </c>
      <c r="B957" s="19" t="s">
        <v>7</v>
      </c>
      <c r="C957" s="56">
        <v>5806</v>
      </c>
      <c r="D957" s="56">
        <v>3333</v>
      </c>
      <c r="E957" s="56">
        <v>3330</v>
      </c>
      <c r="F957" s="56">
        <v>9457</v>
      </c>
      <c r="G957" s="56">
        <v>7653</v>
      </c>
      <c r="H957" s="56">
        <v>15143</v>
      </c>
      <c r="I957" s="56">
        <v>7183</v>
      </c>
      <c r="J957" s="56">
        <v>9289</v>
      </c>
      <c r="K957" s="56">
        <v>11171</v>
      </c>
      <c r="L957" s="56">
        <v>4133</v>
      </c>
      <c r="M957" s="56">
        <v>9494</v>
      </c>
      <c r="N957" s="234"/>
      <c r="R957" s="70"/>
      <c r="AA957" s="70"/>
      <c r="AB957" s="70"/>
      <c r="AC957" s="70"/>
    </row>
    <row r="958" spans="1:29" x14ac:dyDescent="0.25">
      <c r="A958" s="939"/>
      <c r="B958" s="20" t="s">
        <v>11</v>
      </c>
      <c r="C958" s="59">
        <f t="shared" ref="C958:M958" si="434">C957*33.72</f>
        <v>195778.32</v>
      </c>
      <c r="D958" s="59">
        <f t="shared" si="434"/>
        <v>112388.76</v>
      </c>
      <c r="E958" s="59">
        <f t="shared" si="434"/>
        <v>112287.59999999999</v>
      </c>
      <c r="F958" s="59">
        <f t="shared" si="434"/>
        <v>318890.03999999998</v>
      </c>
      <c r="G958" s="59">
        <f t="shared" si="434"/>
        <v>258059.16</v>
      </c>
      <c r="H958" s="59">
        <f t="shared" si="434"/>
        <v>510621.95999999996</v>
      </c>
      <c r="I958" s="59">
        <f t="shared" si="434"/>
        <v>242210.75999999998</v>
      </c>
      <c r="J958" s="59">
        <f t="shared" si="434"/>
        <v>313225.08</v>
      </c>
      <c r="K958" s="59">
        <f t="shared" si="434"/>
        <v>376686.12</v>
      </c>
      <c r="L958" s="59">
        <f t="shared" si="434"/>
        <v>139364.76</v>
      </c>
      <c r="M958" s="59">
        <f t="shared" si="434"/>
        <v>320137.68</v>
      </c>
      <c r="N958" s="235"/>
      <c r="R958" s="70"/>
      <c r="AA958" s="70"/>
      <c r="AB958" s="70"/>
      <c r="AC958" s="70"/>
    </row>
    <row r="959" spans="1:29" x14ac:dyDescent="0.25">
      <c r="A959" s="939"/>
      <c r="B959" s="20" t="s">
        <v>79</v>
      </c>
      <c r="C959" s="59">
        <v>164000</v>
      </c>
      <c r="D959" s="59">
        <v>109880</v>
      </c>
      <c r="E959" s="59">
        <v>109880</v>
      </c>
      <c r="F959" s="59">
        <v>328000</v>
      </c>
      <c r="G959" s="59">
        <v>330905</v>
      </c>
      <c r="H959" s="59">
        <v>264264</v>
      </c>
      <c r="I959" s="59">
        <v>242663.6</v>
      </c>
      <c r="J959" s="59">
        <v>328000</v>
      </c>
      <c r="K959" s="59">
        <v>264264.40000000002</v>
      </c>
      <c r="L959" s="59">
        <v>328000</v>
      </c>
      <c r="M959" s="59">
        <v>352965.4</v>
      </c>
      <c r="N959" s="235"/>
      <c r="R959" s="70"/>
      <c r="AA959" s="70"/>
      <c r="AB959" s="70"/>
      <c r="AC959" s="70"/>
    </row>
    <row r="960" spans="1:29" x14ac:dyDescent="0.25">
      <c r="A960" s="939"/>
      <c r="B960" s="54" t="s">
        <v>8</v>
      </c>
      <c r="C960" s="68">
        <f>SUM(C957-168)</f>
        <v>5638</v>
      </c>
      <c r="D960" s="68">
        <f>SUM(D957-676)</f>
        <v>2657</v>
      </c>
      <c r="E960" s="68">
        <f>SUM(E957-654)</f>
        <v>2676</v>
      </c>
      <c r="F960" s="68">
        <f>SUM(F957-1211)</f>
        <v>8246</v>
      </c>
      <c r="G960" s="68">
        <f>SUM(G957-4138)</f>
        <v>3515</v>
      </c>
      <c r="H960" s="68">
        <f>SUM(H957-1770)</f>
        <v>13373</v>
      </c>
      <c r="I960" s="68">
        <f>SUM(I957-(3865-2000))</f>
        <v>5318</v>
      </c>
      <c r="J960" s="68">
        <f>SUM(J957-1257)</f>
        <v>8032</v>
      </c>
      <c r="K960" s="68">
        <f>SUM(K957-1353)</f>
        <v>9818</v>
      </c>
      <c r="L960" s="68">
        <f>SUM(L957-447)</f>
        <v>3686</v>
      </c>
      <c r="M960" s="227">
        <f>SUM(M957-(5653-2614))</f>
        <v>6455</v>
      </c>
      <c r="N960" s="236"/>
      <c r="R960" s="12" t="s">
        <v>176</v>
      </c>
    </row>
    <row r="961" spans="1:29" x14ac:dyDescent="0.25">
      <c r="A961" s="939"/>
      <c r="B961" s="21" t="s">
        <v>77</v>
      </c>
      <c r="C961" s="250">
        <f>C960*33.72</f>
        <v>190113.36</v>
      </c>
      <c r="D961" s="250">
        <f>D960*33.72</f>
        <v>89594.04</v>
      </c>
      <c r="E961" s="250">
        <f>E960*33.72</f>
        <v>90234.72</v>
      </c>
      <c r="F961" s="250">
        <f>F960*33.72</f>
        <v>278055.12</v>
      </c>
      <c r="G961" s="250">
        <f>G960*33.72*2</f>
        <v>237051.6</v>
      </c>
      <c r="H961" s="250">
        <f>H960*33.72</f>
        <v>450937.56</v>
      </c>
      <c r="I961" s="250">
        <f>(I960*33.72)-(2000*33.72)</f>
        <v>111882.95999999999</v>
      </c>
      <c r="J961" s="250">
        <f>J960*33.72</f>
        <v>270839.03999999998</v>
      </c>
      <c r="K961" s="250">
        <f>K960*33.72</f>
        <v>331062.95999999996</v>
      </c>
      <c r="L961" s="250">
        <f>L960*33.72</f>
        <v>124291.92</v>
      </c>
      <c r="M961" s="250">
        <f>((M960*33.72)-(2614*33.72))*2</f>
        <v>259037.04</v>
      </c>
      <c r="N961" s="237"/>
      <c r="R961" s="63">
        <f>344240-H961</f>
        <v>-106697.56</v>
      </c>
      <c r="S961" s="70" t="s">
        <v>177</v>
      </c>
    </row>
    <row r="962" spans="1:29" ht="15.75" thickBot="1" x14ac:dyDescent="0.3">
      <c r="A962" s="940"/>
      <c r="B962" s="201" t="s">
        <v>10</v>
      </c>
      <c r="C962" s="58">
        <f t="shared" ref="C962:M962" si="435">C961/C954</f>
        <v>1.3258277646901293</v>
      </c>
      <c r="D962" s="58">
        <f t="shared" si="435"/>
        <v>0.59524674486000806</v>
      </c>
      <c r="E962" s="62">
        <f t="shared" si="435"/>
        <v>0.59950330795836726</v>
      </c>
      <c r="F962" s="62">
        <f t="shared" si="435"/>
        <v>1.5277938524531616</v>
      </c>
      <c r="G962" s="62">
        <f t="shared" si="435"/>
        <v>1.4327471630830602</v>
      </c>
      <c r="H962" s="62">
        <f t="shared" si="435"/>
        <v>3.412780855508128</v>
      </c>
      <c r="I962" s="62">
        <f t="shared" si="435"/>
        <v>0.92212396090719817</v>
      </c>
      <c r="J962" s="62">
        <f t="shared" si="435"/>
        <v>1.403114797411761</v>
      </c>
      <c r="K962" s="62">
        <f t="shared" si="435"/>
        <v>2.5055433876072595</v>
      </c>
      <c r="L962" s="62">
        <f t="shared" si="435"/>
        <v>1.502447468338364</v>
      </c>
      <c r="M962" s="259">
        <f t="shared" si="435"/>
        <v>1.4677758216527739</v>
      </c>
      <c r="N962" s="233"/>
      <c r="R962" s="126"/>
    </row>
    <row r="963" spans="1:29" ht="15.75" thickBot="1" x14ac:dyDescent="0.3">
      <c r="A963" s="924">
        <v>41326</v>
      </c>
      <c r="B963" s="924"/>
      <c r="C963" s="924"/>
      <c r="N963" s="13"/>
    </row>
    <row r="964" spans="1:29" x14ac:dyDescent="0.25">
      <c r="A964" s="925" t="s">
        <v>1</v>
      </c>
      <c r="B964" s="948"/>
      <c r="C964" s="56" t="s">
        <v>12</v>
      </c>
      <c r="D964" s="56" t="s">
        <v>12</v>
      </c>
      <c r="E964" s="56" t="s">
        <v>13</v>
      </c>
      <c r="F964" s="56" t="s">
        <v>13</v>
      </c>
      <c r="G964" s="56" t="s">
        <v>13</v>
      </c>
      <c r="H964" s="56" t="s">
        <v>13</v>
      </c>
      <c r="I964" s="56" t="s">
        <v>13</v>
      </c>
      <c r="J964" s="56" t="s">
        <v>2</v>
      </c>
      <c r="K964" s="56" t="s">
        <v>2</v>
      </c>
      <c r="L964" s="56" t="s">
        <v>2</v>
      </c>
      <c r="M964" s="221" t="s">
        <v>2</v>
      </c>
      <c r="N964" s="229"/>
    </row>
    <row r="965" spans="1:29" ht="15.75" thickBot="1" x14ac:dyDescent="0.3">
      <c r="A965" s="931" t="s">
        <v>0</v>
      </c>
      <c r="B965" s="955"/>
      <c r="C965" s="69" t="s">
        <v>99</v>
      </c>
      <c r="D965" s="69" t="s">
        <v>100</v>
      </c>
      <c r="E965" s="69" t="s">
        <v>101</v>
      </c>
      <c r="F965" s="69" t="s">
        <v>102</v>
      </c>
      <c r="G965" s="69" t="s">
        <v>97</v>
      </c>
      <c r="H965" s="69" t="s">
        <v>104</v>
      </c>
      <c r="I965" s="69" t="s">
        <v>103</v>
      </c>
      <c r="J965" s="69" t="s">
        <v>105</v>
      </c>
      <c r="K965" s="69" t="s">
        <v>107</v>
      </c>
      <c r="L965" s="69" t="s">
        <v>98</v>
      </c>
      <c r="M965" s="222" t="s">
        <v>106</v>
      </c>
      <c r="N965" s="230"/>
      <c r="S965" s="12"/>
      <c r="T965" s="12"/>
      <c r="U965" s="12"/>
      <c r="V965" s="12"/>
      <c r="W965" s="12"/>
      <c r="X965" s="12"/>
      <c r="Y965" s="12"/>
      <c r="Z965" s="12"/>
      <c r="AA965" s="126"/>
      <c r="AB965" s="125"/>
      <c r="AC965" s="126"/>
    </row>
    <row r="966" spans="1:29" ht="15" customHeight="1" x14ac:dyDescent="0.25">
      <c r="A966" s="935" t="s">
        <v>9</v>
      </c>
      <c r="B966" s="2" t="s">
        <v>4</v>
      </c>
      <c r="C966" s="66">
        <v>143392.20000000001</v>
      </c>
      <c r="D966" s="66">
        <v>150515.79999999999</v>
      </c>
      <c r="E966" s="66">
        <v>150515.79999999999</v>
      </c>
      <c r="F966" s="66">
        <v>181997.8</v>
      </c>
      <c r="G966" s="66">
        <v>165452.5</v>
      </c>
      <c r="H966" s="66">
        <v>132132</v>
      </c>
      <c r="I966" s="66">
        <v>121331.8</v>
      </c>
      <c r="J966" s="66">
        <v>193027</v>
      </c>
      <c r="K966" s="66">
        <v>132132.20000000001</v>
      </c>
      <c r="L966" s="66">
        <v>82726.3</v>
      </c>
      <c r="M966" s="66">
        <v>176482.7</v>
      </c>
      <c r="N966" s="231"/>
      <c r="R966" s="70"/>
      <c r="AA966" s="70"/>
      <c r="AB966" s="70"/>
      <c r="AC966" s="70"/>
    </row>
    <row r="967" spans="1:29" x14ac:dyDescent="0.25">
      <c r="A967" s="936"/>
      <c r="B967" s="52" t="s">
        <v>5</v>
      </c>
      <c r="C967" s="67">
        <v>43973.9</v>
      </c>
      <c r="D967" s="67">
        <v>77019.600000000006</v>
      </c>
      <c r="E967" s="67">
        <v>78064.2</v>
      </c>
      <c r="F967" s="67">
        <v>154124.20000000001</v>
      </c>
      <c r="G967" s="67">
        <v>81753.3</v>
      </c>
      <c r="H967" s="67">
        <v>40234.9</v>
      </c>
      <c r="I967" s="67">
        <v>64749.5</v>
      </c>
      <c r="J967" s="67">
        <v>153193.60000000001</v>
      </c>
      <c r="K967" s="67">
        <v>50330.8</v>
      </c>
      <c r="L967" s="67">
        <v>42236.9</v>
      </c>
      <c r="M967" s="67">
        <v>127829.4</v>
      </c>
      <c r="N967" s="232"/>
      <c r="R967" s="70"/>
      <c r="AA967" s="70"/>
      <c r="AB967" s="70"/>
      <c r="AC967" s="70"/>
    </row>
    <row r="968" spans="1:29" ht="15.75" thickBot="1" x14ac:dyDescent="0.3">
      <c r="A968" s="937"/>
      <c r="B968" s="3" t="s">
        <v>3</v>
      </c>
      <c r="C968" s="57">
        <f t="shared" ref="C968:M968" si="436">C967/C966</f>
        <v>0.30666870303963534</v>
      </c>
      <c r="D968" s="58">
        <f t="shared" si="436"/>
        <v>0.51170441907095476</v>
      </c>
      <c r="E968" s="58">
        <f t="shared" si="436"/>
        <v>0.51864455425941991</v>
      </c>
      <c r="F968" s="58">
        <f t="shared" si="436"/>
        <v>0.8468465003423119</v>
      </c>
      <c r="G968" s="58">
        <f t="shared" si="436"/>
        <v>0.49411946026805276</v>
      </c>
      <c r="H968" s="58">
        <f t="shared" si="436"/>
        <v>0.3045053431417068</v>
      </c>
      <c r="I968" s="58">
        <f t="shared" si="436"/>
        <v>0.53365646928505139</v>
      </c>
      <c r="J968" s="58">
        <f t="shared" si="436"/>
        <v>0.79363819569283056</v>
      </c>
      <c r="K968" s="58">
        <f t="shared" si="436"/>
        <v>0.38091244980405986</v>
      </c>
      <c r="L968" s="58">
        <f t="shared" si="436"/>
        <v>0.51056193737662625</v>
      </c>
      <c r="M968" s="225">
        <f t="shared" si="436"/>
        <v>0.72431688771760627</v>
      </c>
      <c r="N968" s="233"/>
      <c r="R968" s="70"/>
      <c r="AA968" s="70"/>
      <c r="AB968" s="70"/>
      <c r="AC968" s="70"/>
    </row>
    <row r="969" spans="1:29" ht="15" customHeight="1" x14ac:dyDescent="0.25">
      <c r="A969" s="938" t="s">
        <v>6</v>
      </c>
      <c r="B969" s="19" t="s">
        <v>7</v>
      </c>
      <c r="C969" s="56">
        <v>5806</v>
      </c>
      <c r="D969" s="56">
        <v>3333</v>
      </c>
      <c r="E969" s="56">
        <v>3330</v>
      </c>
      <c r="F969" s="56">
        <v>9457</v>
      </c>
      <c r="G969" s="56">
        <v>7653</v>
      </c>
      <c r="H969" s="56">
        <v>15143</v>
      </c>
      <c r="I969" s="56">
        <v>7183</v>
      </c>
      <c r="J969" s="56">
        <v>9289</v>
      </c>
      <c r="K969" s="56">
        <v>11171</v>
      </c>
      <c r="L969" s="56">
        <v>4133</v>
      </c>
      <c r="M969" s="56">
        <v>9494</v>
      </c>
      <c r="N969" s="234"/>
      <c r="R969" s="70"/>
      <c r="AA969" s="70"/>
      <c r="AB969" s="70"/>
      <c r="AC969" s="70"/>
    </row>
    <row r="970" spans="1:29" x14ac:dyDescent="0.25">
      <c r="A970" s="939"/>
      <c r="B970" s="20" t="s">
        <v>11</v>
      </c>
      <c r="C970" s="59">
        <f t="shared" ref="C970:M970" si="437">C969*33.72</f>
        <v>195778.32</v>
      </c>
      <c r="D970" s="59">
        <f t="shared" si="437"/>
        <v>112388.76</v>
      </c>
      <c r="E970" s="59">
        <f t="shared" si="437"/>
        <v>112287.59999999999</v>
      </c>
      <c r="F970" s="59">
        <f t="shared" si="437"/>
        <v>318890.03999999998</v>
      </c>
      <c r="G970" s="59">
        <f t="shared" si="437"/>
        <v>258059.16</v>
      </c>
      <c r="H970" s="59">
        <f t="shared" si="437"/>
        <v>510621.95999999996</v>
      </c>
      <c r="I970" s="59">
        <f t="shared" si="437"/>
        <v>242210.75999999998</v>
      </c>
      <c r="J970" s="59">
        <f t="shared" si="437"/>
        <v>313225.08</v>
      </c>
      <c r="K970" s="59">
        <f t="shared" si="437"/>
        <v>376686.12</v>
      </c>
      <c r="L970" s="59">
        <f t="shared" si="437"/>
        <v>139364.76</v>
      </c>
      <c r="M970" s="59">
        <f t="shared" si="437"/>
        <v>320137.68</v>
      </c>
      <c r="N970" s="235"/>
      <c r="R970" s="70"/>
      <c r="AA970" s="70"/>
      <c r="AB970" s="70"/>
      <c r="AC970" s="70"/>
    </row>
    <row r="971" spans="1:29" x14ac:dyDescent="0.25">
      <c r="A971" s="939"/>
      <c r="B971" s="20" t="s">
        <v>79</v>
      </c>
      <c r="C971" s="59">
        <v>164000</v>
      </c>
      <c r="D971" s="59">
        <v>109880</v>
      </c>
      <c r="E971" s="59">
        <v>109880</v>
      </c>
      <c r="F971" s="59">
        <v>328000</v>
      </c>
      <c r="G971" s="59">
        <v>330905</v>
      </c>
      <c r="H971" s="59">
        <v>264264</v>
      </c>
      <c r="I971" s="59">
        <v>242663.6</v>
      </c>
      <c r="J971" s="59">
        <v>328000</v>
      </c>
      <c r="K971" s="59">
        <v>264264.40000000002</v>
      </c>
      <c r="L971" s="59">
        <v>328000</v>
      </c>
      <c r="M971" s="59">
        <v>352965.4</v>
      </c>
      <c r="N971" s="235"/>
      <c r="R971" s="70"/>
      <c r="AA971" s="70"/>
      <c r="AB971" s="70"/>
      <c r="AC971" s="70"/>
    </row>
    <row r="972" spans="1:29" x14ac:dyDescent="0.25">
      <c r="A972" s="939"/>
      <c r="B972" s="54" t="s">
        <v>8</v>
      </c>
      <c r="C972" s="68">
        <f>SUM(C969-168)</f>
        <v>5638</v>
      </c>
      <c r="D972" s="68">
        <f>SUM(D969-676)</f>
        <v>2657</v>
      </c>
      <c r="E972" s="68">
        <f>SUM(E969-654)</f>
        <v>2676</v>
      </c>
      <c r="F972" s="68">
        <f>SUM(F969-1254)</f>
        <v>8203</v>
      </c>
      <c r="G972" s="68">
        <f>SUM(G969-4138)</f>
        <v>3515</v>
      </c>
      <c r="H972" s="68">
        <f>SUM(H969-1813)</f>
        <v>13330</v>
      </c>
      <c r="I972" s="68">
        <f>SUM(I969-(3891-2000))</f>
        <v>5292</v>
      </c>
      <c r="J972" s="68">
        <f>SUM(J969-1257)</f>
        <v>8032</v>
      </c>
      <c r="K972" s="68">
        <f>SUM(K969-1353)</f>
        <v>9818</v>
      </c>
      <c r="L972" s="68">
        <f>SUM(L969-447)</f>
        <v>3686</v>
      </c>
      <c r="M972" s="227">
        <f>SUM(M969-(5653-2614))</f>
        <v>6455</v>
      </c>
      <c r="N972" s="236"/>
      <c r="R972" s="12" t="s">
        <v>176</v>
      </c>
    </row>
    <row r="973" spans="1:29" x14ac:dyDescent="0.25">
      <c r="A973" s="939"/>
      <c r="B973" s="21" t="s">
        <v>77</v>
      </c>
      <c r="C973" s="250">
        <f>C972*33.72</f>
        <v>190113.36</v>
      </c>
      <c r="D973" s="250">
        <f>D972*33.72</f>
        <v>89594.04</v>
      </c>
      <c r="E973" s="250">
        <f>E972*33.72</f>
        <v>90234.72</v>
      </c>
      <c r="F973" s="250">
        <f>F972*33.72</f>
        <v>276605.15999999997</v>
      </c>
      <c r="G973" s="250">
        <f>G972*33.72*2</f>
        <v>237051.6</v>
      </c>
      <c r="H973" s="250">
        <f>H972*33.72</f>
        <v>449487.6</v>
      </c>
      <c r="I973" s="250">
        <f>(I972*33.72)-(2000*33.72)</f>
        <v>111006.23999999999</v>
      </c>
      <c r="J973" s="250">
        <f>J972*33.72</f>
        <v>270839.03999999998</v>
      </c>
      <c r="K973" s="250">
        <f>K972*33.72</f>
        <v>331062.95999999996</v>
      </c>
      <c r="L973" s="250">
        <f>L972*33.72</f>
        <v>124291.92</v>
      </c>
      <c r="M973" s="250">
        <f>((M972*33.72)-(2614*33.72))*2</f>
        <v>259037.04</v>
      </c>
      <c r="N973" s="237"/>
      <c r="R973" s="63">
        <f>344240-H973</f>
        <v>-105247.59999999998</v>
      </c>
      <c r="S973" s="70" t="s">
        <v>177</v>
      </c>
    </row>
    <row r="974" spans="1:29" ht="15.75" thickBot="1" x14ac:dyDescent="0.3">
      <c r="A974" s="940"/>
      <c r="B974" s="201" t="s">
        <v>10</v>
      </c>
      <c r="C974" s="58">
        <f t="shared" ref="C974:M974" si="438">C973/C966</f>
        <v>1.3258277646901293</v>
      </c>
      <c r="D974" s="58">
        <f t="shared" si="438"/>
        <v>0.59524674486000806</v>
      </c>
      <c r="E974" s="62">
        <f t="shared" si="438"/>
        <v>0.59950330795836726</v>
      </c>
      <c r="F974" s="62">
        <f t="shared" si="438"/>
        <v>1.5198269429630467</v>
      </c>
      <c r="G974" s="62">
        <f t="shared" si="438"/>
        <v>1.4327471630830602</v>
      </c>
      <c r="H974" s="62">
        <f t="shared" si="438"/>
        <v>3.4018072836254651</v>
      </c>
      <c r="I974" s="62">
        <f t="shared" si="438"/>
        <v>0.91489815530635821</v>
      </c>
      <c r="J974" s="62">
        <f t="shared" si="438"/>
        <v>1.403114797411761</v>
      </c>
      <c r="K974" s="62">
        <f t="shared" si="438"/>
        <v>2.5055433876072595</v>
      </c>
      <c r="L974" s="62">
        <f t="shared" si="438"/>
        <v>1.502447468338364</v>
      </c>
      <c r="M974" s="259">
        <f t="shared" si="438"/>
        <v>1.4677758216527739</v>
      </c>
      <c r="N974" s="233"/>
      <c r="R974" s="126"/>
    </row>
    <row r="975" spans="1:29" ht="15.75" thickBot="1" x14ac:dyDescent="0.3">
      <c r="A975" s="924">
        <v>41323</v>
      </c>
      <c r="B975" s="924"/>
      <c r="C975" s="924"/>
      <c r="N975" s="13"/>
    </row>
    <row r="976" spans="1:29" x14ac:dyDescent="0.25">
      <c r="A976" s="925" t="s">
        <v>1</v>
      </c>
      <c r="B976" s="948"/>
      <c r="C976" s="56" t="s">
        <v>12</v>
      </c>
      <c r="D976" s="56" t="s">
        <v>12</v>
      </c>
      <c r="E976" s="56" t="s">
        <v>13</v>
      </c>
      <c r="F976" s="56" t="s">
        <v>13</v>
      </c>
      <c r="G976" s="56" t="s">
        <v>13</v>
      </c>
      <c r="H976" s="56" t="s">
        <v>13</v>
      </c>
      <c r="I976" s="56" t="s">
        <v>13</v>
      </c>
      <c r="J976" s="56" t="s">
        <v>2</v>
      </c>
      <c r="K976" s="56" t="s">
        <v>2</v>
      </c>
      <c r="L976" s="56" t="s">
        <v>2</v>
      </c>
      <c r="M976" s="221" t="s">
        <v>2</v>
      </c>
      <c r="N976" s="229"/>
    </row>
    <row r="977" spans="1:29" ht="15.75" thickBot="1" x14ac:dyDescent="0.3">
      <c r="A977" s="931" t="s">
        <v>0</v>
      </c>
      <c r="B977" s="955"/>
      <c r="C977" s="69" t="s">
        <v>99</v>
      </c>
      <c r="D977" s="69" t="s">
        <v>100</v>
      </c>
      <c r="E977" s="69" t="s">
        <v>101</v>
      </c>
      <c r="F977" s="69" t="s">
        <v>102</v>
      </c>
      <c r="G977" s="69" t="s">
        <v>97</v>
      </c>
      <c r="H977" s="69" t="s">
        <v>104</v>
      </c>
      <c r="I977" s="69" t="s">
        <v>103</v>
      </c>
      <c r="J977" s="69" t="s">
        <v>105</v>
      </c>
      <c r="K977" s="69" t="s">
        <v>107</v>
      </c>
      <c r="L977" s="69" t="s">
        <v>98</v>
      </c>
      <c r="M977" s="222" t="s">
        <v>106</v>
      </c>
      <c r="N977" s="230"/>
      <c r="S977" s="12"/>
      <c r="T977" s="12"/>
      <c r="U977" s="12"/>
      <c r="V977" s="12"/>
      <c r="W977" s="12"/>
      <c r="X977" s="12"/>
      <c r="Y977" s="12"/>
      <c r="Z977" s="12"/>
      <c r="AA977" s="126"/>
      <c r="AB977" s="125"/>
      <c r="AC977" s="126"/>
    </row>
    <row r="978" spans="1:29" ht="15" customHeight="1" x14ac:dyDescent="0.25">
      <c r="A978" s="935" t="s">
        <v>9</v>
      </c>
      <c r="B978" s="2" t="s">
        <v>4</v>
      </c>
      <c r="C978" s="66">
        <v>143392.20000000001</v>
      </c>
      <c r="D978" s="66">
        <v>150515.79999999999</v>
      </c>
      <c r="E978" s="66">
        <v>150515.79999999999</v>
      </c>
      <c r="F978" s="66">
        <v>181997.8</v>
      </c>
      <c r="G978" s="66">
        <v>165452.5</v>
      </c>
      <c r="H978" s="66">
        <v>132132</v>
      </c>
      <c r="I978" s="66">
        <v>121331.8</v>
      </c>
      <c r="J978" s="66">
        <v>193027</v>
      </c>
      <c r="K978" s="66">
        <v>132132.20000000001</v>
      </c>
      <c r="L978" s="66">
        <v>82726.3</v>
      </c>
      <c r="M978" s="66">
        <v>176482.7</v>
      </c>
      <c r="N978" s="231"/>
      <c r="R978" s="70"/>
      <c r="AA978" s="70"/>
      <c r="AB978" s="70"/>
      <c r="AC978" s="70"/>
    </row>
    <row r="979" spans="1:29" x14ac:dyDescent="0.25">
      <c r="A979" s="936"/>
      <c r="B979" s="52" t="s">
        <v>5</v>
      </c>
      <c r="C979" s="67">
        <v>43165.4</v>
      </c>
      <c r="D979" s="67">
        <v>76649.899999999994</v>
      </c>
      <c r="E979" s="67">
        <v>78064.2</v>
      </c>
      <c r="F979" s="67">
        <v>154124.20000000001</v>
      </c>
      <c r="G979" s="67">
        <v>81753.3</v>
      </c>
      <c r="H979" s="67">
        <v>40234.9</v>
      </c>
      <c r="I979" s="67">
        <v>64749.5</v>
      </c>
      <c r="J979" s="67">
        <v>153193.60000000001</v>
      </c>
      <c r="K979" s="67">
        <v>50330.8</v>
      </c>
      <c r="L979" s="67">
        <v>42236.9</v>
      </c>
      <c r="M979" s="67">
        <v>127829.4</v>
      </c>
      <c r="N979" s="232"/>
      <c r="R979" s="70"/>
      <c r="AA979" s="70"/>
      <c r="AB979" s="70"/>
      <c r="AC979" s="70"/>
    </row>
    <row r="980" spans="1:29" ht="15.75" thickBot="1" x14ac:dyDescent="0.3">
      <c r="A980" s="937"/>
      <c r="B980" s="3" t="s">
        <v>3</v>
      </c>
      <c r="C980" s="57">
        <f t="shared" ref="C980:M980" si="439">C979/C978</f>
        <v>0.3010303210355933</v>
      </c>
      <c r="D980" s="58">
        <f t="shared" si="439"/>
        <v>0.50924819852799508</v>
      </c>
      <c r="E980" s="58">
        <f t="shared" si="439"/>
        <v>0.51864455425941991</v>
      </c>
      <c r="F980" s="58">
        <f t="shared" si="439"/>
        <v>0.8468465003423119</v>
      </c>
      <c r="G980" s="58">
        <f t="shared" si="439"/>
        <v>0.49411946026805276</v>
      </c>
      <c r="H980" s="58">
        <f t="shared" si="439"/>
        <v>0.3045053431417068</v>
      </c>
      <c r="I980" s="58">
        <f t="shared" si="439"/>
        <v>0.53365646928505139</v>
      </c>
      <c r="J980" s="58">
        <f t="shared" si="439"/>
        <v>0.79363819569283056</v>
      </c>
      <c r="K980" s="58">
        <f t="shared" si="439"/>
        <v>0.38091244980405986</v>
      </c>
      <c r="L980" s="58">
        <f t="shared" si="439"/>
        <v>0.51056193737662625</v>
      </c>
      <c r="M980" s="225">
        <f t="shared" si="439"/>
        <v>0.72431688771760627</v>
      </c>
      <c r="N980" s="233"/>
      <c r="R980" s="70"/>
      <c r="AA980" s="70"/>
      <c r="AB980" s="70"/>
      <c r="AC980" s="70"/>
    </row>
    <row r="981" spans="1:29" ht="15" customHeight="1" x14ac:dyDescent="0.25">
      <c r="A981" s="938" t="s">
        <v>6</v>
      </c>
      <c r="B981" s="19" t="s">
        <v>7</v>
      </c>
      <c r="C981" s="56">
        <v>5806</v>
      </c>
      <c r="D981" s="56">
        <v>3333</v>
      </c>
      <c r="E981" s="56">
        <v>3330</v>
      </c>
      <c r="F981" s="56">
        <v>9457</v>
      </c>
      <c r="G981" s="56">
        <v>7653</v>
      </c>
      <c r="H981" s="56">
        <v>15143</v>
      </c>
      <c r="I981" s="56">
        <v>7183</v>
      </c>
      <c r="J981" s="56">
        <v>9289</v>
      </c>
      <c r="K981" s="56">
        <v>11171</v>
      </c>
      <c r="L981" s="56">
        <v>4133</v>
      </c>
      <c r="M981" s="56">
        <v>9494</v>
      </c>
      <c r="N981" s="234"/>
      <c r="R981" s="70"/>
      <c r="AA981" s="70"/>
      <c r="AB981" s="70"/>
      <c r="AC981" s="70"/>
    </row>
    <row r="982" spans="1:29" x14ac:dyDescent="0.25">
      <c r="A982" s="939"/>
      <c r="B982" s="20" t="s">
        <v>11</v>
      </c>
      <c r="C982" s="59">
        <f t="shared" ref="C982:M982" si="440">C981*33.72</f>
        <v>195778.32</v>
      </c>
      <c r="D982" s="59">
        <f t="shared" si="440"/>
        <v>112388.76</v>
      </c>
      <c r="E982" s="59">
        <f t="shared" si="440"/>
        <v>112287.59999999999</v>
      </c>
      <c r="F982" s="59">
        <f t="shared" si="440"/>
        <v>318890.03999999998</v>
      </c>
      <c r="G982" s="59">
        <f t="shared" si="440"/>
        <v>258059.16</v>
      </c>
      <c r="H982" s="59">
        <f t="shared" si="440"/>
        <v>510621.95999999996</v>
      </c>
      <c r="I982" s="59">
        <f t="shared" si="440"/>
        <v>242210.75999999998</v>
      </c>
      <c r="J982" s="59">
        <f t="shared" si="440"/>
        <v>313225.08</v>
      </c>
      <c r="K982" s="59">
        <f t="shared" si="440"/>
        <v>376686.12</v>
      </c>
      <c r="L982" s="59">
        <f t="shared" si="440"/>
        <v>139364.76</v>
      </c>
      <c r="M982" s="59">
        <f t="shared" si="440"/>
        <v>320137.68</v>
      </c>
      <c r="N982" s="235"/>
      <c r="R982" s="70"/>
      <c r="AA982" s="70"/>
      <c r="AB982" s="70"/>
      <c r="AC982" s="70"/>
    </row>
    <row r="983" spans="1:29" x14ac:dyDescent="0.25">
      <c r="A983" s="939"/>
      <c r="B983" s="20" t="s">
        <v>79</v>
      </c>
      <c r="C983" s="59">
        <v>164000</v>
      </c>
      <c r="D983" s="59">
        <v>109880</v>
      </c>
      <c r="E983" s="59">
        <v>109880</v>
      </c>
      <c r="F983" s="59">
        <v>328000</v>
      </c>
      <c r="G983" s="59">
        <v>330905</v>
      </c>
      <c r="H983" s="59">
        <v>264264</v>
      </c>
      <c r="I983" s="59">
        <v>242663.6</v>
      </c>
      <c r="J983" s="59">
        <v>328000</v>
      </c>
      <c r="K983" s="59">
        <v>264264.40000000002</v>
      </c>
      <c r="L983" s="59">
        <v>328000</v>
      </c>
      <c r="M983" s="59">
        <v>352965.4</v>
      </c>
      <c r="N983" s="235"/>
      <c r="R983" s="70"/>
      <c r="AA983" s="70"/>
      <c r="AB983" s="70"/>
      <c r="AC983" s="70"/>
    </row>
    <row r="984" spans="1:29" x14ac:dyDescent="0.25">
      <c r="A984" s="939"/>
      <c r="B984" s="54" t="s">
        <v>8</v>
      </c>
      <c r="C984" s="68">
        <f>SUM(C981-168)</f>
        <v>5638</v>
      </c>
      <c r="D984" s="68">
        <f>SUM(D981-676)</f>
        <v>2657</v>
      </c>
      <c r="E984" s="68">
        <f>SUM(E981-654)</f>
        <v>2676</v>
      </c>
      <c r="F984" s="68">
        <f>SUM(F981-1254)</f>
        <v>8203</v>
      </c>
      <c r="G984" s="68">
        <f>SUM(G981-4138)</f>
        <v>3515</v>
      </c>
      <c r="H984" s="68">
        <f>SUM(H981-1813)</f>
        <v>13330</v>
      </c>
      <c r="I984" s="68">
        <f>SUM(I981-(3891-2000))</f>
        <v>5292</v>
      </c>
      <c r="J984" s="68">
        <f>SUM(J981-1257)</f>
        <v>8032</v>
      </c>
      <c r="K984" s="68">
        <f>SUM(K981-1353)</f>
        <v>9818</v>
      </c>
      <c r="L984" s="68">
        <f>SUM(L981-447)</f>
        <v>3686</v>
      </c>
      <c r="M984" s="227">
        <f>SUM(M981-(5653-2614))</f>
        <v>6455</v>
      </c>
      <c r="N984" s="236"/>
      <c r="R984" s="12" t="s">
        <v>176</v>
      </c>
    </row>
    <row r="985" spans="1:29" x14ac:dyDescent="0.25">
      <c r="A985" s="939"/>
      <c r="B985" s="21" t="s">
        <v>77</v>
      </c>
      <c r="C985" s="250">
        <f>C984*33.72</f>
        <v>190113.36</v>
      </c>
      <c r="D985" s="250">
        <f>D984*33.72</f>
        <v>89594.04</v>
      </c>
      <c r="E985" s="250">
        <f>E984*33.72</f>
        <v>90234.72</v>
      </c>
      <c r="F985" s="250">
        <f>F984*33.72</f>
        <v>276605.15999999997</v>
      </c>
      <c r="G985" s="250">
        <f>G984*33.72*2</f>
        <v>237051.6</v>
      </c>
      <c r="H985" s="250">
        <f>H984*33.72</f>
        <v>449487.6</v>
      </c>
      <c r="I985" s="250">
        <f>(I984*33.72)-(2000*33.72)</f>
        <v>111006.23999999999</v>
      </c>
      <c r="J985" s="250">
        <f>J984*33.72</f>
        <v>270839.03999999998</v>
      </c>
      <c r="K985" s="250">
        <f>K984*33.72</f>
        <v>331062.95999999996</v>
      </c>
      <c r="L985" s="250">
        <f>L984*33.72</f>
        <v>124291.92</v>
      </c>
      <c r="M985" s="250">
        <f>((M984*33.72)-(2614*33.72))*2</f>
        <v>259037.04</v>
      </c>
      <c r="N985" s="237"/>
      <c r="R985" s="63">
        <f>344240-H985</f>
        <v>-105247.59999999998</v>
      </c>
      <c r="S985" s="70" t="s">
        <v>177</v>
      </c>
    </row>
    <row r="986" spans="1:29" ht="15.75" thickBot="1" x14ac:dyDescent="0.3">
      <c r="A986" s="940"/>
      <c r="B986" s="201" t="s">
        <v>10</v>
      </c>
      <c r="C986" s="249">
        <f t="shared" ref="C986:M986" si="441">C985/C978</f>
        <v>1.3258277646901293</v>
      </c>
      <c r="D986" s="249">
        <f t="shared" si="441"/>
        <v>0.59524674486000806</v>
      </c>
      <c r="E986" s="251">
        <f t="shared" si="441"/>
        <v>0.59950330795836726</v>
      </c>
      <c r="F986" s="251">
        <f t="shared" si="441"/>
        <v>1.5198269429630467</v>
      </c>
      <c r="G986" s="251">
        <f t="shared" si="441"/>
        <v>1.4327471630830602</v>
      </c>
      <c r="H986" s="251">
        <f t="shared" si="441"/>
        <v>3.4018072836254651</v>
      </c>
      <c r="I986" s="251">
        <f t="shared" si="441"/>
        <v>0.91489815530635821</v>
      </c>
      <c r="J986" s="251">
        <f t="shared" si="441"/>
        <v>1.403114797411761</v>
      </c>
      <c r="K986" s="251">
        <f t="shared" si="441"/>
        <v>2.5055433876072595</v>
      </c>
      <c r="L986" s="251">
        <f t="shared" si="441"/>
        <v>1.502447468338364</v>
      </c>
      <c r="M986" s="62">
        <f t="shared" si="441"/>
        <v>1.4677758216527739</v>
      </c>
      <c r="N986" s="233"/>
      <c r="R986" s="126"/>
    </row>
    <row r="987" spans="1:29" ht="15.75" thickBot="1" x14ac:dyDescent="0.3">
      <c r="A987" s="924">
        <v>41310</v>
      </c>
      <c r="B987" s="924"/>
      <c r="C987" s="924"/>
      <c r="N987" s="13"/>
    </row>
    <row r="988" spans="1:29" x14ac:dyDescent="0.25">
      <c r="A988" s="925" t="s">
        <v>1</v>
      </c>
      <c r="B988" s="948"/>
      <c r="C988" s="56" t="s">
        <v>12</v>
      </c>
      <c r="D988" s="56" t="s">
        <v>12</v>
      </c>
      <c r="E988" s="56" t="s">
        <v>13</v>
      </c>
      <c r="F988" s="56" t="s">
        <v>13</v>
      </c>
      <c r="G988" s="56" t="s">
        <v>13</v>
      </c>
      <c r="H988" s="56" t="s">
        <v>13</v>
      </c>
      <c r="I988" s="56" t="s">
        <v>13</v>
      </c>
      <c r="J988" s="56" t="s">
        <v>2</v>
      </c>
      <c r="K988" s="56" t="s">
        <v>2</v>
      </c>
      <c r="L988" s="56" t="s">
        <v>2</v>
      </c>
      <c r="M988" s="221" t="s">
        <v>2</v>
      </c>
      <c r="N988" s="229"/>
    </row>
    <row r="989" spans="1:29" ht="15.75" thickBot="1" x14ac:dyDescent="0.3">
      <c r="A989" s="931" t="s">
        <v>0</v>
      </c>
      <c r="B989" s="955"/>
      <c r="C989" s="69" t="s">
        <v>99</v>
      </c>
      <c r="D989" s="69" t="s">
        <v>100</v>
      </c>
      <c r="E989" s="69" t="s">
        <v>101</v>
      </c>
      <c r="F989" s="69" t="s">
        <v>102</v>
      </c>
      <c r="G989" s="69" t="s">
        <v>97</v>
      </c>
      <c r="H989" s="69" t="s">
        <v>104</v>
      </c>
      <c r="I989" s="69" t="s">
        <v>103</v>
      </c>
      <c r="J989" s="69" t="s">
        <v>105</v>
      </c>
      <c r="K989" s="69" t="s">
        <v>107</v>
      </c>
      <c r="L989" s="69" t="s">
        <v>98</v>
      </c>
      <c r="M989" s="222" t="s">
        <v>106</v>
      </c>
      <c r="N989" s="230"/>
      <c r="S989" s="12"/>
      <c r="T989" s="12"/>
      <c r="U989" s="12"/>
      <c r="V989" s="12"/>
      <c r="W989" s="12"/>
      <c r="X989" s="12"/>
      <c r="Y989" s="12"/>
      <c r="Z989" s="12"/>
      <c r="AA989" s="126"/>
      <c r="AB989" s="125"/>
      <c r="AC989" s="126"/>
    </row>
    <row r="990" spans="1:29" ht="15" customHeight="1" x14ac:dyDescent="0.25">
      <c r="A990" s="935" t="s">
        <v>9</v>
      </c>
      <c r="B990" s="2" t="s">
        <v>4</v>
      </c>
      <c r="C990" s="66">
        <v>143392.20000000001</v>
      </c>
      <c r="D990" s="66">
        <v>150515.79999999999</v>
      </c>
      <c r="E990" s="66">
        <v>150515.79999999999</v>
      </c>
      <c r="F990" s="66">
        <v>181997.8</v>
      </c>
      <c r="G990" s="66">
        <v>165452.5</v>
      </c>
      <c r="H990" s="66">
        <v>132132</v>
      </c>
      <c r="I990" s="66">
        <v>121331.8</v>
      </c>
      <c r="J990" s="66">
        <v>193027</v>
      </c>
      <c r="K990" s="66">
        <v>132132.20000000001</v>
      </c>
      <c r="L990" s="66">
        <v>82726.3</v>
      </c>
      <c r="M990" s="66">
        <v>176482.7</v>
      </c>
      <c r="N990" s="231"/>
      <c r="R990" s="70"/>
      <c r="AA990" s="70"/>
      <c r="AB990" s="70"/>
      <c r="AC990" s="70"/>
    </row>
    <row r="991" spans="1:29" x14ac:dyDescent="0.25">
      <c r="A991" s="936"/>
      <c r="B991" s="52" t="s">
        <v>5</v>
      </c>
      <c r="C991" s="67">
        <v>43123.199999999997</v>
      </c>
      <c r="D991" s="67">
        <v>76414</v>
      </c>
      <c r="E991" s="67">
        <v>77828</v>
      </c>
      <c r="F991" s="67">
        <v>153525.79999999999</v>
      </c>
      <c r="G991" s="67">
        <v>79231.100000000006</v>
      </c>
      <c r="H991" s="67">
        <v>38325.4</v>
      </c>
      <c r="I991" s="67">
        <v>61425.599999999999</v>
      </c>
      <c r="J991" s="67">
        <v>152207.79999999999</v>
      </c>
      <c r="K991" s="67">
        <v>50047.4</v>
      </c>
      <c r="L991" s="67">
        <v>40931.1</v>
      </c>
      <c r="M991" s="67">
        <v>123371</v>
      </c>
      <c r="N991" s="232"/>
      <c r="R991" s="70"/>
      <c r="AA991" s="70"/>
      <c r="AB991" s="70"/>
      <c r="AC991" s="70"/>
    </row>
    <row r="992" spans="1:29" ht="15.75" thickBot="1" x14ac:dyDescent="0.3">
      <c r="A992" s="937"/>
      <c r="B992" s="3" t="s">
        <v>3</v>
      </c>
      <c r="C992" s="57">
        <f t="shared" ref="C992:M992" si="442">C991/C990</f>
        <v>0.30073602329833837</v>
      </c>
      <c r="D992" s="58">
        <f t="shared" si="442"/>
        <v>0.50768092120561437</v>
      </c>
      <c r="E992" s="58">
        <f t="shared" si="442"/>
        <v>0.5170752837908047</v>
      </c>
      <c r="F992" s="58">
        <f t="shared" si="442"/>
        <v>0.84355854850992706</v>
      </c>
      <c r="G992" s="58">
        <f t="shared" si="442"/>
        <v>0.47887520587479793</v>
      </c>
      <c r="H992" s="58">
        <f t="shared" si="442"/>
        <v>0.29005388550843098</v>
      </c>
      <c r="I992" s="58">
        <f t="shared" si="442"/>
        <v>0.50626134286312408</v>
      </c>
      <c r="J992" s="58">
        <f t="shared" si="442"/>
        <v>0.78853113813093501</v>
      </c>
      <c r="K992" s="58">
        <f t="shared" si="442"/>
        <v>0.3787676281784455</v>
      </c>
      <c r="L992" s="58">
        <f t="shared" si="442"/>
        <v>0.49477735617330881</v>
      </c>
      <c r="M992" s="225">
        <f t="shared" si="442"/>
        <v>0.69905435490277512</v>
      </c>
      <c r="N992" s="233"/>
      <c r="R992" s="70"/>
      <c r="AA992" s="70"/>
      <c r="AB992" s="70"/>
      <c r="AC992" s="70"/>
    </row>
    <row r="993" spans="1:29" ht="15" customHeight="1" x14ac:dyDescent="0.25">
      <c r="A993" s="938" t="s">
        <v>6</v>
      </c>
      <c r="B993" s="19" t="s">
        <v>7</v>
      </c>
      <c r="C993" s="56">
        <v>5806</v>
      </c>
      <c r="D993" s="56">
        <v>3333</v>
      </c>
      <c r="E993" s="56">
        <v>3330</v>
      </c>
      <c r="F993" s="56">
        <v>9457</v>
      </c>
      <c r="G993" s="56">
        <v>7653</v>
      </c>
      <c r="H993" s="56">
        <v>15143</v>
      </c>
      <c r="I993" s="56">
        <v>7183</v>
      </c>
      <c r="J993" s="56">
        <v>9289</v>
      </c>
      <c r="K993" s="56">
        <v>11171</v>
      </c>
      <c r="L993" s="56">
        <v>4133</v>
      </c>
      <c r="M993" s="56">
        <v>9494</v>
      </c>
      <c r="N993" s="234"/>
      <c r="R993" s="70"/>
      <c r="AA993" s="70"/>
      <c r="AB993" s="70"/>
      <c r="AC993" s="70"/>
    </row>
    <row r="994" spans="1:29" x14ac:dyDescent="0.25">
      <c r="A994" s="939"/>
      <c r="B994" s="20" t="s">
        <v>11</v>
      </c>
      <c r="C994" s="59">
        <f t="shared" ref="C994:M994" si="443">C993*33.72</f>
        <v>195778.32</v>
      </c>
      <c r="D994" s="59">
        <f t="shared" si="443"/>
        <v>112388.76</v>
      </c>
      <c r="E994" s="59">
        <f t="shared" si="443"/>
        <v>112287.59999999999</v>
      </c>
      <c r="F994" s="59">
        <f t="shared" si="443"/>
        <v>318890.03999999998</v>
      </c>
      <c r="G994" s="59">
        <f t="shared" si="443"/>
        <v>258059.16</v>
      </c>
      <c r="H994" s="59">
        <f t="shared" si="443"/>
        <v>510621.95999999996</v>
      </c>
      <c r="I994" s="59">
        <f t="shared" si="443"/>
        <v>242210.75999999998</v>
      </c>
      <c r="J994" s="59">
        <f t="shared" si="443"/>
        <v>313225.08</v>
      </c>
      <c r="K994" s="59">
        <f t="shared" si="443"/>
        <v>376686.12</v>
      </c>
      <c r="L994" s="59">
        <f t="shared" si="443"/>
        <v>139364.76</v>
      </c>
      <c r="M994" s="59">
        <f t="shared" si="443"/>
        <v>320137.68</v>
      </c>
      <c r="N994" s="235"/>
      <c r="R994" s="70"/>
      <c r="AA994" s="70"/>
      <c r="AB994" s="70"/>
      <c r="AC994" s="70"/>
    </row>
    <row r="995" spans="1:29" x14ac:dyDescent="0.25">
      <c r="A995" s="939"/>
      <c r="B995" s="20" t="s">
        <v>79</v>
      </c>
      <c r="C995" s="59">
        <v>164000</v>
      </c>
      <c r="D995" s="59">
        <v>109880</v>
      </c>
      <c r="E995" s="59">
        <v>109880</v>
      </c>
      <c r="F995" s="59">
        <v>328000</v>
      </c>
      <c r="G995" s="59">
        <v>330905</v>
      </c>
      <c r="H995" s="59">
        <v>264264</v>
      </c>
      <c r="I995" s="59">
        <v>242663.6</v>
      </c>
      <c r="J995" s="59">
        <v>328000</v>
      </c>
      <c r="K995" s="59">
        <v>264264.40000000002</v>
      </c>
      <c r="L995" s="59">
        <v>328000</v>
      </c>
      <c r="M995" s="59">
        <v>352965.4</v>
      </c>
      <c r="N995" s="235"/>
      <c r="R995" s="70"/>
      <c r="AA995" s="70"/>
      <c r="AB995" s="70"/>
      <c r="AC995" s="70"/>
    </row>
    <row r="996" spans="1:29" x14ac:dyDescent="0.25">
      <c r="A996" s="939"/>
      <c r="B996" s="54" t="s">
        <v>8</v>
      </c>
      <c r="C996" s="68">
        <f>SUM(C993-187)</f>
        <v>5619</v>
      </c>
      <c r="D996" s="68">
        <f>SUM(D993-660)</f>
        <v>2673</v>
      </c>
      <c r="E996" s="68">
        <f>SUM(E993-638)</f>
        <v>2692</v>
      </c>
      <c r="F996" s="68">
        <f>SUM(F993-1258)</f>
        <v>8199</v>
      </c>
      <c r="G996" s="68">
        <f>SUM(G993-4138)</f>
        <v>3515</v>
      </c>
      <c r="H996" s="68">
        <f>SUM(H993-1853)</f>
        <v>13290</v>
      </c>
      <c r="I996" s="68">
        <f>SUM(I993-(3899-2000))</f>
        <v>5284</v>
      </c>
      <c r="J996" s="68">
        <f>SUM(J993-1257)</f>
        <v>8032</v>
      </c>
      <c r="K996" s="68">
        <f>SUM(K993-1403)</f>
        <v>9768</v>
      </c>
      <c r="L996" s="68">
        <f>SUM(L993-447)</f>
        <v>3686</v>
      </c>
      <c r="M996" s="227">
        <f>SUM(M993-(5669-2614))</f>
        <v>6439</v>
      </c>
      <c r="N996" s="236"/>
      <c r="R996" s="12" t="s">
        <v>176</v>
      </c>
    </row>
    <row r="997" spans="1:29" x14ac:dyDescent="0.25">
      <c r="A997" s="939"/>
      <c r="B997" s="21" t="s">
        <v>77</v>
      </c>
      <c r="C997" s="250">
        <f>C996*33.72</f>
        <v>189472.68</v>
      </c>
      <c r="D997" s="250">
        <f>D996*33.72</f>
        <v>90133.56</v>
      </c>
      <c r="E997" s="250">
        <f>E996*33.72</f>
        <v>90774.239999999991</v>
      </c>
      <c r="F997" s="250">
        <f>F996*33.72</f>
        <v>276470.27999999997</v>
      </c>
      <c r="G997" s="250">
        <f>G996*33.72*2</f>
        <v>237051.6</v>
      </c>
      <c r="H997" s="250">
        <f>H996*33.72</f>
        <v>448138.8</v>
      </c>
      <c r="I997" s="250">
        <f>(I996*33.72)-(2000*33.72)</f>
        <v>110736.47999999998</v>
      </c>
      <c r="J997" s="250">
        <f>J996*33.72</f>
        <v>270839.03999999998</v>
      </c>
      <c r="K997" s="250">
        <f>K996*33.72</f>
        <v>329376.95999999996</v>
      </c>
      <c r="L997" s="250">
        <f>L996*33.72</f>
        <v>124291.92</v>
      </c>
      <c r="M997" s="250">
        <f>((M996*33.72)-(2614*33.72))*2</f>
        <v>257957.99999999997</v>
      </c>
      <c r="N997" s="237"/>
      <c r="R997" s="63">
        <f>344240-H997</f>
        <v>-103898.79999999999</v>
      </c>
      <c r="S997" s="70" t="s">
        <v>177</v>
      </c>
    </row>
    <row r="998" spans="1:29" ht="15.75" thickBot="1" x14ac:dyDescent="0.3">
      <c r="A998" s="940"/>
      <c r="B998" s="201" t="s">
        <v>10</v>
      </c>
      <c r="C998" s="249">
        <f t="shared" ref="C998:M998" si="444">C997/C990</f>
        <v>1.3213597392326777</v>
      </c>
      <c r="D998" s="249">
        <f t="shared" si="444"/>
        <v>0.59883121904809999</v>
      </c>
      <c r="E998" s="251">
        <f t="shared" si="444"/>
        <v>0.60308778214645897</v>
      </c>
      <c r="F998" s="251">
        <f t="shared" si="444"/>
        <v>1.5190858351035013</v>
      </c>
      <c r="G998" s="251">
        <f t="shared" si="444"/>
        <v>1.4327471630830602</v>
      </c>
      <c r="H998" s="251">
        <f t="shared" si="444"/>
        <v>3.3915993097811277</v>
      </c>
      <c r="I998" s="251">
        <f t="shared" si="444"/>
        <v>0.91267483050609965</v>
      </c>
      <c r="J998" s="251">
        <f t="shared" si="444"/>
        <v>1.403114797411761</v>
      </c>
      <c r="K998" s="251">
        <f t="shared" si="444"/>
        <v>2.4927834396157782</v>
      </c>
      <c r="L998" s="251">
        <f t="shared" si="444"/>
        <v>1.502447468338364</v>
      </c>
      <c r="M998" s="62">
        <f t="shared" si="444"/>
        <v>1.4616616812866075</v>
      </c>
      <c r="N998" s="233"/>
      <c r="R998" s="126"/>
    </row>
    <row r="999" spans="1:29" ht="15.75" thickBot="1" x14ac:dyDescent="0.3">
      <c r="A999" s="924">
        <v>41304</v>
      </c>
      <c r="B999" s="924"/>
      <c r="C999" s="924"/>
      <c r="N999" s="13"/>
    </row>
    <row r="1000" spans="1:29" x14ac:dyDescent="0.25">
      <c r="A1000" s="925" t="s">
        <v>1</v>
      </c>
      <c r="B1000" s="948"/>
      <c r="C1000" s="56" t="s">
        <v>12</v>
      </c>
      <c r="D1000" s="56" t="s">
        <v>12</v>
      </c>
      <c r="E1000" s="56" t="s">
        <v>13</v>
      </c>
      <c r="F1000" s="56" t="s">
        <v>13</v>
      </c>
      <c r="G1000" s="56" t="s">
        <v>13</v>
      </c>
      <c r="H1000" s="56" t="s">
        <v>13</v>
      </c>
      <c r="I1000" s="56" t="s">
        <v>13</v>
      </c>
      <c r="J1000" s="56" t="s">
        <v>2</v>
      </c>
      <c r="K1000" s="56" t="s">
        <v>2</v>
      </c>
      <c r="L1000" s="56" t="s">
        <v>2</v>
      </c>
      <c r="M1000" s="221" t="s">
        <v>2</v>
      </c>
      <c r="N1000" s="229"/>
    </row>
    <row r="1001" spans="1:29" ht="15.75" thickBot="1" x14ac:dyDescent="0.3">
      <c r="A1001" s="931" t="s">
        <v>0</v>
      </c>
      <c r="B1001" s="955"/>
      <c r="C1001" s="69" t="s">
        <v>99</v>
      </c>
      <c r="D1001" s="69" t="s">
        <v>100</v>
      </c>
      <c r="E1001" s="69" t="s">
        <v>101</v>
      </c>
      <c r="F1001" s="69" t="s">
        <v>102</v>
      </c>
      <c r="G1001" s="69" t="s">
        <v>97</v>
      </c>
      <c r="H1001" s="69" t="s">
        <v>104</v>
      </c>
      <c r="I1001" s="69" t="s">
        <v>103</v>
      </c>
      <c r="J1001" s="69" t="s">
        <v>105</v>
      </c>
      <c r="K1001" s="69" t="s">
        <v>107</v>
      </c>
      <c r="L1001" s="69" t="s">
        <v>98</v>
      </c>
      <c r="M1001" s="222" t="s">
        <v>106</v>
      </c>
      <c r="N1001" s="230"/>
      <c r="S1001" s="12"/>
      <c r="T1001" s="12"/>
      <c r="U1001" s="12"/>
      <c r="V1001" s="12"/>
      <c r="W1001" s="12"/>
      <c r="X1001" s="12"/>
      <c r="Y1001" s="12"/>
      <c r="Z1001" s="12"/>
      <c r="AA1001" s="126"/>
      <c r="AB1001" s="125"/>
      <c r="AC1001" s="126"/>
    </row>
    <row r="1002" spans="1:29" ht="15" customHeight="1" x14ac:dyDescent="0.25">
      <c r="A1002" s="935" t="s">
        <v>9</v>
      </c>
      <c r="B1002" s="2" t="s">
        <v>4</v>
      </c>
      <c r="C1002" s="66">
        <v>143392.20000000001</v>
      </c>
      <c r="D1002" s="66">
        <v>150515.79999999999</v>
      </c>
      <c r="E1002" s="66">
        <v>150515.79999999999</v>
      </c>
      <c r="F1002" s="66">
        <v>181997.8</v>
      </c>
      <c r="G1002" s="66">
        <v>165452.5</v>
      </c>
      <c r="H1002" s="66">
        <v>132132</v>
      </c>
      <c r="I1002" s="66">
        <v>121331.8</v>
      </c>
      <c r="J1002" s="66">
        <v>193027</v>
      </c>
      <c r="K1002" s="66">
        <v>132132.20000000001</v>
      </c>
      <c r="L1002" s="66">
        <v>82726.3</v>
      </c>
      <c r="M1002" s="66">
        <v>176482.7</v>
      </c>
      <c r="N1002" s="231"/>
      <c r="R1002" s="70"/>
      <c r="AA1002" s="70"/>
      <c r="AB1002" s="70"/>
      <c r="AC1002" s="70"/>
    </row>
    <row r="1003" spans="1:29" x14ac:dyDescent="0.25">
      <c r="A1003" s="936"/>
      <c r="B1003" s="52" t="s">
        <v>5</v>
      </c>
      <c r="C1003" s="67">
        <v>42421.4</v>
      </c>
      <c r="D1003" s="67">
        <v>76380.2</v>
      </c>
      <c r="E1003" s="67">
        <v>77794.3</v>
      </c>
      <c r="F1003" s="67">
        <v>153356.20000000001</v>
      </c>
      <c r="G1003" s="67">
        <v>77334.399999999994</v>
      </c>
      <c r="H1003" s="67">
        <v>37796.699999999997</v>
      </c>
      <c r="I1003" s="67">
        <v>56410.3</v>
      </c>
      <c r="J1003" s="67">
        <v>152034.9</v>
      </c>
      <c r="K1003" s="67">
        <v>47706.5</v>
      </c>
      <c r="L1003" s="67">
        <v>39898.800000000003</v>
      </c>
      <c r="M1003" s="67">
        <v>111353.60000000001</v>
      </c>
      <c r="N1003" s="232"/>
      <c r="R1003" s="70"/>
      <c r="AA1003" s="70"/>
      <c r="AB1003" s="70"/>
      <c r="AC1003" s="70"/>
    </row>
    <row r="1004" spans="1:29" ht="15.75" thickBot="1" x14ac:dyDescent="0.3">
      <c r="A1004" s="937"/>
      <c r="B1004" s="3" t="s">
        <v>3</v>
      </c>
      <c r="C1004" s="57">
        <f t="shared" ref="C1004:M1004" si="445">C1003/C1002</f>
        <v>0.29584175429346921</v>
      </c>
      <c r="D1004" s="58">
        <f t="shared" si="445"/>
        <v>0.50745636006319605</v>
      </c>
      <c r="E1004" s="58">
        <f t="shared" si="445"/>
        <v>0.51685138703046463</v>
      </c>
      <c r="F1004" s="58">
        <f t="shared" si="445"/>
        <v>0.84262666911358286</v>
      </c>
      <c r="G1004" s="58">
        <f t="shared" si="445"/>
        <v>0.46741149272449795</v>
      </c>
      <c r="H1004" s="58">
        <f t="shared" si="445"/>
        <v>0.28605258377985648</v>
      </c>
      <c r="I1004" s="58">
        <f t="shared" si="445"/>
        <v>0.46492593038263674</v>
      </c>
      <c r="J1004" s="58">
        <f t="shared" si="445"/>
        <v>0.78763540851797931</v>
      </c>
      <c r="K1004" s="58">
        <f t="shared" si="445"/>
        <v>0.3610512804600241</v>
      </c>
      <c r="L1004" s="58">
        <f t="shared" si="445"/>
        <v>0.48229885779975656</v>
      </c>
      <c r="M1004" s="225">
        <f t="shared" si="445"/>
        <v>0.6309604284159297</v>
      </c>
      <c r="N1004" s="233"/>
      <c r="R1004" s="70"/>
      <c r="AA1004" s="70"/>
      <c r="AB1004" s="70"/>
      <c r="AC1004" s="70"/>
    </row>
    <row r="1005" spans="1:29" ht="15" customHeight="1" x14ac:dyDescent="0.25">
      <c r="A1005" s="938" t="s">
        <v>6</v>
      </c>
      <c r="B1005" s="19" t="s">
        <v>7</v>
      </c>
      <c r="C1005" s="56">
        <v>5806</v>
      </c>
      <c r="D1005" s="56">
        <v>3333</v>
      </c>
      <c r="E1005" s="56">
        <v>3330</v>
      </c>
      <c r="F1005" s="56">
        <v>9457</v>
      </c>
      <c r="G1005" s="56">
        <v>7653</v>
      </c>
      <c r="H1005" s="56">
        <v>15141</v>
      </c>
      <c r="I1005" s="56">
        <v>7152</v>
      </c>
      <c r="J1005" s="56">
        <v>9289</v>
      </c>
      <c r="K1005" s="56">
        <v>11169</v>
      </c>
      <c r="L1005" s="56">
        <v>4133</v>
      </c>
      <c r="M1005" s="56">
        <v>9432</v>
      </c>
      <c r="N1005" s="234"/>
      <c r="R1005" s="70"/>
      <c r="AA1005" s="70"/>
      <c r="AB1005" s="70"/>
      <c r="AC1005" s="70"/>
    </row>
    <row r="1006" spans="1:29" x14ac:dyDescent="0.25">
      <c r="A1006" s="939"/>
      <c r="B1006" s="20" t="s">
        <v>11</v>
      </c>
      <c r="C1006" s="59">
        <f t="shared" ref="C1006:M1006" si="446">C1005*33.72</f>
        <v>195778.32</v>
      </c>
      <c r="D1006" s="59">
        <f t="shared" si="446"/>
        <v>112388.76</v>
      </c>
      <c r="E1006" s="59">
        <f t="shared" si="446"/>
        <v>112287.59999999999</v>
      </c>
      <c r="F1006" s="59">
        <f t="shared" si="446"/>
        <v>318890.03999999998</v>
      </c>
      <c r="G1006" s="59">
        <f t="shared" si="446"/>
        <v>258059.16</v>
      </c>
      <c r="H1006" s="59">
        <f t="shared" si="446"/>
        <v>510554.51999999996</v>
      </c>
      <c r="I1006" s="59">
        <f t="shared" si="446"/>
        <v>241165.44</v>
      </c>
      <c r="J1006" s="59">
        <f t="shared" si="446"/>
        <v>313225.08</v>
      </c>
      <c r="K1006" s="59">
        <f t="shared" si="446"/>
        <v>376618.68</v>
      </c>
      <c r="L1006" s="59">
        <f t="shared" si="446"/>
        <v>139364.76</v>
      </c>
      <c r="M1006" s="59">
        <f t="shared" si="446"/>
        <v>318047.03999999998</v>
      </c>
      <c r="N1006" s="235"/>
      <c r="R1006" s="70"/>
      <c r="AA1006" s="70"/>
      <c r="AB1006" s="70"/>
      <c r="AC1006" s="70"/>
    </row>
    <row r="1007" spans="1:29" x14ac:dyDescent="0.25">
      <c r="A1007" s="939"/>
      <c r="B1007" s="20" t="s">
        <v>79</v>
      </c>
      <c r="C1007" s="59">
        <v>164000</v>
      </c>
      <c r="D1007" s="59">
        <v>109880</v>
      </c>
      <c r="E1007" s="59">
        <v>109880</v>
      </c>
      <c r="F1007" s="59">
        <v>328000</v>
      </c>
      <c r="G1007" s="59">
        <v>330905</v>
      </c>
      <c r="H1007" s="59">
        <v>264264</v>
      </c>
      <c r="I1007" s="59">
        <v>242663.6</v>
      </c>
      <c r="J1007" s="59">
        <v>328000</v>
      </c>
      <c r="K1007" s="59">
        <v>264264.40000000002</v>
      </c>
      <c r="L1007" s="59">
        <v>328000</v>
      </c>
      <c r="M1007" s="59">
        <v>352965.4</v>
      </c>
      <c r="N1007" s="235"/>
      <c r="R1007" s="70"/>
      <c r="AA1007" s="70"/>
      <c r="AB1007" s="70"/>
      <c r="AC1007" s="70"/>
    </row>
    <row r="1008" spans="1:29" x14ac:dyDescent="0.25">
      <c r="A1008" s="939"/>
      <c r="B1008" s="54" t="s">
        <v>8</v>
      </c>
      <c r="C1008" s="68">
        <f>SUM(C1005-187)</f>
        <v>5619</v>
      </c>
      <c r="D1008" s="68">
        <f>SUM(D1005-663)</f>
        <v>2670</v>
      </c>
      <c r="E1008" s="68">
        <f>SUM(E1005-641)</f>
        <v>2689</v>
      </c>
      <c r="F1008" s="68">
        <f>SUM(F1005-1258)</f>
        <v>8199</v>
      </c>
      <c r="G1008" s="68">
        <f>SUM(G1005-4146)</f>
        <v>3507</v>
      </c>
      <c r="H1008" s="68">
        <f>SUM(H1005-1857)</f>
        <v>13284</v>
      </c>
      <c r="I1008" s="68">
        <f>SUM(I1005-(3920-2000))</f>
        <v>5232</v>
      </c>
      <c r="J1008" s="68">
        <f>SUM(J1005-1257)</f>
        <v>8032</v>
      </c>
      <c r="K1008" s="68">
        <f>SUM(K1005-1403)</f>
        <v>9766</v>
      </c>
      <c r="L1008" s="68">
        <f>SUM(L1005-447)</f>
        <v>3686</v>
      </c>
      <c r="M1008" s="227">
        <f>SUM(M1005-(5690-2614))</f>
        <v>6356</v>
      </c>
      <c r="N1008" s="236"/>
      <c r="R1008" s="12" t="s">
        <v>176</v>
      </c>
    </row>
    <row r="1009" spans="1:29" x14ac:dyDescent="0.25">
      <c r="A1009" s="939"/>
      <c r="B1009" s="21" t="s">
        <v>77</v>
      </c>
      <c r="C1009" s="250">
        <f>C1008*33.72</f>
        <v>189472.68</v>
      </c>
      <c r="D1009" s="250">
        <f>D1008*33.72</f>
        <v>90032.4</v>
      </c>
      <c r="E1009" s="250">
        <f>E1008*33.72</f>
        <v>90673.08</v>
      </c>
      <c r="F1009" s="250">
        <f>F1008*33.72</f>
        <v>276470.27999999997</v>
      </c>
      <c r="G1009" s="250">
        <f>G1008*33.72*2</f>
        <v>236512.08</v>
      </c>
      <c r="H1009" s="250">
        <f>H1008*33.72</f>
        <v>447936.48</v>
      </c>
      <c r="I1009" s="250">
        <f>(I1008*33.72)-(2000*33.72)</f>
        <v>108983.04000000001</v>
      </c>
      <c r="J1009" s="250">
        <f>J1008*33.72</f>
        <v>270839.03999999998</v>
      </c>
      <c r="K1009" s="250">
        <f>K1008*33.72</f>
        <v>329309.51999999996</v>
      </c>
      <c r="L1009" s="250">
        <f>L1008*33.72</f>
        <v>124291.92</v>
      </c>
      <c r="M1009" s="250">
        <f>((M1008*33.72)-(2614*33.72))*2</f>
        <v>252360.48</v>
      </c>
      <c r="N1009" s="237"/>
      <c r="R1009" s="63">
        <f>344240-H1009</f>
        <v>-103696.47999999998</v>
      </c>
      <c r="S1009" s="70" t="s">
        <v>177</v>
      </c>
    </row>
    <row r="1010" spans="1:29" ht="15.75" thickBot="1" x14ac:dyDescent="0.3">
      <c r="A1010" s="940"/>
      <c r="B1010" s="201" t="s">
        <v>10</v>
      </c>
      <c r="C1010" s="249">
        <f t="shared" ref="C1010:M1010" si="447">C1009/C1002</f>
        <v>1.3213597392326777</v>
      </c>
      <c r="D1010" s="249">
        <f t="shared" si="447"/>
        <v>0.59815913013783273</v>
      </c>
      <c r="E1010" s="251">
        <f t="shared" si="447"/>
        <v>0.60241569323619182</v>
      </c>
      <c r="F1010" s="251">
        <f t="shared" si="447"/>
        <v>1.5190858351035013</v>
      </c>
      <c r="G1010" s="251">
        <f t="shared" si="447"/>
        <v>1.4294862876052039</v>
      </c>
      <c r="H1010" s="251">
        <f t="shared" si="447"/>
        <v>3.3900681137044772</v>
      </c>
      <c r="I1010" s="251">
        <f t="shared" si="447"/>
        <v>0.89822321930441984</v>
      </c>
      <c r="J1010" s="251">
        <f t="shared" si="447"/>
        <v>1.403114797411761</v>
      </c>
      <c r="K1010" s="251">
        <f t="shared" si="447"/>
        <v>2.492273041696119</v>
      </c>
      <c r="L1010" s="251">
        <f t="shared" si="447"/>
        <v>1.502447468338364</v>
      </c>
      <c r="M1010" s="62">
        <f t="shared" si="447"/>
        <v>1.4299445781371205</v>
      </c>
      <c r="N1010" s="233"/>
      <c r="R1010" s="126"/>
    </row>
    <row r="1011" spans="1:29" ht="15.75" thickBot="1" x14ac:dyDescent="0.3">
      <c r="A1011" s="924">
        <v>41297</v>
      </c>
      <c r="B1011" s="924"/>
      <c r="C1011" s="924"/>
      <c r="N1011" s="13"/>
    </row>
    <row r="1012" spans="1:29" x14ac:dyDescent="0.25">
      <c r="A1012" s="925" t="s">
        <v>1</v>
      </c>
      <c r="B1012" s="948"/>
      <c r="C1012" s="56" t="s">
        <v>12</v>
      </c>
      <c r="D1012" s="56" t="s">
        <v>12</v>
      </c>
      <c r="E1012" s="56" t="s">
        <v>13</v>
      </c>
      <c r="F1012" s="56" t="s">
        <v>13</v>
      </c>
      <c r="G1012" s="56" t="s">
        <v>13</v>
      </c>
      <c r="H1012" s="56" t="s">
        <v>13</v>
      </c>
      <c r="I1012" s="56" t="s">
        <v>13</v>
      </c>
      <c r="J1012" s="56" t="s">
        <v>2</v>
      </c>
      <c r="K1012" s="56" t="s">
        <v>2</v>
      </c>
      <c r="L1012" s="56" t="s">
        <v>2</v>
      </c>
      <c r="M1012" s="221" t="s">
        <v>2</v>
      </c>
      <c r="N1012" s="229"/>
    </row>
    <row r="1013" spans="1:29" ht="15.75" thickBot="1" x14ac:dyDescent="0.3">
      <c r="A1013" s="931" t="s">
        <v>0</v>
      </c>
      <c r="B1013" s="955"/>
      <c r="C1013" s="69" t="s">
        <v>99</v>
      </c>
      <c r="D1013" s="69" t="s">
        <v>100</v>
      </c>
      <c r="E1013" s="69" t="s">
        <v>101</v>
      </c>
      <c r="F1013" s="69" t="s">
        <v>102</v>
      </c>
      <c r="G1013" s="69" t="s">
        <v>97</v>
      </c>
      <c r="H1013" s="69" t="s">
        <v>104</v>
      </c>
      <c r="I1013" s="69" t="s">
        <v>103</v>
      </c>
      <c r="J1013" s="69" t="s">
        <v>105</v>
      </c>
      <c r="K1013" s="69" t="s">
        <v>107</v>
      </c>
      <c r="L1013" s="69" t="s">
        <v>98</v>
      </c>
      <c r="M1013" s="222" t="s">
        <v>106</v>
      </c>
      <c r="N1013" s="230"/>
      <c r="S1013" s="12"/>
      <c r="T1013" s="12"/>
      <c r="U1013" s="12"/>
      <c r="V1013" s="12"/>
      <c r="W1013" s="12"/>
      <c r="X1013" s="12"/>
      <c r="Y1013" s="12"/>
      <c r="Z1013" s="12"/>
      <c r="AA1013" s="126"/>
      <c r="AB1013" s="125"/>
      <c r="AC1013" s="126"/>
    </row>
    <row r="1014" spans="1:29" ht="15" customHeight="1" x14ac:dyDescent="0.25">
      <c r="A1014" s="935" t="s">
        <v>9</v>
      </c>
      <c r="B1014" s="2" t="s">
        <v>4</v>
      </c>
      <c r="C1014" s="66">
        <v>143392.20000000001</v>
      </c>
      <c r="D1014" s="66">
        <v>150515.79999999999</v>
      </c>
      <c r="E1014" s="66">
        <v>150515.79999999999</v>
      </c>
      <c r="F1014" s="66">
        <v>181997.8</v>
      </c>
      <c r="G1014" s="66">
        <v>165452.5</v>
      </c>
      <c r="H1014" s="66">
        <v>132132</v>
      </c>
      <c r="I1014" s="66">
        <v>121331.8</v>
      </c>
      <c r="J1014" s="66">
        <v>193027</v>
      </c>
      <c r="K1014" s="66">
        <v>132132.20000000001</v>
      </c>
      <c r="L1014" s="66">
        <v>82726.3</v>
      </c>
      <c r="M1014" s="66">
        <v>176482.7</v>
      </c>
      <c r="N1014" s="231"/>
      <c r="R1014" s="70"/>
      <c r="AA1014" s="70"/>
      <c r="AB1014" s="70"/>
      <c r="AC1014" s="70"/>
    </row>
    <row r="1015" spans="1:29" x14ac:dyDescent="0.25">
      <c r="A1015" s="936"/>
      <c r="B1015" s="52" t="s">
        <v>5</v>
      </c>
      <c r="C1015" s="67">
        <v>42062.6</v>
      </c>
      <c r="D1015" s="67">
        <v>76357.5</v>
      </c>
      <c r="E1015" s="67">
        <v>77771.5</v>
      </c>
      <c r="F1015" s="67">
        <v>162920.4</v>
      </c>
      <c r="G1015" s="67">
        <v>77178.399999999994</v>
      </c>
      <c r="H1015" s="67">
        <v>38484.1</v>
      </c>
      <c r="I1015" s="67">
        <v>55899.1</v>
      </c>
      <c r="J1015" s="67">
        <v>151878.9</v>
      </c>
      <c r="K1015" s="67">
        <v>47139.4</v>
      </c>
      <c r="L1015" s="67">
        <v>39832.1</v>
      </c>
      <c r="M1015" s="67">
        <v>110333</v>
      </c>
      <c r="N1015" s="232"/>
      <c r="R1015" s="70"/>
      <c r="AA1015" s="70"/>
      <c r="AB1015" s="70"/>
      <c r="AC1015" s="70"/>
    </row>
    <row r="1016" spans="1:29" ht="15.75" thickBot="1" x14ac:dyDescent="0.3">
      <c r="A1016" s="937"/>
      <c r="B1016" s="3" t="s">
        <v>3</v>
      </c>
      <c r="C1016" s="57">
        <f t="shared" ref="C1016:M1016" si="448">C1015/C1014</f>
        <v>0.29333952613879971</v>
      </c>
      <c r="D1016" s="58">
        <f t="shared" si="448"/>
        <v>0.50730554533145367</v>
      </c>
      <c r="E1016" s="58">
        <f t="shared" si="448"/>
        <v>0.516699907916644</v>
      </c>
      <c r="F1016" s="58">
        <f t="shared" si="448"/>
        <v>0.89517785379823278</v>
      </c>
      <c r="G1016" s="58">
        <f t="shared" si="448"/>
        <v>0.46646862392529576</v>
      </c>
      <c r="H1016" s="58">
        <f t="shared" si="448"/>
        <v>0.29125495716404809</v>
      </c>
      <c r="I1016" s="58">
        <f t="shared" si="448"/>
        <v>0.4607126903252074</v>
      </c>
      <c r="J1016" s="58">
        <f t="shared" si="448"/>
        <v>0.78682723142358324</v>
      </c>
      <c r="K1016" s="58">
        <f t="shared" si="448"/>
        <v>0.35675936675541614</v>
      </c>
      <c r="L1016" s="58">
        <f t="shared" si="448"/>
        <v>0.48149258458313737</v>
      </c>
      <c r="M1016" s="225">
        <f t="shared" si="448"/>
        <v>0.62517742532270859</v>
      </c>
      <c r="N1016" s="233"/>
      <c r="R1016" s="70"/>
      <c r="AA1016" s="70"/>
      <c r="AB1016" s="70"/>
      <c r="AC1016" s="70"/>
    </row>
    <row r="1017" spans="1:29" ht="15" customHeight="1" x14ac:dyDescent="0.25">
      <c r="A1017" s="938" t="s">
        <v>6</v>
      </c>
      <c r="B1017" s="19" t="s">
        <v>7</v>
      </c>
      <c r="C1017" s="56">
        <v>5806</v>
      </c>
      <c r="D1017" s="56">
        <v>3333</v>
      </c>
      <c r="E1017" s="56">
        <v>3330</v>
      </c>
      <c r="F1017" s="56">
        <v>9457</v>
      </c>
      <c r="G1017" s="56">
        <v>7653</v>
      </c>
      <c r="H1017" s="56">
        <v>15133</v>
      </c>
      <c r="I1017" s="56">
        <v>6961</v>
      </c>
      <c r="J1017" s="56">
        <v>9193</v>
      </c>
      <c r="K1017" s="56">
        <v>11169</v>
      </c>
      <c r="L1017" s="56">
        <v>4133</v>
      </c>
      <c r="M1017" s="56">
        <v>9050</v>
      </c>
      <c r="N1017" s="234"/>
      <c r="R1017" s="70"/>
      <c r="AA1017" s="70"/>
      <c r="AB1017" s="70"/>
      <c r="AC1017" s="70"/>
    </row>
    <row r="1018" spans="1:29" x14ac:dyDescent="0.25">
      <c r="A1018" s="939"/>
      <c r="B1018" s="20" t="s">
        <v>11</v>
      </c>
      <c r="C1018" s="59">
        <f t="shared" ref="C1018:M1018" si="449">C1017*33.72</f>
        <v>195778.32</v>
      </c>
      <c r="D1018" s="59">
        <f t="shared" si="449"/>
        <v>112388.76</v>
      </c>
      <c r="E1018" s="59">
        <f t="shared" si="449"/>
        <v>112287.59999999999</v>
      </c>
      <c r="F1018" s="59">
        <f t="shared" si="449"/>
        <v>318890.03999999998</v>
      </c>
      <c r="G1018" s="59">
        <f t="shared" si="449"/>
        <v>258059.16</v>
      </c>
      <c r="H1018" s="59">
        <f t="shared" si="449"/>
        <v>510284.76</v>
      </c>
      <c r="I1018" s="59">
        <f t="shared" si="449"/>
        <v>234724.91999999998</v>
      </c>
      <c r="J1018" s="59">
        <f t="shared" si="449"/>
        <v>309987.95999999996</v>
      </c>
      <c r="K1018" s="59">
        <f t="shared" si="449"/>
        <v>376618.68</v>
      </c>
      <c r="L1018" s="59">
        <f t="shared" si="449"/>
        <v>139364.76</v>
      </c>
      <c r="M1018" s="59">
        <f t="shared" si="449"/>
        <v>305166</v>
      </c>
      <c r="N1018" s="235"/>
      <c r="R1018" s="70"/>
      <c r="AA1018" s="70"/>
      <c r="AB1018" s="70"/>
      <c r="AC1018" s="70"/>
    </row>
    <row r="1019" spans="1:29" x14ac:dyDescent="0.25">
      <c r="A1019" s="939"/>
      <c r="B1019" s="20" t="s">
        <v>79</v>
      </c>
      <c r="C1019" s="59">
        <v>164000</v>
      </c>
      <c r="D1019" s="59">
        <v>109880</v>
      </c>
      <c r="E1019" s="59">
        <v>109880</v>
      </c>
      <c r="F1019" s="59">
        <v>328000</v>
      </c>
      <c r="G1019" s="59">
        <v>330905</v>
      </c>
      <c r="H1019" s="59">
        <v>264264</v>
      </c>
      <c r="I1019" s="59">
        <v>242663.6</v>
      </c>
      <c r="J1019" s="59">
        <v>328000</v>
      </c>
      <c r="K1019" s="59">
        <v>264264.40000000002</v>
      </c>
      <c r="L1019" s="59">
        <v>328000</v>
      </c>
      <c r="M1019" s="59">
        <v>352965.4</v>
      </c>
      <c r="N1019" s="235"/>
      <c r="R1019" s="70"/>
      <c r="AA1019" s="70"/>
      <c r="AB1019" s="70"/>
      <c r="AC1019" s="70"/>
    </row>
    <row r="1020" spans="1:29" x14ac:dyDescent="0.25">
      <c r="A1020" s="939"/>
      <c r="B1020" s="54" t="s">
        <v>8</v>
      </c>
      <c r="C1020" s="68">
        <f>SUM(C1017-191)</f>
        <v>5615</v>
      </c>
      <c r="D1020" s="68">
        <f>SUM(D1017-675)</f>
        <v>2658</v>
      </c>
      <c r="E1020" s="68">
        <f>SUM(E1017-653)</f>
        <v>2677</v>
      </c>
      <c r="F1020" s="68">
        <f>SUM(F1017-1258)</f>
        <v>8199</v>
      </c>
      <c r="G1020" s="68">
        <f>SUM(G1017-4146)</f>
        <v>3507</v>
      </c>
      <c r="H1020" s="68">
        <f>SUM(H1017-1869)</f>
        <v>13264</v>
      </c>
      <c r="I1020" s="68">
        <f>SUM(I1017-(3921-2000))</f>
        <v>5040</v>
      </c>
      <c r="J1020" s="68">
        <f>SUM(J1017-1257)</f>
        <v>7936</v>
      </c>
      <c r="K1020" s="68">
        <f>SUM(K1017-1454)</f>
        <v>9715</v>
      </c>
      <c r="L1020" s="68">
        <f>SUM(L1017-447)</f>
        <v>3686</v>
      </c>
      <c r="M1020" s="227">
        <f>SUM(M1017-(5691-2614))</f>
        <v>5973</v>
      </c>
      <c r="N1020" s="236"/>
      <c r="R1020" s="12" t="s">
        <v>176</v>
      </c>
    </row>
    <row r="1021" spans="1:29" x14ac:dyDescent="0.25">
      <c r="A1021" s="939"/>
      <c r="B1021" s="21" t="s">
        <v>77</v>
      </c>
      <c r="C1021" s="250">
        <f>C1020*33.72</f>
        <v>189337.8</v>
      </c>
      <c r="D1021" s="250">
        <f>D1020*33.72</f>
        <v>89627.76</v>
      </c>
      <c r="E1021" s="250">
        <f>E1020*33.72</f>
        <v>90268.44</v>
      </c>
      <c r="F1021" s="250">
        <f>F1020*33.72</f>
        <v>276470.27999999997</v>
      </c>
      <c r="G1021" s="250">
        <f>G1020*33.72*2</f>
        <v>236512.08</v>
      </c>
      <c r="H1021" s="250">
        <f>H1020*33.72</f>
        <v>447262.07999999996</v>
      </c>
      <c r="I1021" s="250">
        <f>(I1020*33.72)-(2000*33.72)</f>
        <v>102508.79999999999</v>
      </c>
      <c r="J1021" s="250">
        <f>J1020*33.72</f>
        <v>267601.91999999998</v>
      </c>
      <c r="K1021" s="250">
        <f>K1020*33.72</f>
        <v>327589.8</v>
      </c>
      <c r="L1021" s="250">
        <f>L1020*33.72</f>
        <v>124291.92</v>
      </c>
      <c r="M1021" s="250">
        <f>((M1020*33.72)-(2614*33.72))*2</f>
        <v>226530.96</v>
      </c>
      <c r="N1021" s="237"/>
      <c r="R1021" s="63">
        <f>344240-H1021</f>
        <v>-103022.07999999996</v>
      </c>
      <c r="S1021" s="70" t="s">
        <v>177</v>
      </c>
    </row>
    <row r="1022" spans="1:29" ht="15.75" thickBot="1" x14ac:dyDescent="0.3">
      <c r="A1022" s="940"/>
      <c r="B1022" s="201" t="s">
        <v>10</v>
      </c>
      <c r="C1022" s="249">
        <f t="shared" ref="C1022:M1022" si="450">C1021/C1014</f>
        <v>1.3204191022942668</v>
      </c>
      <c r="D1022" s="249">
        <f t="shared" si="450"/>
        <v>0.59547077449676378</v>
      </c>
      <c r="E1022" s="251">
        <f t="shared" si="450"/>
        <v>0.59972733759512298</v>
      </c>
      <c r="F1022" s="251">
        <f t="shared" si="450"/>
        <v>1.5190858351035013</v>
      </c>
      <c r="G1022" s="251">
        <f t="shared" si="450"/>
        <v>1.4294862876052039</v>
      </c>
      <c r="H1022" s="251">
        <f t="shared" si="450"/>
        <v>3.3849641267823083</v>
      </c>
      <c r="I1022" s="251">
        <f t="shared" si="450"/>
        <v>0.84486342409821646</v>
      </c>
      <c r="J1022" s="251">
        <f t="shared" si="450"/>
        <v>1.3863445010283535</v>
      </c>
      <c r="K1022" s="251">
        <f t="shared" si="450"/>
        <v>2.4792578947448085</v>
      </c>
      <c r="L1022" s="251">
        <f t="shared" si="450"/>
        <v>1.502447468338364</v>
      </c>
      <c r="M1022" s="62">
        <f t="shared" si="450"/>
        <v>1.2835873431220168</v>
      </c>
      <c r="N1022" s="233"/>
      <c r="R1022" s="126"/>
    </row>
    <row r="1023" spans="1:29" ht="15.75" thickBot="1" x14ac:dyDescent="0.3">
      <c r="A1023" s="924">
        <v>41296</v>
      </c>
      <c r="B1023" s="924"/>
      <c r="C1023" s="924"/>
      <c r="N1023" s="13"/>
    </row>
    <row r="1024" spans="1:29" x14ac:dyDescent="0.25">
      <c r="A1024" s="925" t="s">
        <v>1</v>
      </c>
      <c r="B1024" s="948"/>
      <c r="C1024" s="56" t="s">
        <v>12</v>
      </c>
      <c r="D1024" s="56" t="s">
        <v>12</v>
      </c>
      <c r="E1024" s="56" t="s">
        <v>13</v>
      </c>
      <c r="F1024" s="56" t="s">
        <v>13</v>
      </c>
      <c r="G1024" s="56" t="s">
        <v>13</v>
      </c>
      <c r="H1024" s="56" t="s">
        <v>13</v>
      </c>
      <c r="I1024" s="56" t="s">
        <v>13</v>
      </c>
      <c r="J1024" s="56" t="s">
        <v>2</v>
      </c>
      <c r="K1024" s="56" t="s">
        <v>2</v>
      </c>
      <c r="L1024" s="56" t="s">
        <v>2</v>
      </c>
      <c r="M1024" s="221" t="s">
        <v>2</v>
      </c>
      <c r="N1024" s="229"/>
    </row>
    <row r="1025" spans="1:29" ht="15.75" thickBot="1" x14ac:dyDescent="0.3">
      <c r="A1025" s="931" t="s">
        <v>0</v>
      </c>
      <c r="B1025" s="955"/>
      <c r="C1025" s="69" t="s">
        <v>99</v>
      </c>
      <c r="D1025" s="69" t="s">
        <v>100</v>
      </c>
      <c r="E1025" s="69" t="s">
        <v>101</v>
      </c>
      <c r="F1025" s="69" t="s">
        <v>102</v>
      </c>
      <c r="G1025" s="69" t="s">
        <v>97</v>
      </c>
      <c r="H1025" s="69" t="s">
        <v>104</v>
      </c>
      <c r="I1025" s="69" t="s">
        <v>103</v>
      </c>
      <c r="J1025" s="69" t="s">
        <v>105</v>
      </c>
      <c r="K1025" s="69" t="s">
        <v>107</v>
      </c>
      <c r="L1025" s="69" t="s">
        <v>98</v>
      </c>
      <c r="M1025" s="222" t="s">
        <v>106</v>
      </c>
      <c r="N1025" s="230"/>
      <c r="S1025" s="12"/>
      <c r="T1025" s="12"/>
      <c r="U1025" s="12"/>
      <c r="V1025" s="12"/>
      <c r="W1025" s="12"/>
      <c r="X1025" s="12"/>
      <c r="Y1025" s="12"/>
      <c r="Z1025" s="12"/>
      <c r="AA1025" s="126"/>
      <c r="AB1025" s="125"/>
      <c r="AC1025" s="126"/>
    </row>
    <row r="1026" spans="1:29" ht="15" customHeight="1" x14ac:dyDescent="0.25">
      <c r="A1026" s="935" t="s">
        <v>9</v>
      </c>
      <c r="B1026" s="2" t="s">
        <v>4</v>
      </c>
      <c r="C1026" s="66">
        <v>143392.20000000001</v>
      </c>
      <c r="D1026" s="66">
        <v>150515.79999999999</v>
      </c>
      <c r="E1026" s="66">
        <v>150515.79999999999</v>
      </c>
      <c r="F1026" s="66">
        <v>181997.8</v>
      </c>
      <c r="G1026" s="66">
        <v>165452.5</v>
      </c>
      <c r="H1026" s="66">
        <v>132132</v>
      </c>
      <c r="I1026" s="66">
        <v>121331.8</v>
      </c>
      <c r="J1026" s="66">
        <v>193027</v>
      </c>
      <c r="K1026" s="66">
        <v>132132.20000000001</v>
      </c>
      <c r="L1026" s="66">
        <v>82726.3</v>
      </c>
      <c r="M1026" s="223">
        <v>176482.7</v>
      </c>
      <c r="N1026" s="231"/>
      <c r="R1026" s="70"/>
      <c r="AA1026" s="70"/>
      <c r="AB1026" s="70"/>
      <c r="AC1026" s="70"/>
    </row>
    <row r="1027" spans="1:29" x14ac:dyDescent="0.25">
      <c r="A1027" s="936"/>
      <c r="B1027" s="52" t="s">
        <v>5</v>
      </c>
      <c r="C1027" s="67">
        <v>42658.8</v>
      </c>
      <c r="D1027" s="67">
        <v>76331.899999999994</v>
      </c>
      <c r="E1027" s="67">
        <v>77746.100000000006</v>
      </c>
      <c r="F1027" s="67">
        <v>162710.9</v>
      </c>
      <c r="G1027" s="67">
        <v>76497.8</v>
      </c>
      <c r="H1027" s="67">
        <v>34939.300000000003</v>
      </c>
      <c r="I1027" s="67">
        <v>54147</v>
      </c>
      <c r="J1027" s="67">
        <v>151316.20000000001</v>
      </c>
      <c r="K1027" s="67">
        <v>46793.599999999999</v>
      </c>
      <c r="L1027" s="67">
        <v>39469.599999999999</v>
      </c>
      <c r="M1027" s="224">
        <v>108856.2</v>
      </c>
      <c r="N1027" s="232"/>
      <c r="R1027" s="70"/>
      <c r="AA1027" s="70"/>
      <c r="AB1027" s="70"/>
      <c r="AC1027" s="70"/>
    </row>
    <row r="1028" spans="1:29" ht="15.75" thickBot="1" x14ac:dyDescent="0.3">
      <c r="A1028" s="937"/>
      <c r="B1028" s="3" t="s">
        <v>3</v>
      </c>
      <c r="C1028" s="57">
        <f t="shared" ref="C1028:M1028" si="451">C1027/C1026</f>
        <v>0.2974973534125287</v>
      </c>
      <c r="D1028" s="58">
        <f t="shared" si="451"/>
        <v>0.5071354635194445</v>
      </c>
      <c r="E1028" s="58">
        <f t="shared" si="451"/>
        <v>0.51653115486879131</v>
      </c>
      <c r="F1028" s="58">
        <f t="shared" si="451"/>
        <v>0.89402674098258328</v>
      </c>
      <c r="G1028" s="58">
        <f t="shared" si="451"/>
        <v>0.46235505658723802</v>
      </c>
      <c r="H1028" s="58">
        <f t="shared" si="451"/>
        <v>0.26442723942723945</v>
      </c>
      <c r="I1028" s="58">
        <f t="shared" si="451"/>
        <v>0.44627212321913956</v>
      </c>
      <c r="J1028" s="58">
        <f t="shared" si="451"/>
        <v>0.78391209519911731</v>
      </c>
      <c r="K1028" s="58">
        <f t="shared" si="451"/>
        <v>0.35414229082691423</v>
      </c>
      <c r="L1028" s="58">
        <f t="shared" si="451"/>
        <v>0.47711066492759857</v>
      </c>
      <c r="M1028" s="225">
        <f t="shared" si="451"/>
        <v>0.61680946631029554</v>
      </c>
      <c r="N1028" s="233"/>
      <c r="R1028" s="70"/>
      <c r="AA1028" s="70"/>
      <c r="AB1028" s="70"/>
      <c r="AC1028" s="70"/>
    </row>
    <row r="1029" spans="1:29" ht="15" customHeight="1" x14ac:dyDescent="0.25">
      <c r="A1029" s="938" t="s">
        <v>6</v>
      </c>
      <c r="B1029" s="19" t="s">
        <v>7</v>
      </c>
      <c r="C1029" s="56">
        <v>5806</v>
      </c>
      <c r="D1029" s="56">
        <v>3333</v>
      </c>
      <c r="E1029" s="56">
        <v>3330</v>
      </c>
      <c r="F1029" s="56">
        <v>9457</v>
      </c>
      <c r="G1029" s="56">
        <v>7653</v>
      </c>
      <c r="H1029" s="56">
        <v>15133</v>
      </c>
      <c r="I1029" s="56">
        <v>6961</v>
      </c>
      <c r="J1029" s="56">
        <v>9193</v>
      </c>
      <c r="K1029" s="56">
        <v>11010</v>
      </c>
      <c r="L1029" s="56">
        <v>4133</v>
      </c>
      <c r="M1029" s="221">
        <v>9050</v>
      </c>
      <c r="N1029" s="234"/>
      <c r="R1029" s="70"/>
      <c r="AA1029" s="70"/>
      <c r="AB1029" s="70"/>
      <c r="AC1029" s="70"/>
    </row>
    <row r="1030" spans="1:29" x14ac:dyDescent="0.25">
      <c r="A1030" s="939"/>
      <c r="B1030" s="20" t="s">
        <v>11</v>
      </c>
      <c r="C1030" s="59">
        <f t="shared" ref="C1030:M1030" si="452">C1029*33.72</f>
        <v>195778.32</v>
      </c>
      <c r="D1030" s="59">
        <f t="shared" si="452"/>
        <v>112388.76</v>
      </c>
      <c r="E1030" s="59">
        <f t="shared" si="452"/>
        <v>112287.59999999999</v>
      </c>
      <c r="F1030" s="59">
        <f t="shared" si="452"/>
        <v>318890.03999999998</v>
      </c>
      <c r="G1030" s="59">
        <f t="shared" si="452"/>
        <v>258059.16</v>
      </c>
      <c r="H1030" s="59">
        <f t="shared" si="452"/>
        <v>510284.76</v>
      </c>
      <c r="I1030" s="59">
        <f t="shared" si="452"/>
        <v>234724.91999999998</v>
      </c>
      <c r="J1030" s="59">
        <f t="shared" si="452"/>
        <v>309987.95999999996</v>
      </c>
      <c r="K1030" s="59">
        <f t="shared" si="452"/>
        <v>371257.2</v>
      </c>
      <c r="L1030" s="59">
        <f t="shared" si="452"/>
        <v>139364.76</v>
      </c>
      <c r="M1030" s="226">
        <f t="shared" si="452"/>
        <v>305166</v>
      </c>
      <c r="N1030" s="235"/>
      <c r="R1030" s="70"/>
      <c r="AA1030" s="70"/>
      <c r="AB1030" s="70"/>
      <c r="AC1030" s="70"/>
    </row>
    <row r="1031" spans="1:29" x14ac:dyDescent="0.25">
      <c r="A1031" s="939"/>
      <c r="B1031" s="20" t="s">
        <v>79</v>
      </c>
      <c r="C1031" s="59">
        <v>164000</v>
      </c>
      <c r="D1031" s="59">
        <v>109880</v>
      </c>
      <c r="E1031" s="59">
        <v>109880</v>
      </c>
      <c r="F1031" s="59">
        <v>328000</v>
      </c>
      <c r="G1031" s="59">
        <f>G1026*2</f>
        <v>330905</v>
      </c>
      <c r="H1031" s="59">
        <f>H1026*2</f>
        <v>264264</v>
      </c>
      <c r="I1031" s="59">
        <f>I1026*2</f>
        <v>242663.6</v>
      </c>
      <c r="J1031" s="59">
        <v>328000</v>
      </c>
      <c r="K1031" s="59">
        <f>K1026*2</f>
        <v>264264.40000000002</v>
      </c>
      <c r="L1031" s="59">
        <v>328000</v>
      </c>
      <c r="M1031" s="226">
        <f>2*M1026</f>
        <v>352965.4</v>
      </c>
      <c r="N1031" s="235"/>
      <c r="R1031" s="70"/>
      <c r="AA1031" s="70"/>
      <c r="AB1031" s="70"/>
      <c r="AC1031" s="70"/>
    </row>
    <row r="1032" spans="1:29" x14ac:dyDescent="0.25">
      <c r="A1032" s="939"/>
      <c r="B1032" s="54" t="s">
        <v>8</v>
      </c>
      <c r="C1032" s="68">
        <f>SUM(C1029-191)</f>
        <v>5615</v>
      </c>
      <c r="D1032" s="68">
        <f>SUM(D1029-675)</f>
        <v>2658</v>
      </c>
      <c r="E1032" s="68">
        <f>SUM(E1029-653)</f>
        <v>2677</v>
      </c>
      <c r="F1032" s="68">
        <f>SUM(F1029-1258)</f>
        <v>8199</v>
      </c>
      <c r="G1032" s="68">
        <f>SUM(G1029-4146)</f>
        <v>3507</v>
      </c>
      <c r="H1032" s="68">
        <f>SUM(H1029-1869)</f>
        <v>13264</v>
      </c>
      <c r="I1032" s="68">
        <f>SUM(I1029-(3921-2000))</f>
        <v>5040</v>
      </c>
      <c r="J1032" s="68">
        <f>SUM(J1029-1257)</f>
        <v>7936</v>
      </c>
      <c r="K1032" s="68">
        <f>SUM(K1029-1454)</f>
        <v>9556</v>
      </c>
      <c r="L1032" s="68">
        <f>SUM(L1029-447)</f>
        <v>3686</v>
      </c>
      <c r="M1032" s="227">
        <f>SUM(M1029-(5691-2614))</f>
        <v>5973</v>
      </c>
      <c r="N1032" s="236"/>
      <c r="R1032" s="12" t="s">
        <v>176</v>
      </c>
    </row>
    <row r="1033" spans="1:29" x14ac:dyDescent="0.25">
      <c r="A1033" s="939"/>
      <c r="B1033" s="21" t="s">
        <v>77</v>
      </c>
      <c r="C1033" s="60">
        <f>C1032*33.72</f>
        <v>189337.8</v>
      </c>
      <c r="D1033" s="60">
        <f>D1032*33.72</f>
        <v>89627.76</v>
      </c>
      <c r="E1033" s="60">
        <f>E1032*33.72</f>
        <v>90268.44</v>
      </c>
      <c r="F1033" s="60">
        <f>F1032*33.72</f>
        <v>276470.27999999997</v>
      </c>
      <c r="G1033" s="60">
        <f>G1032*33.72*2</f>
        <v>236512.08</v>
      </c>
      <c r="H1033" s="60">
        <f>H1032*33.72</f>
        <v>447262.07999999996</v>
      </c>
      <c r="I1033" s="60">
        <f>(I1032*33.72)-(2000*33.72)</f>
        <v>102508.79999999999</v>
      </c>
      <c r="J1033" s="60">
        <f>J1032*33.72</f>
        <v>267601.91999999998</v>
      </c>
      <c r="K1033" s="60">
        <f>K1032*33.72</f>
        <v>322228.32</v>
      </c>
      <c r="L1033" s="60">
        <f>L1032*33.72</f>
        <v>124291.92</v>
      </c>
      <c r="M1033" s="228">
        <f>((M1032*33.72)-(2614*33.72))*2</f>
        <v>226530.96</v>
      </c>
      <c r="N1033" s="237"/>
      <c r="R1033" s="63">
        <f>344240-H1033</f>
        <v>-103022.07999999996</v>
      </c>
      <c r="S1033" s="70" t="s">
        <v>177</v>
      </c>
    </row>
    <row r="1034" spans="1:29" ht="15.75" thickBot="1" x14ac:dyDescent="0.3">
      <c r="A1034" s="940"/>
      <c r="B1034" s="201" t="s">
        <v>10</v>
      </c>
      <c r="C1034" s="58">
        <f t="shared" ref="C1034:M1034" si="453">C1033/C1026</f>
        <v>1.3204191022942668</v>
      </c>
      <c r="D1034" s="58">
        <f t="shared" si="453"/>
        <v>0.59547077449676378</v>
      </c>
      <c r="E1034" s="58">
        <f t="shared" si="453"/>
        <v>0.59972733759512298</v>
      </c>
      <c r="F1034" s="58">
        <f t="shared" si="453"/>
        <v>1.5190858351035013</v>
      </c>
      <c r="G1034" s="58">
        <f t="shared" si="453"/>
        <v>1.4294862876052039</v>
      </c>
      <c r="H1034" s="58">
        <f t="shared" si="453"/>
        <v>3.3849641267823083</v>
      </c>
      <c r="I1034" s="58">
        <f t="shared" si="453"/>
        <v>0.84486342409821646</v>
      </c>
      <c r="J1034" s="58">
        <f t="shared" si="453"/>
        <v>1.3863445010283535</v>
      </c>
      <c r="K1034" s="58">
        <f t="shared" si="453"/>
        <v>2.4386812601318981</v>
      </c>
      <c r="L1034" s="58">
        <f t="shared" si="453"/>
        <v>1.502447468338364</v>
      </c>
      <c r="M1034" s="225">
        <f t="shared" si="453"/>
        <v>1.2835873431220168</v>
      </c>
      <c r="N1034" s="233"/>
      <c r="R1034" s="126"/>
    </row>
    <row r="1035" spans="1:29" ht="15.75" thickBot="1" x14ac:dyDescent="0.3">
      <c r="A1035" s="924">
        <v>41292</v>
      </c>
      <c r="B1035" s="924"/>
      <c r="C1035" s="924"/>
      <c r="N1035" s="13"/>
    </row>
    <row r="1036" spans="1:29" x14ac:dyDescent="0.25">
      <c r="A1036" s="925" t="s">
        <v>1</v>
      </c>
      <c r="B1036" s="948"/>
      <c r="C1036" s="56" t="s">
        <v>12</v>
      </c>
      <c r="D1036" s="56" t="s">
        <v>12</v>
      </c>
      <c r="E1036" s="56" t="s">
        <v>13</v>
      </c>
      <c r="F1036" s="56" t="s">
        <v>13</v>
      </c>
      <c r="G1036" s="56" t="s">
        <v>13</v>
      </c>
      <c r="H1036" s="56" t="s">
        <v>13</v>
      </c>
      <c r="I1036" s="56" t="s">
        <v>13</v>
      </c>
      <c r="J1036" s="56" t="s">
        <v>2</v>
      </c>
      <c r="K1036" s="56" t="s">
        <v>2</v>
      </c>
      <c r="L1036" s="56" t="s">
        <v>2</v>
      </c>
      <c r="M1036" s="221" t="s">
        <v>2</v>
      </c>
      <c r="N1036" s="229"/>
    </row>
    <row r="1037" spans="1:29" ht="15.75" thickBot="1" x14ac:dyDescent="0.3">
      <c r="A1037" s="931" t="s">
        <v>0</v>
      </c>
      <c r="B1037" s="955"/>
      <c r="C1037" s="69" t="s">
        <v>99</v>
      </c>
      <c r="D1037" s="69" t="s">
        <v>100</v>
      </c>
      <c r="E1037" s="69" t="s">
        <v>101</v>
      </c>
      <c r="F1037" s="69" t="s">
        <v>102</v>
      </c>
      <c r="G1037" s="69" t="s">
        <v>97</v>
      </c>
      <c r="H1037" s="69" t="s">
        <v>104</v>
      </c>
      <c r="I1037" s="69" t="s">
        <v>103</v>
      </c>
      <c r="J1037" s="69" t="s">
        <v>105</v>
      </c>
      <c r="K1037" s="69" t="s">
        <v>107</v>
      </c>
      <c r="L1037" s="69" t="s">
        <v>98</v>
      </c>
      <c r="M1037" s="222" t="s">
        <v>106</v>
      </c>
      <c r="N1037" s="230"/>
      <c r="S1037" s="12"/>
      <c r="T1037" s="12"/>
      <c r="U1037" s="12"/>
      <c r="V1037" s="12"/>
      <c r="W1037" s="12"/>
      <c r="X1037" s="12"/>
      <c r="Y1037" s="12"/>
      <c r="Z1037" s="12"/>
      <c r="AA1037" s="126"/>
      <c r="AB1037" s="125"/>
      <c r="AC1037" s="126"/>
    </row>
    <row r="1038" spans="1:29" ht="15" customHeight="1" x14ac:dyDescent="0.25">
      <c r="A1038" s="935" t="s">
        <v>9</v>
      </c>
      <c r="B1038" s="2" t="s">
        <v>4</v>
      </c>
      <c r="C1038" s="66">
        <v>143392.20000000001</v>
      </c>
      <c r="D1038" s="66">
        <v>150515.79999999999</v>
      </c>
      <c r="E1038" s="66">
        <v>150515.79999999999</v>
      </c>
      <c r="F1038" s="66">
        <v>181997.8</v>
      </c>
      <c r="G1038" s="66">
        <v>165452.5</v>
      </c>
      <c r="H1038" s="66">
        <v>132132</v>
      </c>
      <c r="I1038" s="66">
        <v>121331.8</v>
      </c>
      <c r="J1038" s="66">
        <v>193027</v>
      </c>
      <c r="K1038" s="66">
        <v>132132.20000000001</v>
      </c>
      <c r="L1038" s="66">
        <v>82726.3</v>
      </c>
      <c r="M1038" s="223">
        <v>176482.7</v>
      </c>
      <c r="N1038" s="231"/>
      <c r="R1038" s="70"/>
      <c r="AA1038" s="70"/>
      <c r="AB1038" s="70"/>
      <c r="AC1038" s="70"/>
    </row>
    <row r="1039" spans="1:29" x14ac:dyDescent="0.25">
      <c r="A1039" s="936"/>
      <c r="B1039" s="52" t="s">
        <v>5</v>
      </c>
      <c r="C1039" s="67">
        <v>42568.2</v>
      </c>
      <c r="D1039" s="67">
        <v>76204</v>
      </c>
      <c r="E1039" s="67">
        <v>77618.3</v>
      </c>
      <c r="F1039" s="67">
        <v>162453.9</v>
      </c>
      <c r="G1039" s="67">
        <v>76308.399999999994</v>
      </c>
      <c r="H1039" s="67">
        <v>33123.9</v>
      </c>
      <c r="I1039" s="67">
        <v>53823.1</v>
      </c>
      <c r="J1039" s="67">
        <v>151243.9</v>
      </c>
      <c r="K1039" s="67">
        <v>42221.599999999999</v>
      </c>
      <c r="L1039" s="67">
        <v>39369.699999999997</v>
      </c>
      <c r="M1039" s="224">
        <v>108253.4</v>
      </c>
      <c r="N1039" s="232"/>
      <c r="R1039" s="70"/>
      <c r="AA1039" s="70"/>
      <c r="AB1039" s="70"/>
      <c r="AC1039" s="70"/>
    </row>
    <row r="1040" spans="1:29" ht="15.75" thickBot="1" x14ac:dyDescent="0.3">
      <c r="A1040" s="937"/>
      <c r="B1040" s="3" t="s">
        <v>3</v>
      </c>
      <c r="C1040" s="57">
        <f t="shared" ref="C1040:M1040" si="454">C1039/C1038</f>
        <v>0.29686551988183452</v>
      </c>
      <c r="D1040" s="58">
        <f t="shared" si="454"/>
        <v>0.50628571884147711</v>
      </c>
      <c r="E1040" s="58">
        <f t="shared" si="454"/>
        <v>0.51568207457290205</v>
      </c>
      <c r="F1040" s="58">
        <f t="shared" si="454"/>
        <v>0.89261463600109459</v>
      </c>
      <c r="G1040" s="58">
        <f t="shared" si="454"/>
        <v>0.4612103171605143</v>
      </c>
      <c r="H1040" s="58">
        <f t="shared" si="454"/>
        <v>0.25068794841522113</v>
      </c>
      <c r="I1040" s="58">
        <f t="shared" si="454"/>
        <v>0.44360258398869873</v>
      </c>
      <c r="J1040" s="58">
        <f t="shared" si="454"/>
        <v>0.78353753619959898</v>
      </c>
      <c r="K1040" s="58">
        <f t="shared" si="454"/>
        <v>0.31954058132688318</v>
      </c>
      <c r="L1040" s="58">
        <f t="shared" si="454"/>
        <v>0.47590306831080315</v>
      </c>
      <c r="M1040" s="225">
        <f t="shared" si="454"/>
        <v>0.61339383406985493</v>
      </c>
      <c r="N1040" s="233"/>
      <c r="R1040" s="70"/>
      <c r="AA1040" s="70"/>
      <c r="AB1040" s="70"/>
      <c r="AC1040" s="70"/>
    </row>
    <row r="1041" spans="1:29" ht="15" customHeight="1" x14ac:dyDescent="0.25">
      <c r="A1041" s="938" t="s">
        <v>6</v>
      </c>
      <c r="B1041" s="19" t="s">
        <v>7</v>
      </c>
      <c r="C1041" s="56">
        <v>5806</v>
      </c>
      <c r="D1041" s="56">
        <v>3333</v>
      </c>
      <c r="E1041" s="56">
        <v>3330</v>
      </c>
      <c r="F1041" s="56">
        <v>9457</v>
      </c>
      <c r="G1041" s="56">
        <v>7653</v>
      </c>
      <c r="H1041" s="56">
        <v>15133</v>
      </c>
      <c r="I1041" s="56">
        <v>6961</v>
      </c>
      <c r="J1041" s="56">
        <v>9193</v>
      </c>
      <c r="K1041" s="56">
        <v>11010</v>
      </c>
      <c r="L1041" s="56">
        <v>4133</v>
      </c>
      <c r="M1041" s="221">
        <v>9050</v>
      </c>
      <c r="N1041" s="234"/>
      <c r="R1041" s="70"/>
      <c r="AA1041" s="70"/>
      <c r="AB1041" s="70"/>
      <c r="AC1041" s="70"/>
    </row>
    <row r="1042" spans="1:29" x14ac:dyDescent="0.25">
      <c r="A1042" s="939"/>
      <c r="B1042" s="20" t="s">
        <v>11</v>
      </c>
      <c r="C1042" s="59">
        <f t="shared" ref="C1042:M1042" si="455">C1041*33.72</f>
        <v>195778.32</v>
      </c>
      <c r="D1042" s="59">
        <f t="shared" si="455"/>
        <v>112388.76</v>
      </c>
      <c r="E1042" s="59">
        <f t="shared" si="455"/>
        <v>112287.59999999999</v>
      </c>
      <c r="F1042" s="59">
        <f t="shared" si="455"/>
        <v>318890.03999999998</v>
      </c>
      <c r="G1042" s="59">
        <f t="shared" si="455"/>
        <v>258059.16</v>
      </c>
      <c r="H1042" s="59">
        <f t="shared" si="455"/>
        <v>510284.76</v>
      </c>
      <c r="I1042" s="59">
        <f t="shared" si="455"/>
        <v>234724.91999999998</v>
      </c>
      <c r="J1042" s="59">
        <f t="shared" si="455"/>
        <v>309987.95999999996</v>
      </c>
      <c r="K1042" s="59">
        <f t="shared" si="455"/>
        <v>371257.2</v>
      </c>
      <c r="L1042" s="59">
        <f t="shared" si="455"/>
        <v>139364.76</v>
      </c>
      <c r="M1042" s="226">
        <f t="shared" si="455"/>
        <v>305166</v>
      </c>
      <c r="N1042" s="235"/>
      <c r="R1042" s="70"/>
      <c r="AA1042" s="70"/>
      <c r="AB1042" s="70"/>
      <c r="AC1042" s="70"/>
    </row>
    <row r="1043" spans="1:29" x14ac:dyDescent="0.25">
      <c r="A1043" s="939"/>
      <c r="B1043" s="20" t="s">
        <v>79</v>
      </c>
      <c r="C1043" s="59">
        <v>164000</v>
      </c>
      <c r="D1043" s="59">
        <v>109880</v>
      </c>
      <c r="E1043" s="59">
        <v>109880</v>
      </c>
      <c r="F1043" s="59">
        <v>328000</v>
      </c>
      <c r="G1043" s="59">
        <f>G1038*2</f>
        <v>330905</v>
      </c>
      <c r="H1043" s="59">
        <f>H1038*2</f>
        <v>264264</v>
      </c>
      <c r="I1043" s="59">
        <f>I1038*2</f>
        <v>242663.6</v>
      </c>
      <c r="J1043" s="59">
        <v>328000</v>
      </c>
      <c r="K1043" s="59">
        <f>K1038*2</f>
        <v>264264.40000000002</v>
      </c>
      <c r="L1043" s="59">
        <v>328000</v>
      </c>
      <c r="M1043" s="226">
        <f>2*M1038</f>
        <v>352965.4</v>
      </c>
      <c r="N1043" s="235"/>
      <c r="R1043" s="70"/>
      <c r="AA1043" s="70"/>
      <c r="AB1043" s="70"/>
      <c r="AC1043" s="70"/>
    </row>
    <row r="1044" spans="1:29" x14ac:dyDescent="0.25">
      <c r="A1044" s="939"/>
      <c r="B1044" s="54" t="s">
        <v>8</v>
      </c>
      <c r="C1044" s="68">
        <f>SUM(C1041-186)</f>
        <v>5620</v>
      </c>
      <c r="D1044" s="68">
        <f>SUM(D1041-652)</f>
        <v>2681</v>
      </c>
      <c r="E1044" s="68">
        <f>SUM(E1041-630)</f>
        <v>2700</v>
      </c>
      <c r="F1044" s="68">
        <f>SUM(F1041-1258)</f>
        <v>8199</v>
      </c>
      <c r="G1044" s="68">
        <f>SUM(G1041-4146)</f>
        <v>3507</v>
      </c>
      <c r="H1044" s="68">
        <f>SUM(H1041-1869)</f>
        <v>13264</v>
      </c>
      <c r="I1044" s="68">
        <f>SUM(I1041-(3921-2000))</f>
        <v>5040</v>
      </c>
      <c r="J1044" s="68">
        <f>SUM(J1041-1257)</f>
        <v>7936</v>
      </c>
      <c r="K1044" s="68">
        <f>SUM(K1041-1454)</f>
        <v>9556</v>
      </c>
      <c r="L1044" s="68">
        <f>SUM(L1041-447)</f>
        <v>3686</v>
      </c>
      <c r="M1044" s="227">
        <f>SUM(M1041-(5691-2614))</f>
        <v>5973</v>
      </c>
      <c r="N1044" s="236"/>
      <c r="R1044" s="12" t="s">
        <v>176</v>
      </c>
    </row>
    <row r="1045" spans="1:29" x14ac:dyDescent="0.25">
      <c r="A1045" s="939"/>
      <c r="B1045" s="21" t="s">
        <v>77</v>
      </c>
      <c r="C1045" s="60">
        <f>C1044*33.72</f>
        <v>189506.4</v>
      </c>
      <c r="D1045" s="60">
        <f>D1044*33.72</f>
        <v>90403.319999999992</v>
      </c>
      <c r="E1045" s="60">
        <f>E1044*33.72</f>
        <v>91044</v>
      </c>
      <c r="F1045" s="60">
        <f>F1044*33.72</f>
        <v>276470.27999999997</v>
      </c>
      <c r="G1045" s="60">
        <f>G1044*33.72*2</f>
        <v>236512.08</v>
      </c>
      <c r="H1045" s="60">
        <f>H1044*33.72</f>
        <v>447262.07999999996</v>
      </c>
      <c r="I1045" s="60">
        <f>(I1044*33.72)-(2000*33.72)</f>
        <v>102508.79999999999</v>
      </c>
      <c r="J1045" s="60">
        <f>J1044*33.72</f>
        <v>267601.91999999998</v>
      </c>
      <c r="K1045" s="60">
        <f>K1044*33.72</f>
        <v>322228.32</v>
      </c>
      <c r="L1045" s="60">
        <f>L1044*33.72</f>
        <v>124291.92</v>
      </c>
      <c r="M1045" s="228">
        <f>((M1044*33.72)-(2614*33.72))*2</f>
        <v>226530.96</v>
      </c>
      <c r="N1045" s="237"/>
      <c r="R1045" s="63">
        <f>344240-H1045</f>
        <v>-103022.07999999996</v>
      </c>
      <c r="S1045" s="70" t="s">
        <v>177</v>
      </c>
    </row>
    <row r="1046" spans="1:29" ht="15.75" thickBot="1" x14ac:dyDescent="0.3">
      <c r="A1046" s="940"/>
      <c r="B1046" s="201" t="s">
        <v>10</v>
      </c>
      <c r="C1046" s="58">
        <f t="shared" ref="C1046:M1046" si="456">C1045/C1038</f>
        <v>1.3215948984672805</v>
      </c>
      <c r="D1046" s="58">
        <f t="shared" si="456"/>
        <v>0.60062345614214585</v>
      </c>
      <c r="E1046" s="58">
        <f t="shared" si="456"/>
        <v>0.60488001924050505</v>
      </c>
      <c r="F1046" s="58">
        <f t="shared" si="456"/>
        <v>1.5190858351035013</v>
      </c>
      <c r="G1046" s="58">
        <f t="shared" si="456"/>
        <v>1.4294862876052039</v>
      </c>
      <c r="H1046" s="58">
        <f t="shared" si="456"/>
        <v>3.3849641267823083</v>
      </c>
      <c r="I1046" s="58">
        <f t="shared" si="456"/>
        <v>0.84486342409821646</v>
      </c>
      <c r="J1046" s="58">
        <f t="shared" si="456"/>
        <v>1.3863445010283535</v>
      </c>
      <c r="K1046" s="58">
        <f t="shared" si="456"/>
        <v>2.4386812601318981</v>
      </c>
      <c r="L1046" s="58">
        <f t="shared" si="456"/>
        <v>1.502447468338364</v>
      </c>
      <c r="M1046" s="225">
        <f t="shared" si="456"/>
        <v>1.2835873431220168</v>
      </c>
      <c r="N1046" s="233"/>
      <c r="R1046" s="126"/>
    </row>
    <row r="1047" spans="1:29" ht="15.75" thickBot="1" x14ac:dyDescent="0.3">
      <c r="A1047" s="924">
        <v>41289</v>
      </c>
      <c r="B1047" s="924"/>
      <c r="C1047" s="924"/>
      <c r="N1047" s="13"/>
    </row>
    <row r="1048" spans="1:29" x14ac:dyDescent="0.25">
      <c r="A1048" s="925" t="s">
        <v>1</v>
      </c>
      <c r="B1048" s="948"/>
      <c r="C1048" s="56" t="s">
        <v>12</v>
      </c>
      <c r="D1048" s="56" t="s">
        <v>12</v>
      </c>
      <c r="E1048" s="56" t="s">
        <v>13</v>
      </c>
      <c r="F1048" s="56" t="s">
        <v>13</v>
      </c>
      <c r="G1048" s="56" t="s">
        <v>13</v>
      </c>
      <c r="H1048" s="56" t="s">
        <v>13</v>
      </c>
      <c r="I1048" s="56" t="s">
        <v>13</v>
      </c>
      <c r="J1048" s="56" t="s">
        <v>2</v>
      </c>
      <c r="K1048" s="56" t="s">
        <v>2</v>
      </c>
      <c r="L1048" s="56" t="s">
        <v>2</v>
      </c>
      <c r="M1048" s="221" t="s">
        <v>2</v>
      </c>
      <c r="N1048" s="229"/>
    </row>
    <row r="1049" spans="1:29" ht="15.75" thickBot="1" x14ac:dyDescent="0.3">
      <c r="A1049" s="931" t="s">
        <v>0</v>
      </c>
      <c r="B1049" s="955"/>
      <c r="C1049" s="69" t="s">
        <v>99</v>
      </c>
      <c r="D1049" s="69" t="s">
        <v>100</v>
      </c>
      <c r="E1049" s="69" t="s">
        <v>101</v>
      </c>
      <c r="F1049" s="69" t="s">
        <v>102</v>
      </c>
      <c r="G1049" s="69" t="s">
        <v>97</v>
      </c>
      <c r="H1049" s="69" t="s">
        <v>104</v>
      </c>
      <c r="I1049" s="69" t="s">
        <v>103</v>
      </c>
      <c r="J1049" s="69" t="s">
        <v>105</v>
      </c>
      <c r="K1049" s="69" t="s">
        <v>107</v>
      </c>
      <c r="L1049" s="69" t="s">
        <v>98</v>
      </c>
      <c r="M1049" s="222" t="s">
        <v>106</v>
      </c>
      <c r="N1049" s="230"/>
      <c r="S1049" s="12"/>
      <c r="T1049" s="12"/>
      <c r="U1049" s="12"/>
      <c r="V1049" s="12"/>
      <c r="W1049" s="12"/>
      <c r="X1049" s="12"/>
      <c r="Y1049" s="12"/>
      <c r="Z1049" s="12"/>
      <c r="AA1049" s="126"/>
      <c r="AB1049" s="125"/>
      <c r="AC1049" s="126"/>
    </row>
    <row r="1050" spans="1:29" ht="15" customHeight="1" x14ac:dyDescent="0.25">
      <c r="A1050" s="935" t="s">
        <v>9</v>
      </c>
      <c r="B1050" s="2" t="s">
        <v>4</v>
      </c>
      <c r="C1050" s="66">
        <v>143392.20000000001</v>
      </c>
      <c r="D1050" s="66">
        <v>150515.79999999999</v>
      </c>
      <c r="E1050" s="66">
        <v>150515.79999999999</v>
      </c>
      <c r="F1050" s="66">
        <v>181997.8</v>
      </c>
      <c r="G1050" s="66">
        <v>165452.5</v>
      </c>
      <c r="H1050" s="66">
        <v>132132</v>
      </c>
      <c r="I1050" s="66">
        <v>121331.8</v>
      </c>
      <c r="J1050" s="66">
        <v>193027</v>
      </c>
      <c r="K1050" s="66">
        <v>132132.20000000001</v>
      </c>
      <c r="L1050" s="66">
        <v>82726.3</v>
      </c>
      <c r="M1050" s="223">
        <v>176482.7</v>
      </c>
      <c r="N1050" s="231"/>
      <c r="R1050" s="70"/>
      <c r="AA1050" s="70"/>
      <c r="AB1050" s="70"/>
      <c r="AC1050" s="70"/>
    </row>
    <row r="1051" spans="1:29" x14ac:dyDescent="0.25">
      <c r="A1051" s="936"/>
      <c r="B1051" s="52" t="s">
        <v>5</v>
      </c>
      <c r="C1051" s="67">
        <v>43368.6</v>
      </c>
      <c r="D1051" s="67">
        <v>76180.600000000006</v>
      </c>
      <c r="E1051" s="67">
        <v>77594.899999999994</v>
      </c>
      <c r="F1051" s="67">
        <v>162345.60000000001</v>
      </c>
      <c r="G1051" s="67">
        <v>75622.100000000006</v>
      </c>
      <c r="H1051" s="67">
        <v>34514.199999999997</v>
      </c>
      <c r="I1051" s="67">
        <v>53695.3</v>
      </c>
      <c r="J1051" s="67">
        <v>150894.39999999999</v>
      </c>
      <c r="K1051" s="67">
        <v>41547.4</v>
      </c>
      <c r="L1051" s="67">
        <v>39017.9</v>
      </c>
      <c r="M1051" s="224">
        <v>108002.1</v>
      </c>
      <c r="N1051" s="232"/>
      <c r="R1051" s="70"/>
      <c r="AA1051" s="70"/>
      <c r="AB1051" s="70"/>
      <c r="AC1051" s="70"/>
    </row>
    <row r="1052" spans="1:29" ht="15.75" thickBot="1" x14ac:dyDescent="0.3">
      <c r="A1052" s="937"/>
      <c r="B1052" s="3" t="s">
        <v>3</v>
      </c>
      <c r="C1052" s="57">
        <f t="shared" ref="C1052:M1052" si="457">C1051/C1050</f>
        <v>0.30244741345763576</v>
      </c>
      <c r="D1052" s="58">
        <f t="shared" si="457"/>
        <v>0.50613025343518758</v>
      </c>
      <c r="E1052" s="58">
        <f t="shared" si="457"/>
        <v>0.51552660916661242</v>
      </c>
      <c r="F1052" s="58">
        <f t="shared" si="457"/>
        <v>0.89201957386298081</v>
      </c>
      <c r="G1052" s="58">
        <f t="shared" si="457"/>
        <v>0.45706229884710114</v>
      </c>
      <c r="H1052" s="58">
        <f t="shared" si="457"/>
        <v>0.26121000211909301</v>
      </c>
      <c r="I1052" s="58">
        <f t="shared" si="457"/>
        <v>0.44254927397434146</v>
      </c>
      <c r="J1052" s="58">
        <f t="shared" si="457"/>
        <v>0.78172690867080763</v>
      </c>
      <c r="K1052" s="58">
        <f t="shared" si="457"/>
        <v>0.31443811576587688</v>
      </c>
      <c r="L1052" s="58">
        <f t="shared" si="457"/>
        <v>0.47165049083544169</v>
      </c>
      <c r="M1052" s="225">
        <f t="shared" si="457"/>
        <v>0.61196989846596861</v>
      </c>
      <c r="N1052" s="233"/>
      <c r="R1052" s="70"/>
      <c r="AA1052" s="70"/>
      <c r="AB1052" s="70"/>
      <c r="AC1052" s="70"/>
    </row>
    <row r="1053" spans="1:29" ht="15" customHeight="1" x14ac:dyDescent="0.25">
      <c r="A1053" s="938" t="s">
        <v>6</v>
      </c>
      <c r="B1053" s="19" t="s">
        <v>7</v>
      </c>
      <c r="C1053" s="56">
        <v>5806</v>
      </c>
      <c r="D1053" s="56">
        <v>3333</v>
      </c>
      <c r="E1053" s="56">
        <v>3330</v>
      </c>
      <c r="F1053" s="56">
        <v>9457</v>
      </c>
      <c r="G1053" s="56">
        <v>7653</v>
      </c>
      <c r="H1053" s="56">
        <v>15133</v>
      </c>
      <c r="I1053" s="56">
        <v>6961</v>
      </c>
      <c r="J1053" s="56">
        <v>9193</v>
      </c>
      <c r="K1053" s="56">
        <v>11010</v>
      </c>
      <c r="L1053" s="56">
        <v>4133</v>
      </c>
      <c r="M1053" s="221">
        <v>9050</v>
      </c>
      <c r="N1053" s="234"/>
      <c r="R1053" s="70"/>
      <c r="AA1053" s="70"/>
      <c r="AB1053" s="70"/>
      <c r="AC1053" s="70"/>
    </row>
    <row r="1054" spans="1:29" x14ac:dyDescent="0.25">
      <c r="A1054" s="939"/>
      <c r="B1054" s="20" t="s">
        <v>11</v>
      </c>
      <c r="C1054" s="59">
        <f t="shared" ref="C1054:M1054" si="458">C1053*33.72</f>
        <v>195778.32</v>
      </c>
      <c r="D1054" s="59">
        <f t="shared" si="458"/>
        <v>112388.76</v>
      </c>
      <c r="E1054" s="59">
        <f t="shared" si="458"/>
        <v>112287.59999999999</v>
      </c>
      <c r="F1054" s="59">
        <f t="shared" si="458"/>
        <v>318890.03999999998</v>
      </c>
      <c r="G1054" s="59">
        <f t="shared" si="458"/>
        <v>258059.16</v>
      </c>
      <c r="H1054" s="59">
        <f t="shared" si="458"/>
        <v>510284.76</v>
      </c>
      <c r="I1054" s="59">
        <f t="shared" si="458"/>
        <v>234724.91999999998</v>
      </c>
      <c r="J1054" s="59">
        <f t="shared" si="458"/>
        <v>309987.95999999996</v>
      </c>
      <c r="K1054" s="59">
        <f t="shared" si="458"/>
        <v>371257.2</v>
      </c>
      <c r="L1054" s="59">
        <f t="shared" si="458"/>
        <v>139364.76</v>
      </c>
      <c r="M1054" s="226">
        <f t="shared" si="458"/>
        <v>305166</v>
      </c>
      <c r="N1054" s="235"/>
      <c r="R1054" s="70"/>
      <c r="AA1054" s="70"/>
      <c r="AB1054" s="70"/>
      <c r="AC1054" s="70"/>
    </row>
    <row r="1055" spans="1:29" x14ac:dyDescent="0.25">
      <c r="A1055" s="939"/>
      <c r="B1055" s="20" t="s">
        <v>79</v>
      </c>
      <c r="C1055" s="59">
        <v>164000</v>
      </c>
      <c r="D1055" s="59">
        <v>109880</v>
      </c>
      <c r="E1055" s="59">
        <v>109880</v>
      </c>
      <c r="F1055" s="59">
        <v>328000</v>
      </c>
      <c r="G1055" s="59">
        <f>G1050*2</f>
        <v>330905</v>
      </c>
      <c r="H1055" s="59">
        <f>H1050*2</f>
        <v>264264</v>
      </c>
      <c r="I1055" s="59">
        <f>I1050*2</f>
        <v>242663.6</v>
      </c>
      <c r="J1055" s="59">
        <v>328000</v>
      </c>
      <c r="K1055" s="59">
        <f>K1050*2</f>
        <v>264264.40000000002</v>
      </c>
      <c r="L1055" s="59">
        <v>328000</v>
      </c>
      <c r="M1055" s="226">
        <f>2*M1050</f>
        <v>352965.4</v>
      </c>
      <c r="N1055" s="235"/>
      <c r="R1055" s="70"/>
      <c r="AA1055" s="70"/>
      <c r="AB1055" s="70"/>
      <c r="AC1055" s="70"/>
    </row>
    <row r="1056" spans="1:29" x14ac:dyDescent="0.25">
      <c r="A1056" s="939"/>
      <c r="B1056" s="54" t="s">
        <v>8</v>
      </c>
      <c r="C1056" s="68">
        <f>SUM(C1053-186)</f>
        <v>5620</v>
      </c>
      <c r="D1056" s="68">
        <f>SUM(D1053-652)</f>
        <v>2681</v>
      </c>
      <c r="E1056" s="68">
        <f>SUM(E1053-630)</f>
        <v>2700</v>
      </c>
      <c r="F1056" s="68">
        <f>SUM(F1053-1258)</f>
        <v>8199</v>
      </c>
      <c r="G1056" s="68">
        <f>SUM(G1053-4146)</f>
        <v>3507</v>
      </c>
      <c r="H1056" s="68">
        <f>SUM(H1053-1869)</f>
        <v>13264</v>
      </c>
      <c r="I1056" s="68">
        <f>SUM(I1053-(3921-2000))</f>
        <v>5040</v>
      </c>
      <c r="J1056" s="68">
        <f>SUM(J1053-1257)</f>
        <v>7936</v>
      </c>
      <c r="K1056" s="68">
        <f>SUM(K1053-1454)</f>
        <v>9556</v>
      </c>
      <c r="L1056" s="68">
        <f>SUM(L1053-447)</f>
        <v>3686</v>
      </c>
      <c r="M1056" s="227">
        <f>SUM(M1053-(5691-2614))</f>
        <v>5973</v>
      </c>
      <c r="N1056" s="236"/>
      <c r="R1056" s="12" t="s">
        <v>176</v>
      </c>
    </row>
    <row r="1057" spans="1:29" x14ac:dyDescent="0.25">
      <c r="A1057" s="939"/>
      <c r="B1057" s="21" t="s">
        <v>77</v>
      </c>
      <c r="C1057" s="60">
        <f>C1056*33.72</f>
        <v>189506.4</v>
      </c>
      <c r="D1057" s="60">
        <f>D1056*33.72</f>
        <v>90403.319999999992</v>
      </c>
      <c r="E1057" s="60">
        <f>E1056*33.72</f>
        <v>91044</v>
      </c>
      <c r="F1057" s="60">
        <f>F1056*33.72</f>
        <v>276470.27999999997</v>
      </c>
      <c r="G1057" s="60">
        <f>G1056*33.72*2</f>
        <v>236512.08</v>
      </c>
      <c r="H1057" s="60">
        <f>H1056*33.72</f>
        <v>447262.07999999996</v>
      </c>
      <c r="I1057" s="60">
        <f>(I1056*33.72)-(2000*33.72)</f>
        <v>102508.79999999999</v>
      </c>
      <c r="J1057" s="60">
        <f>J1056*33.72</f>
        <v>267601.91999999998</v>
      </c>
      <c r="K1057" s="60">
        <f>K1056*33.72</f>
        <v>322228.32</v>
      </c>
      <c r="L1057" s="60">
        <f>L1056*33.72</f>
        <v>124291.92</v>
      </c>
      <c r="M1057" s="228">
        <f>((M1056*33.72)-(2614*33.72))*2</f>
        <v>226530.96</v>
      </c>
      <c r="N1057" s="237"/>
      <c r="R1057" s="63">
        <f>344240-H1057</f>
        <v>-103022.07999999996</v>
      </c>
      <c r="S1057" s="70" t="s">
        <v>177</v>
      </c>
    </row>
    <row r="1058" spans="1:29" ht="15.75" thickBot="1" x14ac:dyDescent="0.3">
      <c r="A1058" s="940"/>
      <c r="B1058" s="201" t="s">
        <v>10</v>
      </c>
      <c r="C1058" s="58">
        <f t="shared" ref="C1058:M1058" si="459">C1057/C1050</f>
        <v>1.3215948984672805</v>
      </c>
      <c r="D1058" s="58">
        <f t="shared" si="459"/>
        <v>0.60062345614214585</v>
      </c>
      <c r="E1058" s="58">
        <f t="shared" si="459"/>
        <v>0.60488001924050505</v>
      </c>
      <c r="F1058" s="58">
        <f t="shared" si="459"/>
        <v>1.5190858351035013</v>
      </c>
      <c r="G1058" s="58">
        <f t="shared" si="459"/>
        <v>1.4294862876052039</v>
      </c>
      <c r="H1058" s="58">
        <f t="shared" si="459"/>
        <v>3.3849641267823083</v>
      </c>
      <c r="I1058" s="58">
        <f t="shared" si="459"/>
        <v>0.84486342409821646</v>
      </c>
      <c r="J1058" s="58">
        <f t="shared" si="459"/>
        <v>1.3863445010283535</v>
      </c>
      <c r="K1058" s="58">
        <f t="shared" si="459"/>
        <v>2.4386812601318981</v>
      </c>
      <c r="L1058" s="58">
        <f t="shared" si="459"/>
        <v>1.502447468338364</v>
      </c>
      <c r="M1058" s="225">
        <f t="shared" si="459"/>
        <v>1.2835873431220168</v>
      </c>
      <c r="N1058" s="233"/>
      <c r="R1058" s="126"/>
    </row>
    <row r="1059" spans="1:29" ht="15.75" thickBot="1" x14ac:dyDescent="0.3">
      <c r="A1059" s="924">
        <v>41285</v>
      </c>
      <c r="B1059" s="924"/>
      <c r="C1059" s="924"/>
      <c r="N1059" s="13"/>
    </row>
    <row r="1060" spans="1:29" x14ac:dyDescent="0.25">
      <c r="A1060" s="925" t="s">
        <v>1</v>
      </c>
      <c r="B1060" s="948"/>
      <c r="C1060" s="56" t="s">
        <v>12</v>
      </c>
      <c r="D1060" s="56" t="s">
        <v>12</v>
      </c>
      <c r="E1060" s="56" t="s">
        <v>13</v>
      </c>
      <c r="F1060" s="56" t="s">
        <v>13</v>
      </c>
      <c r="G1060" s="56" t="s">
        <v>13</v>
      </c>
      <c r="H1060" s="56" t="s">
        <v>13</v>
      </c>
      <c r="I1060" s="56" t="s">
        <v>13</v>
      </c>
      <c r="J1060" s="56" t="s">
        <v>2</v>
      </c>
      <c r="K1060" s="56" t="s">
        <v>2</v>
      </c>
      <c r="L1060" s="56" t="s">
        <v>2</v>
      </c>
      <c r="M1060" s="221" t="s">
        <v>2</v>
      </c>
      <c r="N1060" s="229"/>
    </row>
    <row r="1061" spans="1:29" ht="15.75" thickBot="1" x14ac:dyDescent="0.3">
      <c r="A1061" s="931" t="s">
        <v>0</v>
      </c>
      <c r="B1061" s="955"/>
      <c r="C1061" s="69" t="s">
        <v>99</v>
      </c>
      <c r="D1061" s="69" t="s">
        <v>100</v>
      </c>
      <c r="E1061" s="69" t="s">
        <v>101</v>
      </c>
      <c r="F1061" s="69" t="s">
        <v>102</v>
      </c>
      <c r="G1061" s="69" t="s">
        <v>97</v>
      </c>
      <c r="H1061" s="69" t="s">
        <v>104</v>
      </c>
      <c r="I1061" s="69" t="s">
        <v>103</v>
      </c>
      <c r="J1061" s="69" t="s">
        <v>105</v>
      </c>
      <c r="K1061" s="69" t="s">
        <v>107</v>
      </c>
      <c r="L1061" s="69" t="s">
        <v>98</v>
      </c>
      <c r="M1061" s="222" t="s">
        <v>106</v>
      </c>
      <c r="N1061" s="230"/>
      <c r="S1061" s="12"/>
      <c r="T1061" s="12"/>
      <c r="U1061" s="12"/>
      <c r="V1061" s="12"/>
      <c r="W1061" s="12"/>
      <c r="X1061" s="12"/>
      <c r="Y1061" s="12"/>
      <c r="Z1061" s="12"/>
      <c r="AA1061" s="126"/>
      <c r="AB1061" s="125"/>
      <c r="AC1061" s="126"/>
    </row>
    <row r="1062" spans="1:29" ht="15" customHeight="1" x14ac:dyDescent="0.25">
      <c r="A1062" s="935" t="s">
        <v>9</v>
      </c>
      <c r="B1062" s="2" t="s">
        <v>4</v>
      </c>
      <c r="C1062" s="66">
        <v>143392.20000000001</v>
      </c>
      <c r="D1062" s="66">
        <v>150515.79999999999</v>
      </c>
      <c r="E1062" s="66">
        <v>150515.79999999999</v>
      </c>
      <c r="F1062" s="66">
        <v>181997.8</v>
      </c>
      <c r="G1062" s="66">
        <v>165452.5</v>
      </c>
      <c r="H1062" s="66">
        <v>132132</v>
      </c>
      <c r="I1062" s="66">
        <v>121331.8</v>
      </c>
      <c r="J1062" s="66">
        <v>193027</v>
      </c>
      <c r="K1062" s="66">
        <v>132132.20000000001</v>
      </c>
      <c r="L1062" s="66">
        <v>82726.3</v>
      </c>
      <c r="M1062" s="223">
        <v>176482.7</v>
      </c>
      <c r="N1062" s="231"/>
      <c r="R1062" s="70"/>
      <c r="AA1062" s="70"/>
      <c r="AB1062" s="70"/>
      <c r="AC1062" s="70"/>
    </row>
    <row r="1063" spans="1:29" x14ac:dyDescent="0.25">
      <c r="A1063" s="936"/>
      <c r="B1063" s="52" t="s">
        <v>5</v>
      </c>
      <c r="C1063" s="67">
        <v>42708.2</v>
      </c>
      <c r="D1063" s="67">
        <v>76131</v>
      </c>
      <c r="E1063" s="67">
        <v>77545.3</v>
      </c>
      <c r="F1063" s="67">
        <v>161905.60000000001</v>
      </c>
      <c r="G1063" s="67">
        <v>75246.5</v>
      </c>
      <c r="H1063" s="67">
        <v>31770</v>
      </c>
      <c r="I1063" s="67">
        <v>53602.5</v>
      </c>
      <c r="J1063" s="67">
        <v>150783.4</v>
      </c>
      <c r="K1063" s="67">
        <v>41128.400000000001</v>
      </c>
      <c r="L1063" s="67">
        <v>38821.300000000003</v>
      </c>
      <c r="M1063" s="224">
        <v>107821.9</v>
      </c>
      <c r="N1063" s="232"/>
      <c r="R1063" s="70"/>
      <c r="AA1063" s="70"/>
      <c r="AB1063" s="70"/>
      <c r="AC1063" s="70"/>
    </row>
    <row r="1064" spans="1:29" ht="15.75" thickBot="1" x14ac:dyDescent="0.3">
      <c r="A1064" s="937"/>
      <c r="B1064" s="3" t="s">
        <v>3</v>
      </c>
      <c r="C1064" s="57">
        <f t="shared" ref="C1064:M1064" si="460">C1063/C1062</f>
        <v>0.29784186308599764</v>
      </c>
      <c r="D1064" s="58">
        <f t="shared" si="460"/>
        <v>0.50580071992441988</v>
      </c>
      <c r="E1064" s="58">
        <f t="shared" si="460"/>
        <v>0.51519707565584483</v>
      </c>
      <c r="F1064" s="58">
        <f t="shared" si="460"/>
        <v>0.88960196222152144</v>
      </c>
      <c r="G1064" s="58">
        <f t="shared" si="460"/>
        <v>0.45479216089209895</v>
      </c>
      <c r="H1064" s="58">
        <f t="shared" si="460"/>
        <v>0.24044137680501318</v>
      </c>
      <c r="I1064" s="58">
        <f t="shared" si="460"/>
        <v>0.44178442914388477</v>
      </c>
      <c r="J1064" s="58">
        <f t="shared" si="460"/>
        <v>0.78115185958441047</v>
      </c>
      <c r="K1064" s="58">
        <f t="shared" si="460"/>
        <v>0.31126704921283382</v>
      </c>
      <c r="L1064" s="58">
        <f t="shared" si="460"/>
        <v>0.46927397937536192</v>
      </c>
      <c r="M1064" s="225">
        <f t="shared" si="460"/>
        <v>0.61094883521160992</v>
      </c>
      <c r="N1064" s="233"/>
      <c r="R1064" s="70"/>
      <c r="AA1064" s="70"/>
      <c r="AB1064" s="70"/>
      <c r="AC1064" s="70"/>
    </row>
    <row r="1065" spans="1:29" ht="15" customHeight="1" x14ac:dyDescent="0.25">
      <c r="A1065" s="938" t="s">
        <v>6</v>
      </c>
      <c r="B1065" s="19" t="s">
        <v>7</v>
      </c>
      <c r="C1065" s="56">
        <v>5806</v>
      </c>
      <c r="D1065" s="56">
        <v>3333</v>
      </c>
      <c r="E1065" s="56">
        <v>3330</v>
      </c>
      <c r="F1065" s="56">
        <v>9457</v>
      </c>
      <c r="G1065" s="56">
        <v>7653</v>
      </c>
      <c r="H1065" s="56">
        <v>15133</v>
      </c>
      <c r="I1065" s="56">
        <v>6961</v>
      </c>
      <c r="J1065" s="56">
        <v>9193</v>
      </c>
      <c r="K1065" s="56">
        <v>11010</v>
      </c>
      <c r="L1065" s="56">
        <v>4133</v>
      </c>
      <c r="M1065" s="221">
        <v>9050</v>
      </c>
      <c r="N1065" s="234"/>
      <c r="R1065" s="70"/>
      <c r="AA1065" s="70"/>
      <c r="AB1065" s="70"/>
      <c r="AC1065" s="70"/>
    </row>
    <row r="1066" spans="1:29" x14ac:dyDescent="0.25">
      <c r="A1066" s="939"/>
      <c r="B1066" s="20" t="s">
        <v>11</v>
      </c>
      <c r="C1066" s="59">
        <f t="shared" ref="C1066:M1066" si="461">C1065*33.72</f>
        <v>195778.32</v>
      </c>
      <c r="D1066" s="59">
        <f t="shared" si="461"/>
        <v>112388.76</v>
      </c>
      <c r="E1066" s="59">
        <f t="shared" si="461"/>
        <v>112287.59999999999</v>
      </c>
      <c r="F1066" s="59">
        <f t="shared" si="461"/>
        <v>318890.03999999998</v>
      </c>
      <c r="G1066" s="59">
        <f t="shared" si="461"/>
        <v>258059.16</v>
      </c>
      <c r="H1066" s="59">
        <f t="shared" si="461"/>
        <v>510284.76</v>
      </c>
      <c r="I1066" s="59">
        <f t="shared" si="461"/>
        <v>234724.91999999998</v>
      </c>
      <c r="J1066" s="59">
        <f t="shared" si="461"/>
        <v>309987.95999999996</v>
      </c>
      <c r="K1066" s="59">
        <f t="shared" si="461"/>
        <v>371257.2</v>
      </c>
      <c r="L1066" s="59">
        <f t="shared" si="461"/>
        <v>139364.76</v>
      </c>
      <c r="M1066" s="226">
        <f t="shared" si="461"/>
        <v>305166</v>
      </c>
      <c r="N1066" s="235"/>
      <c r="R1066" s="70"/>
      <c r="AA1066" s="70"/>
      <c r="AB1066" s="70"/>
      <c r="AC1066" s="70"/>
    </row>
    <row r="1067" spans="1:29" x14ac:dyDescent="0.25">
      <c r="A1067" s="939"/>
      <c r="B1067" s="20" t="s">
        <v>79</v>
      </c>
      <c r="C1067" s="59">
        <v>164000</v>
      </c>
      <c r="D1067" s="59">
        <v>109880</v>
      </c>
      <c r="E1067" s="59">
        <v>109880</v>
      </c>
      <c r="F1067" s="59">
        <v>328000</v>
      </c>
      <c r="G1067" s="59">
        <f>G1062*2</f>
        <v>330905</v>
      </c>
      <c r="H1067" s="59">
        <f>H1062*2</f>
        <v>264264</v>
      </c>
      <c r="I1067" s="59">
        <f>I1062*2</f>
        <v>242663.6</v>
      </c>
      <c r="J1067" s="59">
        <v>328000</v>
      </c>
      <c r="K1067" s="59">
        <f>K1062*2</f>
        <v>264264.40000000002</v>
      </c>
      <c r="L1067" s="59">
        <v>328000</v>
      </c>
      <c r="M1067" s="226">
        <f>2*M1062</f>
        <v>352965.4</v>
      </c>
      <c r="N1067" s="235"/>
      <c r="R1067" s="70"/>
      <c r="AA1067" s="70"/>
      <c r="AB1067" s="70"/>
      <c r="AC1067" s="70"/>
    </row>
    <row r="1068" spans="1:29" x14ac:dyDescent="0.25">
      <c r="A1068" s="939"/>
      <c r="B1068" s="54" t="s">
        <v>8</v>
      </c>
      <c r="C1068" s="68">
        <f>SUM(C1065-304)</f>
        <v>5502</v>
      </c>
      <c r="D1068" s="68">
        <f>SUM(D1065-631)</f>
        <v>2702</v>
      </c>
      <c r="E1068" s="68">
        <f>SUM(E1065-613)</f>
        <v>2717</v>
      </c>
      <c r="F1068" s="68">
        <f>SUM(F1065-1246)</f>
        <v>8211</v>
      </c>
      <c r="G1068" s="68">
        <f>SUM(G1065-4146)</f>
        <v>3507</v>
      </c>
      <c r="H1068" s="68">
        <f>SUM(H1065-1868)</f>
        <v>13265</v>
      </c>
      <c r="I1068" s="68">
        <f>SUM(I1065-(3921-2000))</f>
        <v>5040</v>
      </c>
      <c r="J1068" s="68">
        <f>SUM(J1065-1251)</f>
        <v>7942</v>
      </c>
      <c r="K1068" s="68">
        <f>SUM(K1065-1453)</f>
        <v>9557</v>
      </c>
      <c r="L1068" s="68">
        <f>SUM(L1065-447)</f>
        <v>3686</v>
      </c>
      <c r="M1068" s="227">
        <f>SUM(M1065-(5691-2614))</f>
        <v>5973</v>
      </c>
      <c r="N1068" s="236"/>
      <c r="R1068" s="12" t="s">
        <v>176</v>
      </c>
    </row>
    <row r="1069" spans="1:29" x14ac:dyDescent="0.25">
      <c r="A1069" s="939"/>
      <c r="B1069" s="21" t="s">
        <v>77</v>
      </c>
      <c r="C1069" s="60">
        <f>C1068*33.72</f>
        <v>185527.44</v>
      </c>
      <c r="D1069" s="60">
        <f>D1068*33.72</f>
        <v>91111.44</v>
      </c>
      <c r="E1069" s="60">
        <f>E1068*33.72</f>
        <v>91617.239999999991</v>
      </c>
      <c r="F1069" s="60">
        <f>F1068*33.72</f>
        <v>276874.92</v>
      </c>
      <c r="G1069" s="60">
        <f>G1068*33.72*2</f>
        <v>236512.08</v>
      </c>
      <c r="H1069" s="60">
        <f>H1068*33.72</f>
        <v>447295.8</v>
      </c>
      <c r="I1069" s="60">
        <f>(I1068*33.72)-(2000*33.72)</f>
        <v>102508.79999999999</v>
      </c>
      <c r="J1069" s="60">
        <f>J1068*33.72</f>
        <v>267804.24</v>
      </c>
      <c r="K1069" s="60">
        <f>K1068*33.72</f>
        <v>322262.03999999998</v>
      </c>
      <c r="L1069" s="60">
        <f>L1068*33.72</f>
        <v>124291.92</v>
      </c>
      <c r="M1069" s="228">
        <f>((M1068*33.72)-(2614*33.72))*2</f>
        <v>226530.96</v>
      </c>
      <c r="N1069" s="237"/>
      <c r="R1069" s="63">
        <f>344240-H1069</f>
        <v>-103055.79999999999</v>
      </c>
      <c r="S1069" s="70" t="s">
        <v>177</v>
      </c>
    </row>
    <row r="1070" spans="1:29" ht="15.75" thickBot="1" x14ac:dyDescent="0.3">
      <c r="A1070" s="940"/>
      <c r="B1070" s="201" t="s">
        <v>10</v>
      </c>
      <c r="C1070" s="58">
        <f t="shared" ref="C1070:M1070" si="462">C1069/C1062</f>
        <v>1.2938461087841597</v>
      </c>
      <c r="D1070" s="58">
        <f t="shared" si="462"/>
        <v>0.60532807851401649</v>
      </c>
      <c r="E1070" s="58">
        <f t="shared" si="462"/>
        <v>0.60868852306535259</v>
      </c>
      <c r="F1070" s="58">
        <f t="shared" si="462"/>
        <v>1.5213091586821379</v>
      </c>
      <c r="G1070" s="58">
        <f t="shared" si="462"/>
        <v>1.4294862876052039</v>
      </c>
      <c r="H1070" s="58">
        <f t="shared" si="462"/>
        <v>3.3852193261284169</v>
      </c>
      <c r="I1070" s="58">
        <f t="shared" si="462"/>
        <v>0.84486342409821646</v>
      </c>
      <c r="J1070" s="58">
        <f t="shared" si="462"/>
        <v>1.3873926445523164</v>
      </c>
      <c r="K1070" s="58">
        <f t="shared" si="462"/>
        <v>2.4389364590917273</v>
      </c>
      <c r="L1070" s="58">
        <f t="shared" si="462"/>
        <v>1.502447468338364</v>
      </c>
      <c r="M1070" s="225">
        <f t="shared" si="462"/>
        <v>1.2835873431220168</v>
      </c>
      <c r="N1070" s="233"/>
      <c r="R1070" s="126"/>
    </row>
    <row r="1071" spans="1:29" ht="15.75" thickBot="1" x14ac:dyDescent="0.3">
      <c r="A1071" s="924">
        <v>41283</v>
      </c>
      <c r="B1071" s="924"/>
      <c r="C1071" s="924"/>
      <c r="N1071" s="13"/>
    </row>
    <row r="1072" spans="1:29" x14ac:dyDescent="0.25">
      <c r="A1072" s="925" t="s">
        <v>1</v>
      </c>
      <c r="B1072" s="948"/>
      <c r="C1072" s="56" t="s">
        <v>12</v>
      </c>
      <c r="D1072" s="56" t="s">
        <v>12</v>
      </c>
      <c r="E1072" s="56" t="s">
        <v>13</v>
      </c>
      <c r="F1072" s="56" t="s">
        <v>13</v>
      </c>
      <c r="G1072" s="56" t="s">
        <v>13</v>
      </c>
      <c r="H1072" s="56" t="s">
        <v>13</v>
      </c>
      <c r="I1072" s="56" t="s">
        <v>13</v>
      </c>
      <c r="J1072" s="56" t="s">
        <v>2</v>
      </c>
      <c r="K1072" s="56" t="s">
        <v>2</v>
      </c>
      <c r="L1072" s="56" t="s">
        <v>2</v>
      </c>
      <c r="M1072" s="221" t="s">
        <v>2</v>
      </c>
      <c r="N1072" s="229"/>
    </row>
    <row r="1073" spans="1:29" ht="15.75" thickBot="1" x14ac:dyDescent="0.3">
      <c r="A1073" s="931" t="s">
        <v>0</v>
      </c>
      <c r="B1073" s="955"/>
      <c r="C1073" s="69" t="s">
        <v>99</v>
      </c>
      <c r="D1073" s="69" t="s">
        <v>100</v>
      </c>
      <c r="E1073" s="69" t="s">
        <v>101</v>
      </c>
      <c r="F1073" s="69" t="s">
        <v>102</v>
      </c>
      <c r="G1073" s="69" t="s">
        <v>97</v>
      </c>
      <c r="H1073" s="69" t="s">
        <v>104</v>
      </c>
      <c r="I1073" s="69" t="s">
        <v>103</v>
      </c>
      <c r="J1073" s="69" t="s">
        <v>105</v>
      </c>
      <c r="K1073" s="69" t="s">
        <v>107</v>
      </c>
      <c r="L1073" s="69" t="s">
        <v>98</v>
      </c>
      <c r="M1073" s="222" t="s">
        <v>106</v>
      </c>
      <c r="N1073" s="230"/>
      <c r="S1073" s="12"/>
      <c r="T1073" s="12"/>
      <c r="U1073" s="12"/>
      <c r="V1073" s="12"/>
      <c r="W1073" s="12"/>
      <c r="X1073" s="12"/>
      <c r="Y1073" s="12"/>
      <c r="Z1073" s="12"/>
      <c r="AA1073" s="126"/>
      <c r="AB1073" s="125"/>
      <c r="AC1073" s="126"/>
    </row>
    <row r="1074" spans="1:29" ht="15" customHeight="1" x14ac:dyDescent="0.25">
      <c r="A1074" s="935" t="s">
        <v>9</v>
      </c>
      <c r="B1074" s="2" t="s">
        <v>4</v>
      </c>
      <c r="C1074" s="66">
        <v>143392.20000000001</v>
      </c>
      <c r="D1074" s="66">
        <v>150515.79999999999</v>
      </c>
      <c r="E1074" s="66">
        <v>150515.79999999999</v>
      </c>
      <c r="F1074" s="66">
        <v>181997.8</v>
      </c>
      <c r="G1074" s="66">
        <v>165452.5</v>
      </c>
      <c r="H1074" s="66">
        <v>132132</v>
      </c>
      <c r="I1074" s="66">
        <v>121331.8</v>
      </c>
      <c r="J1074" s="66">
        <v>193027</v>
      </c>
      <c r="K1074" s="66">
        <v>132132.20000000001</v>
      </c>
      <c r="L1074" s="66">
        <v>82726.3</v>
      </c>
      <c r="M1074" s="223">
        <v>176482.7</v>
      </c>
      <c r="N1074" s="231"/>
      <c r="R1074" s="70"/>
      <c r="AA1074" s="70"/>
      <c r="AB1074" s="70"/>
      <c r="AC1074" s="70"/>
    </row>
    <row r="1075" spans="1:29" x14ac:dyDescent="0.25">
      <c r="A1075" s="936"/>
      <c r="B1075" s="52" t="s">
        <v>5</v>
      </c>
      <c r="C1075" s="67">
        <v>42013.599999999999</v>
      </c>
      <c r="D1075" s="67">
        <v>76117.100000000006</v>
      </c>
      <c r="E1075" s="67">
        <v>77531.399999999994</v>
      </c>
      <c r="F1075" s="67">
        <v>161828.70000000001</v>
      </c>
      <c r="G1075" s="67">
        <v>74716.899999999994</v>
      </c>
      <c r="H1075" s="67">
        <v>31028.6</v>
      </c>
      <c r="I1075" s="67">
        <v>53433.1</v>
      </c>
      <c r="J1075" s="67">
        <v>150668.9</v>
      </c>
      <c r="K1075" s="67">
        <v>41954.9</v>
      </c>
      <c r="L1075" s="67">
        <v>38550.199999999997</v>
      </c>
      <c r="M1075" s="224">
        <v>107501</v>
      </c>
      <c r="N1075" s="232"/>
      <c r="R1075" s="70"/>
      <c r="AA1075" s="70"/>
      <c r="AB1075" s="70"/>
      <c r="AC1075" s="70"/>
    </row>
    <row r="1076" spans="1:29" ht="15.75" thickBot="1" x14ac:dyDescent="0.3">
      <c r="A1076" s="937"/>
      <c r="B1076" s="3" t="s">
        <v>3</v>
      </c>
      <c r="C1076" s="57">
        <f t="shared" ref="C1076:M1076" si="463">C1075/C1074</f>
        <v>0.2929978060173426</v>
      </c>
      <c r="D1076" s="58">
        <f t="shared" si="463"/>
        <v>0.50570837081555564</v>
      </c>
      <c r="E1076" s="58">
        <f t="shared" si="463"/>
        <v>0.51510472654698047</v>
      </c>
      <c r="F1076" s="58">
        <f t="shared" si="463"/>
        <v>0.88917942964145735</v>
      </c>
      <c r="G1076" s="58">
        <f t="shared" si="463"/>
        <v>0.45159124219942276</v>
      </c>
      <c r="H1076" s="58">
        <f t="shared" si="463"/>
        <v>0.23483032119395755</v>
      </c>
      <c r="I1076" s="58">
        <f t="shared" si="463"/>
        <v>0.44038825765380551</v>
      </c>
      <c r="J1076" s="58">
        <f t="shared" si="463"/>
        <v>0.78055867831961334</v>
      </c>
      <c r="K1076" s="58">
        <f t="shared" si="463"/>
        <v>0.31752214827271474</v>
      </c>
      <c r="L1076" s="58">
        <f t="shared" si="463"/>
        <v>0.46599690787572989</v>
      </c>
      <c r="M1076" s="225">
        <f t="shared" si="463"/>
        <v>0.60913052667485246</v>
      </c>
      <c r="N1076" s="233"/>
      <c r="R1076" s="70"/>
      <c r="AA1076" s="70"/>
      <c r="AB1076" s="70"/>
      <c r="AC1076" s="70"/>
    </row>
    <row r="1077" spans="1:29" ht="15" customHeight="1" x14ac:dyDescent="0.25">
      <c r="A1077" s="938" t="s">
        <v>6</v>
      </c>
      <c r="B1077" s="19" t="s">
        <v>7</v>
      </c>
      <c r="C1077" s="56">
        <v>5806</v>
      </c>
      <c r="D1077" s="56">
        <v>3333</v>
      </c>
      <c r="E1077" s="56">
        <v>3330</v>
      </c>
      <c r="F1077" s="56">
        <v>9457</v>
      </c>
      <c r="G1077" s="56">
        <v>7653</v>
      </c>
      <c r="H1077" s="56">
        <v>14803</v>
      </c>
      <c r="I1077" s="56">
        <v>6961</v>
      </c>
      <c r="J1077" s="56">
        <v>9193</v>
      </c>
      <c r="K1077" s="56">
        <v>11010</v>
      </c>
      <c r="L1077" s="56">
        <v>4133</v>
      </c>
      <c r="M1077" s="221">
        <v>9050</v>
      </c>
      <c r="N1077" s="234"/>
      <c r="R1077" s="70"/>
      <c r="AA1077" s="70"/>
      <c r="AB1077" s="70"/>
      <c r="AC1077" s="70"/>
    </row>
    <row r="1078" spans="1:29" x14ac:dyDescent="0.25">
      <c r="A1078" s="939"/>
      <c r="B1078" s="20" t="s">
        <v>11</v>
      </c>
      <c r="C1078" s="59">
        <f t="shared" ref="C1078:M1078" si="464">C1077*33.72</f>
        <v>195778.32</v>
      </c>
      <c r="D1078" s="59">
        <f t="shared" si="464"/>
        <v>112388.76</v>
      </c>
      <c r="E1078" s="59">
        <f t="shared" si="464"/>
        <v>112287.59999999999</v>
      </c>
      <c r="F1078" s="59">
        <f t="shared" si="464"/>
        <v>318890.03999999998</v>
      </c>
      <c r="G1078" s="59">
        <f t="shared" si="464"/>
        <v>258059.16</v>
      </c>
      <c r="H1078" s="59">
        <f t="shared" si="464"/>
        <v>499157.16</v>
      </c>
      <c r="I1078" s="59">
        <f t="shared" si="464"/>
        <v>234724.91999999998</v>
      </c>
      <c r="J1078" s="59">
        <f t="shared" si="464"/>
        <v>309987.95999999996</v>
      </c>
      <c r="K1078" s="59">
        <f t="shared" si="464"/>
        <v>371257.2</v>
      </c>
      <c r="L1078" s="59">
        <f t="shared" si="464"/>
        <v>139364.76</v>
      </c>
      <c r="M1078" s="226">
        <f t="shared" si="464"/>
        <v>305166</v>
      </c>
      <c r="N1078" s="235"/>
      <c r="R1078" s="70"/>
      <c r="AA1078" s="70"/>
      <c r="AB1078" s="70"/>
      <c r="AC1078" s="70"/>
    </row>
    <row r="1079" spans="1:29" x14ac:dyDescent="0.25">
      <c r="A1079" s="939"/>
      <c r="B1079" s="20" t="s">
        <v>79</v>
      </c>
      <c r="C1079" s="59">
        <v>164000</v>
      </c>
      <c r="D1079" s="59">
        <v>109880</v>
      </c>
      <c r="E1079" s="59">
        <v>109880</v>
      </c>
      <c r="F1079" s="59">
        <v>328000</v>
      </c>
      <c r="G1079" s="59">
        <f>G1074*2</f>
        <v>330905</v>
      </c>
      <c r="H1079" s="59">
        <f>H1074*2</f>
        <v>264264</v>
      </c>
      <c r="I1079" s="59">
        <f>I1074*2</f>
        <v>242663.6</v>
      </c>
      <c r="J1079" s="59">
        <v>328000</v>
      </c>
      <c r="K1079" s="59">
        <f>K1074*2</f>
        <v>264264.40000000002</v>
      </c>
      <c r="L1079" s="59">
        <v>328000</v>
      </c>
      <c r="M1079" s="226">
        <f>2*M1074</f>
        <v>352965.4</v>
      </c>
      <c r="N1079" s="235"/>
      <c r="R1079" s="70"/>
      <c r="AA1079" s="70"/>
      <c r="AB1079" s="70"/>
      <c r="AC1079" s="70"/>
    </row>
    <row r="1080" spans="1:29" x14ac:dyDescent="0.25">
      <c r="A1080" s="939"/>
      <c r="B1080" s="54" t="s">
        <v>8</v>
      </c>
      <c r="C1080" s="68">
        <f>SUM(C1077-304)</f>
        <v>5502</v>
      </c>
      <c r="D1080" s="68">
        <f>SUM(D1077-631)</f>
        <v>2702</v>
      </c>
      <c r="E1080" s="68">
        <f>SUM(E1077-613)</f>
        <v>2717</v>
      </c>
      <c r="F1080" s="68">
        <f>SUM(F1077-1246)</f>
        <v>8211</v>
      </c>
      <c r="G1080" s="68">
        <f>SUM(G1077-4146)</f>
        <v>3507</v>
      </c>
      <c r="H1080" s="68">
        <f>SUM(H1077-1895)</f>
        <v>12908</v>
      </c>
      <c r="I1080" s="68">
        <f>SUM(I1077-(3921-2000))</f>
        <v>5040</v>
      </c>
      <c r="J1080" s="68">
        <f>SUM(J1077-1251)</f>
        <v>7942</v>
      </c>
      <c r="K1080" s="68">
        <f>SUM(K1077-1453)</f>
        <v>9557</v>
      </c>
      <c r="L1080" s="68">
        <f>SUM(L1077-447)</f>
        <v>3686</v>
      </c>
      <c r="M1080" s="227">
        <f>SUM(M1077-(5691-2614))</f>
        <v>5973</v>
      </c>
      <c r="N1080" s="236"/>
      <c r="R1080" s="12" t="s">
        <v>176</v>
      </c>
    </row>
    <row r="1081" spans="1:29" x14ac:dyDescent="0.25">
      <c r="A1081" s="939"/>
      <c r="B1081" s="21" t="s">
        <v>77</v>
      </c>
      <c r="C1081" s="60">
        <f>C1080*33.72</f>
        <v>185527.44</v>
      </c>
      <c r="D1081" s="60">
        <f>D1080*33.72</f>
        <v>91111.44</v>
      </c>
      <c r="E1081" s="60">
        <f>E1080*33.72</f>
        <v>91617.239999999991</v>
      </c>
      <c r="F1081" s="60">
        <f>F1080*33.72</f>
        <v>276874.92</v>
      </c>
      <c r="G1081" s="60">
        <f>G1080*33.72*2</f>
        <v>236512.08</v>
      </c>
      <c r="H1081" s="60">
        <f>H1080*33.72</f>
        <v>435257.76</v>
      </c>
      <c r="I1081" s="60">
        <f>(I1080*33.72)-(2000*33.72)</f>
        <v>102508.79999999999</v>
      </c>
      <c r="J1081" s="60">
        <f>J1080*33.72</f>
        <v>267804.24</v>
      </c>
      <c r="K1081" s="60">
        <f>K1080*33.72</f>
        <v>322262.03999999998</v>
      </c>
      <c r="L1081" s="60">
        <f>L1080*33.72</f>
        <v>124291.92</v>
      </c>
      <c r="M1081" s="228">
        <f>((M1080*33.72)-(2614*33.72))*2</f>
        <v>226530.96</v>
      </c>
      <c r="N1081" s="237"/>
      <c r="R1081" s="63">
        <f>344240-H1081</f>
        <v>-91017.760000000009</v>
      </c>
      <c r="S1081" s="70" t="s">
        <v>177</v>
      </c>
    </row>
    <row r="1082" spans="1:29" ht="15.75" thickBot="1" x14ac:dyDescent="0.3">
      <c r="A1082" s="940"/>
      <c r="B1082" s="201" t="s">
        <v>10</v>
      </c>
      <c r="C1082" s="58">
        <f t="shared" ref="C1082:M1082" si="465">C1081/C1074</f>
        <v>1.2938461087841597</v>
      </c>
      <c r="D1082" s="58">
        <f t="shared" si="465"/>
        <v>0.60532807851401649</v>
      </c>
      <c r="E1082" s="58">
        <f t="shared" si="465"/>
        <v>0.60868852306535259</v>
      </c>
      <c r="F1082" s="58">
        <f t="shared" si="465"/>
        <v>1.5213091586821379</v>
      </c>
      <c r="G1082" s="58">
        <f t="shared" si="465"/>
        <v>1.4294862876052039</v>
      </c>
      <c r="H1082" s="58">
        <f t="shared" si="465"/>
        <v>3.2941131595677051</v>
      </c>
      <c r="I1082" s="58">
        <f t="shared" si="465"/>
        <v>0.84486342409821646</v>
      </c>
      <c r="J1082" s="58">
        <f t="shared" si="465"/>
        <v>1.3873926445523164</v>
      </c>
      <c r="K1082" s="58">
        <f t="shared" si="465"/>
        <v>2.4389364590917273</v>
      </c>
      <c r="L1082" s="58">
        <f t="shared" si="465"/>
        <v>1.502447468338364</v>
      </c>
      <c r="M1082" s="225">
        <f t="shared" si="465"/>
        <v>1.2835873431220168</v>
      </c>
      <c r="N1082" s="233"/>
      <c r="R1082" s="126"/>
    </row>
    <row r="1083" spans="1:29" ht="15.75" thickBot="1" x14ac:dyDescent="0.3">
      <c r="A1083" s="924">
        <v>41281</v>
      </c>
      <c r="B1083" s="924"/>
      <c r="C1083" s="924"/>
      <c r="N1083" s="13"/>
    </row>
    <row r="1084" spans="1:29" x14ac:dyDescent="0.25">
      <c r="A1084" s="925" t="s">
        <v>1</v>
      </c>
      <c r="B1084" s="948"/>
      <c r="C1084" s="56" t="s">
        <v>12</v>
      </c>
      <c r="D1084" s="56" t="s">
        <v>12</v>
      </c>
      <c r="E1084" s="56" t="s">
        <v>13</v>
      </c>
      <c r="F1084" s="56" t="s">
        <v>13</v>
      </c>
      <c r="G1084" s="56" t="s">
        <v>13</v>
      </c>
      <c r="H1084" s="56" t="s">
        <v>13</v>
      </c>
      <c r="I1084" s="56" t="s">
        <v>13</v>
      </c>
      <c r="J1084" s="56" t="s">
        <v>2</v>
      </c>
      <c r="K1084" s="56" t="s">
        <v>2</v>
      </c>
      <c r="L1084" s="56" t="s">
        <v>2</v>
      </c>
      <c r="M1084" s="221" t="s">
        <v>2</v>
      </c>
      <c r="N1084" s="229"/>
    </row>
    <row r="1085" spans="1:29" ht="15.75" thickBot="1" x14ac:dyDescent="0.3">
      <c r="A1085" s="931" t="s">
        <v>0</v>
      </c>
      <c r="B1085" s="955"/>
      <c r="C1085" s="69" t="s">
        <v>99</v>
      </c>
      <c r="D1085" s="69" t="s">
        <v>100</v>
      </c>
      <c r="E1085" s="69" t="s">
        <v>101</v>
      </c>
      <c r="F1085" s="69" t="s">
        <v>102</v>
      </c>
      <c r="G1085" s="69" t="s">
        <v>97</v>
      </c>
      <c r="H1085" s="69" t="s">
        <v>104</v>
      </c>
      <c r="I1085" s="69" t="s">
        <v>103</v>
      </c>
      <c r="J1085" s="69" t="s">
        <v>105</v>
      </c>
      <c r="K1085" s="69" t="s">
        <v>107</v>
      </c>
      <c r="L1085" s="69" t="s">
        <v>98</v>
      </c>
      <c r="M1085" s="222" t="s">
        <v>106</v>
      </c>
      <c r="N1085" s="230"/>
      <c r="S1085" s="12"/>
      <c r="T1085" s="12"/>
      <c r="U1085" s="12"/>
      <c r="V1085" s="12"/>
      <c r="W1085" s="12"/>
      <c r="X1085" s="12"/>
      <c r="Y1085" s="12"/>
      <c r="Z1085" s="12"/>
      <c r="AA1085" s="126"/>
      <c r="AB1085" s="125"/>
      <c r="AC1085" s="126"/>
    </row>
    <row r="1086" spans="1:29" ht="15" customHeight="1" x14ac:dyDescent="0.25">
      <c r="A1086" s="935" t="s">
        <v>9</v>
      </c>
      <c r="B1086" s="2" t="s">
        <v>4</v>
      </c>
      <c r="C1086" s="66">
        <v>143392.20000000001</v>
      </c>
      <c r="D1086" s="66">
        <v>150515.79999999999</v>
      </c>
      <c r="E1086" s="66">
        <v>150515.79999999999</v>
      </c>
      <c r="F1086" s="66">
        <v>181997.8</v>
      </c>
      <c r="G1086" s="66">
        <v>165452.5</v>
      </c>
      <c r="H1086" s="66">
        <v>132132</v>
      </c>
      <c r="I1086" s="66">
        <v>121331.8</v>
      </c>
      <c r="J1086" s="66">
        <v>193027</v>
      </c>
      <c r="K1086" s="66">
        <v>132132.20000000001</v>
      </c>
      <c r="L1086" s="66">
        <v>82726.3</v>
      </c>
      <c r="M1086" s="223">
        <v>176482.7</v>
      </c>
      <c r="N1086" s="231"/>
      <c r="R1086" s="70"/>
      <c r="AA1086" s="70"/>
      <c r="AB1086" s="70"/>
      <c r="AC1086" s="70"/>
    </row>
    <row r="1087" spans="1:29" x14ac:dyDescent="0.25">
      <c r="A1087" s="936"/>
      <c r="B1087" s="52" t="s">
        <v>5</v>
      </c>
      <c r="C1087" s="67">
        <v>40211.1</v>
      </c>
      <c r="D1087" s="67">
        <v>76091</v>
      </c>
      <c r="E1087" s="67">
        <v>77505.399999999994</v>
      </c>
      <c r="F1087" s="67">
        <v>161750.79999999999</v>
      </c>
      <c r="G1087" s="67">
        <v>74015.100000000006</v>
      </c>
      <c r="H1087" s="67">
        <v>31010</v>
      </c>
      <c r="I1087" s="67">
        <v>53410.3</v>
      </c>
      <c r="J1087" s="67">
        <v>150504.70000000001</v>
      </c>
      <c r="K1087" s="67">
        <v>41631.1</v>
      </c>
      <c r="L1087" s="67">
        <v>38199</v>
      </c>
      <c r="M1087" s="224">
        <v>107454.8</v>
      </c>
      <c r="N1087" s="232"/>
      <c r="R1087" s="70"/>
      <c r="AA1087" s="70"/>
      <c r="AB1087" s="70"/>
      <c r="AC1087" s="70"/>
    </row>
    <row r="1088" spans="1:29" ht="15.75" thickBot="1" x14ac:dyDescent="0.3">
      <c r="A1088" s="937"/>
      <c r="B1088" s="3" t="s">
        <v>3</v>
      </c>
      <c r="C1088" s="57">
        <f t="shared" ref="C1088:M1088" si="466">C1087/C1086</f>
        <v>0.28042738726374233</v>
      </c>
      <c r="D1088" s="58">
        <f t="shared" si="466"/>
        <v>0.50553496709315571</v>
      </c>
      <c r="E1088" s="58">
        <f t="shared" si="466"/>
        <v>0.51493198720665867</v>
      </c>
      <c r="F1088" s="58">
        <f t="shared" si="466"/>
        <v>0.88875140248948059</v>
      </c>
      <c r="G1088" s="58">
        <f t="shared" si="466"/>
        <v>0.44734954140916583</v>
      </c>
      <c r="H1088" s="58">
        <f t="shared" si="466"/>
        <v>0.23468955287137105</v>
      </c>
      <c r="I1088" s="58">
        <f t="shared" si="466"/>
        <v>0.44020034319115026</v>
      </c>
      <c r="J1088" s="58">
        <f t="shared" si="466"/>
        <v>0.7797080201215375</v>
      </c>
      <c r="K1088" s="58">
        <f t="shared" si="466"/>
        <v>0.31507157225869237</v>
      </c>
      <c r="L1088" s="58">
        <f t="shared" si="466"/>
        <v>0.46175158323290172</v>
      </c>
      <c r="M1088" s="225">
        <f t="shared" si="466"/>
        <v>0.60886874464182605</v>
      </c>
      <c r="N1088" s="233"/>
      <c r="R1088" s="70"/>
      <c r="AA1088" s="70"/>
      <c r="AB1088" s="70"/>
      <c r="AC1088" s="70"/>
    </row>
    <row r="1089" spans="1:29" ht="15" customHeight="1" x14ac:dyDescent="0.25">
      <c r="A1089" s="938" t="s">
        <v>6</v>
      </c>
      <c r="B1089" s="19" t="s">
        <v>7</v>
      </c>
      <c r="C1089" s="56">
        <v>5806</v>
      </c>
      <c r="D1089" s="56">
        <v>3333</v>
      </c>
      <c r="E1089" s="56">
        <v>3330</v>
      </c>
      <c r="F1089" s="56">
        <v>9457</v>
      </c>
      <c r="G1089" s="56">
        <v>7653</v>
      </c>
      <c r="H1089" s="56">
        <v>14803</v>
      </c>
      <c r="I1089" s="56">
        <v>6961</v>
      </c>
      <c r="J1089" s="56">
        <v>9193</v>
      </c>
      <c r="K1089" s="56">
        <v>11010</v>
      </c>
      <c r="L1089" s="56">
        <v>4133</v>
      </c>
      <c r="M1089" s="221">
        <v>9050</v>
      </c>
      <c r="N1089" s="234"/>
      <c r="R1089" s="70"/>
      <c r="AA1089" s="70"/>
      <c r="AB1089" s="70"/>
      <c r="AC1089" s="70"/>
    </row>
    <row r="1090" spans="1:29" x14ac:dyDescent="0.25">
      <c r="A1090" s="939"/>
      <c r="B1090" s="20" t="s">
        <v>11</v>
      </c>
      <c r="C1090" s="59">
        <f t="shared" ref="C1090:M1090" si="467">C1089*33.72</f>
        <v>195778.32</v>
      </c>
      <c r="D1090" s="59">
        <f t="shared" si="467"/>
        <v>112388.76</v>
      </c>
      <c r="E1090" s="59">
        <f t="shared" si="467"/>
        <v>112287.59999999999</v>
      </c>
      <c r="F1090" s="59">
        <f t="shared" si="467"/>
        <v>318890.03999999998</v>
      </c>
      <c r="G1090" s="59">
        <f t="shared" si="467"/>
        <v>258059.16</v>
      </c>
      <c r="H1090" s="59">
        <f t="shared" si="467"/>
        <v>499157.16</v>
      </c>
      <c r="I1090" s="59">
        <f t="shared" si="467"/>
        <v>234724.91999999998</v>
      </c>
      <c r="J1090" s="59">
        <f t="shared" si="467"/>
        <v>309987.95999999996</v>
      </c>
      <c r="K1090" s="59">
        <f t="shared" si="467"/>
        <v>371257.2</v>
      </c>
      <c r="L1090" s="59">
        <f t="shared" si="467"/>
        <v>139364.76</v>
      </c>
      <c r="M1090" s="226">
        <f t="shared" si="467"/>
        <v>305166</v>
      </c>
      <c r="N1090" s="235"/>
      <c r="R1090" s="70"/>
      <c r="AA1090" s="70"/>
      <c r="AB1090" s="70"/>
      <c r="AC1090" s="70"/>
    </row>
    <row r="1091" spans="1:29" x14ac:dyDescent="0.25">
      <c r="A1091" s="939"/>
      <c r="B1091" s="20" t="s">
        <v>79</v>
      </c>
      <c r="C1091" s="59">
        <v>164000</v>
      </c>
      <c r="D1091" s="59">
        <v>109880</v>
      </c>
      <c r="E1091" s="59">
        <v>109880</v>
      </c>
      <c r="F1091" s="59">
        <v>328000</v>
      </c>
      <c r="G1091" s="59">
        <f>G1086*2</f>
        <v>330905</v>
      </c>
      <c r="H1091" s="59">
        <f>H1086*2</f>
        <v>264264</v>
      </c>
      <c r="I1091" s="59">
        <f>I1086*2</f>
        <v>242663.6</v>
      </c>
      <c r="J1091" s="59">
        <v>328000</v>
      </c>
      <c r="K1091" s="59">
        <f>K1086*2</f>
        <v>264264.40000000002</v>
      </c>
      <c r="L1091" s="59">
        <v>328000</v>
      </c>
      <c r="M1091" s="226">
        <f>2*M1086</f>
        <v>352965.4</v>
      </c>
      <c r="N1091" s="235"/>
      <c r="R1091" s="70"/>
      <c r="AA1091" s="70"/>
      <c r="AB1091" s="70"/>
      <c r="AC1091" s="70"/>
    </row>
    <row r="1092" spans="1:29" x14ac:dyDescent="0.25">
      <c r="A1092" s="939"/>
      <c r="B1092" s="54" t="s">
        <v>8</v>
      </c>
      <c r="C1092" s="68">
        <f>SUM(C1089-304)</f>
        <v>5502</v>
      </c>
      <c r="D1092" s="68">
        <f>SUM(D1089-631)</f>
        <v>2702</v>
      </c>
      <c r="E1092" s="68">
        <f>SUM(E1089-613)</f>
        <v>2717</v>
      </c>
      <c r="F1092" s="68">
        <f>SUM(F1089-1246)</f>
        <v>8211</v>
      </c>
      <c r="G1092" s="68">
        <f>SUM(G1089-4146)</f>
        <v>3507</v>
      </c>
      <c r="H1092" s="68">
        <f>SUM(H1089-1903)</f>
        <v>12900</v>
      </c>
      <c r="I1092" s="68">
        <f>SUM(I1089-(3983-2000))</f>
        <v>4978</v>
      </c>
      <c r="J1092" s="68">
        <f>SUM(J1089-1251)</f>
        <v>7942</v>
      </c>
      <c r="K1092" s="68">
        <f>SUM(K1089-1453)</f>
        <v>9557</v>
      </c>
      <c r="L1092" s="68">
        <f>SUM(L1089-447)</f>
        <v>3686</v>
      </c>
      <c r="M1092" s="227">
        <f>SUM(M1089-(5753-2614))</f>
        <v>5911</v>
      </c>
      <c r="N1092" s="236"/>
      <c r="R1092" s="12" t="s">
        <v>176</v>
      </c>
    </row>
    <row r="1093" spans="1:29" x14ac:dyDescent="0.25">
      <c r="A1093" s="939"/>
      <c r="B1093" s="21" t="s">
        <v>77</v>
      </c>
      <c r="C1093" s="60">
        <f>C1092*33.72</f>
        <v>185527.44</v>
      </c>
      <c r="D1093" s="60">
        <f>D1092*33.72</f>
        <v>91111.44</v>
      </c>
      <c r="E1093" s="60">
        <f>E1092*33.72</f>
        <v>91617.239999999991</v>
      </c>
      <c r="F1093" s="60">
        <f>F1092*33.72</f>
        <v>276874.92</v>
      </c>
      <c r="G1093" s="60">
        <f>G1092*33.72*2</f>
        <v>236512.08</v>
      </c>
      <c r="H1093" s="60">
        <f>H1092*33.72</f>
        <v>434988</v>
      </c>
      <c r="I1093" s="60">
        <f>(I1092*33.72)-(2000*33.72)</f>
        <v>100418.16</v>
      </c>
      <c r="J1093" s="60">
        <f>J1092*33.72</f>
        <v>267804.24</v>
      </c>
      <c r="K1093" s="60">
        <f>K1092*33.72</f>
        <v>322262.03999999998</v>
      </c>
      <c r="L1093" s="60">
        <f>L1092*33.72</f>
        <v>124291.92</v>
      </c>
      <c r="M1093" s="228">
        <f>((M1092*33.72)-(2614*33.72))*2</f>
        <v>222349.67999999996</v>
      </c>
      <c r="N1093" s="237"/>
      <c r="R1093" s="63">
        <f>344240-H1093</f>
        <v>-90748</v>
      </c>
      <c r="S1093" s="70" t="s">
        <v>177</v>
      </c>
    </row>
    <row r="1094" spans="1:29" ht="15.75" thickBot="1" x14ac:dyDescent="0.3">
      <c r="A1094" s="940"/>
      <c r="B1094" s="201" t="s">
        <v>10</v>
      </c>
      <c r="C1094" s="58">
        <f t="shared" ref="C1094:M1094" si="468">C1093/C1086</f>
        <v>1.2938461087841597</v>
      </c>
      <c r="D1094" s="58">
        <f t="shared" si="468"/>
        <v>0.60532807851401649</v>
      </c>
      <c r="E1094" s="58">
        <f t="shared" si="468"/>
        <v>0.60868852306535259</v>
      </c>
      <c r="F1094" s="58">
        <f t="shared" si="468"/>
        <v>1.5213091586821379</v>
      </c>
      <c r="G1094" s="58">
        <f t="shared" si="468"/>
        <v>1.4294862876052039</v>
      </c>
      <c r="H1094" s="58">
        <f t="shared" si="468"/>
        <v>3.2920715647988374</v>
      </c>
      <c r="I1094" s="58">
        <f t="shared" si="468"/>
        <v>0.82763265689621357</v>
      </c>
      <c r="J1094" s="58">
        <f t="shared" si="468"/>
        <v>1.3873926445523164</v>
      </c>
      <c r="K1094" s="58">
        <f t="shared" si="468"/>
        <v>2.4389364590917273</v>
      </c>
      <c r="L1094" s="58">
        <f t="shared" si="468"/>
        <v>1.502447468338364</v>
      </c>
      <c r="M1094" s="225">
        <f t="shared" si="468"/>
        <v>1.2598950492031227</v>
      </c>
      <c r="N1094" s="233"/>
      <c r="R1094" s="126"/>
    </row>
  </sheetData>
  <mergeCells count="781">
    <mergeCell ref="A35:A40"/>
    <mergeCell ref="A29:C29"/>
    <mergeCell ref="A30:B30"/>
    <mergeCell ref="AE30:AF30"/>
    <mergeCell ref="AO30:AP30"/>
    <mergeCell ref="AR30:AS30"/>
    <mergeCell ref="AT30:AU30"/>
    <mergeCell ref="A31:B31"/>
    <mergeCell ref="AO31:AP31"/>
    <mergeCell ref="A32:A34"/>
    <mergeCell ref="A57:C57"/>
    <mergeCell ref="A58:B58"/>
    <mergeCell ref="AN58:AO58"/>
    <mergeCell ref="AQ58:AR58"/>
    <mergeCell ref="AS58:AT58"/>
    <mergeCell ref="A59:B59"/>
    <mergeCell ref="AN59:AO59"/>
    <mergeCell ref="A60:A62"/>
    <mergeCell ref="A63:A68"/>
    <mergeCell ref="A71:C71"/>
    <mergeCell ref="A72:B72"/>
    <mergeCell ref="AN72:AO72"/>
    <mergeCell ref="AQ72:AR72"/>
    <mergeCell ref="AS72:AT72"/>
    <mergeCell ref="A73:B73"/>
    <mergeCell ref="AN73:AO73"/>
    <mergeCell ref="A74:A76"/>
    <mergeCell ref="A77:A82"/>
    <mergeCell ref="A85:C85"/>
    <mergeCell ref="A86:B86"/>
    <mergeCell ref="AN86:AO86"/>
    <mergeCell ref="AQ86:AR86"/>
    <mergeCell ref="AS86:AT86"/>
    <mergeCell ref="A87:B87"/>
    <mergeCell ref="AN87:AO87"/>
    <mergeCell ref="A88:A90"/>
    <mergeCell ref="A91:A96"/>
    <mergeCell ref="A99:C99"/>
    <mergeCell ref="A100:B100"/>
    <mergeCell ref="AM100:AN100"/>
    <mergeCell ref="AP100:AQ100"/>
    <mergeCell ref="AR100:AS100"/>
    <mergeCell ref="A101:B101"/>
    <mergeCell ref="AM101:AN101"/>
    <mergeCell ref="A102:A104"/>
    <mergeCell ref="A105:A110"/>
    <mergeCell ref="A141:C141"/>
    <mergeCell ref="A142:B142"/>
    <mergeCell ref="AJ142:AK142"/>
    <mergeCell ref="AM142:AN142"/>
    <mergeCell ref="AO142:AP142"/>
    <mergeCell ref="A143:B143"/>
    <mergeCell ref="AJ143:AK143"/>
    <mergeCell ref="A144:A146"/>
    <mergeCell ref="A147:A152"/>
    <mergeCell ref="A161:A166"/>
    <mergeCell ref="A155:C155"/>
    <mergeCell ref="AA155:AB155"/>
    <mergeCell ref="A156:B156"/>
    <mergeCell ref="AB156:AC156"/>
    <mergeCell ref="AE156:AF156"/>
    <mergeCell ref="AG156:AJ156"/>
    <mergeCell ref="A157:B157"/>
    <mergeCell ref="AB157:AC157"/>
    <mergeCell ref="A158:A160"/>
    <mergeCell ref="A189:A194"/>
    <mergeCell ref="A183:C183"/>
    <mergeCell ref="AA183:AB183"/>
    <mergeCell ref="A184:B184"/>
    <mergeCell ref="AB184:AC184"/>
    <mergeCell ref="AE184:AF184"/>
    <mergeCell ref="AG184:AJ184"/>
    <mergeCell ref="A185:B185"/>
    <mergeCell ref="AB185:AC185"/>
    <mergeCell ref="A186:A188"/>
    <mergeCell ref="A217:A222"/>
    <mergeCell ref="A211:C211"/>
    <mergeCell ref="AA211:AB211"/>
    <mergeCell ref="A212:B212"/>
    <mergeCell ref="AB212:AC212"/>
    <mergeCell ref="AE212:AF212"/>
    <mergeCell ref="AG212:AJ212"/>
    <mergeCell ref="A213:B213"/>
    <mergeCell ref="AB213:AC213"/>
    <mergeCell ref="A214:A216"/>
    <mergeCell ref="A7:A12"/>
    <mergeCell ref="A1:C1"/>
    <mergeCell ref="A2:B2"/>
    <mergeCell ref="AO2:AP2"/>
    <mergeCell ref="AR2:AS2"/>
    <mergeCell ref="AT2:AU2"/>
    <mergeCell ref="A3:B3"/>
    <mergeCell ref="AO3:AP3"/>
    <mergeCell ref="A4:A6"/>
    <mergeCell ref="AE2:AF2"/>
    <mergeCell ref="A245:A250"/>
    <mergeCell ref="A239:C239"/>
    <mergeCell ref="AA239:AB239"/>
    <mergeCell ref="A240:B240"/>
    <mergeCell ref="AB240:AC240"/>
    <mergeCell ref="AE240:AF240"/>
    <mergeCell ref="AG240:AJ240"/>
    <mergeCell ref="A241:B241"/>
    <mergeCell ref="AB241:AC241"/>
    <mergeCell ref="A242:A244"/>
    <mergeCell ref="A287:A292"/>
    <mergeCell ref="A281:C281"/>
    <mergeCell ref="AA281:AB281"/>
    <mergeCell ref="A282:B282"/>
    <mergeCell ref="AA282:AB282"/>
    <mergeCell ref="AD282:AE282"/>
    <mergeCell ref="AF282:AG282"/>
    <mergeCell ref="A283:B283"/>
    <mergeCell ref="AA283:AB283"/>
    <mergeCell ref="A284:A286"/>
    <mergeCell ref="A301:A306"/>
    <mergeCell ref="A295:C295"/>
    <mergeCell ref="AA295:AB295"/>
    <mergeCell ref="A296:B296"/>
    <mergeCell ref="AA296:AB296"/>
    <mergeCell ref="AD296:AE296"/>
    <mergeCell ref="AF296:AG296"/>
    <mergeCell ref="A297:B297"/>
    <mergeCell ref="AA297:AB297"/>
    <mergeCell ref="A298:A300"/>
    <mergeCell ref="A315:A320"/>
    <mergeCell ref="A309:C309"/>
    <mergeCell ref="AA309:AB309"/>
    <mergeCell ref="A310:B310"/>
    <mergeCell ref="AA310:AB310"/>
    <mergeCell ref="AD310:AE310"/>
    <mergeCell ref="AF310:AG310"/>
    <mergeCell ref="A311:B311"/>
    <mergeCell ref="AA311:AB311"/>
    <mergeCell ref="A312:A314"/>
    <mergeCell ref="A343:A348"/>
    <mergeCell ref="A337:C337"/>
    <mergeCell ref="AA337:AB337"/>
    <mergeCell ref="A338:B338"/>
    <mergeCell ref="AA338:AB338"/>
    <mergeCell ref="AD338:AE338"/>
    <mergeCell ref="AF338:AG338"/>
    <mergeCell ref="A339:B339"/>
    <mergeCell ref="AA339:AB339"/>
    <mergeCell ref="A340:A342"/>
    <mergeCell ref="A363:C363"/>
    <mergeCell ref="AA387:AB387"/>
    <mergeCell ref="A388:B388"/>
    <mergeCell ref="AA388:AB388"/>
    <mergeCell ref="AD388:AE388"/>
    <mergeCell ref="AF388:AG388"/>
    <mergeCell ref="A389:B389"/>
    <mergeCell ref="AA389:AB389"/>
    <mergeCell ref="A390:A392"/>
    <mergeCell ref="A381:A386"/>
    <mergeCell ref="AA375:AB375"/>
    <mergeCell ref="A376:B376"/>
    <mergeCell ref="AA376:AB376"/>
    <mergeCell ref="AD376:AE376"/>
    <mergeCell ref="AF376:AG376"/>
    <mergeCell ref="A377:B377"/>
    <mergeCell ref="AA377:AB377"/>
    <mergeCell ref="A378:A380"/>
    <mergeCell ref="A369:A374"/>
    <mergeCell ref="AA363:AB363"/>
    <mergeCell ref="A364:B364"/>
    <mergeCell ref="AA364:AB364"/>
    <mergeCell ref="AD364:AE364"/>
    <mergeCell ref="AF364:AG364"/>
    <mergeCell ref="A365:B365"/>
    <mergeCell ref="AA365:AB365"/>
    <mergeCell ref="A366:A368"/>
    <mergeCell ref="A405:A410"/>
    <mergeCell ref="A399:C399"/>
    <mergeCell ref="AA399:AB399"/>
    <mergeCell ref="A400:B400"/>
    <mergeCell ref="AA400:AB400"/>
    <mergeCell ref="AD400:AE400"/>
    <mergeCell ref="AF400:AG400"/>
    <mergeCell ref="A401:B401"/>
    <mergeCell ref="AA401:AB401"/>
    <mergeCell ref="A402:A404"/>
    <mergeCell ref="A393:A398"/>
    <mergeCell ref="A375:C375"/>
    <mergeCell ref="A387:C387"/>
    <mergeCell ref="A453:A458"/>
    <mergeCell ref="A447:C447"/>
    <mergeCell ref="AA447:AB447"/>
    <mergeCell ref="A448:B448"/>
    <mergeCell ref="AA448:AB448"/>
    <mergeCell ref="AD448:AE448"/>
    <mergeCell ref="AF448:AG448"/>
    <mergeCell ref="A449:B449"/>
    <mergeCell ref="AA449:AB449"/>
    <mergeCell ref="A450:A452"/>
    <mergeCell ref="A441:A446"/>
    <mergeCell ref="A435:C435"/>
    <mergeCell ref="AA435:AB435"/>
    <mergeCell ref="A436:B436"/>
    <mergeCell ref="AA436:AB436"/>
    <mergeCell ref="AD436:AE436"/>
    <mergeCell ref="AF436:AG436"/>
    <mergeCell ref="A477:A482"/>
    <mergeCell ref="A471:C471"/>
    <mergeCell ref="AA471:AB471"/>
    <mergeCell ref="A472:B472"/>
    <mergeCell ref="AA472:AB472"/>
    <mergeCell ref="AD472:AE472"/>
    <mergeCell ref="AF472:AG472"/>
    <mergeCell ref="A473:B473"/>
    <mergeCell ref="AA473:AB473"/>
    <mergeCell ref="A474:A476"/>
    <mergeCell ref="A489:A494"/>
    <mergeCell ref="A483:C483"/>
    <mergeCell ref="AA483:AB483"/>
    <mergeCell ref="A484:B484"/>
    <mergeCell ref="AA484:AB484"/>
    <mergeCell ref="AD484:AE484"/>
    <mergeCell ref="AF484:AG484"/>
    <mergeCell ref="A485:B485"/>
    <mergeCell ref="AA485:AB485"/>
    <mergeCell ref="A486:A488"/>
    <mergeCell ref="A501:A506"/>
    <mergeCell ref="A495:C495"/>
    <mergeCell ref="AA495:AB495"/>
    <mergeCell ref="A496:B496"/>
    <mergeCell ref="AA496:AB496"/>
    <mergeCell ref="AD496:AE496"/>
    <mergeCell ref="AF496:AG496"/>
    <mergeCell ref="A497:B497"/>
    <mergeCell ref="AA497:AB497"/>
    <mergeCell ref="A498:A500"/>
    <mergeCell ref="A525:A530"/>
    <mergeCell ref="A519:C519"/>
    <mergeCell ref="AA519:AB519"/>
    <mergeCell ref="A520:B520"/>
    <mergeCell ref="AA520:AB520"/>
    <mergeCell ref="AD520:AE520"/>
    <mergeCell ref="AF520:AG520"/>
    <mergeCell ref="A521:B521"/>
    <mergeCell ref="AA521:AB521"/>
    <mergeCell ref="A522:A524"/>
    <mergeCell ref="A513:A518"/>
    <mergeCell ref="A507:C507"/>
    <mergeCell ref="AA507:AB507"/>
    <mergeCell ref="A508:B508"/>
    <mergeCell ref="AA508:AB508"/>
    <mergeCell ref="AD508:AE508"/>
    <mergeCell ref="AF508:AG508"/>
    <mergeCell ref="A509:B509"/>
    <mergeCell ref="AA509:AB509"/>
    <mergeCell ref="A510:A512"/>
    <mergeCell ref="A537:A542"/>
    <mergeCell ref="A531:C531"/>
    <mergeCell ref="AA531:AB531"/>
    <mergeCell ref="A532:B532"/>
    <mergeCell ref="AA532:AB532"/>
    <mergeCell ref="AD532:AE532"/>
    <mergeCell ref="AF532:AG532"/>
    <mergeCell ref="A533:B533"/>
    <mergeCell ref="AA533:AB533"/>
    <mergeCell ref="A534:A536"/>
    <mergeCell ref="A561:A566"/>
    <mergeCell ref="A555:C555"/>
    <mergeCell ref="AA555:AB555"/>
    <mergeCell ref="A556:B556"/>
    <mergeCell ref="AA556:AB556"/>
    <mergeCell ref="AD556:AE556"/>
    <mergeCell ref="AF556:AG556"/>
    <mergeCell ref="A557:B557"/>
    <mergeCell ref="AA557:AB557"/>
    <mergeCell ref="A558:A560"/>
    <mergeCell ref="A585:A590"/>
    <mergeCell ref="A579:C579"/>
    <mergeCell ref="AA579:AB579"/>
    <mergeCell ref="A580:B580"/>
    <mergeCell ref="AA580:AB580"/>
    <mergeCell ref="AD580:AE580"/>
    <mergeCell ref="AF580:AG580"/>
    <mergeCell ref="A581:B581"/>
    <mergeCell ref="AA581:AB581"/>
    <mergeCell ref="A582:A584"/>
    <mergeCell ref="AA616:AB616"/>
    <mergeCell ref="A617:B617"/>
    <mergeCell ref="AA617:AB617"/>
    <mergeCell ref="A618:A620"/>
    <mergeCell ref="AA618:AA620"/>
    <mergeCell ref="A621:A626"/>
    <mergeCell ref="AA621:AA623"/>
    <mergeCell ref="AA624:AA626"/>
    <mergeCell ref="A651:C651"/>
    <mergeCell ref="AA651:AB651"/>
    <mergeCell ref="A640:B640"/>
    <mergeCell ref="AA640:AB640"/>
    <mergeCell ref="A641:B641"/>
    <mergeCell ref="AA641:AB641"/>
    <mergeCell ref="A642:A644"/>
    <mergeCell ref="AA642:AA644"/>
    <mergeCell ref="A645:A650"/>
    <mergeCell ref="AA645:AA647"/>
    <mergeCell ref="AA648:AA650"/>
    <mergeCell ref="A652:B652"/>
    <mergeCell ref="AA652:AB652"/>
    <mergeCell ref="A653:B653"/>
    <mergeCell ref="AA653:AB653"/>
    <mergeCell ref="A654:A656"/>
    <mergeCell ref="AA654:AA656"/>
    <mergeCell ref="A657:A662"/>
    <mergeCell ref="AA657:AA659"/>
    <mergeCell ref="AA660:AA662"/>
    <mergeCell ref="A699:C699"/>
    <mergeCell ref="AA699:AB699"/>
    <mergeCell ref="A700:B700"/>
    <mergeCell ref="AA700:AB700"/>
    <mergeCell ref="A701:B701"/>
    <mergeCell ref="AA701:AB701"/>
    <mergeCell ref="A702:A704"/>
    <mergeCell ref="AA702:AA704"/>
    <mergeCell ref="A705:A710"/>
    <mergeCell ref="AA705:AA707"/>
    <mergeCell ref="AA708:AA710"/>
    <mergeCell ref="A735:C735"/>
    <mergeCell ref="AA735:AB735"/>
    <mergeCell ref="A736:B736"/>
    <mergeCell ref="AA736:AB736"/>
    <mergeCell ref="A737:B737"/>
    <mergeCell ref="AA737:AB737"/>
    <mergeCell ref="A738:A740"/>
    <mergeCell ref="AA738:AA740"/>
    <mergeCell ref="A741:A746"/>
    <mergeCell ref="AA741:AA743"/>
    <mergeCell ref="AA744:AA746"/>
    <mergeCell ref="A795:C795"/>
    <mergeCell ref="AA795:AB795"/>
    <mergeCell ref="A796:B796"/>
    <mergeCell ref="AA796:AB796"/>
    <mergeCell ref="A797:B797"/>
    <mergeCell ref="AA797:AB797"/>
    <mergeCell ref="A798:A800"/>
    <mergeCell ref="AA798:AA800"/>
    <mergeCell ref="A801:A806"/>
    <mergeCell ref="AA801:AA803"/>
    <mergeCell ref="AA804:AA806"/>
    <mergeCell ref="A807:C807"/>
    <mergeCell ref="AA807:AB807"/>
    <mergeCell ref="A808:B808"/>
    <mergeCell ref="AA808:AB808"/>
    <mergeCell ref="A809:B809"/>
    <mergeCell ref="AA809:AB809"/>
    <mergeCell ref="A810:A812"/>
    <mergeCell ref="AA810:AA812"/>
    <mergeCell ref="A813:A818"/>
    <mergeCell ref="AA813:AA815"/>
    <mergeCell ref="AA816:AA818"/>
    <mergeCell ref="A831:C831"/>
    <mergeCell ref="AA831:AB831"/>
    <mergeCell ref="A832:B832"/>
    <mergeCell ref="AA832:AB832"/>
    <mergeCell ref="A833:B833"/>
    <mergeCell ref="AA833:AB833"/>
    <mergeCell ref="A834:A836"/>
    <mergeCell ref="AA834:AA836"/>
    <mergeCell ref="A837:A842"/>
    <mergeCell ref="AA837:AA839"/>
    <mergeCell ref="AA840:AA842"/>
    <mergeCell ref="AA843:AB843"/>
    <mergeCell ref="AA849:AA851"/>
    <mergeCell ref="AA852:AA854"/>
    <mergeCell ref="AA855:AA860"/>
    <mergeCell ref="AA844:AB844"/>
    <mergeCell ref="AA845:AB845"/>
    <mergeCell ref="AA846:AA848"/>
    <mergeCell ref="A843:C843"/>
    <mergeCell ref="A844:B844"/>
    <mergeCell ref="A845:B845"/>
    <mergeCell ref="A846:A848"/>
    <mergeCell ref="A849:A854"/>
    <mergeCell ref="A879:C879"/>
    <mergeCell ref="A880:B880"/>
    <mergeCell ref="A881:B881"/>
    <mergeCell ref="A882:A884"/>
    <mergeCell ref="A885:A890"/>
    <mergeCell ref="A903:C903"/>
    <mergeCell ref="A904:B904"/>
    <mergeCell ref="A905:B905"/>
    <mergeCell ref="A906:A908"/>
    <mergeCell ref="A891:C891"/>
    <mergeCell ref="A892:B892"/>
    <mergeCell ref="A893:B893"/>
    <mergeCell ref="A894:A896"/>
    <mergeCell ref="A897:A902"/>
    <mergeCell ref="A909:A914"/>
    <mergeCell ref="A927:C927"/>
    <mergeCell ref="A928:B928"/>
    <mergeCell ref="A929:B929"/>
    <mergeCell ref="A930:A932"/>
    <mergeCell ref="A933:A938"/>
    <mergeCell ref="A951:C951"/>
    <mergeCell ref="A952:B952"/>
    <mergeCell ref="A953:B953"/>
    <mergeCell ref="A939:C939"/>
    <mergeCell ref="A940:B940"/>
    <mergeCell ref="A941:B941"/>
    <mergeCell ref="A942:A944"/>
    <mergeCell ref="A945:A950"/>
    <mergeCell ref="A915:C915"/>
    <mergeCell ref="A916:B916"/>
    <mergeCell ref="A917:B917"/>
    <mergeCell ref="A918:A920"/>
    <mergeCell ref="A921:A926"/>
    <mergeCell ref="A954:A956"/>
    <mergeCell ref="A957:A962"/>
    <mergeCell ref="A1060:B1060"/>
    <mergeCell ref="A1061:B1061"/>
    <mergeCell ref="A1062:A1064"/>
    <mergeCell ref="A1065:A1070"/>
    <mergeCell ref="A987:C987"/>
    <mergeCell ref="A988:B988"/>
    <mergeCell ref="A989:B989"/>
    <mergeCell ref="A990:A992"/>
    <mergeCell ref="A993:A998"/>
    <mergeCell ref="A1035:C1035"/>
    <mergeCell ref="A1036:B1036"/>
    <mergeCell ref="A1037:B1037"/>
    <mergeCell ref="A1038:A1040"/>
    <mergeCell ref="A1041:A1046"/>
    <mergeCell ref="A1011:C1011"/>
    <mergeCell ref="A1012:B1012"/>
    <mergeCell ref="A1013:B1013"/>
    <mergeCell ref="A1014:A1016"/>
    <mergeCell ref="A1017:A1022"/>
    <mergeCell ref="A999:C999"/>
    <mergeCell ref="A1000:B1000"/>
    <mergeCell ref="A1001:B1001"/>
    <mergeCell ref="A1002:A1004"/>
    <mergeCell ref="A1005:A1010"/>
    <mergeCell ref="A1085:B1085"/>
    <mergeCell ref="A1086:A1088"/>
    <mergeCell ref="A1089:A1094"/>
    <mergeCell ref="A1047:C1047"/>
    <mergeCell ref="A1048:B1048"/>
    <mergeCell ref="A1049:B1049"/>
    <mergeCell ref="A1050:A1052"/>
    <mergeCell ref="A1053:A1058"/>
    <mergeCell ref="A1071:C1071"/>
    <mergeCell ref="A1072:B1072"/>
    <mergeCell ref="A1073:B1073"/>
    <mergeCell ref="A1074:A1076"/>
    <mergeCell ref="A1083:C1083"/>
    <mergeCell ref="A1084:B1084"/>
    <mergeCell ref="A1077:A1082"/>
    <mergeCell ref="A1059:C1059"/>
    <mergeCell ref="A1023:C1023"/>
    <mergeCell ref="A1024:B1024"/>
    <mergeCell ref="A1025:B1025"/>
    <mergeCell ref="A1026:A1028"/>
    <mergeCell ref="A1029:A1034"/>
    <mergeCell ref="A975:C975"/>
    <mergeCell ref="A976:B976"/>
    <mergeCell ref="A977:B977"/>
    <mergeCell ref="A978:A980"/>
    <mergeCell ref="A981:A986"/>
    <mergeCell ref="A963:C963"/>
    <mergeCell ref="A964:B964"/>
    <mergeCell ref="A965:B965"/>
    <mergeCell ref="A966:A968"/>
    <mergeCell ref="A969:A974"/>
    <mergeCell ref="A867:C867"/>
    <mergeCell ref="A868:B868"/>
    <mergeCell ref="A869:B869"/>
    <mergeCell ref="A870:A872"/>
    <mergeCell ref="A873:A878"/>
    <mergeCell ref="A855:C855"/>
    <mergeCell ref="A856:B856"/>
    <mergeCell ref="A857:B857"/>
    <mergeCell ref="A858:A860"/>
    <mergeCell ref="A861:A866"/>
    <mergeCell ref="A819:C819"/>
    <mergeCell ref="AA819:AB819"/>
    <mergeCell ref="A820:B820"/>
    <mergeCell ref="AA820:AB820"/>
    <mergeCell ref="A821:B821"/>
    <mergeCell ref="AA821:AB821"/>
    <mergeCell ref="A822:A824"/>
    <mergeCell ref="AA822:AA824"/>
    <mergeCell ref="A825:A830"/>
    <mergeCell ref="AA825:AA827"/>
    <mergeCell ref="AA828:AA830"/>
    <mergeCell ref="A783:C783"/>
    <mergeCell ref="AA783:AB783"/>
    <mergeCell ref="A784:B784"/>
    <mergeCell ref="AA784:AB784"/>
    <mergeCell ref="A785:B785"/>
    <mergeCell ref="AA785:AB785"/>
    <mergeCell ref="A786:A788"/>
    <mergeCell ref="AA786:AA788"/>
    <mergeCell ref="A789:A794"/>
    <mergeCell ref="AA789:AA791"/>
    <mergeCell ref="AA792:AA794"/>
    <mergeCell ref="A771:C771"/>
    <mergeCell ref="AA771:AB771"/>
    <mergeCell ref="A772:B772"/>
    <mergeCell ref="AA772:AB772"/>
    <mergeCell ref="A773:B773"/>
    <mergeCell ref="AA773:AB773"/>
    <mergeCell ref="A774:A776"/>
    <mergeCell ref="AA774:AA776"/>
    <mergeCell ref="A777:A782"/>
    <mergeCell ref="AA777:AA779"/>
    <mergeCell ref="AA780:AA782"/>
    <mergeCell ref="A759:C759"/>
    <mergeCell ref="AA759:AB759"/>
    <mergeCell ref="A760:B760"/>
    <mergeCell ref="AA760:AB760"/>
    <mergeCell ref="A761:B761"/>
    <mergeCell ref="AA761:AB761"/>
    <mergeCell ref="A762:A764"/>
    <mergeCell ref="AA762:AA764"/>
    <mergeCell ref="A765:A770"/>
    <mergeCell ref="AA765:AA767"/>
    <mergeCell ref="AA768:AA770"/>
    <mergeCell ref="A747:C747"/>
    <mergeCell ref="AA747:AB747"/>
    <mergeCell ref="A748:B748"/>
    <mergeCell ref="AA748:AB748"/>
    <mergeCell ref="A749:B749"/>
    <mergeCell ref="AA749:AB749"/>
    <mergeCell ref="A750:A752"/>
    <mergeCell ref="AA750:AA752"/>
    <mergeCell ref="A753:A758"/>
    <mergeCell ref="AA753:AA755"/>
    <mergeCell ref="AA756:AA758"/>
    <mergeCell ref="A723:C723"/>
    <mergeCell ref="AA723:AB723"/>
    <mergeCell ref="A724:B724"/>
    <mergeCell ref="AA724:AB724"/>
    <mergeCell ref="A725:B725"/>
    <mergeCell ref="AA725:AB725"/>
    <mergeCell ref="A726:A728"/>
    <mergeCell ref="AA726:AA728"/>
    <mergeCell ref="A729:A734"/>
    <mergeCell ref="AA729:AA731"/>
    <mergeCell ref="AA732:AA734"/>
    <mergeCell ref="A711:C711"/>
    <mergeCell ref="AA711:AB711"/>
    <mergeCell ref="A712:B712"/>
    <mergeCell ref="AA712:AB712"/>
    <mergeCell ref="A713:B713"/>
    <mergeCell ref="AA713:AB713"/>
    <mergeCell ref="A714:A716"/>
    <mergeCell ref="AA714:AA716"/>
    <mergeCell ref="A717:A722"/>
    <mergeCell ref="AA717:AA719"/>
    <mergeCell ref="AA720:AA722"/>
    <mergeCell ref="A687:C687"/>
    <mergeCell ref="AA687:AB687"/>
    <mergeCell ref="A688:B688"/>
    <mergeCell ref="AA688:AB688"/>
    <mergeCell ref="A689:B689"/>
    <mergeCell ref="AA689:AB689"/>
    <mergeCell ref="A690:A692"/>
    <mergeCell ref="AA690:AA692"/>
    <mergeCell ref="A693:A698"/>
    <mergeCell ref="AA693:AA695"/>
    <mergeCell ref="AA696:AA698"/>
    <mergeCell ref="A675:C675"/>
    <mergeCell ref="AA675:AB675"/>
    <mergeCell ref="A676:B676"/>
    <mergeCell ref="AA676:AB676"/>
    <mergeCell ref="A677:B677"/>
    <mergeCell ref="AA677:AB677"/>
    <mergeCell ref="A678:A680"/>
    <mergeCell ref="AA678:AA680"/>
    <mergeCell ref="A681:A686"/>
    <mergeCell ref="AA681:AA683"/>
    <mergeCell ref="AA684:AA686"/>
    <mergeCell ref="A663:C663"/>
    <mergeCell ref="AA663:AB663"/>
    <mergeCell ref="A664:B664"/>
    <mergeCell ref="AA664:AB664"/>
    <mergeCell ref="A665:B665"/>
    <mergeCell ref="AA665:AB665"/>
    <mergeCell ref="A666:A668"/>
    <mergeCell ref="AA666:AA668"/>
    <mergeCell ref="A669:A674"/>
    <mergeCell ref="AA669:AA671"/>
    <mergeCell ref="AA672:AA674"/>
    <mergeCell ref="A603:C603"/>
    <mergeCell ref="AA603:AB603"/>
    <mergeCell ref="A604:B604"/>
    <mergeCell ref="A605:B605"/>
    <mergeCell ref="A606:A608"/>
    <mergeCell ref="A609:A614"/>
    <mergeCell ref="AA604:AB604"/>
    <mergeCell ref="AA605:AB605"/>
    <mergeCell ref="A639:C639"/>
    <mergeCell ref="AA639:AB639"/>
    <mergeCell ref="A627:C627"/>
    <mergeCell ref="AA627:AB627"/>
    <mergeCell ref="A628:B628"/>
    <mergeCell ref="AA628:AB628"/>
    <mergeCell ref="A629:B629"/>
    <mergeCell ref="AA629:AB629"/>
    <mergeCell ref="A630:A632"/>
    <mergeCell ref="AA630:AA632"/>
    <mergeCell ref="A633:A638"/>
    <mergeCell ref="AA633:AA635"/>
    <mergeCell ref="AA636:AA638"/>
    <mergeCell ref="A615:C615"/>
    <mergeCell ref="AA615:AB615"/>
    <mergeCell ref="A616:B616"/>
    <mergeCell ref="AF592:AG592"/>
    <mergeCell ref="A591:C591"/>
    <mergeCell ref="AA591:AB591"/>
    <mergeCell ref="A592:B592"/>
    <mergeCell ref="AA592:AB592"/>
    <mergeCell ref="A593:B593"/>
    <mergeCell ref="AA593:AB593"/>
    <mergeCell ref="A594:A596"/>
    <mergeCell ref="A597:A602"/>
    <mergeCell ref="AD592:AE592"/>
    <mergeCell ref="A573:A578"/>
    <mergeCell ref="A567:C567"/>
    <mergeCell ref="AA567:AB567"/>
    <mergeCell ref="A568:B568"/>
    <mergeCell ref="AA568:AB568"/>
    <mergeCell ref="AD568:AE568"/>
    <mergeCell ref="AF568:AG568"/>
    <mergeCell ref="A569:B569"/>
    <mergeCell ref="AA569:AB569"/>
    <mergeCell ref="A570:A572"/>
    <mergeCell ref="A549:A554"/>
    <mergeCell ref="A543:C543"/>
    <mergeCell ref="AA543:AB543"/>
    <mergeCell ref="A544:B544"/>
    <mergeCell ref="AA544:AB544"/>
    <mergeCell ref="AD544:AE544"/>
    <mergeCell ref="AF544:AG544"/>
    <mergeCell ref="A545:B545"/>
    <mergeCell ref="AA545:AB545"/>
    <mergeCell ref="A546:A548"/>
    <mergeCell ref="A465:A470"/>
    <mergeCell ref="A459:C459"/>
    <mergeCell ref="AA459:AB459"/>
    <mergeCell ref="A460:B460"/>
    <mergeCell ref="AA460:AB460"/>
    <mergeCell ref="AD460:AE460"/>
    <mergeCell ref="AF460:AG460"/>
    <mergeCell ref="A461:B461"/>
    <mergeCell ref="AA461:AB461"/>
    <mergeCell ref="A462:A464"/>
    <mergeCell ref="A437:B437"/>
    <mergeCell ref="AA437:AB437"/>
    <mergeCell ref="A438:A440"/>
    <mergeCell ref="A429:A434"/>
    <mergeCell ref="A423:C423"/>
    <mergeCell ref="AA423:AB423"/>
    <mergeCell ref="A424:B424"/>
    <mergeCell ref="AA424:AB424"/>
    <mergeCell ref="AD424:AE424"/>
    <mergeCell ref="AF424:AG424"/>
    <mergeCell ref="A425:B425"/>
    <mergeCell ref="AA425:AB425"/>
    <mergeCell ref="A426:A428"/>
    <mergeCell ref="A417:A422"/>
    <mergeCell ref="A411:C411"/>
    <mergeCell ref="AA411:AB411"/>
    <mergeCell ref="A412:B412"/>
    <mergeCell ref="AA412:AB412"/>
    <mergeCell ref="AD412:AE412"/>
    <mergeCell ref="AF412:AG412"/>
    <mergeCell ref="A413:B413"/>
    <mergeCell ref="AA413:AB413"/>
    <mergeCell ref="A414:A416"/>
    <mergeCell ref="A357:A362"/>
    <mergeCell ref="A351:C351"/>
    <mergeCell ref="AA351:AB351"/>
    <mergeCell ref="A352:B352"/>
    <mergeCell ref="AA352:AB352"/>
    <mergeCell ref="AD352:AE352"/>
    <mergeCell ref="AF352:AG352"/>
    <mergeCell ref="A353:B353"/>
    <mergeCell ref="AA353:AB353"/>
    <mergeCell ref="A354:A356"/>
    <mergeCell ref="A329:A334"/>
    <mergeCell ref="A323:C323"/>
    <mergeCell ref="AA323:AB323"/>
    <mergeCell ref="A324:B324"/>
    <mergeCell ref="AA324:AB324"/>
    <mergeCell ref="AD324:AE324"/>
    <mergeCell ref="AF324:AG324"/>
    <mergeCell ref="A325:B325"/>
    <mergeCell ref="AA325:AB325"/>
    <mergeCell ref="A326:A328"/>
    <mergeCell ref="A273:A278"/>
    <mergeCell ref="A267:C267"/>
    <mergeCell ref="AA267:AB267"/>
    <mergeCell ref="A268:B268"/>
    <mergeCell ref="AA268:AB268"/>
    <mergeCell ref="AD268:AE268"/>
    <mergeCell ref="AF268:AG268"/>
    <mergeCell ref="A269:B269"/>
    <mergeCell ref="AA269:AB269"/>
    <mergeCell ref="A270:A272"/>
    <mergeCell ref="A259:A264"/>
    <mergeCell ref="A253:C253"/>
    <mergeCell ref="AA253:AB253"/>
    <mergeCell ref="A254:B254"/>
    <mergeCell ref="AB254:AC254"/>
    <mergeCell ref="AE254:AF254"/>
    <mergeCell ref="AG254:AJ254"/>
    <mergeCell ref="A255:B255"/>
    <mergeCell ref="AB255:AC255"/>
    <mergeCell ref="A256:A258"/>
    <mergeCell ref="A231:A236"/>
    <mergeCell ref="A225:C225"/>
    <mergeCell ref="AA225:AB225"/>
    <mergeCell ref="A226:B226"/>
    <mergeCell ref="AB226:AC226"/>
    <mergeCell ref="AE226:AF226"/>
    <mergeCell ref="AG226:AJ226"/>
    <mergeCell ref="A227:B227"/>
    <mergeCell ref="AB227:AC227"/>
    <mergeCell ref="A228:A230"/>
    <mergeCell ref="A203:A208"/>
    <mergeCell ref="A197:C197"/>
    <mergeCell ref="AA197:AB197"/>
    <mergeCell ref="A198:B198"/>
    <mergeCell ref="AB198:AC198"/>
    <mergeCell ref="AE198:AF198"/>
    <mergeCell ref="AG198:AJ198"/>
    <mergeCell ref="A199:B199"/>
    <mergeCell ref="AB199:AC199"/>
    <mergeCell ref="A200:A202"/>
    <mergeCell ref="A175:A180"/>
    <mergeCell ref="A169:C169"/>
    <mergeCell ref="AA169:AB169"/>
    <mergeCell ref="A170:B170"/>
    <mergeCell ref="AB170:AC170"/>
    <mergeCell ref="AE170:AF170"/>
    <mergeCell ref="AG170:AJ170"/>
    <mergeCell ref="A171:B171"/>
    <mergeCell ref="AB171:AC171"/>
    <mergeCell ref="A172:A174"/>
    <mergeCell ref="A127:C127"/>
    <mergeCell ref="A128:B128"/>
    <mergeCell ref="AK128:AL128"/>
    <mergeCell ref="AN128:AO128"/>
    <mergeCell ref="AP128:AQ128"/>
    <mergeCell ref="A129:B129"/>
    <mergeCell ref="AK129:AL129"/>
    <mergeCell ref="A130:A132"/>
    <mergeCell ref="A133:A138"/>
    <mergeCell ref="A113:C113"/>
    <mergeCell ref="A114:B114"/>
    <mergeCell ref="AM114:AN114"/>
    <mergeCell ref="AP114:AQ114"/>
    <mergeCell ref="AR114:AS114"/>
    <mergeCell ref="A115:B115"/>
    <mergeCell ref="AM115:AN115"/>
    <mergeCell ref="A116:A118"/>
    <mergeCell ref="A119:A124"/>
    <mergeCell ref="A43:C43"/>
    <mergeCell ref="A44:B44"/>
    <mergeCell ref="AN44:AO44"/>
    <mergeCell ref="AQ44:AR44"/>
    <mergeCell ref="AS44:AT44"/>
    <mergeCell ref="A45:B45"/>
    <mergeCell ref="AN45:AO45"/>
    <mergeCell ref="A46:A48"/>
    <mergeCell ref="A49:A54"/>
    <mergeCell ref="A21:A26"/>
    <mergeCell ref="A15:C15"/>
    <mergeCell ref="A16:B16"/>
    <mergeCell ref="AE16:AF16"/>
    <mergeCell ref="AO16:AP16"/>
    <mergeCell ref="AR16:AS16"/>
    <mergeCell ref="AT16:AU16"/>
    <mergeCell ref="A17:B17"/>
    <mergeCell ref="AO17:AP17"/>
    <mergeCell ref="A18:A20"/>
  </mergeCells>
  <phoneticPr fontId="2" type="noConversion"/>
  <conditionalFormatting sqref="C1094:N1094">
    <cfRule type="cellIs" dxfId="7121" priority="7413" stopIfTrue="1" operator="greaterThan">
      <formula>1.75</formula>
    </cfRule>
    <cfRule type="cellIs" dxfId="7120" priority="7414" stopIfTrue="1" operator="between">
      <formula>1.25</formula>
      <formula>1.75</formula>
    </cfRule>
  </conditionalFormatting>
  <conditionalFormatting sqref="R1093">
    <cfRule type="cellIs" dxfId="7119" priority="7411" operator="lessThan">
      <formula>1000</formula>
    </cfRule>
    <cfRule type="cellIs" dxfId="7118" priority="7412" operator="lessThan">
      <formula>2000</formula>
    </cfRule>
  </conditionalFormatting>
  <conditionalFormatting sqref="C1082:N1082">
    <cfRule type="cellIs" dxfId="7117" priority="7409" stopIfTrue="1" operator="greaterThan">
      <formula>1.75</formula>
    </cfRule>
    <cfRule type="cellIs" dxfId="7116" priority="7410" stopIfTrue="1" operator="between">
      <formula>1.25</formula>
      <formula>1.75</formula>
    </cfRule>
  </conditionalFormatting>
  <conditionalFormatting sqref="R1081">
    <cfRule type="cellIs" dxfId="7115" priority="7407" operator="lessThan">
      <formula>1000</formula>
    </cfRule>
    <cfRule type="cellIs" dxfId="7114" priority="7408" operator="lessThan">
      <formula>2000</formula>
    </cfRule>
  </conditionalFormatting>
  <conditionalFormatting sqref="C1070:N1070">
    <cfRule type="cellIs" dxfId="7113" priority="7405" stopIfTrue="1" operator="greaterThan">
      <formula>1.75</formula>
    </cfRule>
    <cfRule type="cellIs" dxfId="7112" priority="7406" stopIfTrue="1" operator="between">
      <formula>1.25</formula>
      <formula>1.75</formula>
    </cfRule>
  </conditionalFormatting>
  <conditionalFormatting sqref="R1069">
    <cfRule type="cellIs" dxfId="7111" priority="7403" operator="lessThan">
      <formula>1000</formula>
    </cfRule>
    <cfRule type="cellIs" dxfId="7110" priority="7404" operator="lessThan">
      <formula>2000</formula>
    </cfRule>
  </conditionalFormatting>
  <conditionalFormatting sqref="C1058:N1058">
    <cfRule type="cellIs" dxfId="7109" priority="7401" stopIfTrue="1" operator="greaterThan">
      <formula>1.75</formula>
    </cfRule>
    <cfRule type="cellIs" dxfId="7108" priority="7402" stopIfTrue="1" operator="between">
      <formula>1.25</formula>
      <formula>1.75</formula>
    </cfRule>
  </conditionalFormatting>
  <conditionalFormatting sqref="R1057">
    <cfRule type="cellIs" dxfId="7107" priority="7399" operator="lessThan">
      <formula>1000</formula>
    </cfRule>
    <cfRule type="cellIs" dxfId="7106" priority="7400" operator="lessThan">
      <formula>2000</formula>
    </cfRule>
  </conditionalFormatting>
  <conditionalFormatting sqref="C1046:N1046">
    <cfRule type="cellIs" dxfId="7105" priority="7397" stopIfTrue="1" operator="greaterThan">
      <formula>1.75</formula>
    </cfRule>
    <cfRule type="cellIs" dxfId="7104" priority="7398" stopIfTrue="1" operator="between">
      <formula>1.25</formula>
      <formula>1.75</formula>
    </cfRule>
  </conditionalFormatting>
  <conditionalFormatting sqref="R1045">
    <cfRule type="cellIs" dxfId="7103" priority="7395" operator="lessThan">
      <formula>1000</formula>
    </cfRule>
    <cfRule type="cellIs" dxfId="7102" priority="7396" operator="lessThan">
      <formula>2000</formula>
    </cfRule>
  </conditionalFormatting>
  <conditionalFormatting sqref="C1034:N1034">
    <cfRule type="cellIs" dxfId="7101" priority="7393" stopIfTrue="1" operator="greaterThan">
      <formula>1.75</formula>
    </cfRule>
    <cfRule type="cellIs" dxfId="7100" priority="7394" stopIfTrue="1" operator="between">
      <formula>1.25</formula>
      <formula>1.75</formula>
    </cfRule>
  </conditionalFormatting>
  <conditionalFormatting sqref="R1033">
    <cfRule type="cellIs" dxfId="7099" priority="7391" operator="lessThan">
      <formula>1000</formula>
    </cfRule>
    <cfRule type="cellIs" dxfId="7098" priority="7392" operator="lessThan">
      <formula>2000</formula>
    </cfRule>
  </conditionalFormatting>
  <conditionalFormatting sqref="N1022">
    <cfRule type="cellIs" dxfId="7097" priority="7389" stopIfTrue="1" operator="greaterThan">
      <formula>1.75</formula>
    </cfRule>
    <cfRule type="cellIs" dxfId="7096" priority="7390" stopIfTrue="1" operator="between">
      <formula>1.25</formula>
      <formula>1.75</formula>
    </cfRule>
  </conditionalFormatting>
  <conditionalFormatting sqref="R1021">
    <cfRule type="cellIs" dxfId="7095" priority="7387" operator="lessThan">
      <formula>1000</formula>
    </cfRule>
    <cfRule type="cellIs" dxfId="7094" priority="7388" operator="lessThan">
      <formula>2000</formula>
    </cfRule>
  </conditionalFormatting>
  <conditionalFormatting sqref="C1022:M1022">
    <cfRule type="cellIs" dxfId="7093" priority="7385" stopIfTrue="1" operator="greaterThan">
      <formula>1.75</formula>
    </cfRule>
    <cfRule type="cellIs" dxfId="7092" priority="7386" stopIfTrue="1" operator="between">
      <formula>1.25</formula>
      <formula>1.75</formula>
    </cfRule>
  </conditionalFormatting>
  <conditionalFormatting sqref="C1022:M1022">
    <cfRule type="cellIs" dxfId="7091" priority="7383" stopIfTrue="1" operator="greaterThan">
      <formula>1.75</formula>
    </cfRule>
    <cfRule type="cellIs" dxfId="7090" priority="7384" stopIfTrue="1" operator="between">
      <formula>1.25</formula>
      <formula>1.75</formula>
    </cfRule>
  </conditionalFormatting>
  <conditionalFormatting sqref="C1022:M1022">
    <cfRule type="cellIs" dxfId="7089" priority="7381" stopIfTrue="1" operator="greaterThan">
      <formula>1.75</formula>
    </cfRule>
    <cfRule type="cellIs" dxfId="7088" priority="7382" stopIfTrue="1" operator="between">
      <formula>1.25</formula>
      <formula>1.75</formula>
    </cfRule>
  </conditionalFormatting>
  <conditionalFormatting sqref="N1010">
    <cfRule type="cellIs" dxfId="7087" priority="7379" stopIfTrue="1" operator="greaterThan">
      <formula>1.75</formula>
    </cfRule>
    <cfRule type="cellIs" dxfId="7086" priority="7380" stopIfTrue="1" operator="between">
      <formula>1.25</formula>
      <formula>1.75</formula>
    </cfRule>
  </conditionalFormatting>
  <conditionalFormatting sqref="R1009">
    <cfRule type="cellIs" dxfId="7085" priority="7377" operator="lessThan">
      <formula>1000</formula>
    </cfRule>
    <cfRule type="cellIs" dxfId="7084" priority="7378" operator="lessThan">
      <formula>2000</formula>
    </cfRule>
  </conditionalFormatting>
  <conditionalFormatting sqref="C1010:M1010">
    <cfRule type="cellIs" dxfId="7083" priority="7375" stopIfTrue="1" operator="greaterThan">
      <formula>1.75</formula>
    </cfRule>
    <cfRule type="cellIs" dxfId="7082" priority="7376" stopIfTrue="1" operator="between">
      <formula>1.25</formula>
      <formula>1.75</formula>
    </cfRule>
  </conditionalFormatting>
  <conditionalFormatting sqref="C1010:M1010">
    <cfRule type="cellIs" dxfId="7081" priority="7373" stopIfTrue="1" operator="greaterThan">
      <formula>1.75</formula>
    </cfRule>
    <cfRule type="cellIs" dxfId="7080" priority="7374" stopIfTrue="1" operator="between">
      <formula>1.25</formula>
      <formula>1.75</formula>
    </cfRule>
  </conditionalFormatting>
  <conditionalFormatting sqref="C1010:M1010">
    <cfRule type="cellIs" dxfId="7079" priority="7371" stopIfTrue="1" operator="greaterThan">
      <formula>1.75</formula>
    </cfRule>
    <cfRule type="cellIs" dxfId="7078" priority="7372" stopIfTrue="1" operator="between">
      <formula>1.25</formula>
      <formula>1.75</formula>
    </cfRule>
  </conditionalFormatting>
  <conditionalFormatting sqref="N998">
    <cfRule type="cellIs" dxfId="7077" priority="7369" stopIfTrue="1" operator="greaterThan">
      <formula>1.75</formula>
    </cfRule>
    <cfRule type="cellIs" dxfId="7076" priority="7370" stopIfTrue="1" operator="between">
      <formula>1.25</formula>
      <formula>1.75</formula>
    </cfRule>
  </conditionalFormatting>
  <conditionalFormatting sqref="R997">
    <cfRule type="cellIs" dxfId="7075" priority="7367" operator="lessThan">
      <formula>1000</formula>
    </cfRule>
    <cfRule type="cellIs" dxfId="7074" priority="7368" operator="lessThan">
      <formula>2000</formula>
    </cfRule>
  </conditionalFormatting>
  <conditionalFormatting sqref="C998:M998">
    <cfRule type="cellIs" dxfId="7073" priority="7365" stopIfTrue="1" operator="greaterThan">
      <formula>1.75</formula>
    </cfRule>
    <cfRule type="cellIs" dxfId="7072" priority="7366" stopIfTrue="1" operator="between">
      <formula>1.25</formula>
      <formula>1.75</formula>
    </cfRule>
  </conditionalFormatting>
  <conditionalFormatting sqref="C998:M998">
    <cfRule type="cellIs" dxfId="7071" priority="7363" stopIfTrue="1" operator="greaterThan">
      <formula>1.75</formula>
    </cfRule>
    <cfRule type="cellIs" dxfId="7070" priority="7364" stopIfTrue="1" operator="between">
      <formula>1.25</formula>
      <formula>1.75</formula>
    </cfRule>
  </conditionalFormatting>
  <conditionalFormatting sqref="C998:M998">
    <cfRule type="cellIs" dxfId="7069" priority="7361" stopIfTrue="1" operator="greaterThan">
      <formula>1.75</formula>
    </cfRule>
    <cfRule type="cellIs" dxfId="7068" priority="7362" stopIfTrue="1" operator="between">
      <formula>1.25</formula>
      <formula>1.75</formula>
    </cfRule>
  </conditionalFormatting>
  <conditionalFormatting sqref="N986">
    <cfRule type="cellIs" dxfId="7067" priority="7359" stopIfTrue="1" operator="greaterThan">
      <formula>1.75</formula>
    </cfRule>
    <cfRule type="cellIs" dxfId="7066" priority="7360" stopIfTrue="1" operator="between">
      <formula>1.25</formula>
      <formula>1.75</formula>
    </cfRule>
  </conditionalFormatting>
  <conditionalFormatting sqref="R985">
    <cfRule type="cellIs" dxfId="7065" priority="7357" operator="lessThan">
      <formula>1000</formula>
    </cfRule>
    <cfRule type="cellIs" dxfId="7064" priority="7358" operator="lessThan">
      <formula>2000</formula>
    </cfRule>
  </conditionalFormatting>
  <conditionalFormatting sqref="C986:M986">
    <cfRule type="cellIs" dxfId="7063" priority="7355" stopIfTrue="1" operator="greaterThan">
      <formula>1.75</formula>
    </cfRule>
    <cfRule type="cellIs" dxfId="7062" priority="7356" stopIfTrue="1" operator="between">
      <formula>1.25</formula>
      <formula>1.75</formula>
    </cfRule>
  </conditionalFormatting>
  <conditionalFormatting sqref="C986:M986">
    <cfRule type="cellIs" dxfId="7061" priority="7353" stopIfTrue="1" operator="greaterThan">
      <formula>1.75</formula>
    </cfRule>
    <cfRule type="cellIs" dxfId="7060" priority="7354" stopIfTrue="1" operator="between">
      <formula>1.25</formula>
      <formula>1.75</formula>
    </cfRule>
  </conditionalFormatting>
  <conditionalFormatting sqref="C986:M986">
    <cfRule type="cellIs" dxfId="7059" priority="7351" stopIfTrue="1" operator="greaterThan">
      <formula>1.75</formula>
    </cfRule>
    <cfRule type="cellIs" dxfId="7058" priority="7352" stopIfTrue="1" operator="between">
      <formula>1.25</formula>
      <formula>1.75</formula>
    </cfRule>
  </conditionalFormatting>
  <conditionalFormatting sqref="N974">
    <cfRule type="cellIs" dxfId="7057" priority="7349" stopIfTrue="1" operator="greaterThan">
      <formula>1.75</formula>
    </cfRule>
    <cfRule type="cellIs" dxfId="7056" priority="7350" stopIfTrue="1" operator="between">
      <formula>1.25</formula>
      <formula>1.75</formula>
    </cfRule>
  </conditionalFormatting>
  <conditionalFormatting sqref="R973">
    <cfRule type="cellIs" dxfId="7055" priority="7347" operator="lessThan">
      <formula>1000</formula>
    </cfRule>
    <cfRule type="cellIs" dxfId="7054" priority="7348" operator="lessThan">
      <formula>2000</formula>
    </cfRule>
  </conditionalFormatting>
  <conditionalFormatting sqref="C974:M974">
    <cfRule type="cellIs" dxfId="7053" priority="7345" stopIfTrue="1" operator="greaterThan">
      <formula>1.75</formula>
    </cfRule>
    <cfRule type="cellIs" dxfId="7052" priority="7346" stopIfTrue="1" operator="between">
      <formula>1.25</formula>
      <formula>1.75</formula>
    </cfRule>
  </conditionalFormatting>
  <conditionalFormatting sqref="C974:M974">
    <cfRule type="cellIs" dxfId="7051" priority="7343" stopIfTrue="1" operator="greaterThan">
      <formula>1.75</formula>
    </cfRule>
    <cfRule type="cellIs" dxfId="7050" priority="7344" stopIfTrue="1" operator="between">
      <formula>1.25</formula>
      <formula>1.75</formula>
    </cfRule>
  </conditionalFormatting>
  <conditionalFormatting sqref="C974:M974">
    <cfRule type="cellIs" dxfId="7049" priority="7341" stopIfTrue="1" operator="greaterThan">
      <formula>1.75</formula>
    </cfRule>
    <cfRule type="cellIs" dxfId="7048" priority="7342" stopIfTrue="1" operator="between">
      <formula>1.25</formula>
      <formula>1.75</formula>
    </cfRule>
  </conditionalFormatting>
  <conditionalFormatting sqref="N962">
    <cfRule type="cellIs" dxfId="7047" priority="7339" stopIfTrue="1" operator="greaterThan">
      <formula>1.75</formula>
    </cfRule>
    <cfRule type="cellIs" dxfId="7046" priority="7340" stopIfTrue="1" operator="between">
      <formula>1.25</formula>
      <formula>1.75</formula>
    </cfRule>
  </conditionalFormatting>
  <conditionalFormatting sqref="R961">
    <cfRule type="cellIs" dxfId="7045" priority="7337" operator="lessThan">
      <formula>1000</formula>
    </cfRule>
    <cfRule type="cellIs" dxfId="7044" priority="7338" operator="lessThan">
      <formula>2000</formula>
    </cfRule>
  </conditionalFormatting>
  <conditionalFormatting sqref="C962:M962">
    <cfRule type="cellIs" dxfId="7043" priority="7335" stopIfTrue="1" operator="greaterThan">
      <formula>1.75</formula>
    </cfRule>
    <cfRule type="cellIs" dxfId="7042" priority="7336" stopIfTrue="1" operator="between">
      <formula>1.25</formula>
      <formula>1.75</formula>
    </cfRule>
  </conditionalFormatting>
  <conditionalFormatting sqref="C962:M962">
    <cfRule type="cellIs" dxfId="7041" priority="7333" stopIfTrue="1" operator="greaterThan">
      <formula>1.75</formula>
    </cfRule>
    <cfRule type="cellIs" dxfId="7040" priority="7334" stopIfTrue="1" operator="between">
      <formula>1.25</formula>
      <formula>1.75</formula>
    </cfRule>
  </conditionalFormatting>
  <conditionalFormatting sqref="C962:M962">
    <cfRule type="cellIs" dxfId="7039" priority="7331" stopIfTrue="1" operator="greaterThan">
      <formula>1.75</formula>
    </cfRule>
    <cfRule type="cellIs" dxfId="7038" priority="7332" stopIfTrue="1" operator="between">
      <formula>1.25</formula>
      <formula>1.75</formula>
    </cfRule>
  </conditionalFormatting>
  <conditionalFormatting sqref="N950">
    <cfRule type="cellIs" dxfId="7037" priority="7329" stopIfTrue="1" operator="greaterThan">
      <formula>1.75</formula>
    </cfRule>
    <cfRule type="cellIs" dxfId="7036" priority="7330" stopIfTrue="1" operator="between">
      <formula>1.25</formula>
      <formula>1.75</formula>
    </cfRule>
  </conditionalFormatting>
  <conditionalFormatting sqref="R949">
    <cfRule type="cellIs" dxfId="7035" priority="7327" operator="lessThan">
      <formula>1000</formula>
    </cfRule>
    <cfRule type="cellIs" dxfId="7034" priority="7328" operator="lessThan">
      <formula>2000</formula>
    </cfRule>
  </conditionalFormatting>
  <conditionalFormatting sqref="C950:M950">
    <cfRule type="cellIs" dxfId="7033" priority="7325" stopIfTrue="1" operator="greaterThan">
      <formula>1.75</formula>
    </cfRule>
    <cfRule type="cellIs" dxfId="7032" priority="7326" stopIfTrue="1" operator="between">
      <formula>1.25</formula>
      <formula>1.75</formula>
    </cfRule>
  </conditionalFormatting>
  <conditionalFormatting sqref="C950:M950">
    <cfRule type="cellIs" dxfId="7031" priority="7323" stopIfTrue="1" operator="greaterThan">
      <formula>1.75</formula>
    </cfRule>
    <cfRule type="cellIs" dxfId="7030" priority="7324" stopIfTrue="1" operator="between">
      <formula>1.25</formula>
      <formula>1.75</formula>
    </cfRule>
  </conditionalFormatting>
  <conditionalFormatting sqref="C950:M950">
    <cfRule type="cellIs" dxfId="7029" priority="7321" stopIfTrue="1" operator="greaterThan">
      <formula>1.75</formula>
    </cfRule>
    <cfRule type="cellIs" dxfId="7028" priority="7322" stopIfTrue="1" operator="between">
      <formula>1.25</formula>
      <formula>1.75</formula>
    </cfRule>
  </conditionalFormatting>
  <conditionalFormatting sqref="N938">
    <cfRule type="cellIs" dxfId="7027" priority="7319" stopIfTrue="1" operator="greaterThan">
      <formula>1.75</formula>
    </cfRule>
    <cfRule type="cellIs" dxfId="7026" priority="7320" stopIfTrue="1" operator="between">
      <formula>1.25</formula>
      <formula>1.75</formula>
    </cfRule>
  </conditionalFormatting>
  <conditionalFormatting sqref="R937">
    <cfRule type="cellIs" dxfId="7025" priority="7317" operator="lessThan">
      <formula>1000</formula>
    </cfRule>
    <cfRule type="cellIs" dxfId="7024" priority="7318" operator="lessThan">
      <formula>2000</formula>
    </cfRule>
  </conditionalFormatting>
  <conditionalFormatting sqref="C938:M938">
    <cfRule type="cellIs" dxfId="7023" priority="7315" stopIfTrue="1" operator="greaterThan">
      <formula>1.75</formula>
    </cfRule>
    <cfRule type="cellIs" dxfId="7022" priority="7316" stopIfTrue="1" operator="between">
      <formula>1.25</formula>
      <formula>1.75</formula>
    </cfRule>
  </conditionalFormatting>
  <conditionalFormatting sqref="C938:M938">
    <cfRule type="cellIs" dxfId="7021" priority="7313" stopIfTrue="1" operator="greaterThan">
      <formula>1.75</formula>
    </cfRule>
    <cfRule type="cellIs" dxfId="7020" priority="7314" stopIfTrue="1" operator="between">
      <formula>1.25</formula>
      <formula>1.75</formula>
    </cfRule>
  </conditionalFormatting>
  <conditionalFormatting sqref="C938:M938">
    <cfRule type="cellIs" dxfId="7019" priority="7311" stopIfTrue="1" operator="greaterThan">
      <formula>1.75</formula>
    </cfRule>
    <cfRule type="cellIs" dxfId="7018" priority="7312" stopIfTrue="1" operator="between">
      <formula>1.25</formula>
      <formula>1.75</formula>
    </cfRule>
  </conditionalFormatting>
  <conditionalFormatting sqref="C926:M926">
    <cfRule type="cellIs" dxfId="7017" priority="7303" stopIfTrue="1" operator="greaterThan">
      <formula>1.75</formula>
    </cfRule>
    <cfRule type="cellIs" dxfId="7016" priority="7304" stopIfTrue="1" operator="between">
      <formula>1.25</formula>
      <formula>1.75</formula>
    </cfRule>
  </conditionalFormatting>
  <conditionalFormatting sqref="R925">
    <cfRule type="cellIs" dxfId="7015" priority="7307" operator="lessThan">
      <formula>1000</formula>
    </cfRule>
    <cfRule type="cellIs" dxfId="7014" priority="7308" operator="lessThan">
      <formula>2000</formula>
    </cfRule>
  </conditionalFormatting>
  <conditionalFormatting sqref="C926:M926">
    <cfRule type="cellIs" dxfId="7013" priority="7305" stopIfTrue="1" operator="greaterThan">
      <formula>1.75</formula>
    </cfRule>
    <cfRule type="cellIs" dxfId="7012" priority="7306" stopIfTrue="1" operator="between">
      <formula>1.25</formula>
      <formula>1.75</formula>
    </cfRule>
  </conditionalFormatting>
  <conditionalFormatting sqref="C926:M926">
    <cfRule type="cellIs" dxfId="7011" priority="7301" stopIfTrue="1" operator="greaterThan">
      <formula>1.75</formula>
    </cfRule>
    <cfRule type="cellIs" dxfId="7010" priority="7302" stopIfTrue="1" operator="between">
      <formula>1.25</formula>
      <formula>1.75</formula>
    </cfRule>
  </conditionalFormatting>
  <conditionalFormatting sqref="N926:O926">
    <cfRule type="cellIs" dxfId="7009" priority="7293" stopIfTrue="1" operator="greaterThan">
      <formula>1.75</formula>
    </cfRule>
    <cfRule type="cellIs" dxfId="7008" priority="7294" stopIfTrue="1" operator="between">
      <formula>1.25</formula>
      <formula>1.75</formula>
    </cfRule>
  </conditionalFormatting>
  <conditionalFormatting sqref="N926:O926">
    <cfRule type="cellIs" dxfId="7007" priority="7297" stopIfTrue="1" operator="greaterThan">
      <formula>1.75</formula>
    </cfRule>
    <cfRule type="cellIs" dxfId="7006" priority="7298" stopIfTrue="1" operator="between">
      <formula>1.25</formula>
      <formula>1.75</formula>
    </cfRule>
  </conditionalFormatting>
  <conditionalFormatting sqref="N926:O926">
    <cfRule type="cellIs" dxfId="7005" priority="7295" stopIfTrue="1" operator="greaterThan">
      <formula>1.75</formula>
    </cfRule>
    <cfRule type="cellIs" dxfId="7004" priority="7296" stopIfTrue="1" operator="between">
      <formula>1.25</formula>
      <formula>1.75</formula>
    </cfRule>
  </conditionalFormatting>
  <conditionalFormatting sqref="Q926">
    <cfRule type="cellIs" dxfId="7003" priority="7289" stopIfTrue="1" operator="greaterThan">
      <formula>1.75</formula>
    </cfRule>
    <cfRule type="cellIs" dxfId="7002" priority="7290" stopIfTrue="1" operator="between">
      <formula>1.25</formula>
      <formula>1.75</formula>
    </cfRule>
  </conditionalFormatting>
  <conditionalFormatting sqref="J914">
    <cfRule type="cellIs" dxfId="7001" priority="7259" stopIfTrue="1" operator="greaterThan">
      <formula>1.75</formula>
    </cfRule>
    <cfRule type="cellIs" dxfId="7000" priority="7260" stopIfTrue="1" operator="between">
      <formula>1.25</formula>
      <formula>1.75</formula>
    </cfRule>
  </conditionalFormatting>
  <conditionalFormatting sqref="P926">
    <cfRule type="cellIs" dxfId="6999" priority="7291" stopIfTrue="1" operator="greaterThan">
      <formula>1.75</formula>
    </cfRule>
    <cfRule type="cellIs" dxfId="6998" priority="7292" stopIfTrue="1" operator="between">
      <formula>1.25</formula>
      <formula>1.75</formula>
    </cfRule>
  </conditionalFormatting>
  <conditionalFormatting sqref="C914:I914 K914:M914">
    <cfRule type="cellIs" dxfId="6997" priority="7283" stopIfTrue="1" operator="greaterThan">
      <formula>1.75</formula>
    </cfRule>
    <cfRule type="cellIs" dxfId="6996" priority="7284" stopIfTrue="1" operator="between">
      <formula>1.25</formula>
      <formula>1.75</formula>
    </cfRule>
  </conditionalFormatting>
  <conditionalFormatting sqref="R913">
    <cfRule type="cellIs" dxfId="6995" priority="7287" operator="lessThan">
      <formula>1000</formula>
    </cfRule>
    <cfRule type="cellIs" dxfId="6994" priority="7288" operator="lessThan">
      <formula>2000</formula>
    </cfRule>
  </conditionalFormatting>
  <conditionalFormatting sqref="C914:I914 K914:M914">
    <cfRule type="cellIs" dxfId="6993" priority="7285" stopIfTrue="1" operator="greaterThan">
      <formula>1.75</formula>
    </cfRule>
    <cfRule type="cellIs" dxfId="6992" priority="7286" stopIfTrue="1" operator="between">
      <formula>1.25</formula>
      <formula>1.75</formula>
    </cfRule>
  </conditionalFormatting>
  <conditionalFormatting sqref="C914:I914 K914:M914">
    <cfRule type="cellIs" dxfId="6991" priority="7281" stopIfTrue="1" operator="greaterThan">
      <formula>1.75</formula>
    </cfRule>
    <cfRule type="cellIs" dxfId="6990" priority="7282" stopIfTrue="1" operator="between">
      <formula>1.25</formula>
      <formula>1.75</formula>
    </cfRule>
  </conditionalFormatting>
  <conditionalFormatting sqref="N914">
    <cfRule type="cellIs" dxfId="6989" priority="7275" stopIfTrue="1" operator="greaterThan">
      <formula>1.75</formula>
    </cfRule>
    <cfRule type="cellIs" dxfId="6988" priority="7276" stopIfTrue="1" operator="between">
      <formula>1.25</formula>
      <formula>1.75</formula>
    </cfRule>
  </conditionalFormatting>
  <conditionalFormatting sqref="N914">
    <cfRule type="cellIs" dxfId="6987" priority="7279" stopIfTrue="1" operator="greaterThan">
      <formula>1.75</formula>
    </cfRule>
    <cfRule type="cellIs" dxfId="6986" priority="7280" stopIfTrue="1" operator="between">
      <formula>1.25</formula>
      <formula>1.75</formula>
    </cfRule>
  </conditionalFormatting>
  <conditionalFormatting sqref="N914">
    <cfRule type="cellIs" dxfId="6985" priority="7277" stopIfTrue="1" operator="greaterThan">
      <formula>1.75</formula>
    </cfRule>
    <cfRule type="cellIs" dxfId="6984" priority="7278" stopIfTrue="1" operator="between">
      <formula>1.25</formula>
      <formula>1.75</formula>
    </cfRule>
  </conditionalFormatting>
  <conditionalFormatting sqref="Q914">
    <cfRule type="cellIs" dxfId="6983" priority="7271" stopIfTrue="1" operator="greaterThan">
      <formula>1.75</formula>
    </cfRule>
    <cfRule type="cellIs" dxfId="6982" priority="7272" stopIfTrue="1" operator="between">
      <formula>1.25</formula>
      <formula>1.75</formula>
    </cfRule>
  </conditionalFormatting>
  <conditionalFormatting sqref="P914">
    <cfRule type="cellIs" dxfId="6981" priority="7273" stopIfTrue="1" operator="greaterThan">
      <formula>1.75</formula>
    </cfRule>
    <cfRule type="cellIs" dxfId="6980" priority="7274" stopIfTrue="1" operator="between">
      <formula>1.25</formula>
      <formula>1.75</formula>
    </cfRule>
  </conditionalFormatting>
  <conditionalFormatting sqref="O914">
    <cfRule type="cellIs" dxfId="6979" priority="7267" stopIfTrue="1" operator="greaterThan">
      <formula>1.75</formula>
    </cfRule>
    <cfRule type="cellIs" dxfId="6978" priority="7268" stopIfTrue="1" operator="between">
      <formula>1.25</formula>
      <formula>1.75</formula>
    </cfRule>
  </conditionalFormatting>
  <conditionalFormatting sqref="O914">
    <cfRule type="cellIs" dxfId="6977" priority="7269" stopIfTrue="1" operator="greaterThan">
      <formula>1.75</formula>
    </cfRule>
    <cfRule type="cellIs" dxfId="6976" priority="7270" stopIfTrue="1" operator="between">
      <formula>1.25</formula>
      <formula>1.75</formula>
    </cfRule>
  </conditionalFormatting>
  <conditionalFormatting sqref="O914">
    <cfRule type="cellIs" dxfId="6975" priority="7265" stopIfTrue="1" operator="greaterThan">
      <formula>1.75</formula>
    </cfRule>
    <cfRule type="cellIs" dxfId="6974" priority="7266" stopIfTrue="1" operator="between">
      <formula>1.25</formula>
      <formula>1.75</formula>
    </cfRule>
  </conditionalFormatting>
  <conditionalFormatting sqref="J914">
    <cfRule type="cellIs" dxfId="6973" priority="7263" stopIfTrue="1" operator="greaterThan">
      <formula>1.75</formula>
    </cfRule>
    <cfRule type="cellIs" dxfId="6972" priority="7264" stopIfTrue="1" operator="between">
      <formula>1.25</formula>
      <formula>1.75</formula>
    </cfRule>
  </conditionalFormatting>
  <conditionalFormatting sqref="J914">
    <cfRule type="cellIs" dxfId="6971" priority="7261" stopIfTrue="1" operator="greaterThan">
      <formula>1.75</formula>
    </cfRule>
    <cfRule type="cellIs" dxfId="6970" priority="7262" stopIfTrue="1" operator="between">
      <formula>1.25</formula>
      <formula>1.75</formula>
    </cfRule>
  </conditionalFormatting>
  <conditionalFormatting sqref="J902">
    <cfRule type="cellIs" dxfId="6969" priority="7229" stopIfTrue="1" operator="greaterThan">
      <formula>1.75</formula>
    </cfRule>
    <cfRule type="cellIs" dxfId="6968" priority="7230" stopIfTrue="1" operator="between">
      <formula>1.25</formula>
      <formula>1.75</formula>
    </cfRule>
  </conditionalFormatting>
  <conditionalFormatting sqref="C902:I902 K902:M902">
    <cfRule type="cellIs" dxfId="6967" priority="7253" stopIfTrue="1" operator="greaterThan">
      <formula>1.75</formula>
    </cfRule>
    <cfRule type="cellIs" dxfId="6966" priority="7254" stopIfTrue="1" operator="between">
      <formula>1.25</formula>
      <formula>1.75</formula>
    </cfRule>
  </conditionalFormatting>
  <conditionalFormatting sqref="R901">
    <cfRule type="cellIs" dxfId="6965" priority="7257" operator="lessThan">
      <formula>1000</formula>
    </cfRule>
    <cfRule type="cellIs" dxfId="6964" priority="7258" operator="lessThan">
      <formula>2000</formula>
    </cfRule>
  </conditionalFormatting>
  <conditionalFormatting sqref="C902:I902 K902:M902">
    <cfRule type="cellIs" dxfId="6963" priority="7255" stopIfTrue="1" operator="greaterThan">
      <formula>1.75</formula>
    </cfRule>
    <cfRule type="cellIs" dxfId="6962" priority="7256" stopIfTrue="1" operator="between">
      <formula>1.25</formula>
      <formula>1.75</formula>
    </cfRule>
  </conditionalFormatting>
  <conditionalFormatting sqref="C902:I902 K902:M902">
    <cfRule type="cellIs" dxfId="6961" priority="7251" stopIfTrue="1" operator="greaterThan">
      <formula>1.75</formula>
    </cfRule>
    <cfRule type="cellIs" dxfId="6960" priority="7252" stopIfTrue="1" operator="between">
      <formula>1.25</formula>
      <formula>1.75</formula>
    </cfRule>
  </conditionalFormatting>
  <conditionalFormatting sqref="N902">
    <cfRule type="cellIs" dxfId="6959" priority="7245" stopIfTrue="1" operator="greaterThan">
      <formula>1.75</formula>
    </cfRule>
    <cfRule type="cellIs" dxfId="6958" priority="7246" stopIfTrue="1" operator="between">
      <formula>1.25</formula>
      <formula>1.75</formula>
    </cfRule>
  </conditionalFormatting>
  <conditionalFormatting sqref="N902">
    <cfRule type="cellIs" dxfId="6957" priority="7249" stopIfTrue="1" operator="greaterThan">
      <formula>1.75</formula>
    </cfRule>
    <cfRule type="cellIs" dxfId="6956" priority="7250" stopIfTrue="1" operator="between">
      <formula>1.25</formula>
      <formula>1.75</formula>
    </cfRule>
  </conditionalFormatting>
  <conditionalFormatting sqref="N902">
    <cfRule type="cellIs" dxfId="6955" priority="7247" stopIfTrue="1" operator="greaterThan">
      <formula>1.75</formula>
    </cfRule>
    <cfRule type="cellIs" dxfId="6954" priority="7248" stopIfTrue="1" operator="between">
      <formula>1.25</formula>
      <formula>1.75</formula>
    </cfRule>
  </conditionalFormatting>
  <conditionalFormatting sqref="Q902">
    <cfRule type="cellIs" dxfId="6953" priority="7241" stopIfTrue="1" operator="greaterThan">
      <formula>1.75</formula>
    </cfRule>
    <cfRule type="cellIs" dxfId="6952" priority="7242" stopIfTrue="1" operator="between">
      <formula>1.25</formula>
      <formula>1.75</formula>
    </cfRule>
  </conditionalFormatting>
  <conditionalFormatting sqref="P902">
    <cfRule type="cellIs" dxfId="6951" priority="7243" stopIfTrue="1" operator="greaterThan">
      <formula>1.75</formula>
    </cfRule>
    <cfRule type="cellIs" dxfId="6950" priority="7244" stopIfTrue="1" operator="between">
      <formula>1.25</formula>
      <formula>1.75</formula>
    </cfRule>
  </conditionalFormatting>
  <conditionalFormatting sqref="O902">
    <cfRule type="cellIs" dxfId="6949" priority="7237" stopIfTrue="1" operator="greaterThan">
      <formula>1.75</formula>
    </cfRule>
    <cfRule type="cellIs" dxfId="6948" priority="7238" stopIfTrue="1" operator="between">
      <formula>1.25</formula>
      <formula>1.75</formula>
    </cfRule>
  </conditionalFormatting>
  <conditionalFormatting sqref="O902">
    <cfRule type="cellIs" dxfId="6947" priority="7239" stopIfTrue="1" operator="greaterThan">
      <formula>1.75</formula>
    </cfRule>
    <cfRule type="cellIs" dxfId="6946" priority="7240" stopIfTrue="1" operator="between">
      <formula>1.25</formula>
      <formula>1.75</formula>
    </cfRule>
  </conditionalFormatting>
  <conditionalFormatting sqref="O902">
    <cfRule type="cellIs" dxfId="6945" priority="7235" stopIfTrue="1" operator="greaterThan">
      <formula>1.75</formula>
    </cfRule>
    <cfRule type="cellIs" dxfId="6944" priority="7236" stopIfTrue="1" operator="between">
      <formula>1.25</formula>
      <formula>1.75</formula>
    </cfRule>
  </conditionalFormatting>
  <conditionalFormatting sqref="J902">
    <cfRule type="cellIs" dxfId="6943" priority="7233" stopIfTrue="1" operator="greaterThan">
      <formula>1.75</formula>
    </cfRule>
    <cfRule type="cellIs" dxfId="6942" priority="7234" stopIfTrue="1" operator="between">
      <formula>1.25</formula>
      <formula>1.75</formula>
    </cfRule>
  </conditionalFormatting>
  <conditionalFormatting sqref="J902">
    <cfRule type="cellIs" dxfId="6941" priority="7231" stopIfTrue="1" operator="greaterThan">
      <formula>1.75</formula>
    </cfRule>
    <cfRule type="cellIs" dxfId="6940" priority="7232" stopIfTrue="1" operator="between">
      <formula>1.25</formula>
      <formula>1.75</formula>
    </cfRule>
  </conditionalFormatting>
  <conditionalFormatting sqref="J890">
    <cfRule type="cellIs" dxfId="6939" priority="7199" stopIfTrue="1" operator="greaterThan">
      <formula>1.75</formula>
    </cfRule>
    <cfRule type="cellIs" dxfId="6938" priority="7200" stopIfTrue="1" operator="between">
      <formula>1.25</formula>
      <formula>1.75</formula>
    </cfRule>
  </conditionalFormatting>
  <conditionalFormatting sqref="C890:I890 K890:M890">
    <cfRule type="cellIs" dxfId="6937" priority="7223" stopIfTrue="1" operator="greaterThan">
      <formula>1.75</formula>
    </cfRule>
    <cfRule type="cellIs" dxfId="6936" priority="7224" stopIfTrue="1" operator="between">
      <formula>1.25</formula>
      <formula>1.75</formula>
    </cfRule>
  </conditionalFormatting>
  <conditionalFormatting sqref="R889">
    <cfRule type="cellIs" dxfId="6935" priority="7227" operator="lessThan">
      <formula>1000</formula>
    </cfRule>
    <cfRule type="cellIs" dxfId="6934" priority="7228" operator="lessThan">
      <formula>2000</formula>
    </cfRule>
  </conditionalFormatting>
  <conditionalFormatting sqref="C890:I890 K890:M890">
    <cfRule type="cellIs" dxfId="6933" priority="7225" stopIfTrue="1" operator="greaterThan">
      <formula>1.75</formula>
    </cfRule>
    <cfRule type="cellIs" dxfId="6932" priority="7226" stopIfTrue="1" operator="between">
      <formula>1.25</formula>
      <formula>1.75</formula>
    </cfRule>
  </conditionalFormatting>
  <conditionalFormatting sqref="C890:I890 K890:M890">
    <cfRule type="cellIs" dxfId="6931" priority="7221" stopIfTrue="1" operator="greaterThan">
      <formula>1.75</formula>
    </cfRule>
    <cfRule type="cellIs" dxfId="6930" priority="7222" stopIfTrue="1" operator="between">
      <formula>1.25</formula>
      <formula>1.75</formula>
    </cfRule>
  </conditionalFormatting>
  <conditionalFormatting sqref="N890">
    <cfRule type="cellIs" dxfId="6929" priority="7215" stopIfTrue="1" operator="greaterThan">
      <formula>1.75</formula>
    </cfRule>
    <cfRule type="cellIs" dxfId="6928" priority="7216" stopIfTrue="1" operator="between">
      <formula>1.25</formula>
      <formula>1.75</formula>
    </cfRule>
  </conditionalFormatting>
  <conditionalFormatting sqref="N890">
    <cfRule type="cellIs" dxfId="6927" priority="7219" stopIfTrue="1" operator="greaterThan">
      <formula>1.75</formula>
    </cfRule>
    <cfRule type="cellIs" dxfId="6926" priority="7220" stopIfTrue="1" operator="between">
      <formula>1.25</formula>
      <formula>1.75</formula>
    </cfRule>
  </conditionalFormatting>
  <conditionalFormatting sqref="N890">
    <cfRule type="cellIs" dxfId="6925" priority="7217" stopIfTrue="1" operator="greaterThan">
      <formula>1.75</formula>
    </cfRule>
    <cfRule type="cellIs" dxfId="6924" priority="7218" stopIfTrue="1" operator="between">
      <formula>1.25</formula>
      <formula>1.75</formula>
    </cfRule>
  </conditionalFormatting>
  <conditionalFormatting sqref="Q890">
    <cfRule type="cellIs" dxfId="6923" priority="7211" stopIfTrue="1" operator="greaterThan">
      <formula>1.75</formula>
    </cfRule>
    <cfRule type="cellIs" dxfId="6922" priority="7212" stopIfTrue="1" operator="between">
      <formula>1.25</formula>
      <formula>1.75</formula>
    </cfRule>
  </conditionalFormatting>
  <conditionalFormatting sqref="P890">
    <cfRule type="cellIs" dxfId="6921" priority="7213" stopIfTrue="1" operator="greaterThan">
      <formula>1.75</formula>
    </cfRule>
    <cfRule type="cellIs" dxfId="6920" priority="7214" stopIfTrue="1" operator="between">
      <formula>1.25</formula>
      <formula>1.75</formula>
    </cfRule>
  </conditionalFormatting>
  <conditionalFormatting sqref="O890">
    <cfRule type="cellIs" dxfId="6919" priority="7207" stopIfTrue="1" operator="greaterThan">
      <formula>1.75</formula>
    </cfRule>
    <cfRule type="cellIs" dxfId="6918" priority="7208" stopIfTrue="1" operator="between">
      <formula>1.25</formula>
      <formula>1.75</formula>
    </cfRule>
  </conditionalFormatting>
  <conditionalFormatting sqref="O890">
    <cfRule type="cellIs" dxfId="6917" priority="7209" stopIfTrue="1" operator="greaterThan">
      <formula>1.75</formula>
    </cfRule>
    <cfRule type="cellIs" dxfId="6916" priority="7210" stopIfTrue="1" operator="between">
      <formula>1.25</formula>
      <formula>1.75</formula>
    </cfRule>
  </conditionalFormatting>
  <conditionalFormatting sqref="O890">
    <cfRule type="cellIs" dxfId="6915" priority="7205" stopIfTrue="1" operator="greaterThan">
      <formula>1.75</formula>
    </cfRule>
    <cfRule type="cellIs" dxfId="6914" priority="7206" stopIfTrue="1" operator="between">
      <formula>1.25</formula>
      <formula>1.75</formula>
    </cfRule>
  </conditionalFormatting>
  <conditionalFormatting sqref="J890">
    <cfRule type="cellIs" dxfId="6913" priority="7203" stopIfTrue="1" operator="greaterThan">
      <formula>1.75</formula>
    </cfRule>
    <cfRule type="cellIs" dxfId="6912" priority="7204" stopIfTrue="1" operator="between">
      <formula>1.25</formula>
      <formula>1.75</formula>
    </cfRule>
  </conditionalFormatting>
  <conditionalFormatting sqref="J890">
    <cfRule type="cellIs" dxfId="6911" priority="7201" stopIfTrue="1" operator="greaterThan">
      <formula>1.75</formula>
    </cfRule>
    <cfRule type="cellIs" dxfId="6910" priority="7202" stopIfTrue="1" operator="between">
      <formula>1.25</formula>
      <formula>1.75</formula>
    </cfRule>
  </conditionalFormatting>
  <conditionalFormatting sqref="J878">
    <cfRule type="cellIs" dxfId="6909" priority="7169" stopIfTrue="1" operator="greaterThan">
      <formula>1.75</formula>
    </cfRule>
    <cfRule type="cellIs" dxfId="6908" priority="7170" stopIfTrue="1" operator="between">
      <formula>1.25</formula>
      <formula>1.75</formula>
    </cfRule>
  </conditionalFormatting>
  <conditionalFormatting sqref="C878:I878 K878:M878">
    <cfRule type="cellIs" dxfId="6907" priority="7193" stopIfTrue="1" operator="greaterThan">
      <formula>1.75</formula>
    </cfRule>
    <cfRule type="cellIs" dxfId="6906" priority="7194" stopIfTrue="1" operator="between">
      <formula>1.25</formula>
      <formula>1.75</formula>
    </cfRule>
  </conditionalFormatting>
  <conditionalFormatting sqref="R877">
    <cfRule type="cellIs" dxfId="6905" priority="7197" operator="lessThan">
      <formula>1000</formula>
    </cfRule>
    <cfRule type="cellIs" dxfId="6904" priority="7198" operator="lessThan">
      <formula>2000</formula>
    </cfRule>
  </conditionalFormatting>
  <conditionalFormatting sqref="C878:I878 K878:M878">
    <cfRule type="cellIs" dxfId="6903" priority="7195" stopIfTrue="1" operator="greaterThan">
      <formula>1.75</formula>
    </cfRule>
    <cfRule type="cellIs" dxfId="6902" priority="7196" stopIfTrue="1" operator="between">
      <formula>1.25</formula>
      <formula>1.75</formula>
    </cfRule>
  </conditionalFormatting>
  <conditionalFormatting sqref="C878:I878 K878:M878">
    <cfRule type="cellIs" dxfId="6901" priority="7191" stopIfTrue="1" operator="greaterThan">
      <formula>1.75</formula>
    </cfRule>
    <cfRule type="cellIs" dxfId="6900" priority="7192" stopIfTrue="1" operator="between">
      <formula>1.25</formula>
      <formula>1.75</formula>
    </cfRule>
  </conditionalFormatting>
  <conditionalFormatting sqref="N878">
    <cfRule type="cellIs" dxfId="6899" priority="7185" stopIfTrue="1" operator="greaterThan">
      <formula>1.75</formula>
    </cfRule>
    <cfRule type="cellIs" dxfId="6898" priority="7186" stopIfTrue="1" operator="between">
      <formula>1.25</formula>
      <formula>1.75</formula>
    </cfRule>
  </conditionalFormatting>
  <conditionalFormatting sqref="N878">
    <cfRule type="cellIs" dxfId="6897" priority="7189" stopIfTrue="1" operator="greaterThan">
      <formula>1.75</formula>
    </cfRule>
    <cfRule type="cellIs" dxfId="6896" priority="7190" stopIfTrue="1" operator="between">
      <formula>1.25</formula>
      <formula>1.75</formula>
    </cfRule>
  </conditionalFormatting>
  <conditionalFormatting sqref="N878">
    <cfRule type="cellIs" dxfId="6895" priority="7187" stopIfTrue="1" operator="greaterThan">
      <formula>1.75</formula>
    </cfRule>
    <cfRule type="cellIs" dxfId="6894" priority="7188" stopIfTrue="1" operator="between">
      <formula>1.25</formula>
      <formula>1.75</formula>
    </cfRule>
  </conditionalFormatting>
  <conditionalFormatting sqref="Q878">
    <cfRule type="cellIs" dxfId="6893" priority="7181" stopIfTrue="1" operator="greaterThan">
      <formula>1.75</formula>
    </cfRule>
    <cfRule type="cellIs" dxfId="6892" priority="7182" stopIfTrue="1" operator="between">
      <formula>1.25</formula>
      <formula>1.75</formula>
    </cfRule>
  </conditionalFormatting>
  <conditionalFormatting sqref="P878">
    <cfRule type="cellIs" dxfId="6891" priority="7183" stopIfTrue="1" operator="greaterThan">
      <formula>1.75</formula>
    </cfRule>
    <cfRule type="cellIs" dxfId="6890" priority="7184" stopIfTrue="1" operator="between">
      <formula>1.25</formula>
      <formula>1.75</formula>
    </cfRule>
  </conditionalFormatting>
  <conditionalFormatting sqref="O878">
    <cfRule type="cellIs" dxfId="6889" priority="7177" stopIfTrue="1" operator="greaterThan">
      <formula>1.75</formula>
    </cfRule>
    <cfRule type="cellIs" dxfId="6888" priority="7178" stopIfTrue="1" operator="between">
      <formula>1.25</formula>
      <formula>1.75</formula>
    </cfRule>
  </conditionalFormatting>
  <conditionalFormatting sqref="O878">
    <cfRule type="cellIs" dxfId="6887" priority="7179" stopIfTrue="1" operator="greaterThan">
      <formula>1.75</formula>
    </cfRule>
    <cfRule type="cellIs" dxfId="6886" priority="7180" stopIfTrue="1" operator="between">
      <formula>1.25</formula>
      <formula>1.75</formula>
    </cfRule>
  </conditionalFormatting>
  <conditionalFormatting sqref="O878">
    <cfRule type="cellIs" dxfId="6885" priority="7175" stopIfTrue="1" operator="greaterThan">
      <formula>1.75</formula>
    </cfRule>
    <cfRule type="cellIs" dxfId="6884" priority="7176" stopIfTrue="1" operator="between">
      <formula>1.25</formula>
      <formula>1.75</formula>
    </cfRule>
  </conditionalFormatting>
  <conditionalFormatting sqref="J878">
    <cfRule type="cellIs" dxfId="6883" priority="7173" stopIfTrue="1" operator="greaterThan">
      <formula>1.75</formula>
    </cfRule>
    <cfRule type="cellIs" dxfId="6882" priority="7174" stopIfTrue="1" operator="between">
      <formula>1.25</formula>
      <formula>1.75</formula>
    </cfRule>
  </conditionalFormatting>
  <conditionalFormatting sqref="J878">
    <cfRule type="cellIs" dxfId="6881" priority="7171" stopIfTrue="1" operator="greaterThan">
      <formula>1.75</formula>
    </cfRule>
    <cfRule type="cellIs" dxfId="6880" priority="7172" stopIfTrue="1" operator="between">
      <formula>1.25</formula>
      <formula>1.75</formula>
    </cfRule>
  </conditionalFormatting>
  <conditionalFormatting sqref="J866">
    <cfRule type="cellIs" dxfId="6879" priority="7139" stopIfTrue="1" operator="greaterThan">
      <formula>1.75</formula>
    </cfRule>
    <cfRule type="cellIs" dxfId="6878" priority="7140" stopIfTrue="1" operator="between">
      <formula>1.25</formula>
      <formula>1.75</formula>
    </cfRule>
  </conditionalFormatting>
  <conditionalFormatting sqref="C866:I866 K866:M866">
    <cfRule type="cellIs" dxfId="6877" priority="7163" stopIfTrue="1" operator="greaterThan">
      <formula>1.75</formula>
    </cfRule>
    <cfRule type="cellIs" dxfId="6876" priority="7164" stopIfTrue="1" operator="between">
      <formula>1.25</formula>
      <formula>1.75</formula>
    </cfRule>
  </conditionalFormatting>
  <conditionalFormatting sqref="R865">
    <cfRule type="cellIs" dxfId="6875" priority="7167" operator="lessThan">
      <formula>1000</formula>
    </cfRule>
    <cfRule type="cellIs" dxfId="6874" priority="7168" operator="lessThan">
      <formula>2000</formula>
    </cfRule>
  </conditionalFormatting>
  <conditionalFormatting sqref="C866:I866 K866:M866">
    <cfRule type="cellIs" dxfId="6873" priority="7165" stopIfTrue="1" operator="greaterThan">
      <formula>1.75</formula>
    </cfRule>
    <cfRule type="cellIs" dxfId="6872" priority="7166" stopIfTrue="1" operator="between">
      <formula>1.25</formula>
      <formula>1.75</formula>
    </cfRule>
  </conditionalFormatting>
  <conditionalFormatting sqref="C866:I866 K866:M866">
    <cfRule type="cellIs" dxfId="6871" priority="7161" stopIfTrue="1" operator="greaterThan">
      <formula>1.75</formula>
    </cfRule>
    <cfRule type="cellIs" dxfId="6870" priority="7162" stopIfTrue="1" operator="between">
      <formula>1.25</formula>
      <formula>1.75</formula>
    </cfRule>
  </conditionalFormatting>
  <conditionalFormatting sqref="N866">
    <cfRule type="cellIs" dxfId="6869" priority="7155" stopIfTrue="1" operator="greaterThan">
      <formula>1.75</formula>
    </cfRule>
    <cfRule type="cellIs" dxfId="6868" priority="7156" stopIfTrue="1" operator="between">
      <formula>1.25</formula>
      <formula>1.75</formula>
    </cfRule>
  </conditionalFormatting>
  <conditionalFormatting sqref="N866">
    <cfRule type="cellIs" dxfId="6867" priority="7159" stopIfTrue="1" operator="greaterThan">
      <formula>1.75</formula>
    </cfRule>
    <cfRule type="cellIs" dxfId="6866" priority="7160" stopIfTrue="1" operator="between">
      <formula>1.25</formula>
      <formula>1.75</formula>
    </cfRule>
  </conditionalFormatting>
  <conditionalFormatting sqref="N866">
    <cfRule type="cellIs" dxfId="6865" priority="7157" stopIfTrue="1" operator="greaterThan">
      <formula>1.75</formula>
    </cfRule>
    <cfRule type="cellIs" dxfId="6864" priority="7158" stopIfTrue="1" operator="between">
      <formula>1.25</formula>
      <formula>1.75</formula>
    </cfRule>
  </conditionalFormatting>
  <conditionalFormatting sqref="Q866">
    <cfRule type="cellIs" dxfId="6863" priority="7151" stopIfTrue="1" operator="greaterThan">
      <formula>1.75</formula>
    </cfRule>
    <cfRule type="cellIs" dxfId="6862" priority="7152" stopIfTrue="1" operator="between">
      <formula>1.25</formula>
      <formula>1.75</formula>
    </cfRule>
  </conditionalFormatting>
  <conditionalFormatting sqref="P866">
    <cfRule type="cellIs" dxfId="6861" priority="7153" stopIfTrue="1" operator="greaterThan">
      <formula>1.75</formula>
    </cfRule>
    <cfRule type="cellIs" dxfId="6860" priority="7154" stopIfTrue="1" operator="between">
      <formula>1.25</formula>
      <formula>1.75</formula>
    </cfRule>
  </conditionalFormatting>
  <conditionalFormatting sqref="O866">
    <cfRule type="cellIs" dxfId="6859" priority="7147" stopIfTrue="1" operator="greaterThan">
      <formula>1.75</formula>
    </cfRule>
    <cfRule type="cellIs" dxfId="6858" priority="7148" stopIfTrue="1" operator="between">
      <formula>1.25</formula>
      <formula>1.75</formula>
    </cfRule>
  </conditionalFormatting>
  <conditionalFormatting sqref="O866">
    <cfRule type="cellIs" dxfId="6857" priority="7149" stopIfTrue="1" operator="greaterThan">
      <formula>1.75</formula>
    </cfRule>
    <cfRule type="cellIs" dxfId="6856" priority="7150" stopIfTrue="1" operator="between">
      <formula>1.25</formula>
      <formula>1.75</formula>
    </cfRule>
  </conditionalFormatting>
  <conditionalFormatting sqref="O866">
    <cfRule type="cellIs" dxfId="6855" priority="7145" stopIfTrue="1" operator="greaterThan">
      <formula>1.75</formula>
    </cfRule>
    <cfRule type="cellIs" dxfId="6854" priority="7146" stopIfTrue="1" operator="between">
      <formula>1.25</formula>
      <formula>1.75</formula>
    </cfRule>
  </conditionalFormatting>
  <conditionalFormatting sqref="J866">
    <cfRule type="cellIs" dxfId="6853" priority="7143" stopIfTrue="1" operator="greaterThan">
      <formula>1.75</formula>
    </cfRule>
    <cfRule type="cellIs" dxfId="6852" priority="7144" stopIfTrue="1" operator="between">
      <formula>1.25</formula>
      <formula>1.75</formula>
    </cfRule>
  </conditionalFormatting>
  <conditionalFormatting sqref="J866">
    <cfRule type="cellIs" dxfId="6851" priority="7141" stopIfTrue="1" operator="greaterThan">
      <formula>1.75</formula>
    </cfRule>
    <cfRule type="cellIs" dxfId="6850" priority="7142" stopIfTrue="1" operator="between">
      <formula>1.25</formula>
      <formula>1.75</formula>
    </cfRule>
  </conditionalFormatting>
  <conditionalFormatting sqref="J854">
    <cfRule type="cellIs" dxfId="6849" priority="7109" stopIfTrue="1" operator="greaterThan">
      <formula>1.75</formula>
    </cfRule>
    <cfRule type="cellIs" dxfId="6848" priority="7110" stopIfTrue="1" operator="between">
      <formula>1.25</formula>
      <formula>1.75</formula>
    </cfRule>
  </conditionalFormatting>
  <conditionalFormatting sqref="C854:I854 K854:M854">
    <cfRule type="cellIs" dxfId="6847" priority="7133" stopIfTrue="1" operator="greaterThan">
      <formula>1.75</formula>
    </cfRule>
    <cfRule type="cellIs" dxfId="6846" priority="7134" stopIfTrue="1" operator="between">
      <formula>1.25</formula>
      <formula>1.75</formula>
    </cfRule>
  </conditionalFormatting>
  <conditionalFormatting sqref="R853">
    <cfRule type="cellIs" dxfId="6845" priority="7137" operator="lessThan">
      <formula>1000</formula>
    </cfRule>
    <cfRule type="cellIs" dxfId="6844" priority="7138" operator="lessThan">
      <formula>2000</formula>
    </cfRule>
  </conditionalFormatting>
  <conditionalFormatting sqref="C854:I854 K854:M854">
    <cfRule type="cellIs" dxfId="6843" priority="7135" stopIfTrue="1" operator="greaterThan">
      <formula>1.75</formula>
    </cfRule>
    <cfRule type="cellIs" dxfId="6842" priority="7136" stopIfTrue="1" operator="between">
      <formula>1.25</formula>
      <formula>1.75</formula>
    </cfRule>
  </conditionalFormatting>
  <conditionalFormatting sqref="C854:I854 K854:M854">
    <cfRule type="cellIs" dxfId="6841" priority="7131" stopIfTrue="1" operator="greaterThan">
      <formula>1.75</formula>
    </cfRule>
    <cfRule type="cellIs" dxfId="6840" priority="7132" stopIfTrue="1" operator="between">
      <formula>1.25</formula>
      <formula>1.75</formula>
    </cfRule>
  </conditionalFormatting>
  <conditionalFormatting sqref="N854">
    <cfRule type="cellIs" dxfId="6839" priority="7125" stopIfTrue="1" operator="greaterThan">
      <formula>1.75</formula>
    </cfRule>
    <cfRule type="cellIs" dxfId="6838" priority="7126" stopIfTrue="1" operator="between">
      <formula>1.25</formula>
      <formula>1.75</formula>
    </cfRule>
  </conditionalFormatting>
  <conditionalFormatting sqref="N854">
    <cfRule type="cellIs" dxfId="6837" priority="7129" stopIfTrue="1" operator="greaterThan">
      <formula>1.75</formula>
    </cfRule>
    <cfRule type="cellIs" dxfId="6836" priority="7130" stopIfTrue="1" operator="between">
      <formula>1.25</formula>
      <formula>1.75</formula>
    </cfRule>
  </conditionalFormatting>
  <conditionalFormatting sqref="N854">
    <cfRule type="cellIs" dxfId="6835" priority="7127" stopIfTrue="1" operator="greaterThan">
      <formula>1.75</formula>
    </cfRule>
    <cfRule type="cellIs" dxfId="6834" priority="7128" stopIfTrue="1" operator="between">
      <formula>1.25</formula>
      <formula>1.75</formula>
    </cfRule>
  </conditionalFormatting>
  <conditionalFormatting sqref="Q854">
    <cfRule type="cellIs" dxfId="6833" priority="7121" stopIfTrue="1" operator="greaterThan">
      <formula>1.75</formula>
    </cfRule>
    <cfRule type="cellIs" dxfId="6832" priority="7122" stopIfTrue="1" operator="between">
      <formula>1.25</formula>
      <formula>1.75</formula>
    </cfRule>
  </conditionalFormatting>
  <conditionalFormatting sqref="P854">
    <cfRule type="cellIs" dxfId="6831" priority="7123" stopIfTrue="1" operator="greaterThan">
      <formula>1.75</formula>
    </cfRule>
    <cfRule type="cellIs" dxfId="6830" priority="7124" stopIfTrue="1" operator="between">
      <formula>1.25</formula>
      <formula>1.75</formula>
    </cfRule>
  </conditionalFormatting>
  <conditionalFormatting sqref="O854">
    <cfRule type="cellIs" dxfId="6829" priority="7117" stopIfTrue="1" operator="greaterThan">
      <formula>1.75</formula>
    </cfRule>
    <cfRule type="cellIs" dxfId="6828" priority="7118" stopIfTrue="1" operator="between">
      <formula>1.25</formula>
      <formula>1.75</formula>
    </cfRule>
  </conditionalFormatting>
  <conditionalFormatting sqref="O854">
    <cfRule type="cellIs" dxfId="6827" priority="7119" stopIfTrue="1" operator="greaterThan">
      <formula>1.75</formula>
    </cfRule>
    <cfRule type="cellIs" dxfId="6826" priority="7120" stopIfTrue="1" operator="between">
      <formula>1.25</formula>
      <formula>1.75</formula>
    </cfRule>
  </conditionalFormatting>
  <conditionalFormatting sqref="O854">
    <cfRule type="cellIs" dxfId="6825" priority="7115" stopIfTrue="1" operator="greaterThan">
      <formula>1.75</formula>
    </cfRule>
    <cfRule type="cellIs" dxfId="6824" priority="7116" stopIfTrue="1" operator="between">
      <formula>1.25</formula>
      <formula>1.75</formula>
    </cfRule>
  </conditionalFormatting>
  <conditionalFormatting sqref="J854">
    <cfRule type="cellIs" dxfId="6823" priority="7113" stopIfTrue="1" operator="greaterThan">
      <formula>1.75</formula>
    </cfRule>
    <cfRule type="cellIs" dxfId="6822" priority="7114" stopIfTrue="1" operator="between">
      <formula>1.25</formula>
      <formula>1.75</formula>
    </cfRule>
  </conditionalFormatting>
  <conditionalFormatting sqref="J854">
    <cfRule type="cellIs" dxfId="6821" priority="7111" stopIfTrue="1" operator="greaterThan">
      <formula>1.75</formula>
    </cfRule>
    <cfRule type="cellIs" dxfId="6820" priority="7112" stopIfTrue="1" operator="between">
      <formula>1.25</formula>
      <formula>1.75</formula>
    </cfRule>
  </conditionalFormatting>
  <conditionalFormatting sqref="AC860">
    <cfRule type="cellIs" dxfId="6819" priority="7063" stopIfTrue="1" operator="greaterThan">
      <formula>1.75</formula>
    </cfRule>
    <cfRule type="cellIs" dxfId="6818" priority="7064" stopIfTrue="1" operator="between">
      <formula>1.25</formula>
      <formula>1.75</formula>
    </cfRule>
  </conditionalFormatting>
  <conditionalFormatting sqref="AC860">
    <cfRule type="cellIs" dxfId="6817" priority="7065" stopIfTrue="1" operator="greaterThan">
      <formula>1.75</formula>
    </cfRule>
    <cfRule type="cellIs" dxfId="6816" priority="7066" stopIfTrue="1" operator="between">
      <formula>1.25</formula>
      <formula>1.75</formula>
    </cfRule>
  </conditionalFormatting>
  <conditionalFormatting sqref="AC860">
    <cfRule type="cellIs" dxfId="6815" priority="7061" stopIfTrue="1" operator="greaterThan">
      <formula>1.75</formula>
    </cfRule>
    <cfRule type="cellIs" dxfId="6814" priority="7062" stopIfTrue="1" operator="between">
      <formula>1.25</formula>
      <formula>1.75</formula>
    </cfRule>
  </conditionalFormatting>
  <conditionalFormatting sqref="AC859">
    <cfRule type="cellIs" dxfId="6813" priority="7057" stopIfTrue="1" operator="greaterThan">
      <formula>1.75</formula>
    </cfRule>
    <cfRule type="cellIs" dxfId="6812" priority="7058" stopIfTrue="1" operator="between">
      <formula>1.25</formula>
      <formula>1.75</formula>
    </cfRule>
  </conditionalFormatting>
  <conditionalFormatting sqref="AC859">
    <cfRule type="cellIs" dxfId="6811" priority="7059" stopIfTrue="1" operator="greaterThan">
      <formula>1.75</formula>
    </cfRule>
    <cfRule type="cellIs" dxfId="6810" priority="7060" stopIfTrue="1" operator="between">
      <formula>1.25</formula>
      <formula>1.75</formula>
    </cfRule>
  </conditionalFormatting>
  <conditionalFormatting sqref="AC859">
    <cfRule type="cellIs" dxfId="6809" priority="7055" stopIfTrue="1" operator="greaterThan">
      <formula>1.75</formula>
    </cfRule>
    <cfRule type="cellIs" dxfId="6808" priority="7056" stopIfTrue="1" operator="between">
      <formula>1.25</formula>
      <formula>1.75</formula>
    </cfRule>
  </conditionalFormatting>
  <conditionalFormatting sqref="AD860">
    <cfRule type="cellIs" dxfId="6807" priority="7051" stopIfTrue="1" operator="greaterThan">
      <formula>1.75</formula>
    </cfRule>
    <cfRule type="cellIs" dxfId="6806" priority="7052" stopIfTrue="1" operator="between">
      <formula>1.25</formula>
      <formula>1.75</formula>
    </cfRule>
  </conditionalFormatting>
  <conditionalFormatting sqref="AD860">
    <cfRule type="cellIs" dxfId="6805" priority="7053" stopIfTrue="1" operator="greaterThan">
      <formula>1.75</formula>
    </cfRule>
    <cfRule type="cellIs" dxfId="6804" priority="7054" stopIfTrue="1" operator="between">
      <formula>1.25</formula>
      <formula>1.75</formula>
    </cfRule>
  </conditionalFormatting>
  <conditionalFormatting sqref="AD860">
    <cfRule type="cellIs" dxfId="6803" priority="7049" stopIfTrue="1" operator="greaterThan">
      <formula>1.75</formula>
    </cfRule>
    <cfRule type="cellIs" dxfId="6802" priority="7050" stopIfTrue="1" operator="between">
      <formula>1.25</formula>
      <formula>1.75</formula>
    </cfRule>
  </conditionalFormatting>
  <conditionalFormatting sqref="AD859">
    <cfRule type="cellIs" dxfId="6801" priority="7045" stopIfTrue="1" operator="greaterThan">
      <formula>1.75</formula>
    </cfRule>
    <cfRule type="cellIs" dxfId="6800" priority="7046" stopIfTrue="1" operator="between">
      <formula>1.25</formula>
      <formula>1.75</formula>
    </cfRule>
  </conditionalFormatting>
  <conditionalFormatting sqref="AD859">
    <cfRule type="cellIs" dxfId="6799" priority="7047" stopIfTrue="1" operator="greaterThan">
      <formula>1.75</formula>
    </cfRule>
    <cfRule type="cellIs" dxfId="6798" priority="7048" stopIfTrue="1" operator="between">
      <formula>1.25</formula>
      <formula>1.75</formula>
    </cfRule>
  </conditionalFormatting>
  <conditionalFormatting sqref="AD859">
    <cfRule type="cellIs" dxfId="6797" priority="7043" stopIfTrue="1" operator="greaterThan">
      <formula>1.75</formula>
    </cfRule>
    <cfRule type="cellIs" dxfId="6796" priority="7044" stopIfTrue="1" operator="between">
      <formula>1.25</formula>
      <formula>1.75</formula>
    </cfRule>
  </conditionalFormatting>
  <conditionalFormatting sqref="AE860">
    <cfRule type="cellIs" dxfId="6795" priority="7039" stopIfTrue="1" operator="greaterThan">
      <formula>1.75</formula>
    </cfRule>
    <cfRule type="cellIs" dxfId="6794" priority="7040" stopIfTrue="1" operator="between">
      <formula>1.25</formula>
      <formula>1.75</formula>
    </cfRule>
  </conditionalFormatting>
  <conditionalFormatting sqref="AE860">
    <cfRule type="cellIs" dxfId="6793" priority="7041" stopIfTrue="1" operator="greaterThan">
      <formula>1.75</formula>
    </cfRule>
    <cfRule type="cellIs" dxfId="6792" priority="7042" stopIfTrue="1" operator="between">
      <formula>1.25</formula>
      <formula>1.75</formula>
    </cfRule>
  </conditionalFormatting>
  <conditionalFormatting sqref="AE860">
    <cfRule type="cellIs" dxfId="6791" priority="7037" stopIfTrue="1" operator="greaterThan">
      <formula>1.75</formula>
    </cfRule>
    <cfRule type="cellIs" dxfId="6790" priority="7038" stopIfTrue="1" operator="between">
      <formula>1.25</formula>
      <formula>1.75</formula>
    </cfRule>
  </conditionalFormatting>
  <conditionalFormatting sqref="AE859">
    <cfRule type="cellIs" dxfId="6789" priority="7033" stopIfTrue="1" operator="greaterThan">
      <formula>1.75</formula>
    </cfRule>
    <cfRule type="cellIs" dxfId="6788" priority="7034" stopIfTrue="1" operator="between">
      <formula>1.25</formula>
      <formula>1.75</formula>
    </cfRule>
  </conditionalFormatting>
  <conditionalFormatting sqref="AE859">
    <cfRule type="cellIs" dxfId="6787" priority="7035" stopIfTrue="1" operator="greaterThan">
      <formula>1.75</formula>
    </cfRule>
    <cfRule type="cellIs" dxfId="6786" priority="7036" stopIfTrue="1" operator="between">
      <formula>1.25</formula>
      <formula>1.75</formula>
    </cfRule>
  </conditionalFormatting>
  <conditionalFormatting sqref="AE859">
    <cfRule type="cellIs" dxfId="6785" priority="7031" stopIfTrue="1" operator="greaterThan">
      <formula>1.75</formula>
    </cfRule>
    <cfRule type="cellIs" dxfId="6784" priority="7032" stopIfTrue="1" operator="between">
      <formula>1.25</formula>
      <formula>1.75</formula>
    </cfRule>
  </conditionalFormatting>
  <conditionalFormatting sqref="J842">
    <cfRule type="cellIs" dxfId="6783" priority="7001" stopIfTrue="1" operator="greaterThan">
      <formula>1.75</formula>
    </cfRule>
    <cfRule type="cellIs" dxfId="6782" priority="7002" stopIfTrue="1" operator="between">
      <formula>1.25</formula>
      <formula>1.75</formula>
    </cfRule>
  </conditionalFormatting>
  <conditionalFormatting sqref="C842:I842 K842:M842">
    <cfRule type="cellIs" dxfId="6781" priority="7025" stopIfTrue="1" operator="greaterThan">
      <formula>1.75</formula>
    </cfRule>
    <cfRule type="cellIs" dxfId="6780" priority="7026" stopIfTrue="1" operator="between">
      <formula>1.25</formula>
      <formula>1.75</formula>
    </cfRule>
  </conditionalFormatting>
  <conditionalFormatting sqref="R841">
    <cfRule type="cellIs" dxfId="6779" priority="7029" operator="lessThan">
      <formula>1000</formula>
    </cfRule>
    <cfRule type="cellIs" dxfId="6778" priority="7030" operator="lessThan">
      <formula>2000</formula>
    </cfRule>
  </conditionalFormatting>
  <conditionalFormatting sqref="C842:I842 K842:M842">
    <cfRule type="cellIs" dxfId="6777" priority="7027" stopIfTrue="1" operator="greaterThan">
      <formula>1.75</formula>
    </cfRule>
    <cfRule type="cellIs" dxfId="6776" priority="7028" stopIfTrue="1" operator="between">
      <formula>1.25</formula>
      <formula>1.75</formula>
    </cfRule>
  </conditionalFormatting>
  <conditionalFormatting sqref="C842:I842 K842:M842">
    <cfRule type="cellIs" dxfId="6775" priority="7023" stopIfTrue="1" operator="greaterThan">
      <formula>1.75</formula>
    </cfRule>
    <cfRule type="cellIs" dxfId="6774" priority="7024" stopIfTrue="1" operator="between">
      <formula>1.25</formula>
      <formula>1.75</formula>
    </cfRule>
  </conditionalFormatting>
  <conditionalFormatting sqref="N842">
    <cfRule type="cellIs" dxfId="6773" priority="7017" stopIfTrue="1" operator="greaterThan">
      <formula>1.75</formula>
    </cfRule>
    <cfRule type="cellIs" dxfId="6772" priority="7018" stopIfTrue="1" operator="between">
      <formula>1.25</formula>
      <formula>1.75</formula>
    </cfRule>
  </conditionalFormatting>
  <conditionalFormatting sqref="N842">
    <cfRule type="cellIs" dxfId="6771" priority="7021" stopIfTrue="1" operator="greaterThan">
      <formula>1.75</formula>
    </cfRule>
    <cfRule type="cellIs" dxfId="6770" priority="7022" stopIfTrue="1" operator="between">
      <formula>1.25</formula>
      <formula>1.75</formula>
    </cfRule>
  </conditionalFormatting>
  <conditionalFormatting sqref="N842">
    <cfRule type="cellIs" dxfId="6769" priority="7019" stopIfTrue="1" operator="greaterThan">
      <formula>1.75</formula>
    </cfRule>
    <cfRule type="cellIs" dxfId="6768" priority="7020" stopIfTrue="1" operator="between">
      <formula>1.25</formula>
      <formula>1.75</formula>
    </cfRule>
  </conditionalFormatting>
  <conditionalFormatting sqref="Q842">
    <cfRule type="cellIs" dxfId="6767" priority="7013" stopIfTrue="1" operator="greaterThan">
      <formula>1.75</formula>
    </cfRule>
    <cfRule type="cellIs" dxfId="6766" priority="7014" stopIfTrue="1" operator="between">
      <formula>1.25</formula>
      <formula>1.75</formula>
    </cfRule>
  </conditionalFormatting>
  <conditionalFormatting sqref="P842">
    <cfRule type="cellIs" dxfId="6765" priority="7015" stopIfTrue="1" operator="greaterThan">
      <formula>1.75</formula>
    </cfRule>
    <cfRule type="cellIs" dxfId="6764" priority="7016" stopIfTrue="1" operator="between">
      <formula>1.25</formula>
      <formula>1.75</formula>
    </cfRule>
  </conditionalFormatting>
  <conditionalFormatting sqref="O842">
    <cfRule type="cellIs" dxfId="6763" priority="7009" stopIfTrue="1" operator="greaterThan">
      <formula>1.75</formula>
    </cfRule>
    <cfRule type="cellIs" dxfId="6762" priority="7010" stopIfTrue="1" operator="between">
      <formula>1.25</formula>
      <formula>1.75</formula>
    </cfRule>
  </conditionalFormatting>
  <conditionalFormatting sqref="O842">
    <cfRule type="cellIs" dxfId="6761" priority="7011" stopIfTrue="1" operator="greaterThan">
      <formula>1.75</formula>
    </cfRule>
    <cfRule type="cellIs" dxfId="6760" priority="7012" stopIfTrue="1" operator="between">
      <formula>1.25</formula>
      <formula>1.75</formula>
    </cfRule>
  </conditionalFormatting>
  <conditionalFormatting sqref="O842">
    <cfRule type="cellIs" dxfId="6759" priority="7007" stopIfTrue="1" operator="greaterThan">
      <formula>1.75</formula>
    </cfRule>
    <cfRule type="cellIs" dxfId="6758" priority="7008" stopIfTrue="1" operator="between">
      <formula>1.25</formula>
      <formula>1.75</formula>
    </cfRule>
  </conditionalFormatting>
  <conditionalFormatting sqref="J842">
    <cfRule type="cellIs" dxfId="6757" priority="7005" stopIfTrue="1" operator="greaterThan">
      <formula>1.75</formula>
    </cfRule>
    <cfRule type="cellIs" dxfId="6756" priority="7006" stopIfTrue="1" operator="between">
      <formula>1.25</formula>
      <formula>1.75</formula>
    </cfRule>
  </conditionalFormatting>
  <conditionalFormatting sqref="J842">
    <cfRule type="cellIs" dxfId="6755" priority="7003" stopIfTrue="1" operator="greaterThan">
      <formula>1.75</formula>
    </cfRule>
    <cfRule type="cellIs" dxfId="6754" priority="7004" stopIfTrue="1" operator="between">
      <formula>1.25</formula>
      <formula>1.75</formula>
    </cfRule>
  </conditionalFormatting>
  <conditionalFormatting sqref="J830">
    <cfRule type="cellIs" dxfId="6753" priority="6971" stopIfTrue="1" operator="greaterThan">
      <formula>1.75</formula>
    </cfRule>
    <cfRule type="cellIs" dxfId="6752" priority="6972" stopIfTrue="1" operator="between">
      <formula>1.25</formula>
      <formula>1.75</formula>
    </cfRule>
  </conditionalFormatting>
  <conditionalFormatting sqref="C830:I830 K830:M830">
    <cfRule type="cellIs" dxfId="6751" priority="6995" stopIfTrue="1" operator="greaterThan">
      <formula>1.75</formula>
    </cfRule>
    <cfRule type="cellIs" dxfId="6750" priority="6996" stopIfTrue="1" operator="between">
      <formula>1.25</formula>
      <formula>1.75</formula>
    </cfRule>
  </conditionalFormatting>
  <conditionalFormatting sqref="R829">
    <cfRule type="cellIs" dxfId="6749" priority="6999" operator="lessThan">
      <formula>1000</formula>
    </cfRule>
    <cfRule type="cellIs" dxfId="6748" priority="7000" operator="lessThan">
      <formula>2000</formula>
    </cfRule>
  </conditionalFormatting>
  <conditionalFormatting sqref="C830:I830 K830:M830">
    <cfRule type="cellIs" dxfId="6747" priority="6997" stopIfTrue="1" operator="greaterThan">
      <formula>1.75</formula>
    </cfRule>
    <cfRule type="cellIs" dxfId="6746" priority="6998" stopIfTrue="1" operator="between">
      <formula>1.25</formula>
      <formula>1.75</formula>
    </cfRule>
  </conditionalFormatting>
  <conditionalFormatting sqref="C830:I830 K830:M830">
    <cfRule type="cellIs" dxfId="6745" priority="6993" stopIfTrue="1" operator="greaterThan">
      <formula>1.75</formula>
    </cfRule>
    <cfRule type="cellIs" dxfId="6744" priority="6994" stopIfTrue="1" operator="between">
      <formula>1.25</formula>
      <formula>1.75</formula>
    </cfRule>
  </conditionalFormatting>
  <conditionalFormatting sqref="N830">
    <cfRule type="cellIs" dxfId="6743" priority="6987" stopIfTrue="1" operator="greaterThan">
      <formula>1.75</formula>
    </cfRule>
    <cfRule type="cellIs" dxfId="6742" priority="6988" stopIfTrue="1" operator="between">
      <formula>1.25</formula>
      <formula>1.75</formula>
    </cfRule>
  </conditionalFormatting>
  <conditionalFormatting sqref="N830">
    <cfRule type="cellIs" dxfId="6741" priority="6991" stopIfTrue="1" operator="greaterThan">
      <formula>1.75</formula>
    </cfRule>
    <cfRule type="cellIs" dxfId="6740" priority="6992" stopIfTrue="1" operator="between">
      <formula>1.25</formula>
      <formula>1.75</formula>
    </cfRule>
  </conditionalFormatting>
  <conditionalFormatting sqref="N830">
    <cfRule type="cellIs" dxfId="6739" priority="6989" stopIfTrue="1" operator="greaterThan">
      <formula>1.75</formula>
    </cfRule>
    <cfRule type="cellIs" dxfId="6738" priority="6990" stopIfTrue="1" operator="between">
      <formula>1.25</formula>
      <formula>1.75</formula>
    </cfRule>
  </conditionalFormatting>
  <conditionalFormatting sqref="Q830">
    <cfRule type="cellIs" dxfId="6737" priority="6983" stopIfTrue="1" operator="greaterThan">
      <formula>1.75</formula>
    </cfRule>
    <cfRule type="cellIs" dxfId="6736" priority="6984" stopIfTrue="1" operator="between">
      <formula>1.25</formula>
      <formula>1.75</formula>
    </cfRule>
  </conditionalFormatting>
  <conditionalFormatting sqref="P830">
    <cfRule type="cellIs" dxfId="6735" priority="6985" stopIfTrue="1" operator="greaterThan">
      <formula>1.75</formula>
    </cfRule>
    <cfRule type="cellIs" dxfId="6734" priority="6986" stopIfTrue="1" operator="between">
      <formula>1.25</formula>
      <formula>1.75</formula>
    </cfRule>
  </conditionalFormatting>
  <conditionalFormatting sqref="O830">
    <cfRule type="cellIs" dxfId="6733" priority="6979" stopIfTrue="1" operator="greaterThan">
      <formula>1.75</formula>
    </cfRule>
    <cfRule type="cellIs" dxfId="6732" priority="6980" stopIfTrue="1" operator="between">
      <formula>1.25</formula>
      <formula>1.75</formula>
    </cfRule>
  </conditionalFormatting>
  <conditionalFormatting sqref="O830">
    <cfRule type="cellIs" dxfId="6731" priority="6981" stopIfTrue="1" operator="greaterThan">
      <formula>1.75</formula>
    </cfRule>
    <cfRule type="cellIs" dxfId="6730" priority="6982" stopIfTrue="1" operator="between">
      <formula>1.25</formula>
      <formula>1.75</formula>
    </cfRule>
  </conditionalFormatting>
  <conditionalFormatting sqref="O830">
    <cfRule type="cellIs" dxfId="6729" priority="6977" stopIfTrue="1" operator="greaterThan">
      <formula>1.75</formula>
    </cfRule>
    <cfRule type="cellIs" dxfId="6728" priority="6978" stopIfTrue="1" operator="between">
      <formula>1.25</formula>
      <formula>1.75</formula>
    </cfRule>
  </conditionalFormatting>
  <conditionalFormatting sqref="J830">
    <cfRule type="cellIs" dxfId="6727" priority="6975" stopIfTrue="1" operator="greaterThan">
      <formula>1.75</formula>
    </cfRule>
    <cfRule type="cellIs" dxfId="6726" priority="6976" stopIfTrue="1" operator="between">
      <formula>1.25</formula>
      <formula>1.75</formula>
    </cfRule>
  </conditionalFormatting>
  <conditionalFormatting sqref="J830">
    <cfRule type="cellIs" dxfId="6725" priority="6973" stopIfTrue="1" operator="greaterThan">
      <formula>1.75</formula>
    </cfRule>
    <cfRule type="cellIs" dxfId="6724" priority="6974" stopIfTrue="1" operator="between">
      <formula>1.25</formula>
      <formula>1.75</formula>
    </cfRule>
  </conditionalFormatting>
  <conditionalFormatting sqref="J818">
    <cfRule type="cellIs" dxfId="6723" priority="6941" stopIfTrue="1" operator="greaterThan">
      <formula>1.75</formula>
    </cfRule>
    <cfRule type="cellIs" dxfId="6722" priority="6942" stopIfTrue="1" operator="between">
      <formula>1.25</formula>
      <formula>1.75</formula>
    </cfRule>
  </conditionalFormatting>
  <conditionalFormatting sqref="C818:I818 K818:M818">
    <cfRule type="cellIs" dxfId="6721" priority="6965" stopIfTrue="1" operator="greaterThan">
      <formula>1.75</formula>
    </cfRule>
    <cfRule type="cellIs" dxfId="6720" priority="6966" stopIfTrue="1" operator="between">
      <formula>1.25</formula>
      <formula>1.75</formula>
    </cfRule>
  </conditionalFormatting>
  <conditionalFormatting sqref="R817">
    <cfRule type="cellIs" dxfId="6719" priority="6969" operator="lessThan">
      <formula>1000</formula>
    </cfRule>
    <cfRule type="cellIs" dxfId="6718" priority="6970" operator="lessThan">
      <formula>2000</formula>
    </cfRule>
  </conditionalFormatting>
  <conditionalFormatting sqref="C818:I818 K818:M818">
    <cfRule type="cellIs" dxfId="6717" priority="6967" stopIfTrue="1" operator="greaterThan">
      <formula>1.75</formula>
    </cfRule>
    <cfRule type="cellIs" dxfId="6716" priority="6968" stopIfTrue="1" operator="between">
      <formula>1.25</formula>
      <formula>1.75</formula>
    </cfRule>
  </conditionalFormatting>
  <conditionalFormatting sqref="C818:I818 K818:M818">
    <cfRule type="cellIs" dxfId="6715" priority="6963" stopIfTrue="1" operator="greaterThan">
      <formula>1.75</formula>
    </cfRule>
    <cfRule type="cellIs" dxfId="6714" priority="6964" stopIfTrue="1" operator="between">
      <formula>1.25</formula>
      <formula>1.75</formula>
    </cfRule>
  </conditionalFormatting>
  <conditionalFormatting sqref="N818">
    <cfRule type="cellIs" dxfId="6713" priority="6957" stopIfTrue="1" operator="greaterThan">
      <formula>1.75</formula>
    </cfRule>
    <cfRule type="cellIs" dxfId="6712" priority="6958" stopIfTrue="1" operator="between">
      <formula>1.25</formula>
      <formula>1.75</formula>
    </cfRule>
  </conditionalFormatting>
  <conditionalFormatting sqref="N818">
    <cfRule type="cellIs" dxfId="6711" priority="6961" stopIfTrue="1" operator="greaterThan">
      <formula>1.75</formula>
    </cfRule>
    <cfRule type="cellIs" dxfId="6710" priority="6962" stopIfTrue="1" operator="between">
      <formula>1.25</formula>
      <formula>1.75</formula>
    </cfRule>
  </conditionalFormatting>
  <conditionalFormatting sqref="N818">
    <cfRule type="cellIs" dxfId="6709" priority="6959" stopIfTrue="1" operator="greaterThan">
      <formula>1.75</formula>
    </cfRule>
    <cfRule type="cellIs" dxfId="6708" priority="6960" stopIfTrue="1" operator="between">
      <formula>1.25</formula>
      <formula>1.75</formula>
    </cfRule>
  </conditionalFormatting>
  <conditionalFormatting sqref="Q818">
    <cfRule type="cellIs" dxfId="6707" priority="6953" stopIfTrue="1" operator="greaterThan">
      <formula>1.75</formula>
    </cfRule>
    <cfRule type="cellIs" dxfId="6706" priority="6954" stopIfTrue="1" operator="between">
      <formula>1.25</formula>
      <formula>1.75</formula>
    </cfRule>
  </conditionalFormatting>
  <conditionalFormatting sqref="P818">
    <cfRule type="cellIs" dxfId="6705" priority="6955" stopIfTrue="1" operator="greaterThan">
      <formula>1.75</formula>
    </cfRule>
    <cfRule type="cellIs" dxfId="6704" priority="6956" stopIfTrue="1" operator="between">
      <formula>1.25</formula>
      <formula>1.75</formula>
    </cfRule>
  </conditionalFormatting>
  <conditionalFormatting sqref="O818">
    <cfRule type="cellIs" dxfId="6703" priority="6949" stopIfTrue="1" operator="greaterThan">
      <formula>1.75</formula>
    </cfRule>
    <cfRule type="cellIs" dxfId="6702" priority="6950" stopIfTrue="1" operator="between">
      <formula>1.25</formula>
      <formula>1.75</formula>
    </cfRule>
  </conditionalFormatting>
  <conditionalFormatting sqref="O818">
    <cfRule type="cellIs" dxfId="6701" priority="6951" stopIfTrue="1" operator="greaterThan">
      <formula>1.75</formula>
    </cfRule>
    <cfRule type="cellIs" dxfId="6700" priority="6952" stopIfTrue="1" operator="between">
      <formula>1.25</formula>
      <formula>1.75</formula>
    </cfRule>
  </conditionalFormatting>
  <conditionalFormatting sqref="O818">
    <cfRule type="cellIs" dxfId="6699" priority="6947" stopIfTrue="1" operator="greaterThan">
      <formula>1.75</formula>
    </cfRule>
    <cfRule type="cellIs" dxfId="6698" priority="6948" stopIfTrue="1" operator="between">
      <formula>1.25</formula>
      <formula>1.75</formula>
    </cfRule>
  </conditionalFormatting>
  <conditionalFormatting sqref="J818">
    <cfRule type="cellIs" dxfId="6697" priority="6945" stopIfTrue="1" operator="greaterThan">
      <formula>1.75</formula>
    </cfRule>
    <cfRule type="cellIs" dxfId="6696" priority="6946" stopIfTrue="1" operator="between">
      <formula>1.25</formula>
      <formula>1.75</formula>
    </cfRule>
  </conditionalFormatting>
  <conditionalFormatting sqref="J818">
    <cfRule type="cellIs" dxfId="6695" priority="6943" stopIfTrue="1" operator="greaterThan">
      <formula>1.75</formula>
    </cfRule>
    <cfRule type="cellIs" dxfId="6694" priority="6944" stopIfTrue="1" operator="between">
      <formula>1.25</formula>
      <formula>1.75</formula>
    </cfRule>
  </conditionalFormatting>
  <conditionalFormatting sqref="J806">
    <cfRule type="cellIs" dxfId="6693" priority="6911" stopIfTrue="1" operator="greaterThan">
      <formula>1.75</formula>
    </cfRule>
    <cfRule type="cellIs" dxfId="6692" priority="6912" stopIfTrue="1" operator="between">
      <formula>1.25</formula>
      <formula>1.75</formula>
    </cfRule>
  </conditionalFormatting>
  <conditionalFormatting sqref="C806:I806 K806:M806">
    <cfRule type="cellIs" dxfId="6691" priority="6935" stopIfTrue="1" operator="greaterThan">
      <formula>1.75</formula>
    </cfRule>
    <cfRule type="cellIs" dxfId="6690" priority="6936" stopIfTrue="1" operator="between">
      <formula>1.25</formula>
      <formula>1.75</formula>
    </cfRule>
  </conditionalFormatting>
  <conditionalFormatting sqref="R805">
    <cfRule type="cellIs" dxfId="6689" priority="6939" operator="lessThan">
      <formula>1000</formula>
    </cfRule>
    <cfRule type="cellIs" dxfId="6688" priority="6940" operator="lessThan">
      <formula>2000</formula>
    </cfRule>
  </conditionalFormatting>
  <conditionalFormatting sqref="C806:I806 K806:M806">
    <cfRule type="cellIs" dxfId="6687" priority="6937" stopIfTrue="1" operator="greaterThan">
      <formula>1.75</formula>
    </cfRule>
    <cfRule type="cellIs" dxfId="6686" priority="6938" stopIfTrue="1" operator="between">
      <formula>1.25</formula>
      <formula>1.75</formula>
    </cfRule>
  </conditionalFormatting>
  <conditionalFormatting sqref="C806:I806 K806:M806">
    <cfRule type="cellIs" dxfId="6685" priority="6933" stopIfTrue="1" operator="greaterThan">
      <formula>1.75</formula>
    </cfRule>
    <cfRule type="cellIs" dxfId="6684" priority="6934" stopIfTrue="1" operator="between">
      <formula>1.25</formula>
      <formula>1.75</formula>
    </cfRule>
  </conditionalFormatting>
  <conditionalFormatting sqref="N806">
    <cfRule type="cellIs" dxfId="6683" priority="6927" stopIfTrue="1" operator="greaterThan">
      <formula>1.75</formula>
    </cfRule>
    <cfRule type="cellIs" dxfId="6682" priority="6928" stopIfTrue="1" operator="between">
      <formula>1.25</formula>
      <formula>1.75</formula>
    </cfRule>
  </conditionalFormatting>
  <conditionalFormatting sqref="N806">
    <cfRule type="cellIs" dxfId="6681" priority="6931" stopIfTrue="1" operator="greaterThan">
      <formula>1.75</formula>
    </cfRule>
    <cfRule type="cellIs" dxfId="6680" priority="6932" stopIfTrue="1" operator="between">
      <formula>1.25</formula>
      <formula>1.75</formula>
    </cfRule>
  </conditionalFormatting>
  <conditionalFormatting sqref="N806">
    <cfRule type="cellIs" dxfId="6679" priority="6929" stopIfTrue="1" operator="greaterThan">
      <formula>1.75</formula>
    </cfRule>
    <cfRule type="cellIs" dxfId="6678" priority="6930" stopIfTrue="1" operator="between">
      <formula>1.25</formula>
      <formula>1.75</formula>
    </cfRule>
  </conditionalFormatting>
  <conditionalFormatting sqref="Q806">
    <cfRule type="cellIs" dxfId="6677" priority="6923" stopIfTrue="1" operator="greaterThan">
      <formula>1.75</formula>
    </cfRule>
    <cfRule type="cellIs" dxfId="6676" priority="6924" stopIfTrue="1" operator="between">
      <formula>1.25</formula>
      <formula>1.75</formula>
    </cfRule>
  </conditionalFormatting>
  <conditionalFormatting sqref="P806">
    <cfRule type="cellIs" dxfId="6675" priority="6925" stopIfTrue="1" operator="greaterThan">
      <formula>1.75</formula>
    </cfRule>
    <cfRule type="cellIs" dxfId="6674" priority="6926" stopIfTrue="1" operator="between">
      <formula>1.25</formula>
      <formula>1.75</formula>
    </cfRule>
  </conditionalFormatting>
  <conditionalFormatting sqref="O806">
    <cfRule type="cellIs" dxfId="6673" priority="6919" stopIfTrue="1" operator="greaterThan">
      <formula>1.75</formula>
    </cfRule>
    <cfRule type="cellIs" dxfId="6672" priority="6920" stopIfTrue="1" operator="between">
      <formula>1.25</formula>
      <formula>1.75</formula>
    </cfRule>
  </conditionalFormatting>
  <conditionalFormatting sqref="O806">
    <cfRule type="cellIs" dxfId="6671" priority="6921" stopIfTrue="1" operator="greaterThan">
      <formula>1.75</formula>
    </cfRule>
    <cfRule type="cellIs" dxfId="6670" priority="6922" stopIfTrue="1" operator="between">
      <formula>1.25</formula>
      <formula>1.75</formula>
    </cfRule>
  </conditionalFormatting>
  <conditionalFormatting sqref="O806">
    <cfRule type="cellIs" dxfId="6669" priority="6917" stopIfTrue="1" operator="greaterThan">
      <formula>1.75</formula>
    </cfRule>
    <cfRule type="cellIs" dxfId="6668" priority="6918" stopIfTrue="1" operator="between">
      <formula>1.25</formula>
      <formula>1.75</formula>
    </cfRule>
  </conditionalFormatting>
  <conditionalFormatting sqref="J806">
    <cfRule type="cellIs" dxfId="6667" priority="6915" stopIfTrue="1" operator="greaterThan">
      <formula>1.75</formula>
    </cfRule>
    <cfRule type="cellIs" dxfId="6666" priority="6916" stopIfTrue="1" operator="between">
      <formula>1.25</formula>
      <formula>1.75</formula>
    </cfRule>
  </conditionalFormatting>
  <conditionalFormatting sqref="J806">
    <cfRule type="cellIs" dxfId="6665" priority="6913" stopIfTrue="1" operator="greaterThan">
      <formula>1.75</formula>
    </cfRule>
    <cfRule type="cellIs" dxfId="6664" priority="6914" stopIfTrue="1" operator="between">
      <formula>1.25</formula>
      <formula>1.75</formula>
    </cfRule>
  </conditionalFormatting>
  <conditionalFormatting sqref="J794">
    <cfRule type="cellIs" dxfId="6663" priority="6909" stopIfTrue="1" operator="greaterThan">
      <formula>1.75</formula>
    </cfRule>
    <cfRule type="cellIs" dxfId="6662" priority="6910" stopIfTrue="1" operator="between">
      <formula>1.25</formula>
      <formula>1.75</formula>
    </cfRule>
  </conditionalFormatting>
  <conditionalFormatting sqref="C794:I794 K794:M794">
    <cfRule type="cellIs" dxfId="6661" priority="6907" stopIfTrue="1" operator="greaterThan">
      <formula>1.75</formula>
    </cfRule>
    <cfRule type="cellIs" dxfId="6660" priority="6908" stopIfTrue="1" operator="between">
      <formula>1.25</formula>
      <formula>1.75</formula>
    </cfRule>
  </conditionalFormatting>
  <conditionalFormatting sqref="R793">
    <cfRule type="cellIs" dxfId="6659" priority="6905" operator="lessThan">
      <formula>1000</formula>
    </cfRule>
    <cfRule type="cellIs" dxfId="6658" priority="6906" operator="lessThan">
      <formula>2000</formula>
    </cfRule>
  </conditionalFormatting>
  <conditionalFormatting sqref="C794:I794 K794:M794">
    <cfRule type="cellIs" dxfId="6657" priority="6903" stopIfTrue="1" operator="greaterThan">
      <formula>1.75</formula>
    </cfRule>
    <cfRule type="cellIs" dxfId="6656" priority="6904" stopIfTrue="1" operator="between">
      <formula>1.25</formula>
      <formula>1.75</formula>
    </cfRule>
  </conditionalFormatting>
  <conditionalFormatting sqref="C794:I794 K794:M794">
    <cfRule type="cellIs" dxfId="6655" priority="6901" stopIfTrue="1" operator="greaterThan">
      <formula>1.75</formula>
    </cfRule>
    <cfRule type="cellIs" dxfId="6654" priority="6902" stopIfTrue="1" operator="between">
      <formula>1.25</formula>
      <formula>1.75</formula>
    </cfRule>
  </conditionalFormatting>
  <conditionalFormatting sqref="N794">
    <cfRule type="cellIs" dxfId="6653" priority="6899" stopIfTrue="1" operator="greaterThan">
      <formula>1.75</formula>
    </cfRule>
    <cfRule type="cellIs" dxfId="6652" priority="6900" stopIfTrue="1" operator="between">
      <formula>1.25</formula>
      <formula>1.75</formula>
    </cfRule>
  </conditionalFormatting>
  <conditionalFormatting sqref="N794">
    <cfRule type="cellIs" dxfId="6651" priority="6897" stopIfTrue="1" operator="greaterThan">
      <formula>1.75</formula>
    </cfRule>
    <cfRule type="cellIs" dxfId="6650" priority="6898" stopIfTrue="1" operator="between">
      <formula>1.25</formula>
      <formula>1.75</formula>
    </cfRule>
  </conditionalFormatting>
  <conditionalFormatting sqref="N794">
    <cfRule type="cellIs" dxfId="6649" priority="6895" stopIfTrue="1" operator="greaterThan">
      <formula>1.75</formula>
    </cfRule>
    <cfRule type="cellIs" dxfId="6648" priority="6896" stopIfTrue="1" operator="between">
      <formula>1.25</formula>
      <formula>1.75</formula>
    </cfRule>
  </conditionalFormatting>
  <conditionalFormatting sqref="Q794">
    <cfRule type="cellIs" dxfId="6647" priority="6893" stopIfTrue="1" operator="greaterThan">
      <formula>1.75</formula>
    </cfRule>
    <cfRule type="cellIs" dxfId="6646" priority="6894" stopIfTrue="1" operator="between">
      <formula>1.25</formula>
      <formula>1.75</formula>
    </cfRule>
  </conditionalFormatting>
  <conditionalFormatting sqref="P794">
    <cfRule type="cellIs" dxfId="6645" priority="6891" stopIfTrue="1" operator="greaterThan">
      <formula>1.75</formula>
    </cfRule>
    <cfRule type="cellIs" dxfId="6644" priority="6892" stopIfTrue="1" operator="between">
      <formula>1.25</formula>
      <formula>1.75</formula>
    </cfRule>
  </conditionalFormatting>
  <conditionalFormatting sqref="O794">
    <cfRule type="cellIs" dxfId="6643" priority="6889" stopIfTrue="1" operator="greaterThan">
      <formula>1.75</formula>
    </cfRule>
    <cfRule type="cellIs" dxfId="6642" priority="6890" stopIfTrue="1" operator="between">
      <formula>1.25</formula>
      <formula>1.75</formula>
    </cfRule>
  </conditionalFormatting>
  <conditionalFormatting sqref="O794">
    <cfRule type="cellIs" dxfId="6641" priority="6887" stopIfTrue="1" operator="greaterThan">
      <formula>1.75</formula>
    </cfRule>
    <cfRule type="cellIs" dxfId="6640" priority="6888" stopIfTrue="1" operator="between">
      <formula>1.25</formula>
      <formula>1.75</formula>
    </cfRule>
  </conditionalFormatting>
  <conditionalFormatting sqref="O794">
    <cfRule type="cellIs" dxfId="6639" priority="6885" stopIfTrue="1" operator="greaterThan">
      <formula>1.75</formula>
    </cfRule>
    <cfRule type="cellIs" dxfId="6638" priority="6886" stopIfTrue="1" operator="between">
      <formula>1.25</formula>
      <formula>1.75</formula>
    </cfRule>
  </conditionalFormatting>
  <conditionalFormatting sqref="J794">
    <cfRule type="cellIs" dxfId="6637" priority="6883" stopIfTrue="1" operator="greaterThan">
      <formula>1.75</formula>
    </cfRule>
    <cfRule type="cellIs" dxfId="6636" priority="6884" stopIfTrue="1" operator="between">
      <formula>1.25</formula>
      <formula>1.75</formula>
    </cfRule>
  </conditionalFormatting>
  <conditionalFormatting sqref="J794">
    <cfRule type="cellIs" dxfId="6635" priority="6881" stopIfTrue="1" operator="greaterThan">
      <formula>1.75</formula>
    </cfRule>
    <cfRule type="cellIs" dxfId="6634" priority="6882" stopIfTrue="1" operator="between">
      <formula>1.25</formula>
      <formula>1.75</formula>
    </cfRule>
  </conditionalFormatting>
  <conditionalFormatting sqref="J782">
    <cfRule type="cellIs" dxfId="6633" priority="6879" stopIfTrue="1" operator="greaterThan">
      <formula>1.75</formula>
    </cfRule>
    <cfRule type="cellIs" dxfId="6632" priority="6880" stopIfTrue="1" operator="between">
      <formula>1.25</formula>
      <formula>1.75</formula>
    </cfRule>
  </conditionalFormatting>
  <conditionalFormatting sqref="C782:I782 K782:M782">
    <cfRule type="cellIs" dxfId="6631" priority="6877" stopIfTrue="1" operator="greaterThan">
      <formula>1.75</formula>
    </cfRule>
    <cfRule type="cellIs" dxfId="6630" priority="6878" stopIfTrue="1" operator="between">
      <formula>1.25</formula>
      <formula>1.75</formula>
    </cfRule>
  </conditionalFormatting>
  <conditionalFormatting sqref="R781">
    <cfRule type="cellIs" dxfId="6629" priority="6875" operator="lessThan">
      <formula>1000</formula>
    </cfRule>
    <cfRule type="cellIs" dxfId="6628" priority="6876" operator="lessThan">
      <formula>2000</formula>
    </cfRule>
  </conditionalFormatting>
  <conditionalFormatting sqref="C782:I782 K782:M782">
    <cfRule type="cellIs" dxfId="6627" priority="6873" stopIfTrue="1" operator="greaterThan">
      <formula>1.75</formula>
    </cfRule>
    <cfRule type="cellIs" dxfId="6626" priority="6874" stopIfTrue="1" operator="between">
      <formula>1.25</formula>
      <formula>1.75</formula>
    </cfRule>
  </conditionalFormatting>
  <conditionalFormatting sqref="C782:I782 K782:M782">
    <cfRule type="cellIs" dxfId="6625" priority="6871" stopIfTrue="1" operator="greaterThan">
      <formula>1.75</formula>
    </cfRule>
    <cfRule type="cellIs" dxfId="6624" priority="6872" stopIfTrue="1" operator="between">
      <formula>1.25</formula>
      <formula>1.75</formula>
    </cfRule>
  </conditionalFormatting>
  <conditionalFormatting sqref="N782">
    <cfRule type="cellIs" dxfId="6623" priority="6869" stopIfTrue="1" operator="greaterThan">
      <formula>1.75</formula>
    </cfRule>
    <cfRule type="cellIs" dxfId="6622" priority="6870" stopIfTrue="1" operator="between">
      <formula>1.25</formula>
      <formula>1.75</formula>
    </cfRule>
  </conditionalFormatting>
  <conditionalFormatting sqref="N782">
    <cfRule type="cellIs" dxfId="6621" priority="6867" stopIfTrue="1" operator="greaterThan">
      <formula>1.75</formula>
    </cfRule>
    <cfRule type="cellIs" dxfId="6620" priority="6868" stopIfTrue="1" operator="between">
      <formula>1.25</formula>
      <formula>1.75</formula>
    </cfRule>
  </conditionalFormatting>
  <conditionalFormatting sqref="N782">
    <cfRule type="cellIs" dxfId="6619" priority="6865" stopIfTrue="1" operator="greaterThan">
      <formula>1.75</formula>
    </cfRule>
    <cfRule type="cellIs" dxfId="6618" priority="6866" stopIfTrue="1" operator="between">
      <formula>1.25</formula>
      <formula>1.75</formula>
    </cfRule>
  </conditionalFormatting>
  <conditionalFormatting sqref="Q782">
    <cfRule type="cellIs" dxfId="6617" priority="6863" stopIfTrue="1" operator="greaterThan">
      <formula>1.75</formula>
    </cfRule>
    <cfRule type="cellIs" dxfId="6616" priority="6864" stopIfTrue="1" operator="between">
      <formula>1.25</formula>
      <formula>1.75</formula>
    </cfRule>
  </conditionalFormatting>
  <conditionalFormatting sqref="P782">
    <cfRule type="cellIs" dxfId="6615" priority="6861" stopIfTrue="1" operator="greaterThan">
      <formula>1.75</formula>
    </cfRule>
    <cfRule type="cellIs" dxfId="6614" priority="6862" stopIfTrue="1" operator="between">
      <formula>1.25</formula>
      <formula>1.75</formula>
    </cfRule>
  </conditionalFormatting>
  <conditionalFormatting sqref="O782">
    <cfRule type="cellIs" dxfId="6613" priority="6859" stopIfTrue="1" operator="greaterThan">
      <formula>1.75</formula>
    </cfRule>
    <cfRule type="cellIs" dxfId="6612" priority="6860" stopIfTrue="1" operator="between">
      <formula>1.25</formula>
      <formula>1.75</formula>
    </cfRule>
  </conditionalFormatting>
  <conditionalFormatting sqref="O782">
    <cfRule type="cellIs" dxfId="6611" priority="6857" stopIfTrue="1" operator="greaterThan">
      <formula>1.75</formula>
    </cfRule>
    <cfRule type="cellIs" dxfId="6610" priority="6858" stopIfTrue="1" operator="between">
      <formula>1.25</formula>
      <formula>1.75</formula>
    </cfRule>
  </conditionalFormatting>
  <conditionalFormatting sqref="O782">
    <cfRule type="cellIs" dxfId="6609" priority="6855" stopIfTrue="1" operator="greaterThan">
      <formula>1.75</formula>
    </cfRule>
    <cfRule type="cellIs" dxfId="6608" priority="6856" stopIfTrue="1" operator="between">
      <formula>1.25</formula>
      <formula>1.75</formula>
    </cfRule>
  </conditionalFormatting>
  <conditionalFormatting sqref="J782">
    <cfRule type="cellIs" dxfId="6607" priority="6853" stopIfTrue="1" operator="greaterThan">
      <formula>1.75</formula>
    </cfRule>
    <cfRule type="cellIs" dxfId="6606" priority="6854" stopIfTrue="1" operator="between">
      <formula>1.25</formula>
      <formula>1.75</formula>
    </cfRule>
  </conditionalFormatting>
  <conditionalFormatting sqref="J782">
    <cfRule type="cellIs" dxfId="6605" priority="6851" stopIfTrue="1" operator="greaterThan">
      <formula>1.75</formula>
    </cfRule>
    <cfRule type="cellIs" dxfId="6604" priority="6852" stopIfTrue="1" operator="between">
      <formula>1.25</formula>
      <formula>1.75</formula>
    </cfRule>
  </conditionalFormatting>
  <conditionalFormatting sqref="J770">
    <cfRule type="cellIs" dxfId="6603" priority="6849" stopIfTrue="1" operator="greaterThan">
      <formula>1.75</formula>
    </cfRule>
    <cfRule type="cellIs" dxfId="6602" priority="6850" stopIfTrue="1" operator="between">
      <formula>1.25</formula>
      <formula>1.75</formula>
    </cfRule>
  </conditionalFormatting>
  <conditionalFormatting sqref="C770:I770 K770:M770">
    <cfRule type="cellIs" dxfId="6601" priority="6847" stopIfTrue="1" operator="greaterThan">
      <formula>1.75</formula>
    </cfRule>
    <cfRule type="cellIs" dxfId="6600" priority="6848" stopIfTrue="1" operator="between">
      <formula>1.25</formula>
      <formula>1.75</formula>
    </cfRule>
  </conditionalFormatting>
  <conditionalFormatting sqref="R769">
    <cfRule type="cellIs" dxfId="6599" priority="6845" operator="lessThan">
      <formula>1000</formula>
    </cfRule>
    <cfRule type="cellIs" dxfId="6598" priority="6846" operator="lessThan">
      <formula>2000</formula>
    </cfRule>
  </conditionalFormatting>
  <conditionalFormatting sqref="C770:I770 K770:M770">
    <cfRule type="cellIs" dxfId="6597" priority="6843" stopIfTrue="1" operator="greaterThan">
      <formula>1.75</formula>
    </cfRule>
    <cfRule type="cellIs" dxfId="6596" priority="6844" stopIfTrue="1" operator="between">
      <formula>1.25</formula>
      <formula>1.75</formula>
    </cfRule>
  </conditionalFormatting>
  <conditionalFormatting sqref="C770:I770 K770:M770">
    <cfRule type="cellIs" dxfId="6595" priority="6841" stopIfTrue="1" operator="greaterThan">
      <formula>1.75</formula>
    </cfRule>
    <cfRule type="cellIs" dxfId="6594" priority="6842" stopIfTrue="1" operator="between">
      <formula>1.25</formula>
      <formula>1.75</formula>
    </cfRule>
  </conditionalFormatting>
  <conditionalFormatting sqref="N770">
    <cfRule type="cellIs" dxfId="6593" priority="6839" stopIfTrue="1" operator="greaterThan">
      <formula>1.75</formula>
    </cfRule>
    <cfRule type="cellIs" dxfId="6592" priority="6840" stopIfTrue="1" operator="between">
      <formula>1.25</formula>
      <formula>1.75</formula>
    </cfRule>
  </conditionalFormatting>
  <conditionalFormatting sqref="N770">
    <cfRule type="cellIs" dxfId="6591" priority="6837" stopIfTrue="1" operator="greaterThan">
      <formula>1.75</formula>
    </cfRule>
    <cfRule type="cellIs" dxfId="6590" priority="6838" stopIfTrue="1" operator="between">
      <formula>1.25</formula>
      <formula>1.75</formula>
    </cfRule>
  </conditionalFormatting>
  <conditionalFormatting sqref="N770">
    <cfRule type="cellIs" dxfId="6589" priority="6835" stopIfTrue="1" operator="greaterThan">
      <formula>1.75</formula>
    </cfRule>
    <cfRule type="cellIs" dxfId="6588" priority="6836" stopIfTrue="1" operator="between">
      <formula>1.25</formula>
      <formula>1.75</formula>
    </cfRule>
  </conditionalFormatting>
  <conditionalFormatting sqref="Q770">
    <cfRule type="cellIs" dxfId="6587" priority="6833" stopIfTrue="1" operator="greaterThan">
      <formula>1.75</formula>
    </cfRule>
    <cfRule type="cellIs" dxfId="6586" priority="6834" stopIfTrue="1" operator="between">
      <formula>1.25</formula>
      <formula>1.75</formula>
    </cfRule>
  </conditionalFormatting>
  <conditionalFormatting sqref="P770">
    <cfRule type="cellIs" dxfId="6585" priority="6831" stopIfTrue="1" operator="greaterThan">
      <formula>1.75</formula>
    </cfRule>
    <cfRule type="cellIs" dxfId="6584" priority="6832" stopIfTrue="1" operator="between">
      <formula>1.25</formula>
      <formula>1.75</formula>
    </cfRule>
  </conditionalFormatting>
  <conditionalFormatting sqref="O770">
    <cfRule type="cellIs" dxfId="6583" priority="6829" stopIfTrue="1" operator="greaterThan">
      <formula>1.75</formula>
    </cfRule>
    <cfRule type="cellIs" dxfId="6582" priority="6830" stopIfTrue="1" operator="between">
      <formula>1.25</formula>
      <formula>1.75</formula>
    </cfRule>
  </conditionalFormatting>
  <conditionalFormatting sqref="O770">
    <cfRule type="cellIs" dxfId="6581" priority="6827" stopIfTrue="1" operator="greaterThan">
      <formula>1.75</formula>
    </cfRule>
    <cfRule type="cellIs" dxfId="6580" priority="6828" stopIfTrue="1" operator="between">
      <formula>1.25</formula>
      <formula>1.75</formula>
    </cfRule>
  </conditionalFormatting>
  <conditionalFormatting sqref="O770">
    <cfRule type="cellIs" dxfId="6579" priority="6825" stopIfTrue="1" operator="greaterThan">
      <formula>1.75</formula>
    </cfRule>
    <cfRule type="cellIs" dxfId="6578" priority="6826" stopIfTrue="1" operator="between">
      <formula>1.25</formula>
      <formula>1.75</formula>
    </cfRule>
  </conditionalFormatting>
  <conditionalFormatting sqref="J770">
    <cfRule type="cellIs" dxfId="6577" priority="6823" stopIfTrue="1" operator="greaterThan">
      <formula>1.75</formula>
    </cfRule>
    <cfRule type="cellIs" dxfId="6576" priority="6824" stopIfTrue="1" operator="between">
      <formula>1.25</formula>
      <formula>1.75</formula>
    </cfRule>
  </conditionalFormatting>
  <conditionalFormatting sqref="J770">
    <cfRule type="cellIs" dxfId="6575" priority="6821" stopIfTrue="1" operator="greaterThan">
      <formula>1.75</formula>
    </cfRule>
    <cfRule type="cellIs" dxfId="6574" priority="6822" stopIfTrue="1" operator="between">
      <formula>1.25</formula>
      <formula>1.75</formula>
    </cfRule>
  </conditionalFormatting>
  <conditionalFormatting sqref="J758">
    <cfRule type="cellIs" dxfId="6573" priority="6819" stopIfTrue="1" operator="greaterThan">
      <formula>1.75</formula>
    </cfRule>
    <cfRule type="cellIs" dxfId="6572" priority="6820" stopIfTrue="1" operator="between">
      <formula>1.25</formula>
      <formula>1.75</formula>
    </cfRule>
  </conditionalFormatting>
  <conditionalFormatting sqref="C758:I758 K758:M758">
    <cfRule type="cellIs" dxfId="6571" priority="6817" stopIfTrue="1" operator="greaterThan">
      <formula>1.75</formula>
    </cfRule>
    <cfRule type="cellIs" dxfId="6570" priority="6818" stopIfTrue="1" operator="between">
      <formula>1.25</formula>
      <formula>1.75</formula>
    </cfRule>
  </conditionalFormatting>
  <conditionalFormatting sqref="R757">
    <cfRule type="cellIs" dxfId="6569" priority="6815" operator="lessThan">
      <formula>1000</formula>
    </cfRule>
    <cfRule type="cellIs" dxfId="6568" priority="6816" operator="lessThan">
      <formula>2000</formula>
    </cfRule>
  </conditionalFormatting>
  <conditionalFormatting sqref="C758:I758 K758:M758">
    <cfRule type="cellIs" dxfId="6567" priority="6813" stopIfTrue="1" operator="greaterThan">
      <formula>1.75</formula>
    </cfRule>
    <cfRule type="cellIs" dxfId="6566" priority="6814" stopIfTrue="1" operator="between">
      <formula>1.25</formula>
      <formula>1.75</formula>
    </cfRule>
  </conditionalFormatting>
  <conditionalFormatting sqref="C758:I758 K758:M758">
    <cfRule type="cellIs" dxfId="6565" priority="6811" stopIfTrue="1" operator="greaterThan">
      <formula>1.75</formula>
    </cfRule>
    <cfRule type="cellIs" dxfId="6564" priority="6812" stopIfTrue="1" operator="between">
      <formula>1.25</formula>
      <formula>1.75</formula>
    </cfRule>
  </conditionalFormatting>
  <conditionalFormatting sqref="N758">
    <cfRule type="cellIs" dxfId="6563" priority="6809" stopIfTrue="1" operator="greaterThan">
      <formula>1.75</formula>
    </cfRule>
    <cfRule type="cellIs" dxfId="6562" priority="6810" stopIfTrue="1" operator="between">
      <formula>1.25</formula>
      <formula>1.75</formula>
    </cfRule>
  </conditionalFormatting>
  <conditionalFormatting sqref="N758">
    <cfRule type="cellIs" dxfId="6561" priority="6807" stopIfTrue="1" operator="greaterThan">
      <formula>1.75</formula>
    </cfRule>
    <cfRule type="cellIs" dxfId="6560" priority="6808" stopIfTrue="1" operator="between">
      <formula>1.25</formula>
      <formula>1.75</formula>
    </cfRule>
  </conditionalFormatting>
  <conditionalFormatting sqref="N758">
    <cfRule type="cellIs" dxfId="6559" priority="6805" stopIfTrue="1" operator="greaterThan">
      <formula>1.75</formula>
    </cfRule>
    <cfRule type="cellIs" dxfId="6558" priority="6806" stopIfTrue="1" operator="between">
      <formula>1.25</formula>
      <formula>1.75</formula>
    </cfRule>
  </conditionalFormatting>
  <conditionalFormatting sqref="Q758">
    <cfRule type="cellIs" dxfId="6557" priority="6803" stopIfTrue="1" operator="greaterThan">
      <formula>1.75</formula>
    </cfRule>
    <cfRule type="cellIs" dxfId="6556" priority="6804" stopIfTrue="1" operator="between">
      <formula>1.25</formula>
      <formula>1.75</formula>
    </cfRule>
  </conditionalFormatting>
  <conditionalFormatting sqref="P758">
    <cfRule type="cellIs" dxfId="6555" priority="6801" stopIfTrue="1" operator="greaterThan">
      <formula>1.75</formula>
    </cfRule>
    <cfRule type="cellIs" dxfId="6554" priority="6802" stopIfTrue="1" operator="between">
      <formula>1.25</formula>
      <formula>1.75</formula>
    </cfRule>
  </conditionalFormatting>
  <conditionalFormatting sqref="O758">
    <cfRule type="cellIs" dxfId="6553" priority="6799" stopIfTrue="1" operator="greaterThan">
      <formula>1.75</formula>
    </cfRule>
    <cfRule type="cellIs" dxfId="6552" priority="6800" stopIfTrue="1" operator="between">
      <formula>1.25</formula>
      <formula>1.75</formula>
    </cfRule>
  </conditionalFormatting>
  <conditionalFormatting sqref="O758">
    <cfRule type="cellIs" dxfId="6551" priority="6797" stopIfTrue="1" operator="greaterThan">
      <formula>1.75</formula>
    </cfRule>
    <cfRule type="cellIs" dxfId="6550" priority="6798" stopIfTrue="1" operator="between">
      <formula>1.25</formula>
      <formula>1.75</formula>
    </cfRule>
  </conditionalFormatting>
  <conditionalFormatting sqref="O758">
    <cfRule type="cellIs" dxfId="6549" priority="6795" stopIfTrue="1" operator="greaterThan">
      <formula>1.75</formula>
    </cfRule>
    <cfRule type="cellIs" dxfId="6548" priority="6796" stopIfTrue="1" operator="between">
      <formula>1.25</formula>
      <formula>1.75</formula>
    </cfRule>
  </conditionalFormatting>
  <conditionalFormatting sqref="J758">
    <cfRule type="cellIs" dxfId="6547" priority="6793" stopIfTrue="1" operator="greaterThan">
      <formula>1.75</formula>
    </cfRule>
    <cfRule type="cellIs" dxfId="6546" priority="6794" stopIfTrue="1" operator="between">
      <formula>1.25</formula>
      <formula>1.75</formula>
    </cfRule>
  </conditionalFormatting>
  <conditionalFormatting sqref="J758">
    <cfRule type="cellIs" dxfId="6545" priority="6791" stopIfTrue="1" operator="greaterThan">
      <formula>1.75</formula>
    </cfRule>
    <cfRule type="cellIs" dxfId="6544" priority="6792" stopIfTrue="1" operator="between">
      <formula>1.25</formula>
      <formula>1.75</formula>
    </cfRule>
  </conditionalFormatting>
  <conditionalFormatting sqref="J746">
    <cfRule type="cellIs" dxfId="6543" priority="6789" stopIfTrue="1" operator="greaterThan">
      <formula>1.75</formula>
    </cfRule>
    <cfRule type="cellIs" dxfId="6542" priority="6790" stopIfTrue="1" operator="between">
      <formula>1.25</formula>
      <formula>1.75</formula>
    </cfRule>
  </conditionalFormatting>
  <conditionalFormatting sqref="C746:I746 K746:M746">
    <cfRule type="cellIs" dxfId="6541" priority="6787" stopIfTrue="1" operator="greaterThan">
      <formula>1.75</formula>
    </cfRule>
    <cfRule type="cellIs" dxfId="6540" priority="6788" stopIfTrue="1" operator="between">
      <formula>1.25</formula>
      <formula>1.75</formula>
    </cfRule>
  </conditionalFormatting>
  <conditionalFormatting sqref="R745">
    <cfRule type="cellIs" dxfId="6539" priority="6785" operator="lessThan">
      <formula>1000</formula>
    </cfRule>
    <cfRule type="cellIs" dxfId="6538" priority="6786" operator="lessThan">
      <formula>2000</formula>
    </cfRule>
  </conditionalFormatting>
  <conditionalFormatting sqref="C746:I746 K746:M746">
    <cfRule type="cellIs" dxfId="6537" priority="6783" stopIfTrue="1" operator="greaterThan">
      <formula>1.75</formula>
    </cfRule>
    <cfRule type="cellIs" dxfId="6536" priority="6784" stopIfTrue="1" operator="between">
      <formula>1.25</formula>
      <formula>1.75</formula>
    </cfRule>
  </conditionalFormatting>
  <conditionalFormatting sqref="C746:I746 K746:M746">
    <cfRule type="cellIs" dxfId="6535" priority="6781" stopIfTrue="1" operator="greaterThan">
      <formula>1.75</formula>
    </cfRule>
    <cfRule type="cellIs" dxfId="6534" priority="6782" stopIfTrue="1" operator="between">
      <formula>1.25</formula>
      <formula>1.75</formula>
    </cfRule>
  </conditionalFormatting>
  <conditionalFormatting sqref="N746">
    <cfRule type="cellIs" dxfId="6533" priority="6779" stopIfTrue="1" operator="greaterThan">
      <formula>1.75</formula>
    </cfRule>
    <cfRule type="cellIs" dxfId="6532" priority="6780" stopIfTrue="1" operator="between">
      <formula>1.25</formula>
      <formula>1.75</formula>
    </cfRule>
  </conditionalFormatting>
  <conditionalFormatting sqref="N746">
    <cfRule type="cellIs" dxfId="6531" priority="6777" stopIfTrue="1" operator="greaterThan">
      <formula>1.75</formula>
    </cfRule>
    <cfRule type="cellIs" dxfId="6530" priority="6778" stopIfTrue="1" operator="between">
      <formula>1.25</formula>
      <formula>1.75</formula>
    </cfRule>
  </conditionalFormatting>
  <conditionalFormatting sqref="N746">
    <cfRule type="cellIs" dxfId="6529" priority="6775" stopIfTrue="1" operator="greaterThan">
      <formula>1.75</formula>
    </cfRule>
    <cfRule type="cellIs" dxfId="6528" priority="6776" stopIfTrue="1" operator="between">
      <formula>1.25</formula>
      <formula>1.75</formula>
    </cfRule>
  </conditionalFormatting>
  <conditionalFormatting sqref="Q746">
    <cfRule type="cellIs" dxfId="6527" priority="6773" stopIfTrue="1" operator="greaterThan">
      <formula>1.75</formula>
    </cfRule>
    <cfRule type="cellIs" dxfId="6526" priority="6774" stopIfTrue="1" operator="between">
      <formula>1.25</formula>
      <formula>1.75</formula>
    </cfRule>
  </conditionalFormatting>
  <conditionalFormatting sqref="P746">
    <cfRule type="cellIs" dxfId="6525" priority="6771" stopIfTrue="1" operator="greaterThan">
      <formula>1.75</formula>
    </cfRule>
    <cfRule type="cellIs" dxfId="6524" priority="6772" stopIfTrue="1" operator="between">
      <formula>1.25</formula>
      <formula>1.75</formula>
    </cfRule>
  </conditionalFormatting>
  <conditionalFormatting sqref="O746">
    <cfRule type="cellIs" dxfId="6523" priority="6769" stopIfTrue="1" operator="greaterThan">
      <formula>1.75</formula>
    </cfRule>
    <cfRule type="cellIs" dxfId="6522" priority="6770" stopIfTrue="1" operator="between">
      <formula>1.25</formula>
      <formula>1.75</formula>
    </cfRule>
  </conditionalFormatting>
  <conditionalFormatting sqref="O746">
    <cfRule type="cellIs" dxfId="6521" priority="6767" stopIfTrue="1" operator="greaterThan">
      <formula>1.75</formula>
    </cfRule>
    <cfRule type="cellIs" dxfId="6520" priority="6768" stopIfTrue="1" operator="between">
      <formula>1.25</formula>
      <formula>1.75</formula>
    </cfRule>
  </conditionalFormatting>
  <conditionalFormatting sqref="O746">
    <cfRule type="cellIs" dxfId="6519" priority="6765" stopIfTrue="1" operator="greaterThan">
      <formula>1.75</formula>
    </cfRule>
    <cfRule type="cellIs" dxfId="6518" priority="6766" stopIfTrue="1" operator="between">
      <formula>1.25</formula>
      <formula>1.75</formula>
    </cfRule>
  </conditionalFormatting>
  <conditionalFormatting sqref="J746">
    <cfRule type="cellIs" dxfId="6517" priority="6763" stopIfTrue="1" operator="greaterThan">
      <formula>1.75</formula>
    </cfRule>
    <cfRule type="cellIs" dxfId="6516" priority="6764" stopIfTrue="1" operator="between">
      <formula>1.25</formula>
      <formula>1.75</formula>
    </cfRule>
  </conditionalFormatting>
  <conditionalFormatting sqref="J746">
    <cfRule type="cellIs" dxfId="6515" priority="6761" stopIfTrue="1" operator="greaterThan">
      <formula>1.75</formula>
    </cfRule>
    <cfRule type="cellIs" dxfId="6514" priority="6762" stopIfTrue="1" operator="between">
      <formula>1.25</formula>
      <formula>1.75</formula>
    </cfRule>
  </conditionalFormatting>
  <conditionalFormatting sqref="J734">
    <cfRule type="cellIs" dxfId="6513" priority="6759" stopIfTrue="1" operator="greaterThan">
      <formula>1.75</formula>
    </cfRule>
    <cfRule type="cellIs" dxfId="6512" priority="6760" stopIfTrue="1" operator="between">
      <formula>1.25</formula>
      <formula>1.75</formula>
    </cfRule>
  </conditionalFormatting>
  <conditionalFormatting sqref="C734:I734 K734:M734">
    <cfRule type="cellIs" dxfId="6511" priority="6757" stopIfTrue="1" operator="greaterThan">
      <formula>1.75</formula>
    </cfRule>
    <cfRule type="cellIs" dxfId="6510" priority="6758" stopIfTrue="1" operator="between">
      <formula>1.25</formula>
      <formula>1.75</formula>
    </cfRule>
  </conditionalFormatting>
  <conditionalFormatting sqref="R733">
    <cfRule type="cellIs" dxfId="6509" priority="6755" operator="lessThan">
      <formula>1000</formula>
    </cfRule>
    <cfRule type="cellIs" dxfId="6508" priority="6756" operator="lessThan">
      <formula>2000</formula>
    </cfRule>
  </conditionalFormatting>
  <conditionalFormatting sqref="C734:I734 K734:M734">
    <cfRule type="cellIs" dxfId="6507" priority="6753" stopIfTrue="1" operator="greaterThan">
      <formula>1.75</formula>
    </cfRule>
    <cfRule type="cellIs" dxfId="6506" priority="6754" stopIfTrue="1" operator="between">
      <formula>1.25</formula>
      <formula>1.75</formula>
    </cfRule>
  </conditionalFormatting>
  <conditionalFormatting sqref="C734:I734 K734:M734">
    <cfRule type="cellIs" dxfId="6505" priority="6751" stopIfTrue="1" operator="greaterThan">
      <formula>1.75</formula>
    </cfRule>
    <cfRule type="cellIs" dxfId="6504" priority="6752" stopIfTrue="1" operator="between">
      <formula>1.25</formula>
      <formula>1.75</formula>
    </cfRule>
  </conditionalFormatting>
  <conditionalFormatting sqref="N734">
    <cfRule type="cellIs" dxfId="6503" priority="6749" stopIfTrue="1" operator="greaterThan">
      <formula>1.75</formula>
    </cfRule>
    <cfRule type="cellIs" dxfId="6502" priority="6750" stopIfTrue="1" operator="between">
      <formula>1.25</formula>
      <formula>1.75</formula>
    </cfRule>
  </conditionalFormatting>
  <conditionalFormatting sqref="N734">
    <cfRule type="cellIs" dxfId="6501" priority="6747" stopIfTrue="1" operator="greaterThan">
      <formula>1.75</formula>
    </cfRule>
    <cfRule type="cellIs" dxfId="6500" priority="6748" stopIfTrue="1" operator="between">
      <formula>1.25</formula>
      <formula>1.75</formula>
    </cfRule>
  </conditionalFormatting>
  <conditionalFormatting sqref="N734">
    <cfRule type="cellIs" dxfId="6499" priority="6745" stopIfTrue="1" operator="greaterThan">
      <formula>1.75</formula>
    </cfRule>
    <cfRule type="cellIs" dxfId="6498" priority="6746" stopIfTrue="1" operator="between">
      <formula>1.25</formula>
      <formula>1.75</formula>
    </cfRule>
  </conditionalFormatting>
  <conditionalFormatting sqref="Q734">
    <cfRule type="cellIs" dxfId="6497" priority="6743" stopIfTrue="1" operator="greaterThan">
      <formula>1.75</formula>
    </cfRule>
    <cfRule type="cellIs" dxfId="6496" priority="6744" stopIfTrue="1" operator="between">
      <formula>1.25</formula>
      <formula>1.75</formula>
    </cfRule>
  </conditionalFormatting>
  <conditionalFormatting sqref="P734">
    <cfRule type="cellIs" dxfId="6495" priority="6741" stopIfTrue="1" operator="greaterThan">
      <formula>1.75</formula>
    </cfRule>
    <cfRule type="cellIs" dxfId="6494" priority="6742" stopIfTrue="1" operator="between">
      <formula>1.25</formula>
      <formula>1.75</formula>
    </cfRule>
  </conditionalFormatting>
  <conditionalFormatting sqref="O734">
    <cfRule type="cellIs" dxfId="6493" priority="6739" stopIfTrue="1" operator="greaterThan">
      <formula>1.75</formula>
    </cfRule>
    <cfRule type="cellIs" dxfId="6492" priority="6740" stopIfTrue="1" operator="between">
      <formula>1.25</formula>
      <formula>1.75</formula>
    </cfRule>
  </conditionalFormatting>
  <conditionalFormatting sqref="O734">
    <cfRule type="cellIs" dxfId="6491" priority="6737" stopIfTrue="1" operator="greaterThan">
      <formula>1.75</formula>
    </cfRule>
    <cfRule type="cellIs" dxfId="6490" priority="6738" stopIfTrue="1" operator="between">
      <formula>1.25</formula>
      <formula>1.75</formula>
    </cfRule>
  </conditionalFormatting>
  <conditionalFormatting sqref="O734">
    <cfRule type="cellIs" dxfId="6489" priority="6735" stopIfTrue="1" operator="greaterThan">
      <formula>1.75</formula>
    </cfRule>
    <cfRule type="cellIs" dxfId="6488" priority="6736" stopIfTrue="1" operator="between">
      <formula>1.25</formula>
      <formula>1.75</formula>
    </cfRule>
  </conditionalFormatting>
  <conditionalFormatting sqref="J734">
    <cfRule type="cellIs" dxfId="6487" priority="6733" stopIfTrue="1" operator="greaterThan">
      <formula>1.75</formula>
    </cfRule>
    <cfRule type="cellIs" dxfId="6486" priority="6734" stopIfTrue="1" operator="between">
      <formula>1.25</formula>
      <formula>1.75</formula>
    </cfRule>
  </conditionalFormatting>
  <conditionalFormatting sqref="J734">
    <cfRule type="cellIs" dxfId="6485" priority="6731" stopIfTrue="1" operator="greaterThan">
      <formula>1.75</formula>
    </cfRule>
    <cfRule type="cellIs" dxfId="6484" priority="6732" stopIfTrue="1" operator="between">
      <formula>1.25</formula>
      <formula>1.75</formula>
    </cfRule>
  </conditionalFormatting>
  <conditionalFormatting sqref="J722">
    <cfRule type="cellIs" dxfId="6483" priority="6729" stopIfTrue="1" operator="greaterThan">
      <formula>1.75</formula>
    </cfRule>
    <cfRule type="cellIs" dxfId="6482" priority="6730" stopIfTrue="1" operator="between">
      <formula>1.25</formula>
      <formula>1.75</formula>
    </cfRule>
  </conditionalFormatting>
  <conditionalFormatting sqref="C722:I722 K722:M722">
    <cfRule type="cellIs" dxfId="6481" priority="6727" stopIfTrue="1" operator="greaterThan">
      <formula>1.75</formula>
    </cfRule>
    <cfRule type="cellIs" dxfId="6480" priority="6728" stopIfTrue="1" operator="between">
      <formula>1.25</formula>
      <formula>1.75</formula>
    </cfRule>
  </conditionalFormatting>
  <conditionalFormatting sqref="R721">
    <cfRule type="cellIs" dxfId="6479" priority="6725" operator="lessThan">
      <formula>1000</formula>
    </cfRule>
    <cfRule type="cellIs" dxfId="6478" priority="6726" operator="lessThan">
      <formula>2000</formula>
    </cfRule>
  </conditionalFormatting>
  <conditionalFormatting sqref="C722:I722 K722:M722">
    <cfRule type="cellIs" dxfId="6477" priority="6723" stopIfTrue="1" operator="greaterThan">
      <formula>1.75</formula>
    </cfRule>
    <cfRule type="cellIs" dxfId="6476" priority="6724" stopIfTrue="1" operator="between">
      <formula>1.25</formula>
      <formula>1.75</formula>
    </cfRule>
  </conditionalFormatting>
  <conditionalFormatting sqref="C722:I722 K722:M722">
    <cfRule type="cellIs" dxfId="6475" priority="6721" stopIfTrue="1" operator="greaterThan">
      <formula>1.75</formula>
    </cfRule>
    <cfRule type="cellIs" dxfId="6474" priority="6722" stopIfTrue="1" operator="between">
      <formula>1.25</formula>
      <formula>1.75</formula>
    </cfRule>
  </conditionalFormatting>
  <conditionalFormatting sqref="N722">
    <cfRule type="cellIs" dxfId="6473" priority="6719" stopIfTrue="1" operator="greaterThan">
      <formula>1.75</formula>
    </cfRule>
    <cfRule type="cellIs" dxfId="6472" priority="6720" stopIfTrue="1" operator="between">
      <formula>1.25</formula>
      <formula>1.75</formula>
    </cfRule>
  </conditionalFormatting>
  <conditionalFormatting sqref="N722">
    <cfRule type="cellIs" dxfId="6471" priority="6717" stopIfTrue="1" operator="greaterThan">
      <formula>1.75</formula>
    </cfRule>
    <cfRule type="cellIs" dxfId="6470" priority="6718" stopIfTrue="1" operator="between">
      <formula>1.25</formula>
      <formula>1.75</formula>
    </cfRule>
  </conditionalFormatting>
  <conditionalFormatting sqref="N722">
    <cfRule type="cellIs" dxfId="6469" priority="6715" stopIfTrue="1" operator="greaterThan">
      <formula>1.75</formula>
    </cfRule>
    <cfRule type="cellIs" dxfId="6468" priority="6716" stopIfTrue="1" operator="between">
      <formula>1.25</formula>
      <formula>1.75</formula>
    </cfRule>
  </conditionalFormatting>
  <conditionalFormatting sqref="Q722">
    <cfRule type="cellIs" dxfId="6467" priority="6713" stopIfTrue="1" operator="greaterThan">
      <formula>1.75</formula>
    </cfRule>
    <cfRule type="cellIs" dxfId="6466" priority="6714" stopIfTrue="1" operator="between">
      <formula>1.25</formula>
      <formula>1.75</formula>
    </cfRule>
  </conditionalFormatting>
  <conditionalFormatting sqref="P722">
    <cfRule type="cellIs" dxfId="6465" priority="6711" stopIfTrue="1" operator="greaterThan">
      <formula>1.75</formula>
    </cfRule>
    <cfRule type="cellIs" dxfId="6464" priority="6712" stopIfTrue="1" operator="between">
      <formula>1.25</formula>
      <formula>1.75</formula>
    </cfRule>
  </conditionalFormatting>
  <conditionalFormatting sqref="O722">
    <cfRule type="cellIs" dxfId="6463" priority="6709" stopIfTrue="1" operator="greaterThan">
      <formula>1.75</formula>
    </cfRule>
    <cfRule type="cellIs" dxfId="6462" priority="6710" stopIfTrue="1" operator="between">
      <formula>1.25</formula>
      <formula>1.75</formula>
    </cfRule>
  </conditionalFormatting>
  <conditionalFormatting sqref="O722">
    <cfRule type="cellIs" dxfId="6461" priority="6707" stopIfTrue="1" operator="greaterThan">
      <formula>1.75</formula>
    </cfRule>
    <cfRule type="cellIs" dxfId="6460" priority="6708" stopIfTrue="1" operator="between">
      <formula>1.25</formula>
      <formula>1.75</formula>
    </cfRule>
  </conditionalFormatting>
  <conditionalFormatting sqref="O722">
    <cfRule type="cellIs" dxfId="6459" priority="6705" stopIfTrue="1" operator="greaterThan">
      <formula>1.75</formula>
    </cfRule>
    <cfRule type="cellIs" dxfId="6458" priority="6706" stopIfTrue="1" operator="between">
      <formula>1.25</formula>
      <formula>1.75</formula>
    </cfRule>
  </conditionalFormatting>
  <conditionalFormatting sqref="J722">
    <cfRule type="cellIs" dxfId="6457" priority="6703" stopIfTrue="1" operator="greaterThan">
      <formula>1.75</formula>
    </cfRule>
    <cfRule type="cellIs" dxfId="6456" priority="6704" stopIfTrue="1" operator="between">
      <formula>1.25</formula>
      <formula>1.75</formula>
    </cfRule>
  </conditionalFormatting>
  <conditionalFormatting sqref="J722">
    <cfRule type="cellIs" dxfId="6455" priority="6701" stopIfTrue="1" operator="greaterThan">
      <formula>1.75</formula>
    </cfRule>
    <cfRule type="cellIs" dxfId="6454" priority="6702" stopIfTrue="1" operator="between">
      <formula>1.25</formula>
      <formula>1.75</formula>
    </cfRule>
  </conditionalFormatting>
  <conditionalFormatting sqref="J710">
    <cfRule type="cellIs" dxfId="6453" priority="6699" stopIfTrue="1" operator="greaterThan">
      <formula>1.75</formula>
    </cfRule>
    <cfRule type="cellIs" dxfId="6452" priority="6700" stopIfTrue="1" operator="between">
      <formula>1.25</formula>
      <formula>1.75</formula>
    </cfRule>
  </conditionalFormatting>
  <conditionalFormatting sqref="C710:I710 K710:M710">
    <cfRule type="cellIs" dxfId="6451" priority="6697" stopIfTrue="1" operator="greaterThan">
      <formula>1.75</formula>
    </cfRule>
    <cfRule type="cellIs" dxfId="6450" priority="6698" stopIfTrue="1" operator="between">
      <formula>1.25</formula>
      <formula>1.75</formula>
    </cfRule>
  </conditionalFormatting>
  <conditionalFormatting sqref="R709">
    <cfRule type="cellIs" dxfId="6449" priority="6695" operator="lessThan">
      <formula>1000</formula>
    </cfRule>
    <cfRule type="cellIs" dxfId="6448" priority="6696" operator="lessThan">
      <formula>2000</formula>
    </cfRule>
  </conditionalFormatting>
  <conditionalFormatting sqref="C710:I710 K710:M710">
    <cfRule type="cellIs" dxfId="6447" priority="6693" stopIfTrue="1" operator="greaterThan">
      <formula>1.75</formula>
    </cfRule>
    <cfRule type="cellIs" dxfId="6446" priority="6694" stopIfTrue="1" operator="between">
      <formula>1.25</formula>
      <formula>1.75</formula>
    </cfRule>
  </conditionalFormatting>
  <conditionalFormatting sqref="C710:I710 K710:M710">
    <cfRule type="cellIs" dxfId="6445" priority="6691" stopIfTrue="1" operator="greaterThan">
      <formula>1.75</formula>
    </cfRule>
    <cfRule type="cellIs" dxfId="6444" priority="6692" stopIfTrue="1" operator="between">
      <formula>1.25</formula>
      <formula>1.75</formula>
    </cfRule>
  </conditionalFormatting>
  <conditionalFormatting sqref="N710">
    <cfRule type="cellIs" dxfId="6443" priority="6689" stopIfTrue="1" operator="greaterThan">
      <formula>1.75</formula>
    </cfRule>
    <cfRule type="cellIs" dxfId="6442" priority="6690" stopIfTrue="1" operator="between">
      <formula>1.25</formula>
      <formula>1.75</formula>
    </cfRule>
  </conditionalFormatting>
  <conditionalFormatting sqref="N710">
    <cfRule type="cellIs" dxfId="6441" priority="6687" stopIfTrue="1" operator="greaterThan">
      <formula>1.75</formula>
    </cfRule>
    <cfRule type="cellIs" dxfId="6440" priority="6688" stopIfTrue="1" operator="between">
      <formula>1.25</formula>
      <formula>1.75</formula>
    </cfRule>
  </conditionalFormatting>
  <conditionalFormatting sqref="N710">
    <cfRule type="cellIs" dxfId="6439" priority="6685" stopIfTrue="1" operator="greaterThan">
      <formula>1.75</formula>
    </cfRule>
    <cfRule type="cellIs" dxfId="6438" priority="6686" stopIfTrue="1" operator="between">
      <formula>1.25</formula>
      <formula>1.75</formula>
    </cfRule>
  </conditionalFormatting>
  <conditionalFormatting sqref="Q710">
    <cfRule type="cellIs" dxfId="6437" priority="6683" stopIfTrue="1" operator="greaterThan">
      <formula>1.75</formula>
    </cfRule>
    <cfRule type="cellIs" dxfId="6436" priority="6684" stopIfTrue="1" operator="between">
      <formula>1.25</formula>
      <formula>1.75</formula>
    </cfRule>
  </conditionalFormatting>
  <conditionalFormatting sqref="P710">
    <cfRule type="cellIs" dxfId="6435" priority="6681" stopIfTrue="1" operator="greaterThan">
      <formula>1.75</formula>
    </cfRule>
    <cfRule type="cellIs" dxfId="6434" priority="6682" stopIfTrue="1" operator="between">
      <formula>1.25</formula>
      <formula>1.75</formula>
    </cfRule>
  </conditionalFormatting>
  <conditionalFormatting sqref="O710">
    <cfRule type="cellIs" dxfId="6433" priority="6679" stopIfTrue="1" operator="greaterThan">
      <formula>1.75</formula>
    </cfRule>
    <cfRule type="cellIs" dxfId="6432" priority="6680" stopIfTrue="1" operator="between">
      <formula>1.25</formula>
      <formula>1.75</formula>
    </cfRule>
  </conditionalFormatting>
  <conditionalFormatting sqref="O710">
    <cfRule type="cellIs" dxfId="6431" priority="6677" stopIfTrue="1" operator="greaterThan">
      <formula>1.75</formula>
    </cfRule>
    <cfRule type="cellIs" dxfId="6430" priority="6678" stopIfTrue="1" operator="between">
      <formula>1.25</formula>
      <formula>1.75</formula>
    </cfRule>
  </conditionalFormatting>
  <conditionalFormatting sqref="O710">
    <cfRule type="cellIs" dxfId="6429" priority="6675" stopIfTrue="1" operator="greaterThan">
      <formula>1.75</formula>
    </cfRule>
    <cfRule type="cellIs" dxfId="6428" priority="6676" stopIfTrue="1" operator="between">
      <formula>1.25</formula>
      <formula>1.75</formula>
    </cfRule>
  </conditionalFormatting>
  <conditionalFormatting sqref="J710">
    <cfRule type="cellIs" dxfId="6427" priority="6673" stopIfTrue="1" operator="greaterThan">
      <formula>1.75</formula>
    </cfRule>
    <cfRule type="cellIs" dxfId="6426" priority="6674" stopIfTrue="1" operator="between">
      <formula>1.25</formula>
      <formula>1.75</formula>
    </cfRule>
  </conditionalFormatting>
  <conditionalFormatting sqref="J710">
    <cfRule type="cellIs" dxfId="6425" priority="6671" stopIfTrue="1" operator="greaterThan">
      <formula>1.75</formula>
    </cfRule>
    <cfRule type="cellIs" dxfId="6424" priority="6672" stopIfTrue="1" operator="between">
      <formula>1.25</formula>
      <formula>1.75</formula>
    </cfRule>
  </conditionalFormatting>
  <conditionalFormatting sqref="J698">
    <cfRule type="cellIs" dxfId="6423" priority="6669" stopIfTrue="1" operator="greaterThan">
      <formula>1.75</formula>
    </cfRule>
    <cfRule type="cellIs" dxfId="6422" priority="6670" stopIfTrue="1" operator="between">
      <formula>1.25</formula>
      <formula>1.75</formula>
    </cfRule>
  </conditionalFormatting>
  <conditionalFormatting sqref="C698:I698 K698:M698">
    <cfRule type="cellIs" dxfId="6421" priority="6667" stopIfTrue="1" operator="greaterThan">
      <formula>1.75</formula>
    </cfRule>
    <cfRule type="cellIs" dxfId="6420" priority="6668" stopIfTrue="1" operator="between">
      <formula>1.25</formula>
      <formula>1.75</formula>
    </cfRule>
  </conditionalFormatting>
  <conditionalFormatting sqref="R697">
    <cfRule type="cellIs" dxfId="6419" priority="6665" operator="lessThan">
      <formula>1000</formula>
    </cfRule>
    <cfRule type="cellIs" dxfId="6418" priority="6666" operator="lessThan">
      <formula>2000</formula>
    </cfRule>
  </conditionalFormatting>
  <conditionalFormatting sqref="C698:I698 K698:M698">
    <cfRule type="cellIs" dxfId="6417" priority="6663" stopIfTrue="1" operator="greaterThan">
      <formula>1.75</formula>
    </cfRule>
    <cfRule type="cellIs" dxfId="6416" priority="6664" stopIfTrue="1" operator="between">
      <formula>1.25</formula>
      <formula>1.75</formula>
    </cfRule>
  </conditionalFormatting>
  <conditionalFormatting sqref="C698:I698 K698:M698">
    <cfRule type="cellIs" dxfId="6415" priority="6661" stopIfTrue="1" operator="greaterThan">
      <formula>1.75</formula>
    </cfRule>
    <cfRule type="cellIs" dxfId="6414" priority="6662" stopIfTrue="1" operator="between">
      <formula>1.25</formula>
      <formula>1.75</formula>
    </cfRule>
  </conditionalFormatting>
  <conditionalFormatting sqref="N698">
    <cfRule type="cellIs" dxfId="6413" priority="6659" stopIfTrue="1" operator="greaterThan">
      <formula>1.75</formula>
    </cfRule>
    <cfRule type="cellIs" dxfId="6412" priority="6660" stopIfTrue="1" operator="between">
      <formula>1.25</formula>
      <formula>1.75</formula>
    </cfRule>
  </conditionalFormatting>
  <conditionalFormatting sqref="N698">
    <cfRule type="cellIs" dxfId="6411" priority="6657" stopIfTrue="1" operator="greaterThan">
      <formula>1.75</formula>
    </cfRule>
    <cfRule type="cellIs" dxfId="6410" priority="6658" stopIfTrue="1" operator="between">
      <formula>1.25</formula>
      <formula>1.75</formula>
    </cfRule>
  </conditionalFormatting>
  <conditionalFormatting sqref="N698">
    <cfRule type="cellIs" dxfId="6409" priority="6655" stopIfTrue="1" operator="greaterThan">
      <formula>1.75</formula>
    </cfRule>
    <cfRule type="cellIs" dxfId="6408" priority="6656" stopIfTrue="1" operator="between">
      <formula>1.25</formula>
      <formula>1.75</formula>
    </cfRule>
  </conditionalFormatting>
  <conditionalFormatting sqref="Q698">
    <cfRule type="cellIs" dxfId="6407" priority="6653" stopIfTrue="1" operator="greaterThan">
      <formula>1.75</formula>
    </cfRule>
    <cfRule type="cellIs" dxfId="6406" priority="6654" stopIfTrue="1" operator="between">
      <formula>1.25</formula>
      <formula>1.75</formula>
    </cfRule>
  </conditionalFormatting>
  <conditionalFormatting sqref="P698">
    <cfRule type="cellIs" dxfId="6405" priority="6651" stopIfTrue="1" operator="greaterThan">
      <formula>1.75</formula>
    </cfRule>
    <cfRule type="cellIs" dxfId="6404" priority="6652" stopIfTrue="1" operator="between">
      <formula>1.25</formula>
      <formula>1.75</formula>
    </cfRule>
  </conditionalFormatting>
  <conditionalFormatting sqref="O698">
    <cfRule type="cellIs" dxfId="6403" priority="6649" stopIfTrue="1" operator="greaterThan">
      <formula>1.75</formula>
    </cfRule>
    <cfRule type="cellIs" dxfId="6402" priority="6650" stopIfTrue="1" operator="between">
      <formula>1.25</formula>
      <formula>1.75</formula>
    </cfRule>
  </conditionalFormatting>
  <conditionalFormatting sqref="O698">
    <cfRule type="cellIs" dxfId="6401" priority="6647" stopIfTrue="1" operator="greaterThan">
      <formula>1.75</formula>
    </cfRule>
    <cfRule type="cellIs" dxfId="6400" priority="6648" stopIfTrue="1" operator="between">
      <formula>1.25</formula>
      <formula>1.75</formula>
    </cfRule>
  </conditionalFormatting>
  <conditionalFormatting sqref="O698">
    <cfRule type="cellIs" dxfId="6399" priority="6645" stopIfTrue="1" operator="greaterThan">
      <formula>1.75</formula>
    </cfRule>
    <cfRule type="cellIs" dxfId="6398" priority="6646" stopIfTrue="1" operator="between">
      <formula>1.25</formula>
      <formula>1.75</formula>
    </cfRule>
  </conditionalFormatting>
  <conditionalFormatting sqref="J698">
    <cfRule type="cellIs" dxfId="6397" priority="6643" stopIfTrue="1" operator="greaterThan">
      <formula>1.75</formula>
    </cfRule>
    <cfRule type="cellIs" dxfId="6396" priority="6644" stopIfTrue="1" operator="between">
      <formula>1.25</formula>
      <formula>1.75</formula>
    </cfRule>
  </conditionalFormatting>
  <conditionalFormatting sqref="J698">
    <cfRule type="cellIs" dxfId="6395" priority="6641" stopIfTrue="1" operator="greaterThan">
      <formula>1.75</formula>
    </cfRule>
    <cfRule type="cellIs" dxfId="6394" priority="6642" stopIfTrue="1" operator="between">
      <formula>1.25</formula>
      <formula>1.75</formula>
    </cfRule>
  </conditionalFormatting>
  <conditionalFormatting sqref="J686">
    <cfRule type="cellIs" dxfId="6393" priority="6639" stopIfTrue="1" operator="greaterThan">
      <formula>1.75</formula>
    </cfRule>
    <cfRule type="cellIs" dxfId="6392" priority="6640" stopIfTrue="1" operator="between">
      <formula>1.25</formula>
      <formula>1.75</formula>
    </cfRule>
  </conditionalFormatting>
  <conditionalFormatting sqref="C686:I686 K686:M686">
    <cfRule type="cellIs" dxfId="6391" priority="6637" stopIfTrue="1" operator="greaterThan">
      <formula>1.75</formula>
    </cfRule>
    <cfRule type="cellIs" dxfId="6390" priority="6638" stopIfTrue="1" operator="between">
      <formula>1.25</formula>
      <formula>1.75</formula>
    </cfRule>
  </conditionalFormatting>
  <conditionalFormatting sqref="R685">
    <cfRule type="cellIs" dxfId="6389" priority="6635" operator="lessThan">
      <formula>1000</formula>
    </cfRule>
    <cfRule type="cellIs" dxfId="6388" priority="6636" operator="lessThan">
      <formula>2000</formula>
    </cfRule>
  </conditionalFormatting>
  <conditionalFormatting sqref="C686:I686 K686:M686">
    <cfRule type="cellIs" dxfId="6387" priority="6633" stopIfTrue="1" operator="greaterThan">
      <formula>1.75</formula>
    </cfRule>
    <cfRule type="cellIs" dxfId="6386" priority="6634" stopIfTrue="1" operator="between">
      <formula>1.25</formula>
      <formula>1.75</formula>
    </cfRule>
  </conditionalFormatting>
  <conditionalFormatting sqref="C686:I686 K686:M686">
    <cfRule type="cellIs" dxfId="6385" priority="6631" stopIfTrue="1" operator="greaterThan">
      <formula>1.75</formula>
    </cfRule>
    <cfRule type="cellIs" dxfId="6384" priority="6632" stopIfTrue="1" operator="between">
      <formula>1.25</formula>
      <formula>1.75</formula>
    </cfRule>
  </conditionalFormatting>
  <conditionalFormatting sqref="N686">
    <cfRule type="cellIs" dxfId="6383" priority="6629" stopIfTrue="1" operator="greaterThan">
      <formula>1.75</formula>
    </cfRule>
    <cfRule type="cellIs" dxfId="6382" priority="6630" stopIfTrue="1" operator="between">
      <formula>1.25</formula>
      <formula>1.75</formula>
    </cfRule>
  </conditionalFormatting>
  <conditionalFormatting sqref="N686">
    <cfRule type="cellIs" dxfId="6381" priority="6627" stopIfTrue="1" operator="greaterThan">
      <formula>1.75</formula>
    </cfRule>
    <cfRule type="cellIs" dxfId="6380" priority="6628" stopIfTrue="1" operator="between">
      <formula>1.25</formula>
      <formula>1.75</formula>
    </cfRule>
  </conditionalFormatting>
  <conditionalFormatting sqref="N686">
    <cfRule type="cellIs" dxfId="6379" priority="6625" stopIfTrue="1" operator="greaterThan">
      <formula>1.75</formula>
    </cfRule>
    <cfRule type="cellIs" dxfId="6378" priority="6626" stopIfTrue="1" operator="between">
      <formula>1.25</formula>
      <formula>1.75</formula>
    </cfRule>
  </conditionalFormatting>
  <conditionalFormatting sqref="Q686">
    <cfRule type="cellIs" dxfId="6377" priority="6623" stopIfTrue="1" operator="greaterThan">
      <formula>1.75</formula>
    </cfRule>
    <cfRule type="cellIs" dxfId="6376" priority="6624" stopIfTrue="1" operator="between">
      <formula>1.25</formula>
      <formula>1.75</formula>
    </cfRule>
  </conditionalFormatting>
  <conditionalFormatting sqref="P686">
    <cfRule type="cellIs" dxfId="6375" priority="6621" stopIfTrue="1" operator="greaterThan">
      <formula>1.75</formula>
    </cfRule>
    <cfRule type="cellIs" dxfId="6374" priority="6622" stopIfTrue="1" operator="between">
      <formula>1.25</formula>
      <formula>1.75</formula>
    </cfRule>
  </conditionalFormatting>
  <conditionalFormatting sqref="O686">
    <cfRule type="cellIs" dxfId="6373" priority="6619" stopIfTrue="1" operator="greaterThan">
      <formula>1.75</formula>
    </cfRule>
    <cfRule type="cellIs" dxfId="6372" priority="6620" stopIfTrue="1" operator="between">
      <formula>1.25</formula>
      <formula>1.75</formula>
    </cfRule>
  </conditionalFormatting>
  <conditionalFormatting sqref="O686">
    <cfRule type="cellIs" dxfId="6371" priority="6617" stopIfTrue="1" operator="greaterThan">
      <formula>1.75</formula>
    </cfRule>
    <cfRule type="cellIs" dxfId="6370" priority="6618" stopIfTrue="1" operator="between">
      <formula>1.25</formula>
      <formula>1.75</formula>
    </cfRule>
  </conditionalFormatting>
  <conditionalFormatting sqref="O686">
    <cfRule type="cellIs" dxfId="6369" priority="6615" stopIfTrue="1" operator="greaterThan">
      <formula>1.75</formula>
    </cfRule>
    <cfRule type="cellIs" dxfId="6368" priority="6616" stopIfTrue="1" operator="between">
      <formula>1.25</formula>
      <formula>1.75</formula>
    </cfRule>
  </conditionalFormatting>
  <conditionalFormatting sqref="J686">
    <cfRule type="cellIs" dxfId="6367" priority="6613" stopIfTrue="1" operator="greaterThan">
      <formula>1.75</formula>
    </cfRule>
    <cfRule type="cellIs" dxfId="6366" priority="6614" stopIfTrue="1" operator="between">
      <formula>1.25</formula>
      <formula>1.75</formula>
    </cfRule>
  </conditionalFormatting>
  <conditionalFormatting sqref="J686">
    <cfRule type="cellIs" dxfId="6365" priority="6611" stopIfTrue="1" operator="greaterThan">
      <formula>1.75</formula>
    </cfRule>
    <cfRule type="cellIs" dxfId="6364" priority="6612" stopIfTrue="1" operator="between">
      <formula>1.25</formula>
      <formula>1.75</formula>
    </cfRule>
  </conditionalFormatting>
  <conditionalFormatting sqref="J674">
    <cfRule type="cellIs" dxfId="6363" priority="6609" stopIfTrue="1" operator="greaterThan">
      <formula>1.75</formula>
    </cfRule>
    <cfRule type="cellIs" dxfId="6362" priority="6610" stopIfTrue="1" operator="between">
      <formula>1.25</formula>
      <formula>1.75</formula>
    </cfRule>
  </conditionalFormatting>
  <conditionalFormatting sqref="C674:I674 K674:M674">
    <cfRule type="cellIs" dxfId="6361" priority="6607" stopIfTrue="1" operator="greaterThan">
      <formula>1.75</formula>
    </cfRule>
    <cfRule type="cellIs" dxfId="6360" priority="6608" stopIfTrue="1" operator="between">
      <formula>1.25</formula>
      <formula>1.75</formula>
    </cfRule>
  </conditionalFormatting>
  <conditionalFormatting sqref="R673">
    <cfRule type="cellIs" dxfId="6359" priority="6605" operator="lessThan">
      <formula>1000</formula>
    </cfRule>
    <cfRule type="cellIs" dxfId="6358" priority="6606" operator="lessThan">
      <formula>2000</formula>
    </cfRule>
  </conditionalFormatting>
  <conditionalFormatting sqref="C674:I674 K674:M674">
    <cfRule type="cellIs" dxfId="6357" priority="6603" stopIfTrue="1" operator="greaterThan">
      <formula>1.75</formula>
    </cfRule>
    <cfRule type="cellIs" dxfId="6356" priority="6604" stopIfTrue="1" operator="between">
      <formula>1.25</formula>
      <formula>1.75</formula>
    </cfRule>
  </conditionalFormatting>
  <conditionalFormatting sqref="C674:I674 K674:M674">
    <cfRule type="cellIs" dxfId="6355" priority="6601" stopIfTrue="1" operator="greaterThan">
      <formula>1.75</formula>
    </cfRule>
    <cfRule type="cellIs" dxfId="6354" priority="6602" stopIfTrue="1" operator="between">
      <formula>1.25</formula>
      <formula>1.75</formula>
    </cfRule>
  </conditionalFormatting>
  <conditionalFormatting sqref="N674">
    <cfRule type="cellIs" dxfId="6353" priority="6599" stopIfTrue="1" operator="greaterThan">
      <formula>1.75</formula>
    </cfRule>
    <cfRule type="cellIs" dxfId="6352" priority="6600" stopIfTrue="1" operator="between">
      <formula>1.25</formula>
      <formula>1.75</formula>
    </cfRule>
  </conditionalFormatting>
  <conditionalFormatting sqref="N674">
    <cfRule type="cellIs" dxfId="6351" priority="6597" stopIfTrue="1" operator="greaterThan">
      <formula>1.75</formula>
    </cfRule>
    <cfRule type="cellIs" dxfId="6350" priority="6598" stopIfTrue="1" operator="between">
      <formula>1.25</formula>
      <formula>1.75</formula>
    </cfRule>
  </conditionalFormatting>
  <conditionalFormatting sqref="N674">
    <cfRule type="cellIs" dxfId="6349" priority="6595" stopIfTrue="1" operator="greaterThan">
      <formula>1.75</formula>
    </cfRule>
    <cfRule type="cellIs" dxfId="6348" priority="6596" stopIfTrue="1" operator="between">
      <formula>1.25</formula>
      <formula>1.75</formula>
    </cfRule>
  </conditionalFormatting>
  <conditionalFormatting sqref="Q674">
    <cfRule type="cellIs" dxfId="6347" priority="6593" stopIfTrue="1" operator="greaterThan">
      <formula>1.75</formula>
    </cfRule>
    <cfRule type="cellIs" dxfId="6346" priority="6594" stopIfTrue="1" operator="between">
      <formula>1.25</formula>
      <formula>1.75</formula>
    </cfRule>
  </conditionalFormatting>
  <conditionalFormatting sqref="P674">
    <cfRule type="cellIs" dxfId="6345" priority="6591" stopIfTrue="1" operator="greaterThan">
      <formula>1.75</formula>
    </cfRule>
    <cfRule type="cellIs" dxfId="6344" priority="6592" stopIfTrue="1" operator="between">
      <formula>1.25</formula>
      <formula>1.75</formula>
    </cfRule>
  </conditionalFormatting>
  <conditionalFormatting sqref="O674">
    <cfRule type="cellIs" dxfId="6343" priority="6589" stopIfTrue="1" operator="greaterThan">
      <formula>1.75</formula>
    </cfRule>
    <cfRule type="cellIs" dxfId="6342" priority="6590" stopIfTrue="1" operator="between">
      <formula>1.25</formula>
      <formula>1.75</formula>
    </cfRule>
  </conditionalFormatting>
  <conditionalFormatting sqref="O674">
    <cfRule type="cellIs" dxfId="6341" priority="6587" stopIfTrue="1" operator="greaterThan">
      <formula>1.75</formula>
    </cfRule>
    <cfRule type="cellIs" dxfId="6340" priority="6588" stopIfTrue="1" operator="between">
      <formula>1.25</formula>
      <formula>1.75</formula>
    </cfRule>
  </conditionalFormatting>
  <conditionalFormatting sqref="O674">
    <cfRule type="cellIs" dxfId="6339" priority="6585" stopIfTrue="1" operator="greaterThan">
      <formula>1.75</formula>
    </cfRule>
    <cfRule type="cellIs" dxfId="6338" priority="6586" stopIfTrue="1" operator="between">
      <formula>1.25</formula>
      <formula>1.75</formula>
    </cfRule>
  </conditionalFormatting>
  <conditionalFormatting sqref="J674">
    <cfRule type="cellIs" dxfId="6337" priority="6583" stopIfTrue="1" operator="greaterThan">
      <formula>1.75</formula>
    </cfRule>
    <cfRule type="cellIs" dxfId="6336" priority="6584" stopIfTrue="1" operator="between">
      <formula>1.25</formula>
      <formula>1.75</formula>
    </cfRule>
  </conditionalFormatting>
  <conditionalFormatting sqref="J674">
    <cfRule type="cellIs" dxfId="6335" priority="6581" stopIfTrue="1" operator="greaterThan">
      <formula>1.75</formula>
    </cfRule>
    <cfRule type="cellIs" dxfId="6334" priority="6582" stopIfTrue="1" operator="between">
      <formula>1.25</formula>
      <formula>1.75</formula>
    </cfRule>
  </conditionalFormatting>
  <conditionalFormatting sqref="J662">
    <cfRule type="cellIs" dxfId="6333" priority="6579" stopIfTrue="1" operator="greaterThan">
      <formula>1.75</formula>
    </cfRule>
    <cfRule type="cellIs" dxfId="6332" priority="6580" stopIfTrue="1" operator="between">
      <formula>1.25</formula>
      <formula>1.75</formula>
    </cfRule>
  </conditionalFormatting>
  <conditionalFormatting sqref="C662:I662 L662:N662">
    <cfRule type="cellIs" dxfId="6331" priority="6577" stopIfTrue="1" operator="greaterThan">
      <formula>1.75</formula>
    </cfRule>
    <cfRule type="cellIs" dxfId="6330" priority="6578" stopIfTrue="1" operator="between">
      <formula>1.25</formula>
      <formula>1.75</formula>
    </cfRule>
  </conditionalFormatting>
  <conditionalFormatting sqref="T661">
    <cfRule type="cellIs" dxfId="6329" priority="6575" operator="lessThan">
      <formula>1000</formula>
    </cfRule>
    <cfRule type="cellIs" dxfId="6328" priority="6576" operator="lessThan">
      <formula>2000</formula>
    </cfRule>
  </conditionalFormatting>
  <conditionalFormatting sqref="C662:I662 L662:N662">
    <cfRule type="cellIs" dxfId="6327" priority="6573" stopIfTrue="1" operator="greaterThan">
      <formula>1.75</formula>
    </cfRule>
    <cfRule type="cellIs" dxfId="6326" priority="6574" stopIfTrue="1" operator="between">
      <formula>1.25</formula>
      <formula>1.75</formula>
    </cfRule>
  </conditionalFormatting>
  <conditionalFormatting sqref="C662:I662 L662:N662">
    <cfRule type="cellIs" dxfId="6325" priority="6571" stopIfTrue="1" operator="greaterThan">
      <formula>1.75</formula>
    </cfRule>
    <cfRule type="cellIs" dxfId="6324" priority="6572" stopIfTrue="1" operator="between">
      <formula>1.25</formula>
      <formula>1.75</formula>
    </cfRule>
  </conditionalFormatting>
  <conditionalFormatting sqref="O662">
    <cfRule type="cellIs" dxfId="6323" priority="6569" stopIfTrue="1" operator="greaterThan">
      <formula>1.75</formula>
    </cfRule>
    <cfRule type="cellIs" dxfId="6322" priority="6570" stopIfTrue="1" operator="between">
      <formula>1.25</formula>
      <formula>1.75</formula>
    </cfRule>
  </conditionalFormatting>
  <conditionalFormatting sqref="O662">
    <cfRule type="cellIs" dxfId="6321" priority="6567" stopIfTrue="1" operator="greaterThan">
      <formula>1.75</formula>
    </cfRule>
    <cfRule type="cellIs" dxfId="6320" priority="6568" stopIfTrue="1" operator="between">
      <formula>1.25</formula>
      <formula>1.75</formula>
    </cfRule>
  </conditionalFormatting>
  <conditionalFormatting sqref="O662">
    <cfRule type="cellIs" dxfId="6319" priority="6565" stopIfTrue="1" operator="greaterThan">
      <formula>1.75</formula>
    </cfRule>
    <cfRule type="cellIs" dxfId="6318" priority="6566" stopIfTrue="1" operator="between">
      <formula>1.25</formula>
      <formula>1.75</formula>
    </cfRule>
  </conditionalFormatting>
  <conditionalFormatting sqref="S662">
    <cfRule type="cellIs" dxfId="6317" priority="6563" stopIfTrue="1" operator="greaterThan">
      <formula>1.75</formula>
    </cfRule>
    <cfRule type="cellIs" dxfId="6316" priority="6564" stopIfTrue="1" operator="between">
      <formula>1.25</formula>
      <formula>1.75</formula>
    </cfRule>
  </conditionalFormatting>
  <conditionalFormatting sqref="R662">
    <cfRule type="cellIs" dxfId="6315" priority="6561" stopIfTrue="1" operator="greaterThan">
      <formula>1.75</formula>
    </cfRule>
    <cfRule type="cellIs" dxfId="6314" priority="6562" stopIfTrue="1" operator="between">
      <formula>1.25</formula>
      <formula>1.75</formula>
    </cfRule>
  </conditionalFormatting>
  <conditionalFormatting sqref="P662">
    <cfRule type="cellIs" dxfId="6313" priority="6559" stopIfTrue="1" operator="greaterThan">
      <formula>1.75</formula>
    </cfRule>
    <cfRule type="cellIs" dxfId="6312" priority="6560" stopIfTrue="1" operator="between">
      <formula>1.25</formula>
      <formula>1.75</formula>
    </cfRule>
  </conditionalFormatting>
  <conditionalFormatting sqref="P662">
    <cfRule type="cellIs" dxfId="6311" priority="6557" stopIfTrue="1" operator="greaterThan">
      <formula>1.75</formula>
    </cfRule>
    <cfRule type="cellIs" dxfId="6310" priority="6558" stopIfTrue="1" operator="between">
      <formula>1.25</formula>
      <formula>1.75</formula>
    </cfRule>
  </conditionalFormatting>
  <conditionalFormatting sqref="P662">
    <cfRule type="cellIs" dxfId="6309" priority="6555" stopIfTrue="1" operator="greaterThan">
      <formula>1.75</formula>
    </cfRule>
    <cfRule type="cellIs" dxfId="6308" priority="6556" stopIfTrue="1" operator="between">
      <formula>1.25</formula>
      <formula>1.75</formula>
    </cfRule>
  </conditionalFormatting>
  <conditionalFormatting sqref="J662">
    <cfRule type="cellIs" dxfId="6307" priority="6553" stopIfTrue="1" operator="greaterThan">
      <formula>1.75</formula>
    </cfRule>
    <cfRule type="cellIs" dxfId="6306" priority="6554" stopIfTrue="1" operator="between">
      <formula>1.25</formula>
      <formula>1.75</formula>
    </cfRule>
  </conditionalFormatting>
  <conditionalFormatting sqref="J662">
    <cfRule type="cellIs" dxfId="6305" priority="6551" stopIfTrue="1" operator="greaterThan">
      <formula>1.75</formula>
    </cfRule>
    <cfRule type="cellIs" dxfId="6304" priority="6552" stopIfTrue="1" operator="between">
      <formula>1.25</formula>
      <formula>1.75</formula>
    </cfRule>
  </conditionalFormatting>
  <conditionalFormatting sqref="Q662">
    <cfRule type="cellIs" dxfId="6303" priority="6545" stopIfTrue="1" operator="greaterThan">
      <formula>1.75</formula>
    </cfRule>
    <cfRule type="cellIs" dxfId="6302" priority="6546" stopIfTrue="1" operator="between">
      <formula>1.25</formula>
      <formula>1.75</formula>
    </cfRule>
  </conditionalFormatting>
  <conditionalFormatting sqref="K662">
    <cfRule type="cellIs" dxfId="6301" priority="6539" stopIfTrue="1" operator="greaterThan">
      <formula>1.75</formula>
    </cfRule>
    <cfRule type="cellIs" dxfId="6300" priority="6540" stopIfTrue="1" operator="between">
      <formula>1.25</formula>
      <formula>1.75</formula>
    </cfRule>
  </conditionalFormatting>
  <conditionalFormatting sqref="Q662">
    <cfRule type="cellIs" dxfId="6299" priority="6549" stopIfTrue="1" operator="greaterThan">
      <formula>1.75</formula>
    </cfRule>
    <cfRule type="cellIs" dxfId="6298" priority="6550" stopIfTrue="1" operator="between">
      <formula>1.25</formula>
      <formula>1.75</formula>
    </cfRule>
  </conditionalFormatting>
  <conditionalFormatting sqref="Q662">
    <cfRule type="cellIs" dxfId="6297" priority="6547" stopIfTrue="1" operator="greaterThan">
      <formula>1.75</formula>
    </cfRule>
    <cfRule type="cellIs" dxfId="6296" priority="6548" stopIfTrue="1" operator="between">
      <formula>1.25</formula>
      <formula>1.75</formula>
    </cfRule>
  </conditionalFormatting>
  <conditionalFormatting sqref="K662">
    <cfRule type="cellIs" dxfId="6295" priority="6543" stopIfTrue="1" operator="greaterThan">
      <formula>1.75</formula>
    </cfRule>
    <cfRule type="cellIs" dxfId="6294" priority="6544" stopIfTrue="1" operator="between">
      <formula>1.25</formula>
      <formula>1.75</formula>
    </cfRule>
  </conditionalFormatting>
  <conditionalFormatting sqref="K662">
    <cfRule type="cellIs" dxfId="6293" priority="6541" stopIfTrue="1" operator="greaterThan">
      <formula>1.75</formula>
    </cfRule>
    <cfRule type="cellIs" dxfId="6292" priority="6542" stopIfTrue="1" operator="between">
      <formula>1.25</formula>
      <formula>1.75</formula>
    </cfRule>
  </conditionalFormatting>
  <conditionalFormatting sqref="J650">
    <cfRule type="cellIs" dxfId="6291" priority="6537" stopIfTrue="1" operator="greaterThan">
      <formula>1.75</formula>
    </cfRule>
    <cfRule type="cellIs" dxfId="6290" priority="6538" stopIfTrue="1" operator="between">
      <formula>1.25</formula>
      <formula>1.75</formula>
    </cfRule>
  </conditionalFormatting>
  <conditionalFormatting sqref="C650:I650 L650:N650">
    <cfRule type="cellIs" dxfId="6289" priority="6535" stopIfTrue="1" operator="greaterThan">
      <formula>1.75</formula>
    </cfRule>
    <cfRule type="cellIs" dxfId="6288" priority="6536" stopIfTrue="1" operator="between">
      <formula>1.25</formula>
      <formula>1.75</formula>
    </cfRule>
  </conditionalFormatting>
  <conditionalFormatting sqref="T649">
    <cfRule type="cellIs" dxfId="6287" priority="6533" operator="lessThan">
      <formula>1000</formula>
    </cfRule>
    <cfRule type="cellIs" dxfId="6286" priority="6534" operator="lessThan">
      <formula>2000</formula>
    </cfRule>
  </conditionalFormatting>
  <conditionalFormatting sqref="C650:I650 L650:N650">
    <cfRule type="cellIs" dxfId="6285" priority="6531" stopIfTrue="1" operator="greaterThan">
      <formula>1.75</formula>
    </cfRule>
    <cfRule type="cellIs" dxfId="6284" priority="6532" stopIfTrue="1" operator="between">
      <formula>1.25</formula>
      <formula>1.75</formula>
    </cfRule>
  </conditionalFormatting>
  <conditionalFormatting sqref="C650:I650 L650:N650">
    <cfRule type="cellIs" dxfId="6283" priority="6529" stopIfTrue="1" operator="greaterThan">
      <formula>1.75</formula>
    </cfRule>
    <cfRule type="cellIs" dxfId="6282" priority="6530" stopIfTrue="1" operator="between">
      <formula>1.25</formula>
      <formula>1.75</formula>
    </cfRule>
  </conditionalFormatting>
  <conditionalFormatting sqref="O650">
    <cfRule type="cellIs" dxfId="6281" priority="6527" stopIfTrue="1" operator="greaterThan">
      <formula>1.75</formula>
    </cfRule>
    <cfRule type="cellIs" dxfId="6280" priority="6528" stopIfTrue="1" operator="between">
      <formula>1.25</formula>
      <formula>1.75</formula>
    </cfRule>
  </conditionalFormatting>
  <conditionalFormatting sqref="O650">
    <cfRule type="cellIs" dxfId="6279" priority="6525" stopIfTrue="1" operator="greaterThan">
      <formula>1.75</formula>
    </cfRule>
    <cfRule type="cellIs" dxfId="6278" priority="6526" stopIfTrue="1" operator="between">
      <formula>1.25</formula>
      <formula>1.75</formula>
    </cfRule>
  </conditionalFormatting>
  <conditionalFormatting sqref="O650">
    <cfRule type="cellIs" dxfId="6277" priority="6523" stopIfTrue="1" operator="greaterThan">
      <formula>1.75</formula>
    </cfRule>
    <cfRule type="cellIs" dxfId="6276" priority="6524" stopIfTrue="1" operator="between">
      <formula>1.25</formula>
      <formula>1.75</formula>
    </cfRule>
  </conditionalFormatting>
  <conditionalFormatting sqref="S650">
    <cfRule type="cellIs" dxfId="6275" priority="6521" stopIfTrue="1" operator="greaterThan">
      <formula>1.75</formula>
    </cfRule>
    <cfRule type="cellIs" dxfId="6274" priority="6522" stopIfTrue="1" operator="between">
      <formula>1.25</formula>
      <formula>1.75</formula>
    </cfRule>
  </conditionalFormatting>
  <conditionalFormatting sqref="R650">
    <cfRule type="cellIs" dxfId="6273" priority="6519" stopIfTrue="1" operator="greaterThan">
      <formula>1.75</formula>
    </cfRule>
    <cfRule type="cellIs" dxfId="6272" priority="6520" stopIfTrue="1" operator="between">
      <formula>1.25</formula>
      <formula>1.75</formula>
    </cfRule>
  </conditionalFormatting>
  <conditionalFormatting sqref="P650">
    <cfRule type="cellIs" dxfId="6271" priority="6517" stopIfTrue="1" operator="greaterThan">
      <formula>1.75</formula>
    </cfRule>
    <cfRule type="cellIs" dxfId="6270" priority="6518" stopIfTrue="1" operator="between">
      <formula>1.25</formula>
      <formula>1.75</formula>
    </cfRule>
  </conditionalFormatting>
  <conditionalFormatting sqref="P650">
    <cfRule type="cellIs" dxfId="6269" priority="6515" stopIfTrue="1" operator="greaterThan">
      <formula>1.75</formula>
    </cfRule>
    <cfRule type="cellIs" dxfId="6268" priority="6516" stopIfTrue="1" operator="between">
      <formula>1.25</formula>
      <formula>1.75</formula>
    </cfRule>
  </conditionalFormatting>
  <conditionalFormatting sqref="P650">
    <cfRule type="cellIs" dxfId="6267" priority="6513" stopIfTrue="1" operator="greaterThan">
      <formula>1.75</formula>
    </cfRule>
    <cfRule type="cellIs" dxfId="6266" priority="6514" stopIfTrue="1" operator="between">
      <formula>1.25</formula>
      <formula>1.75</formula>
    </cfRule>
  </conditionalFormatting>
  <conditionalFormatting sqref="J650">
    <cfRule type="cellIs" dxfId="6265" priority="6511" stopIfTrue="1" operator="greaterThan">
      <formula>1.75</formula>
    </cfRule>
    <cfRule type="cellIs" dxfId="6264" priority="6512" stopIfTrue="1" operator="between">
      <formula>1.25</formula>
      <formula>1.75</formula>
    </cfRule>
  </conditionalFormatting>
  <conditionalFormatting sqref="J650">
    <cfRule type="cellIs" dxfId="6263" priority="6509" stopIfTrue="1" operator="greaterThan">
      <formula>1.75</formula>
    </cfRule>
    <cfRule type="cellIs" dxfId="6262" priority="6510" stopIfTrue="1" operator="between">
      <formula>1.25</formula>
      <formula>1.75</formula>
    </cfRule>
  </conditionalFormatting>
  <conditionalFormatting sqref="Q650">
    <cfRule type="cellIs" dxfId="6261" priority="6503" stopIfTrue="1" operator="greaterThan">
      <formula>1.75</formula>
    </cfRule>
    <cfRule type="cellIs" dxfId="6260" priority="6504" stopIfTrue="1" operator="between">
      <formula>1.25</formula>
      <formula>1.75</formula>
    </cfRule>
  </conditionalFormatting>
  <conditionalFormatting sqref="K650">
    <cfRule type="cellIs" dxfId="6259" priority="6497" stopIfTrue="1" operator="greaterThan">
      <formula>1.75</formula>
    </cfRule>
    <cfRule type="cellIs" dxfId="6258" priority="6498" stopIfTrue="1" operator="between">
      <formula>1.25</formula>
      <formula>1.75</formula>
    </cfRule>
  </conditionalFormatting>
  <conditionalFormatting sqref="Q650">
    <cfRule type="cellIs" dxfId="6257" priority="6507" stopIfTrue="1" operator="greaterThan">
      <formula>1.75</formula>
    </cfRule>
    <cfRule type="cellIs" dxfId="6256" priority="6508" stopIfTrue="1" operator="between">
      <formula>1.25</formula>
      <formula>1.75</formula>
    </cfRule>
  </conditionalFormatting>
  <conditionalFormatting sqref="Q650">
    <cfRule type="cellIs" dxfId="6255" priority="6505" stopIfTrue="1" operator="greaterThan">
      <formula>1.75</formula>
    </cfRule>
    <cfRule type="cellIs" dxfId="6254" priority="6506" stopIfTrue="1" operator="between">
      <formula>1.25</formula>
      <formula>1.75</formula>
    </cfRule>
  </conditionalFormatting>
  <conditionalFormatting sqref="K650">
    <cfRule type="cellIs" dxfId="6253" priority="6501" stopIfTrue="1" operator="greaterThan">
      <formula>1.75</formula>
    </cfRule>
    <cfRule type="cellIs" dxfId="6252" priority="6502" stopIfTrue="1" operator="between">
      <formula>1.25</formula>
      <formula>1.75</formula>
    </cfRule>
  </conditionalFormatting>
  <conditionalFormatting sqref="K650">
    <cfRule type="cellIs" dxfId="6251" priority="6499" stopIfTrue="1" operator="greaterThan">
      <formula>1.75</formula>
    </cfRule>
    <cfRule type="cellIs" dxfId="6250" priority="6500" stopIfTrue="1" operator="between">
      <formula>1.25</formula>
      <formula>1.75</formula>
    </cfRule>
  </conditionalFormatting>
  <conditionalFormatting sqref="J638">
    <cfRule type="cellIs" dxfId="6249" priority="6495" stopIfTrue="1" operator="greaterThan">
      <formula>1.75</formula>
    </cfRule>
    <cfRule type="cellIs" dxfId="6248" priority="6496" stopIfTrue="1" operator="between">
      <formula>1.25</formula>
      <formula>1.75</formula>
    </cfRule>
  </conditionalFormatting>
  <conditionalFormatting sqref="C638:I638 L638:N638">
    <cfRule type="cellIs" dxfId="6247" priority="6493" stopIfTrue="1" operator="greaterThan">
      <formula>1.75</formula>
    </cfRule>
    <cfRule type="cellIs" dxfId="6246" priority="6494" stopIfTrue="1" operator="between">
      <formula>1.25</formula>
      <formula>1.75</formula>
    </cfRule>
  </conditionalFormatting>
  <conditionalFormatting sqref="T637">
    <cfRule type="cellIs" dxfId="6245" priority="6491" operator="lessThan">
      <formula>1000</formula>
    </cfRule>
    <cfRule type="cellIs" dxfId="6244" priority="6492" operator="lessThan">
      <formula>2000</formula>
    </cfRule>
  </conditionalFormatting>
  <conditionalFormatting sqref="C638:I638 L638:N638">
    <cfRule type="cellIs" dxfId="6243" priority="6489" stopIfTrue="1" operator="greaterThan">
      <formula>1.75</formula>
    </cfRule>
    <cfRule type="cellIs" dxfId="6242" priority="6490" stopIfTrue="1" operator="between">
      <formula>1.25</formula>
      <formula>1.75</formula>
    </cfRule>
  </conditionalFormatting>
  <conditionalFormatting sqref="C638:I638 L638:N638">
    <cfRule type="cellIs" dxfId="6241" priority="6487" stopIfTrue="1" operator="greaterThan">
      <formula>1.75</formula>
    </cfRule>
    <cfRule type="cellIs" dxfId="6240" priority="6488" stopIfTrue="1" operator="between">
      <formula>1.25</formula>
      <formula>1.75</formula>
    </cfRule>
  </conditionalFormatting>
  <conditionalFormatting sqref="O638">
    <cfRule type="cellIs" dxfId="6239" priority="6485" stopIfTrue="1" operator="greaterThan">
      <formula>1.75</formula>
    </cfRule>
    <cfRule type="cellIs" dxfId="6238" priority="6486" stopIfTrue="1" operator="between">
      <formula>1.25</formula>
      <formula>1.75</formula>
    </cfRule>
  </conditionalFormatting>
  <conditionalFormatting sqref="O638">
    <cfRule type="cellIs" dxfId="6237" priority="6483" stopIfTrue="1" operator="greaterThan">
      <formula>1.75</formula>
    </cfRule>
    <cfRule type="cellIs" dxfId="6236" priority="6484" stopIfTrue="1" operator="between">
      <formula>1.25</formula>
      <formula>1.75</formula>
    </cfRule>
  </conditionalFormatting>
  <conditionalFormatting sqref="O638">
    <cfRule type="cellIs" dxfId="6235" priority="6481" stopIfTrue="1" operator="greaterThan">
      <formula>1.75</formula>
    </cfRule>
    <cfRule type="cellIs" dxfId="6234" priority="6482" stopIfTrue="1" operator="between">
      <formula>1.25</formula>
      <formula>1.75</formula>
    </cfRule>
  </conditionalFormatting>
  <conditionalFormatting sqref="S638">
    <cfRule type="cellIs" dxfId="6233" priority="6479" stopIfTrue="1" operator="greaterThan">
      <formula>1.75</formula>
    </cfRule>
    <cfRule type="cellIs" dxfId="6232" priority="6480" stopIfTrue="1" operator="between">
      <formula>1.25</formula>
      <formula>1.75</formula>
    </cfRule>
  </conditionalFormatting>
  <conditionalFormatting sqref="R638">
    <cfRule type="cellIs" dxfId="6231" priority="6477" stopIfTrue="1" operator="greaterThan">
      <formula>1.75</formula>
    </cfRule>
    <cfRule type="cellIs" dxfId="6230" priority="6478" stopIfTrue="1" operator="between">
      <formula>1.25</formula>
      <formula>1.75</formula>
    </cfRule>
  </conditionalFormatting>
  <conditionalFormatting sqref="P638">
    <cfRule type="cellIs" dxfId="6229" priority="6475" stopIfTrue="1" operator="greaterThan">
      <formula>1.75</formula>
    </cfRule>
    <cfRule type="cellIs" dxfId="6228" priority="6476" stopIfTrue="1" operator="between">
      <formula>1.25</formula>
      <formula>1.75</formula>
    </cfRule>
  </conditionalFormatting>
  <conditionalFormatting sqref="P638">
    <cfRule type="cellIs" dxfId="6227" priority="6473" stopIfTrue="1" operator="greaterThan">
      <formula>1.75</formula>
    </cfRule>
    <cfRule type="cellIs" dxfId="6226" priority="6474" stopIfTrue="1" operator="between">
      <formula>1.25</formula>
      <formula>1.75</formula>
    </cfRule>
  </conditionalFormatting>
  <conditionalFormatting sqref="P638">
    <cfRule type="cellIs" dxfId="6225" priority="6471" stopIfTrue="1" operator="greaterThan">
      <formula>1.75</formula>
    </cfRule>
    <cfRule type="cellIs" dxfId="6224" priority="6472" stopIfTrue="1" operator="between">
      <formula>1.25</formula>
      <formula>1.75</formula>
    </cfRule>
  </conditionalFormatting>
  <conditionalFormatting sqref="J638">
    <cfRule type="cellIs" dxfId="6223" priority="6469" stopIfTrue="1" operator="greaterThan">
      <formula>1.75</formula>
    </cfRule>
    <cfRule type="cellIs" dxfId="6222" priority="6470" stopIfTrue="1" operator="between">
      <formula>1.25</formula>
      <formula>1.75</formula>
    </cfRule>
  </conditionalFormatting>
  <conditionalFormatting sqref="J638">
    <cfRule type="cellIs" dxfId="6221" priority="6467" stopIfTrue="1" operator="greaterThan">
      <formula>1.75</formula>
    </cfRule>
    <cfRule type="cellIs" dxfId="6220" priority="6468" stopIfTrue="1" operator="between">
      <formula>1.25</formula>
      <formula>1.75</formula>
    </cfRule>
  </conditionalFormatting>
  <conditionalFormatting sqref="Q638">
    <cfRule type="cellIs" dxfId="6219" priority="6465" stopIfTrue="1" operator="greaterThan">
      <formula>1.75</formula>
    </cfRule>
    <cfRule type="cellIs" dxfId="6218" priority="6466" stopIfTrue="1" operator="between">
      <formula>1.25</formula>
      <formula>1.75</formula>
    </cfRule>
  </conditionalFormatting>
  <conditionalFormatting sqref="K638">
    <cfRule type="cellIs" dxfId="6217" priority="6463" stopIfTrue="1" operator="greaterThan">
      <formula>1.75</formula>
    </cfRule>
    <cfRule type="cellIs" dxfId="6216" priority="6464" stopIfTrue="1" operator="between">
      <formula>1.25</formula>
      <formula>1.75</formula>
    </cfRule>
  </conditionalFormatting>
  <conditionalFormatting sqref="Q638">
    <cfRule type="cellIs" dxfId="6215" priority="6461" stopIfTrue="1" operator="greaterThan">
      <formula>1.75</formula>
    </cfRule>
    <cfRule type="cellIs" dxfId="6214" priority="6462" stopIfTrue="1" operator="between">
      <formula>1.25</formula>
      <formula>1.75</formula>
    </cfRule>
  </conditionalFormatting>
  <conditionalFormatting sqref="Q638">
    <cfRule type="cellIs" dxfId="6213" priority="6459" stopIfTrue="1" operator="greaterThan">
      <formula>1.75</formula>
    </cfRule>
    <cfRule type="cellIs" dxfId="6212" priority="6460" stopIfTrue="1" operator="between">
      <formula>1.25</formula>
      <formula>1.75</formula>
    </cfRule>
  </conditionalFormatting>
  <conditionalFormatting sqref="K638">
    <cfRule type="cellIs" dxfId="6211" priority="6457" stopIfTrue="1" operator="greaterThan">
      <formula>1.75</formula>
    </cfRule>
    <cfRule type="cellIs" dxfId="6210" priority="6458" stopIfTrue="1" operator="between">
      <formula>1.25</formula>
      <formula>1.75</formula>
    </cfRule>
  </conditionalFormatting>
  <conditionalFormatting sqref="K638">
    <cfRule type="cellIs" dxfId="6209" priority="6455" stopIfTrue="1" operator="greaterThan">
      <formula>1.75</formula>
    </cfRule>
    <cfRule type="cellIs" dxfId="6208" priority="6456" stopIfTrue="1" operator="between">
      <formula>1.25</formula>
      <formula>1.75</formula>
    </cfRule>
  </conditionalFormatting>
  <conditionalFormatting sqref="J626">
    <cfRule type="cellIs" dxfId="6207" priority="6453" stopIfTrue="1" operator="greaterThan">
      <formula>1.75</formula>
    </cfRule>
    <cfRule type="cellIs" dxfId="6206" priority="6454" stopIfTrue="1" operator="between">
      <formula>1.25</formula>
      <formula>1.75</formula>
    </cfRule>
  </conditionalFormatting>
  <conditionalFormatting sqref="C626:I626 L626:N626">
    <cfRule type="cellIs" dxfId="6205" priority="6451" stopIfTrue="1" operator="greaterThan">
      <formula>1.75</formula>
    </cfRule>
    <cfRule type="cellIs" dxfId="6204" priority="6452" stopIfTrue="1" operator="between">
      <formula>1.25</formula>
      <formula>1.75</formula>
    </cfRule>
  </conditionalFormatting>
  <conditionalFormatting sqref="T625">
    <cfRule type="cellIs" dxfId="6203" priority="6449" operator="lessThan">
      <formula>1000</formula>
    </cfRule>
    <cfRule type="cellIs" dxfId="6202" priority="6450" operator="lessThan">
      <formula>2000</formula>
    </cfRule>
  </conditionalFormatting>
  <conditionalFormatting sqref="C626:I626 L626:N626">
    <cfRule type="cellIs" dxfId="6201" priority="6447" stopIfTrue="1" operator="greaterThan">
      <formula>1.75</formula>
    </cfRule>
    <cfRule type="cellIs" dxfId="6200" priority="6448" stopIfTrue="1" operator="between">
      <formula>1.25</formula>
      <formula>1.75</formula>
    </cfRule>
  </conditionalFormatting>
  <conditionalFormatting sqref="C626:I626 L626:N626">
    <cfRule type="cellIs" dxfId="6199" priority="6445" stopIfTrue="1" operator="greaterThan">
      <formula>1.75</formula>
    </cfRule>
    <cfRule type="cellIs" dxfId="6198" priority="6446" stopIfTrue="1" operator="between">
      <formula>1.25</formula>
      <formula>1.75</formula>
    </cfRule>
  </conditionalFormatting>
  <conditionalFormatting sqref="O626">
    <cfRule type="cellIs" dxfId="6197" priority="6443" stopIfTrue="1" operator="greaterThan">
      <formula>1.75</formula>
    </cfRule>
    <cfRule type="cellIs" dxfId="6196" priority="6444" stopIfTrue="1" operator="between">
      <formula>1.25</formula>
      <formula>1.75</formula>
    </cfRule>
  </conditionalFormatting>
  <conditionalFormatting sqref="O626">
    <cfRule type="cellIs" dxfId="6195" priority="6441" stopIfTrue="1" operator="greaterThan">
      <formula>1.75</formula>
    </cfRule>
    <cfRule type="cellIs" dxfId="6194" priority="6442" stopIfTrue="1" operator="between">
      <formula>1.25</formula>
      <formula>1.75</formula>
    </cfRule>
  </conditionalFormatting>
  <conditionalFormatting sqref="O626">
    <cfRule type="cellIs" dxfId="6193" priority="6439" stopIfTrue="1" operator="greaterThan">
      <formula>1.75</formula>
    </cfRule>
    <cfRule type="cellIs" dxfId="6192" priority="6440" stopIfTrue="1" operator="between">
      <formula>1.25</formula>
      <formula>1.75</formula>
    </cfRule>
  </conditionalFormatting>
  <conditionalFormatting sqref="S626">
    <cfRule type="cellIs" dxfId="6191" priority="6437" stopIfTrue="1" operator="greaterThan">
      <formula>1.75</formula>
    </cfRule>
    <cfRule type="cellIs" dxfId="6190" priority="6438" stopIfTrue="1" operator="between">
      <formula>1.25</formula>
      <formula>1.75</formula>
    </cfRule>
  </conditionalFormatting>
  <conditionalFormatting sqref="R626">
    <cfRule type="cellIs" dxfId="6189" priority="6435" stopIfTrue="1" operator="greaterThan">
      <formula>1.75</formula>
    </cfRule>
    <cfRule type="cellIs" dxfId="6188" priority="6436" stopIfTrue="1" operator="between">
      <formula>1.25</formula>
      <formula>1.75</formula>
    </cfRule>
  </conditionalFormatting>
  <conditionalFormatting sqref="P626">
    <cfRule type="cellIs" dxfId="6187" priority="6433" stopIfTrue="1" operator="greaterThan">
      <formula>1.75</formula>
    </cfRule>
    <cfRule type="cellIs" dxfId="6186" priority="6434" stopIfTrue="1" operator="between">
      <formula>1.25</formula>
      <formula>1.75</formula>
    </cfRule>
  </conditionalFormatting>
  <conditionalFormatting sqref="P626">
    <cfRule type="cellIs" dxfId="6185" priority="6431" stopIfTrue="1" operator="greaterThan">
      <formula>1.75</formula>
    </cfRule>
    <cfRule type="cellIs" dxfId="6184" priority="6432" stopIfTrue="1" operator="between">
      <formula>1.25</formula>
      <formula>1.75</formula>
    </cfRule>
  </conditionalFormatting>
  <conditionalFormatting sqref="P626">
    <cfRule type="cellIs" dxfId="6183" priority="6429" stopIfTrue="1" operator="greaterThan">
      <formula>1.75</formula>
    </cfRule>
    <cfRule type="cellIs" dxfId="6182" priority="6430" stopIfTrue="1" operator="between">
      <formula>1.25</formula>
      <formula>1.75</formula>
    </cfRule>
  </conditionalFormatting>
  <conditionalFormatting sqref="J626">
    <cfRule type="cellIs" dxfId="6181" priority="6427" stopIfTrue="1" operator="greaterThan">
      <formula>1.75</formula>
    </cfRule>
    <cfRule type="cellIs" dxfId="6180" priority="6428" stopIfTrue="1" operator="between">
      <formula>1.25</formula>
      <formula>1.75</formula>
    </cfRule>
  </conditionalFormatting>
  <conditionalFormatting sqref="J626">
    <cfRule type="cellIs" dxfId="6179" priority="6425" stopIfTrue="1" operator="greaterThan">
      <formula>1.75</formula>
    </cfRule>
    <cfRule type="cellIs" dxfId="6178" priority="6426" stopIfTrue="1" operator="between">
      <formula>1.25</formula>
      <formula>1.75</formula>
    </cfRule>
  </conditionalFormatting>
  <conditionalFormatting sqref="Q626">
    <cfRule type="cellIs" dxfId="6177" priority="6423" stopIfTrue="1" operator="greaterThan">
      <formula>1.75</formula>
    </cfRule>
    <cfRule type="cellIs" dxfId="6176" priority="6424" stopIfTrue="1" operator="between">
      <formula>1.25</formula>
      <formula>1.75</formula>
    </cfRule>
  </conditionalFormatting>
  <conditionalFormatting sqref="K626">
    <cfRule type="cellIs" dxfId="6175" priority="6421" stopIfTrue="1" operator="greaterThan">
      <formula>1.75</formula>
    </cfRule>
    <cfRule type="cellIs" dxfId="6174" priority="6422" stopIfTrue="1" operator="between">
      <formula>1.25</formula>
      <formula>1.75</formula>
    </cfRule>
  </conditionalFormatting>
  <conditionalFormatting sqref="Q626">
    <cfRule type="cellIs" dxfId="6173" priority="6419" stopIfTrue="1" operator="greaterThan">
      <formula>1.75</formula>
    </cfRule>
    <cfRule type="cellIs" dxfId="6172" priority="6420" stopIfTrue="1" operator="between">
      <formula>1.25</formula>
      <formula>1.75</formula>
    </cfRule>
  </conditionalFormatting>
  <conditionalFormatting sqref="Q626">
    <cfRule type="cellIs" dxfId="6171" priority="6417" stopIfTrue="1" operator="greaterThan">
      <formula>1.75</formula>
    </cfRule>
    <cfRule type="cellIs" dxfId="6170" priority="6418" stopIfTrue="1" operator="between">
      <formula>1.25</formula>
      <formula>1.75</formula>
    </cfRule>
  </conditionalFormatting>
  <conditionalFormatting sqref="K626">
    <cfRule type="cellIs" dxfId="6169" priority="6415" stopIfTrue="1" operator="greaterThan">
      <formula>1.75</formula>
    </cfRule>
    <cfRule type="cellIs" dxfId="6168" priority="6416" stopIfTrue="1" operator="between">
      <formula>1.25</formula>
      <formula>1.75</formula>
    </cfRule>
  </conditionalFormatting>
  <conditionalFormatting sqref="K626">
    <cfRule type="cellIs" dxfId="6167" priority="6413" stopIfTrue="1" operator="greaterThan">
      <formula>1.75</formula>
    </cfRule>
    <cfRule type="cellIs" dxfId="6166" priority="6414" stopIfTrue="1" operator="between">
      <formula>1.25</formula>
      <formula>1.75</formula>
    </cfRule>
  </conditionalFormatting>
  <conditionalFormatting sqref="J614">
    <cfRule type="cellIs" dxfId="6165" priority="6411" stopIfTrue="1" operator="greaterThan">
      <formula>1.75</formula>
    </cfRule>
    <cfRule type="cellIs" dxfId="6164" priority="6412" stopIfTrue="1" operator="between">
      <formula>1.25</formula>
      <formula>1.75</formula>
    </cfRule>
  </conditionalFormatting>
  <conditionalFormatting sqref="C614:I614 M614:O614">
    <cfRule type="cellIs" dxfId="6163" priority="6409" stopIfTrue="1" operator="greaterThan">
      <formula>1.75</formula>
    </cfRule>
    <cfRule type="cellIs" dxfId="6162" priority="6410" stopIfTrue="1" operator="between">
      <formula>1.25</formula>
      <formula>1.75</formula>
    </cfRule>
  </conditionalFormatting>
  <conditionalFormatting sqref="V613">
    <cfRule type="cellIs" dxfId="6161" priority="6407" operator="lessThan">
      <formula>1000</formula>
    </cfRule>
    <cfRule type="cellIs" dxfId="6160" priority="6408" operator="lessThan">
      <formula>2000</formula>
    </cfRule>
  </conditionalFormatting>
  <conditionalFormatting sqref="C614:I614 M614:O614">
    <cfRule type="cellIs" dxfId="6159" priority="6405" stopIfTrue="1" operator="greaterThan">
      <formula>1.75</formula>
    </cfRule>
    <cfRule type="cellIs" dxfId="6158" priority="6406" stopIfTrue="1" operator="between">
      <formula>1.25</formula>
      <formula>1.75</formula>
    </cfRule>
  </conditionalFormatting>
  <conditionalFormatting sqref="C614:I614 M614:O614">
    <cfRule type="cellIs" dxfId="6157" priority="6403" stopIfTrue="1" operator="greaterThan">
      <formula>1.75</formula>
    </cfRule>
    <cfRule type="cellIs" dxfId="6156" priority="6404" stopIfTrue="1" operator="between">
      <formula>1.25</formula>
      <formula>1.75</formula>
    </cfRule>
  </conditionalFormatting>
  <conditionalFormatting sqref="P614">
    <cfRule type="cellIs" dxfId="6155" priority="6401" stopIfTrue="1" operator="greaterThan">
      <formula>1.75</formula>
    </cfRule>
    <cfRule type="cellIs" dxfId="6154" priority="6402" stopIfTrue="1" operator="between">
      <formula>1.25</formula>
      <formula>1.75</formula>
    </cfRule>
  </conditionalFormatting>
  <conditionalFormatting sqref="P614">
    <cfRule type="cellIs" dxfId="6153" priority="6399" stopIfTrue="1" operator="greaterThan">
      <formula>1.75</formula>
    </cfRule>
    <cfRule type="cellIs" dxfId="6152" priority="6400" stopIfTrue="1" operator="between">
      <formula>1.25</formula>
      <formula>1.75</formula>
    </cfRule>
  </conditionalFormatting>
  <conditionalFormatting sqref="P614">
    <cfRule type="cellIs" dxfId="6151" priority="6397" stopIfTrue="1" operator="greaterThan">
      <formula>1.75</formula>
    </cfRule>
    <cfRule type="cellIs" dxfId="6150" priority="6398" stopIfTrue="1" operator="between">
      <formula>1.25</formula>
      <formula>1.75</formula>
    </cfRule>
  </conditionalFormatting>
  <conditionalFormatting sqref="U614">
    <cfRule type="cellIs" dxfId="6149" priority="6395" stopIfTrue="1" operator="greaterThan">
      <formula>1.75</formula>
    </cfRule>
    <cfRule type="cellIs" dxfId="6148" priority="6396" stopIfTrue="1" operator="between">
      <formula>1.25</formula>
      <formula>1.75</formula>
    </cfRule>
  </conditionalFormatting>
  <conditionalFormatting sqref="T614">
    <cfRule type="cellIs" dxfId="6147" priority="6393" stopIfTrue="1" operator="greaterThan">
      <formula>1.75</formula>
    </cfRule>
    <cfRule type="cellIs" dxfId="6146" priority="6394" stopIfTrue="1" operator="between">
      <formula>1.25</formula>
      <formula>1.75</formula>
    </cfRule>
  </conditionalFormatting>
  <conditionalFormatting sqref="Q614">
    <cfRule type="cellIs" dxfId="6145" priority="6391" stopIfTrue="1" operator="greaterThan">
      <formula>1.75</formula>
    </cfRule>
    <cfRule type="cellIs" dxfId="6144" priority="6392" stopIfTrue="1" operator="between">
      <formula>1.25</formula>
      <formula>1.75</formula>
    </cfRule>
  </conditionalFormatting>
  <conditionalFormatting sqref="Q614">
    <cfRule type="cellIs" dxfId="6143" priority="6389" stopIfTrue="1" operator="greaterThan">
      <formula>1.75</formula>
    </cfRule>
    <cfRule type="cellIs" dxfId="6142" priority="6390" stopIfTrue="1" operator="between">
      <formula>1.25</formula>
      <formula>1.75</formula>
    </cfRule>
  </conditionalFormatting>
  <conditionalFormatting sqref="Q614">
    <cfRule type="cellIs" dxfId="6141" priority="6387" stopIfTrue="1" operator="greaterThan">
      <formula>1.75</formula>
    </cfRule>
    <cfRule type="cellIs" dxfId="6140" priority="6388" stopIfTrue="1" operator="between">
      <formula>1.25</formula>
      <formula>1.75</formula>
    </cfRule>
  </conditionalFormatting>
  <conditionalFormatting sqref="J614">
    <cfRule type="cellIs" dxfId="6139" priority="6385" stopIfTrue="1" operator="greaterThan">
      <formula>1.75</formula>
    </cfRule>
    <cfRule type="cellIs" dxfId="6138" priority="6386" stopIfTrue="1" operator="between">
      <formula>1.25</formula>
      <formula>1.75</formula>
    </cfRule>
  </conditionalFormatting>
  <conditionalFormatting sqref="J614">
    <cfRule type="cellIs" dxfId="6137" priority="6383" stopIfTrue="1" operator="greaterThan">
      <formula>1.75</formula>
    </cfRule>
    <cfRule type="cellIs" dxfId="6136" priority="6384" stopIfTrue="1" operator="between">
      <formula>1.25</formula>
      <formula>1.75</formula>
    </cfRule>
  </conditionalFormatting>
  <conditionalFormatting sqref="R614">
    <cfRule type="cellIs" dxfId="6135" priority="6381" stopIfTrue="1" operator="greaterThan">
      <formula>1.75</formula>
    </cfRule>
    <cfRule type="cellIs" dxfId="6134" priority="6382" stopIfTrue="1" operator="between">
      <formula>1.25</formula>
      <formula>1.75</formula>
    </cfRule>
  </conditionalFormatting>
  <conditionalFormatting sqref="K614">
    <cfRule type="cellIs" dxfId="6133" priority="6379" stopIfTrue="1" operator="greaterThan">
      <formula>1.75</formula>
    </cfRule>
    <cfRule type="cellIs" dxfId="6132" priority="6380" stopIfTrue="1" operator="between">
      <formula>1.25</formula>
      <formula>1.75</formula>
    </cfRule>
  </conditionalFormatting>
  <conditionalFormatting sqref="R614">
    <cfRule type="cellIs" dxfId="6131" priority="6377" stopIfTrue="1" operator="greaterThan">
      <formula>1.75</formula>
    </cfRule>
    <cfRule type="cellIs" dxfId="6130" priority="6378" stopIfTrue="1" operator="between">
      <formula>1.25</formula>
      <formula>1.75</formula>
    </cfRule>
  </conditionalFormatting>
  <conditionalFormatting sqref="R614">
    <cfRule type="cellIs" dxfId="6129" priority="6375" stopIfTrue="1" operator="greaterThan">
      <formula>1.75</formula>
    </cfRule>
    <cfRule type="cellIs" dxfId="6128" priority="6376" stopIfTrue="1" operator="between">
      <formula>1.25</formula>
      <formula>1.75</formula>
    </cfRule>
  </conditionalFormatting>
  <conditionalFormatting sqref="K614">
    <cfRule type="cellIs" dxfId="6127" priority="6373" stopIfTrue="1" operator="greaterThan">
      <formula>1.75</formula>
    </cfRule>
    <cfRule type="cellIs" dxfId="6126" priority="6374" stopIfTrue="1" operator="between">
      <formula>1.25</formula>
      <formula>1.75</formula>
    </cfRule>
  </conditionalFormatting>
  <conditionalFormatting sqref="K614">
    <cfRule type="cellIs" dxfId="6125" priority="6371" stopIfTrue="1" operator="greaterThan">
      <formula>1.75</formula>
    </cfRule>
    <cfRule type="cellIs" dxfId="6124" priority="6372" stopIfTrue="1" operator="between">
      <formula>1.25</formula>
      <formula>1.75</formula>
    </cfRule>
  </conditionalFormatting>
  <conditionalFormatting sqref="L614">
    <cfRule type="cellIs" dxfId="6123" priority="6369" stopIfTrue="1" operator="greaterThan">
      <formula>1.75</formula>
    </cfRule>
    <cfRule type="cellIs" dxfId="6122" priority="6370" stopIfTrue="1" operator="between">
      <formula>1.25</formula>
      <formula>1.75</formula>
    </cfRule>
  </conditionalFormatting>
  <conditionalFormatting sqref="L614">
    <cfRule type="cellIs" dxfId="6121" priority="6367" stopIfTrue="1" operator="greaterThan">
      <formula>1.75</formula>
    </cfRule>
    <cfRule type="cellIs" dxfId="6120" priority="6368" stopIfTrue="1" operator="between">
      <formula>1.25</formula>
      <formula>1.75</formula>
    </cfRule>
  </conditionalFormatting>
  <conditionalFormatting sqref="L614">
    <cfRule type="cellIs" dxfId="6119" priority="6365" stopIfTrue="1" operator="greaterThan">
      <formula>1.75</formula>
    </cfRule>
    <cfRule type="cellIs" dxfId="6118" priority="6366" stopIfTrue="1" operator="between">
      <formula>1.25</formula>
      <formula>1.75</formula>
    </cfRule>
  </conditionalFormatting>
  <conditionalFormatting sqref="S614">
    <cfRule type="cellIs" dxfId="6117" priority="6363" stopIfTrue="1" operator="greaterThan">
      <formula>1.75</formula>
    </cfRule>
    <cfRule type="cellIs" dxfId="6116" priority="6364" stopIfTrue="1" operator="between">
      <formula>1.25</formula>
      <formula>1.75</formula>
    </cfRule>
  </conditionalFormatting>
  <conditionalFormatting sqref="S614">
    <cfRule type="cellIs" dxfId="6115" priority="6361" stopIfTrue="1" operator="greaterThan">
      <formula>1.75</formula>
    </cfRule>
    <cfRule type="cellIs" dxfId="6114" priority="6362" stopIfTrue="1" operator="between">
      <formula>1.25</formula>
      <formula>1.75</formula>
    </cfRule>
  </conditionalFormatting>
  <conditionalFormatting sqref="S614">
    <cfRule type="cellIs" dxfId="6113" priority="6359" stopIfTrue="1" operator="greaterThan">
      <formula>1.75</formula>
    </cfRule>
    <cfRule type="cellIs" dxfId="6112" priority="6360" stopIfTrue="1" operator="between">
      <formula>1.25</formula>
      <formula>1.75</formula>
    </cfRule>
  </conditionalFormatting>
  <conditionalFormatting sqref="J602">
    <cfRule type="cellIs" dxfId="6111" priority="6357" stopIfTrue="1" operator="greaterThan">
      <formula>1.75</formula>
    </cfRule>
    <cfRule type="cellIs" dxfId="6110" priority="6358" stopIfTrue="1" operator="between">
      <formula>1.25</formula>
      <formula>1.75</formula>
    </cfRule>
  </conditionalFormatting>
  <conditionalFormatting sqref="C602:I602 M602:O602">
    <cfRule type="cellIs" dxfId="6109" priority="6355" stopIfTrue="1" operator="greaterThan">
      <formula>1.75</formula>
    </cfRule>
    <cfRule type="cellIs" dxfId="6108" priority="6356" stopIfTrue="1" operator="between">
      <formula>1.25</formula>
      <formula>1.75</formula>
    </cfRule>
  </conditionalFormatting>
  <conditionalFormatting sqref="V601">
    <cfRule type="cellIs" dxfId="6107" priority="6353" operator="lessThan">
      <formula>1000</formula>
    </cfRule>
    <cfRule type="cellIs" dxfId="6106" priority="6354" operator="lessThan">
      <formula>2000</formula>
    </cfRule>
  </conditionalFormatting>
  <conditionalFormatting sqref="C602:I602 M602:O602">
    <cfRule type="cellIs" dxfId="6105" priority="6351" stopIfTrue="1" operator="greaterThan">
      <formula>1.75</formula>
    </cfRule>
    <cfRule type="cellIs" dxfId="6104" priority="6352" stopIfTrue="1" operator="between">
      <formula>1.25</formula>
      <formula>1.75</formula>
    </cfRule>
  </conditionalFormatting>
  <conditionalFormatting sqref="C602:I602 M602:O602">
    <cfRule type="cellIs" dxfId="6103" priority="6349" stopIfTrue="1" operator="greaterThan">
      <formula>1.75</formula>
    </cfRule>
    <cfRule type="cellIs" dxfId="6102" priority="6350" stopIfTrue="1" operator="between">
      <formula>1.25</formula>
      <formula>1.75</formula>
    </cfRule>
  </conditionalFormatting>
  <conditionalFormatting sqref="P602">
    <cfRule type="cellIs" dxfId="6101" priority="6347" stopIfTrue="1" operator="greaterThan">
      <formula>1.75</formula>
    </cfRule>
    <cfRule type="cellIs" dxfId="6100" priority="6348" stopIfTrue="1" operator="between">
      <formula>1.25</formula>
      <formula>1.75</formula>
    </cfRule>
  </conditionalFormatting>
  <conditionalFormatting sqref="P602">
    <cfRule type="cellIs" dxfId="6099" priority="6345" stopIfTrue="1" operator="greaterThan">
      <formula>1.75</formula>
    </cfRule>
    <cfRule type="cellIs" dxfId="6098" priority="6346" stopIfTrue="1" operator="between">
      <formula>1.25</formula>
      <formula>1.75</formula>
    </cfRule>
  </conditionalFormatting>
  <conditionalFormatting sqref="P602">
    <cfRule type="cellIs" dxfId="6097" priority="6343" stopIfTrue="1" operator="greaterThan">
      <formula>1.75</formula>
    </cfRule>
    <cfRule type="cellIs" dxfId="6096" priority="6344" stopIfTrue="1" operator="between">
      <formula>1.25</formula>
      <formula>1.75</formula>
    </cfRule>
  </conditionalFormatting>
  <conditionalFormatting sqref="U602">
    <cfRule type="cellIs" dxfId="6095" priority="6341" stopIfTrue="1" operator="greaterThan">
      <formula>1.75</formula>
    </cfRule>
    <cfRule type="cellIs" dxfId="6094" priority="6342" stopIfTrue="1" operator="between">
      <formula>1.25</formula>
      <formula>1.75</formula>
    </cfRule>
  </conditionalFormatting>
  <conditionalFormatting sqref="T602">
    <cfRule type="cellIs" dxfId="6093" priority="6339" stopIfTrue="1" operator="greaterThan">
      <formula>1.75</formula>
    </cfRule>
    <cfRule type="cellIs" dxfId="6092" priority="6340" stopIfTrue="1" operator="between">
      <formula>1.25</formula>
      <formula>1.75</formula>
    </cfRule>
  </conditionalFormatting>
  <conditionalFormatting sqref="Q602">
    <cfRule type="cellIs" dxfId="6091" priority="6337" stopIfTrue="1" operator="greaterThan">
      <formula>1.75</formula>
    </cfRule>
    <cfRule type="cellIs" dxfId="6090" priority="6338" stopIfTrue="1" operator="between">
      <formula>1.25</formula>
      <formula>1.75</formula>
    </cfRule>
  </conditionalFormatting>
  <conditionalFormatting sqref="Q602">
    <cfRule type="cellIs" dxfId="6089" priority="6335" stopIfTrue="1" operator="greaterThan">
      <formula>1.75</formula>
    </cfRule>
    <cfRule type="cellIs" dxfId="6088" priority="6336" stopIfTrue="1" operator="between">
      <formula>1.25</formula>
      <formula>1.75</formula>
    </cfRule>
  </conditionalFormatting>
  <conditionalFormatting sqref="Q602">
    <cfRule type="cellIs" dxfId="6087" priority="6333" stopIfTrue="1" operator="greaterThan">
      <formula>1.75</formula>
    </cfRule>
    <cfRule type="cellIs" dxfId="6086" priority="6334" stopIfTrue="1" operator="between">
      <formula>1.25</formula>
      <formula>1.75</formula>
    </cfRule>
  </conditionalFormatting>
  <conditionalFormatting sqref="J602">
    <cfRule type="cellIs" dxfId="6085" priority="6331" stopIfTrue="1" operator="greaterThan">
      <formula>1.75</formula>
    </cfRule>
    <cfRule type="cellIs" dxfId="6084" priority="6332" stopIfTrue="1" operator="between">
      <formula>1.25</formula>
      <formula>1.75</formula>
    </cfRule>
  </conditionalFormatting>
  <conditionalFormatting sqref="J602">
    <cfRule type="cellIs" dxfId="6083" priority="6329" stopIfTrue="1" operator="greaterThan">
      <formula>1.75</formula>
    </cfRule>
    <cfRule type="cellIs" dxfId="6082" priority="6330" stopIfTrue="1" operator="between">
      <formula>1.25</formula>
      <formula>1.75</formula>
    </cfRule>
  </conditionalFormatting>
  <conditionalFormatting sqref="R602">
    <cfRule type="cellIs" dxfId="6081" priority="6327" stopIfTrue="1" operator="greaterThan">
      <formula>1.75</formula>
    </cfRule>
    <cfRule type="cellIs" dxfId="6080" priority="6328" stopIfTrue="1" operator="between">
      <formula>1.25</formula>
      <formula>1.75</formula>
    </cfRule>
  </conditionalFormatting>
  <conditionalFormatting sqref="K602">
    <cfRule type="cellIs" dxfId="6079" priority="6325" stopIfTrue="1" operator="greaterThan">
      <formula>1.75</formula>
    </cfRule>
    <cfRule type="cellIs" dxfId="6078" priority="6326" stopIfTrue="1" operator="between">
      <formula>1.25</formula>
      <formula>1.75</formula>
    </cfRule>
  </conditionalFormatting>
  <conditionalFormatting sqref="R602">
    <cfRule type="cellIs" dxfId="6077" priority="6323" stopIfTrue="1" operator="greaterThan">
      <formula>1.75</formula>
    </cfRule>
    <cfRule type="cellIs" dxfId="6076" priority="6324" stopIfTrue="1" operator="between">
      <formula>1.25</formula>
      <formula>1.75</formula>
    </cfRule>
  </conditionalFormatting>
  <conditionalFormatting sqref="R602">
    <cfRule type="cellIs" dxfId="6075" priority="6321" stopIfTrue="1" operator="greaterThan">
      <formula>1.75</formula>
    </cfRule>
    <cfRule type="cellIs" dxfId="6074" priority="6322" stopIfTrue="1" operator="between">
      <formula>1.25</formula>
      <formula>1.75</formula>
    </cfRule>
  </conditionalFormatting>
  <conditionalFormatting sqref="K602">
    <cfRule type="cellIs" dxfId="6073" priority="6319" stopIfTrue="1" operator="greaterThan">
      <formula>1.75</formula>
    </cfRule>
    <cfRule type="cellIs" dxfId="6072" priority="6320" stopIfTrue="1" operator="between">
      <formula>1.25</formula>
      <formula>1.75</formula>
    </cfRule>
  </conditionalFormatting>
  <conditionalFormatting sqref="K602">
    <cfRule type="cellIs" dxfId="6071" priority="6317" stopIfTrue="1" operator="greaterThan">
      <formula>1.75</formula>
    </cfRule>
    <cfRule type="cellIs" dxfId="6070" priority="6318" stopIfTrue="1" operator="between">
      <formula>1.25</formula>
      <formula>1.75</formula>
    </cfRule>
  </conditionalFormatting>
  <conditionalFormatting sqref="L602">
    <cfRule type="cellIs" dxfId="6069" priority="6315" stopIfTrue="1" operator="greaterThan">
      <formula>1.75</formula>
    </cfRule>
    <cfRule type="cellIs" dxfId="6068" priority="6316" stopIfTrue="1" operator="between">
      <formula>1.25</formula>
      <formula>1.75</formula>
    </cfRule>
  </conditionalFormatting>
  <conditionalFormatting sqref="L602">
    <cfRule type="cellIs" dxfId="6067" priority="6313" stopIfTrue="1" operator="greaterThan">
      <formula>1.75</formula>
    </cfRule>
    <cfRule type="cellIs" dxfId="6066" priority="6314" stopIfTrue="1" operator="between">
      <formula>1.25</formula>
      <formula>1.75</formula>
    </cfRule>
  </conditionalFormatting>
  <conditionalFormatting sqref="L602">
    <cfRule type="cellIs" dxfId="6065" priority="6311" stopIfTrue="1" operator="greaterThan">
      <formula>1.75</formula>
    </cfRule>
    <cfRule type="cellIs" dxfId="6064" priority="6312" stopIfTrue="1" operator="between">
      <formula>1.25</formula>
      <formula>1.75</formula>
    </cfRule>
  </conditionalFormatting>
  <conditionalFormatting sqref="S602">
    <cfRule type="cellIs" dxfId="6063" priority="6309" stopIfTrue="1" operator="greaterThan">
      <formula>1.75</formula>
    </cfRule>
    <cfRule type="cellIs" dxfId="6062" priority="6310" stopIfTrue="1" operator="between">
      <formula>1.25</formula>
      <formula>1.75</formula>
    </cfRule>
  </conditionalFormatting>
  <conditionalFormatting sqref="S602">
    <cfRule type="cellIs" dxfId="6061" priority="6307" stopIfTrue="1" operator="greaterThan">
      <formula>1.75</formula>
    </cfRule>
    <cfRule type="cellIs" dxfId="6060" priority="6308" stopIfTrue="1" operator="between">
      <formula>1.25</formula>
      <formula>1.75</formula>
    </cfRule>
  </conditionalFormatting>
  <conditionalFormatting sqref="S602">
    <cfRule type="cellIs" dxfId="6059" priority="6305" stopIfTrue="1" operator="greaterThan">
      <formula>1.75</formula>
    </cfRule>
    <cfRule type="cellIs" dxfId="6058" priority="6306" stopIfTrue="1" operator="between">
      <formula>1.25</formula>
      <formula>1.75</formula>
    </cfRule>
  </conditionalFormatting>
  <conditionalFormatting sqref="J590">
    <cfRule type="cellIs" dxfId="6057" priority="6303" stopIfTrue="1" operator="greaterThan">
      <formula>1.75</formula>
    </cfRule>
    <cfRule type="cellIs" dxfId="6056" priority="6304" stopIfTrue="1" operator="between">
      <formula>1.25</formula>
      <formula>1.75</formula>
    </cfRule>
  </conditionalFormatting>
  <conditionalFormatting sqref="C590:I590 M590:O590">
    <cfRule type="cellIs" dxfId="6055" priority="6301" stopIfTrue="1" operator="greaterThan">
      <formula>1.75</formula>
    </cfRule>
    <cfRule type="cellIs" dxfId="6054" priority="6302" stopIfTrue="1" operator="between">
      <formula>1.25</formula>
      <formula>1.75</formula>
    </cfRule>
  </conditionalFormatting>
  <conditionalFormatting sqref="V589">
    <cfRule type="cellIs" dxfId="6053" priority="6299" operator="lessThan">
      <formula>1000</formula>
    </cfRule>
    <cfRule type="cellIs" dxfId="6052" priority="6300" operator="lessThan">
      <formula>2000</formula>
    </cfRule>
  </conditionalFormatting>
  <conditionalFormatting sqref="C590:I590 M590:O590">
    <cfRule type="cellIs" dxfId="6051" priority="6297" stopIfTrue="1" operator="greaterThan">
      <formula>1.75</formula>
    </cfRule>
    <cfRule type="cellIs" dxfId="6050" priority="6298" stopIfTrue="1" operator="between">
      <formula>1.25</formula>
      <formula>1.75</formula>
    </cfRule>
  </conditionalFormatting>
  <conditionalFormatting sqref="C590:I590 M590:O590">
    <cfRule type="cellIs" dxfId="6049" priority="6295" stopIfTrue="1" operator="greaterThan">
      <formula>1.75</formula>
    </cfRule>
    <cfRule type="cellIs" dxfId="6048" priority="6296" stopIfTrue="1" operator="between">
      <formula>1.25</formula>
      <formula>1.75</formula>
    </cfRule>
  </conditionalFormatting>
  <conditionalFormatting sqref="P590">
    <cfRule type="cellIs" dxfId="6047" priority="6293" stopIfTrue="1" operator="greaterThan">
      <formula>1.75</formula>
    </cfRule>
    <cfRule type="cellIs" dxfId="6046" priority="6294" stopIfTrue="1" operator="between">
      <formula>1.25</formula>
      <formula>1.75</formula>
    </cfRule>
  </conditionalFormatting>
  <conditionalFormatting sqref="P590">
    <cfRule type="cellIs" dxfId="6045" priority="6291" stopIfTrue="1" operator="greaterThan">
      <formula>1.75</formula>
    </cfRule>
    <cfRule type="cellIs" dxfId="6044" priority="6292" stopIfTrue="1" operator="between">
      <formula>1.25</formula>
      <formula>1.75</formula>
    </cfRule>
  </conditionalFormatting>
  <conditionalFormatting sqref="P590">
    <cfRule type="cellIs" dxfId="6043" priority="6289" stopIfTrue="1" operator="greaterThan">
      <formula>1.75</formula>
    </cfRule>
    <cfRule type="cellIs" dxfId="6042" priority="6290" stopIfTrue="1" operator="between">
      <formula>1.25</formula>
      <formula>1.75</formula>
    </cfRule>
  </conditionalFormatting>
  <conditionalFormatting sqref="U590">
    <cfRule type="cellIs" dxfId="6041" priority="6287" stopIfTrue="1" operator="greaterThan">
      <formula>1.75</formula>
    </cfRule>
    <cfRule type="cellIs" dxfId="6040" priority="6288" stopIfTrue="1" operator="between">
      <formula>1.25</formula>
      <formula>1.75</formula>
    </cfRule>
  </conditionalFormatting>
  <conditionalFormatting sqref="T590">
    <cfRule type="cellIs" dxfId="6039" priority="6285" stopIfTrue="1" operator="greaterThan">
      <formula>1.75</formula>
    </cfRule>
    <cfRule type="cellIs" dxfId="6038" priority="6286" stopIfTrue="1" operator="between">
      <formula>1.25</formula>
      <formula>1.75</formula>
    </cfRule>
  </conditionalFormatting>
  <conditionalFormatting sqref="Q590">
    <cfRule type="cellIs" dxfId="6037" priority="6283" stopIfTrue="1" operator="greaterThan">
      <formula>1.75</formula>
    </cfRule>
    <cfRule type="cellIs" dxfId="6036" priority="6284" stopIfTrue="1" operator="between">
      <formula>1.25</formula>
      <formula>1.75</formula>
    </cfRule>
  </conditionalFormatting>
  <conditionalFormatting sqref="Q590">
    <cfRule type="cellIs" dxfId="6035" priority="6281" stopIfTrue="1" operator="greaterThan">
      <formula>1.75</formula>
    </cfRule>
    <cfRule type="cellIs" dxfId="6034" priority="6282" stopIfTrue="1" operator="between">
      <formula>1.25</formula>
      <formula>1.75</formula>
    </cfRule>
  </conditionalFormatting>
  <conditionalFormatting sqref="Q590">
    <cfRule type="cellIs" dxfId="6033" priority="6279" stopIfTrue="1" operator="greaterThan">
      <formula>1.75</formula>
    </cfRule>
    <cfRule type="cellIs" dxfId="6032" priority="6280" stopIfTrue="1" operator="between">
      <formula>1.25</formula>
      <formula>1.75</formula>
    </cfRule>
  </conditionalFormatting>
  <conditionalFormatting sqref="J590">
    <cfRule type="cellIs" dxfId="6031" priority="6277" stopIfTrue="1" operator="greaterThan">
      <formula>1.75</formula>
    </cfRule>
    <cfRule type="cellIs" dxfId="6030" priority="6278" stopIfTrue="1" operator="between">
      <formula>1.25</formula>
      <formula>1.75</formula>
    </cfRule>
  </conditionalFormatting>
  <conditionalFormatting sqref="J590">
    <cfRule type="cellIs" dxfId="6029" priority="6275" stopIfTrue="1" operator="greaterThan">
      <formula>1.75</formula>
    </cfRule>
    <cfRule type="cellIs" dxfId="6028" priority="6276" stopIfTrue="1" operator="between">
      <formula>1.25</formula>
      <formula>1.75</formula>
    </cfRule>
  </conditionalFormatting>
  <conditionalFormatting sqref="R590">
    <cfRule type="cellIs" dxfId="6027" priority="6273" stopIfTrue="1" operator="greaterThan">
      <formula>1.75</formula>
    </cfRule>
    <cfRule type="cellIs" dxfId="6026" priority="6274" stopIfTrue="1" operator="between">
      <formula>1.25</formula>
      <formula>1.75</formula>
    </cfRule>
  </conditionalFormatting>
  <conditionalFormatting sqref="K590">
    <cfRule type="cellIs" dxfId="6025" priority="6271" stopIfTrue="1" operator="greaterThan">
      <formula>1.75</formula>
    </cfRule>
    <cfRule type="cellIs" dxfId="6024" priority="6272" stopIfTrue="1" operator="between">
      <formula>1.25</formula>
      <formula>1.75</formula>
    </cfRule>
  </conditionalFormatting>
  <conditionalFormatting sqref="R590">
    <cfRule type="cellIs" dxfId="6023" priority="6269" stopIfTrue="1" operator="greaterThan">
      <formula>1.75</formula>
    </cfRule>
    <cfRule type="cellIs" dxfId="6022" priority="6270" stopIfTrue="1" operator="between">
      <formula>1.25</formula>
      <formula>1.75</formula>
    </cfRule>
  </conditionalFormatting>
  <conditionalFormatting sqref="R590">
    <cfRule type="cellIs" dxfId="6021" priority="6267" stopIfTrue="1" operator="greaterThan">
      <formula>1.75</formula>
    </cfRule>
    <cfRule type="cellIs" dxfId="6020" priority="6268" stopIfTrue="1" operator="between">
      <formula>1.25</formula>
      <formula>1.75</formula>
    </cfRule>
  </conditionalFormatting>
  <conditionalFormatting sqref="K590">
    <cfRule type="cellIs" dxfId="6019" priority="6265" stopIfTrue="1" operator="greaterThan">
      <formula>1.75</formula>
    </cfRule>
    <cfRule type="cellIs" dxfId="6018" priority="6266" stopIfTrue="1" operator="between">
      <formula>1.25</formula>
      <formula>1.75</formula>
    </cfRule>
  </conditionalFormatting>
  <conditionalFormatting sqref="K590">
    <cfRule type="cellIs" dxfId="6017" priority="6263" stopIfTrue="1" operator="greaterThan">
      <formula>1.75</formula>
    </cfRule>
    <cfRule type="cellIs" dxfId="6016" priority="6264" stopIfTrue="1" operator="between">
      <formula>1.25</formula>
      <formula>1.75</formula>
    </cfRule>
  </conditionalFormatting>
  <conditionalFormatting sqref="L590">
    <cfRule type="cellIs" dxfId="6015" priority="6261" stopIfTrue="1" operator="greaterThan">
      <formula>1.75</formula>
    </cfRule>
    <cfRule type="cellIs" dxfId="6014" priority="6262" stopIfTrue="1" operator="between">
      <formula>1.25</formula>
      <formula>1.75</formula>
    </cfRule>
  </conditionalFormatting>
  <conditionalFormatting sqref="L590">
    <cfRule type="cellIs" dxfId="6013" priority="6259" stopIfTrue="1" operator="greaterThan">
      <formula>1.75</formula>
    </cfRule>
    <cfRule type="cellIs" dxfId="6012" priority="6260" stopIfTrue="1" operator="between">
      <formula>1.25</formula>
      <formula>1.75</formula>
    </cfRule>
  </conditionalFormatting>
  <conditionalFormatting sqref="L590">
    <cfRule type="cellIs" dxfId="6011" priority="6257" stopIfTrue="1" operator="greaterThan">
      <formula>1.75</formula>
    </cfRule>
    <cfRule type="cellIs" dxfId="6010" priority="6258" stopIfTrue="1" operator="between">
      <formula>1.25</formula>
      <formula>1.75</formula>
    </cfRule>
  </conditionalFormatting>
  <conditionalFormatting sqref="S590">
    <cfRule type="cellIs" dxfId="6009" priority="6255" stopIfTrue="1" operator="greaterThan">
      <formula>1.75</formula>
    </cfRule>
    <cfRule type="cellIs" dxfId="6008" priority="6256" stopIfTrue="1" operator="between">
      <formula>1.25</formula>
      <formula>1.75</formula>
    </cfRule>
  </conditionalFormatting>
  <conditionalFormatting sqref="S590">
    <cfRule type="cellIs" dxfId="6007" priority="6253" stopIfTrue="1" operator="greaterThan">
      <formula>1.75</formula>
    </cfRule>
    <cfRule type="cellIs" dxfId="6006" priority="6254" stopIfTrue="1" operator="between">
      <formula>1.25</formula>
      <formula>1.75</formula>
    </cfRule>
  </conditionalFormatting>
  <conditionalFormatting sqref="S590">
    <cfRule type="cellIs" dxfId="6005" priority="6251" stopIfTrue="1" operator="greaterThan">
      <formula>1.75</formula>
    </cfRule>
    <cfRule type="cellIs" dxfId="6004" priority="6252" stopIfTrue="1" operator="between">
      <formula>1.25</formula>
      <formula>1.75</formula>
    </cfRule>
  </conditionalFormatting>
  <conditionalFormatting sqref="J578">
    <cfRule type="cellIs" dxfId="6003" priority="6249" stopIfTrue="1" operator="greaterThan">
      <formula>1.75</formula>
    </cfRule>
    <cfRule type="cellIs" dxfId="6002" priority="6250" stopIfTrue="1" operator="between">
      <formula>1.25</formula>
      <formula>1.75</formula>
    </cfRule>
  </conditionalFormatting>
  <conditionalFormatting sqref="C578:I578 M578:O578">
    <cfRule type="cellIs" dxfId="6001" priority="6247" stopIfTrue="1" operator="greaterThan">
      <formula>1.75</formula>
    </cfRule>
    <cfRule type="cellIs" dxfId="6000" priority="6248" stopIfTrue="1" operator="between">
      <formula>1.25</formula>
      <formula>1.75</formula>
    </cfRule>
  </conditionalFormatting>
  <conditionalFormatting sqref="V577">
    <cfRule type="cellIs" dxfId="5999" priority="6245" operator="lessThan">
      <formula>1000</formula>
    </cfRule>
    <cfRule type="cellIs" dxfId="5998" priority="6246" operator="lessThan">
      <formula>2000</formula>
    </cfRule>
  </conditionalFormatting>
  <conditionalFormatting sqref="C578:I578 M578:O578">
    <cfRule type="cellIs" dxfId="5997" priority="6243" stopIfTrue="1" operator="greaterThan">
      <formula>1.75</formula>
    </cfRule>
    <cfRule type="cellIs" dxfId="5996" priority="6244" stopIfTrue="1" operator="between">
      <formula>1.25</formula>
      <formula>1.75</formula>
    </cfRule>
  </conditionalFormatting>
  <conditionalFormatting sqref="C578:I578 M578:O578">
    <cfRule type="cellIs" dxfId="5995" priority="6241" stopIfTrue="1" operator="greaterThan">
      <formula>1.75</formula>
    </cfRule>
    <cfRule type="cellIs" dxfId="5994" priority="6242" stopIfTrue="1" operator="between">
      <formula>1.25</formula>
      <formula>1.75</formula>
    </cfRule>
  </conditionalFormatting>
  <conditionalFormatting sqref="P578">
    <cfRule type="cellIs" dxfId="5993" priority="6239" stopIfTrue="1" operator="greaterThan">
      <formula>1.75</formula>
    </cfRule>
    <cfRule type="cellIs" dxfId="5992" priority="6240" stopIfTrue="1" operator="between">
      <formula>1.25</formula>
      <formula>1.75</formula>
    </cfRule>
  </conditionalFormatting>
  <conditionalFormatting sqref="P578">
    <cfRule type="cellIs" dxfId="5991" priority="6237" stopIfTrue="1" operator="greaterThan">
      <formula>1.75</formula>
    </cfRule>
    <cfRule type="cellIs" dxfId="5990" priority="6238" stopIfTrue="1" operator="between">
      <formula>1.25</formula>
      <formula>1.75</formula>
    </cfRule>
  </conditionalFormatting>
  <conditionalFormatting sqref="P578">
    <cfRule type="cellIs" dxfId="5989" priority="6235" stopIfTrue="1" operator="greaterThan">
      <formula>1.75</formula>
    </cfRule>
    <cfRule type="cellIs" dxfId="5988" priority="6236" stopIfTrue="1" operator="between">
      <formula>1.25</formula>
      <formula>1.75</formula>
    </cfRule>
  </conditionalFormatting>
  <conditionalFormatting sqref="U578">
    <cfRule type="cellIs" dxfId="5987" priority="6233" stopIfTrue="1" operator="greaterThan">
      <formula>1.75</formula>
    </cfRule>
    <cfRule type="cellIs" dxfId="5986" priority="6234" stopIfTrue="1" operator="between">
      <formula>1.25</formula>
      <formula>1.75</formula>
    </cfRule>
  </conditionalFormatting>
  <conditionalFormatting sqref="T578">
    <cfRule type="cellIs" dxfId="5985" priority="6231" stopIfTrue="1" operator="greaterThan">
      <formula>1.75</formula>
    </cfRule>
    <cfRule type="cellIs" dxfId="5984" priority="6232" stopIfTrue="1" operator="between">
      <formula>1.25</formula>
      <formula>1.75</formula>
    </cfRule>
  </conditionalFormatting>
  <conditionalFormatting sqref="Q578">
    <cfRule type="cellIs" dxfId="5983" priority="6229" stopIfTrue="1" operator="greaterThan">
      <formula>1.75</formula>
    </cfRule>
    <cfRule type="cellIs" dxfId="5982" priority="6230" stopIfTrue="1" operator="between">
      <formula>1.25</formula>
      <formula>1.75</formula>
    </cfRule>
  </conditionalFormatting>
  <conditionalFormatting sqref="Q578">
    <cfRule type="cellIs" dxfId="5981" priority="6227" stopIfTrue="1" operator="greaterThan">
      <formula>1.75</formula>
    </cfRule>
    <cfRule type="cellIs" dxfId="5980" priority="6228" stopIfTrue="1" operator="between">
      <formula>1.25</formula>
      <formula>1.75</formula>
    </cfRule>
  </conditionalFormatting>
  <conditionalFormatting sqref="Q578">
    <cfRule type="cellIs" dxfId="5979" priority="6225" stopIfTrue="1" operator="greaterThan">
      <formula>1.75</formula>
    </cfRule>
    <cfRule type="cellIs" dxfId="5978" priority="6226" stopIfTrue="1" operator="between">
      <formula>1.25</formula>
      <formula>1.75</formula>
    </cfRule>
  </conditionalFormatting>
  <conditionalFormatting sqref="J578">
    <cfRule type="cellIs" dxfId="5977" priority="6223" stopIfTrue="1" operator="greaterThan">
      <formula>1.75</formula>
    </cfRule>
    <cfRule type="cellIs" dxfId="5976" priority="6224" stopIfTrue="1" operator="between">
      <formula>1.25</formula>
      <formula>1.75</formula>
    </cfRule>
  </conditionalFormatting>
  <conditionalFormatting sqref="J578">
    <cfRule type="cellIs" dxfId="5975" priority="6221" stopIfTrue="1" operator="greaterThan">
      <formula>1.75</formula>
    </cfRule>
    <cfRule type="cellIs" dxfId="5974" priority="6222" stopIfTrue="1" operator="between">
      <formula>1.25</formula>
      <formula>1.75</formula>
    </cfRule>
  </conditionalFormatting>
  <conditionalFormatting sqref="R578">
    <cfRule type="cellIs" dxfId="5973" priority="6219" stopIfTrue="1" operator="greaterThan">
      <formula>1.75</formula>
    </cfRule>
    <cfRule type="cellIs" dxfId="5972" priority="6220" stopIfTrue="1" operator="between">
      <formula>1.25</formula>
      <formula>1.75</formula>
    </cfRule>
  </conditionalFormatting>
  <conditionalFormatting sqref="K578">
    <cfRule type="cellIs" dxfId="5971" priority="6217" stopIfTrue="1" operator="greaterThan">
      <formula>1.75</formula>
    </cfRule>
    <cfRule type="cellIs" dxfId="5970" priority="6218" stopIfTrue="1" operator="between">
      <formula>1.25</formula>
      <formula>1.75</formula>
    </cfRule>
  </conditionalFormatting>
  <conditionalFormatting sqref="R578">
    <cfRule type="cellIs" dxfId="5969" priority="6215" stopIfTrue="1" operator="greaterThan">
      <formula>1.75</formula>
    </cfRule>
    <cfRule type="cellIs" dxfId="5968" priority="6216" stopIfTrue="1" operator="between">
      <formula>1.25</formula>
      <formula>1.75</formula>
    </cfRule>
  </conditionalFormatting>
  <conditionalFormatting sqref="R578">
    <cfRule type="cellIs" dxfId="5967" priority="6213" stopIfTrue="1" operator="greaterThan">
      <formula>1.75</formula>
    </cfRule>
    <cfRule type="cellIs" dxfId="5966" priority="6214" stopIfTrue="1" operator="between">
      <formula>1.25</formula>
      <formula>1.75</formula>
    </cfRule>
  </conditionalFormatting>
  <conditionalFormatting sqref="K578">
    <cfRule type="cellIs" dxfId="5965" priority="6211" stopIfTrue="1" operator="greaterThan">
      <formula>1.75</formula>
    </cfRule>
    <cfRule type="cellIs" dxfId="5964" priority="6212" stopIfTrue="1" operator="between">
      <formula>1.25</formula>
      <formula>1.75</formula>
    </cfRule>
  </conditionalFormatting>
  <conditionalFormatting sqref="K578">
    <cfRule type="cellIs" dxfId="5963" priority="6209" stopIfTrue="1" operator="greaterThan">
      <formula>1.75</formula>
    </cfRule>
    <cfRule type="cellIs" dxfId="5962" priority="6210" stopIfTrue="1" operator="between">
      <formula>1.25</formula>
      <formula>1.75</formula>
    </cfRule>
  </conditionalFormatting>
  <conditionalFormatting sqref="L578">
    <cfRule type="cellIs" dxfId="5961" priority="6207" stopIfTrue="1" operator="greaterThan">
      <formula>1.75</formula>
    </cfRule>
    <cfRule type="cellIs" dxfId="5960" priority="6208" stopIfTrue="1" operator="between">
      <formula>1.25</formula>
      <formula>1.75</formula>
    </cfRule>
  </conditionalFormatting>
  <conditionalFormatting sqref="L578">
    <cfRule type="cellIs" dxfId="5959" priority="6205" stopIfTrue="1" operator="greaterThan">
      <formula>1.75</formula>
    </cfRule>
    <cfRule type="cellIs" dxfId="5958" priority="6206" stopIfTrue="1" operator="between">
      <formula>1.25</formula>
      <formula>1.75</formula>
    </cfRule>
  </conditionalFormatting>
  <conditionalFormatting sqref="L578">
    <cfRule type="cellIs" dxfId="5957" priority="6203" stopIfTrue="1" operator="greaterThan">
      <formula>1.75</formula>
    </cfRule>
    <cfRule type="cellIs" dxfId="5956" priority="6204" stopIfTrue="1" operator="between">
      <formula>1.25</formula>
      <formula>1.75</formula>
    </cfRule>
  </conditionalFormatting>
  <conditionalFormatting sqref="S578">
    <cfRule type="cellIs" dxfId="5955" priority="6201" stopIfTrue="1" operator="greaterThan">
      <formula>1.75</formula>
    </cfRule>
    <cfRule type="cellIs" dxfId="5954" priority="6202" stopIfTrue="1" operator="between">
      <formula>1.25</formula>
      <formula>1.75</formula>
    </cfRule>
  </conditionalFormatting>
  <conditionalFormatting sqref="S578">
    <cfRule type="cellIs" dxfId="5953" priority="6199" stopIfTrue="1" operator="greaterThan">
      <formula>1.75</formula>
    </cfRule>
    <cfRule type="cellIs" dxfId="5952" priority="6200" stopIfTrue="1" operator="between">
      <formula>1.25</formula>
      <formula>1.75</formula>
    </cfRule>
  </conditionalFormatting>
  <conditionalFormatting sqref="S578">
    <cfRule type="cellIs" dxfId="5951" priority="6197" stopIfTrue="1" operator="greaterThan">
      <formula>1.75</formula>
    </cfRule>
    <cfRule type="cellIs" dxfId="5950" priority="6198" stopIfTrue="1" operator="between">
      <formula>1.25</formula>
      <formula>1.75</formula>
    </cfRule>
  </conditionalFormatting>
  <conditionalFormatting sqref="J554">
    <cfRule type="cellIs" dxfId="5949" priority="6195" stopIfTrue="1" operator="greaterThan">
      <formula>1.75</formula>
    </cfRule>
    <cfRule type="cellIs" dxfId="5948" priority="6196" stopIfTrue="1" operator="between">
      <formula>1.25</formula>
      <formula>1.75</formula>
    </cfRule>
  </conditionalFormatting>
  <conditionalFormatting sqref="C554:I554 M554:O554">
    <cfRule type="cellIs" dxfId="5947" priority="6193" stopIfTrue="1" operator="greaterThan">
      <formula>1.75</formula>
    </cfRule>
    <cfRule type="cellIs" dxfId="5946" priority="6194" stopIfTrue="1" operator="between">
      <formula>1.25</formula>
      <formula>1.75</formula>
    </cfRule>
  </conditionalFormatting>
  <conditionalFormatting sqref="V553">
    <cfRule type="cellIs" dxfId="5945" priority="6191" operator="lessThan">
      <formula>1000</formula>
    </cfRule>
    <cfRule type="cellIs" dxfId="5944" priority="6192" operator="lessThan">
      <formula>2000</formula>
    </cfRule>
  </conditionalFormatting>
  <conditionalFormatting sqref="C554:I554 M554:O554">
    <cfRule type="cellIs" dxfId="5943" priority="6189" stopIfTrue="1" operator="greaterThan">
      <formula>1.75</formula>
    </cfRule>
    <cfRule type="cellIs" dxfId="5942" priority="6190" stopIfTrue="1" operator="between">
      <formula>1.25</formula>
      <formula>1.75</formula>
    </cfRule>
  </conditionalFormatting>
  <conditionalFormatting sqref="C554:I554 M554:O554">
    <cfRule type="cellIs" dxfId="5941" priority="6187" stopIfTrue="1" operator="greaterThan">
      <formula>1.75</formula>
    </cfRule>
    <cfRule type="cellIs" dxfId="5940" priority="6188" stopIfTrue="1" operator="between">
      <formula>1.25</formula>
      <formula>1.75</formula>
    </cfRule>
  </conditionalFormatting>
  <conditionalFormatting sqref="P554">
    <cfRule type="cellIs" dxfId="5939" priority="6185" stopIfTrue="1" operator="greaterThan">
      <formula>1.75</formula>
    </cfRule>
    <cfRule type="cellIs" dxfId="5938" priority="6186" stopIfTrue="1" operator="between">
      <formula>1.25</formula>
      <formula>1.75</formula>
    </cfRule>
  </conditionalFormatting>
  <conditionalFormatting sqref="P554">
    <cfRule type="cellIs" dxfId="5937" priority="6183" stopIfTrue="1" operator="greaterThan">
      <formula>1.75</formula>
    </cfRule>
    <cfRule type="cellIs" dxfId="5936" priority="6184" stopIfTrue="1" operator="between">
      <formula>1.25</formula>
      <formula>1.75</formula>
    </cfRule>
  </conditionalFormatting>
  <conditionalFormatting sqref="P554">
    <cfRule type="cellIs" dxfId="5935" priority="6181" stopIfTrue="1" operator="greaterThan">
      <formula>1.75</formula>
    </cfRule>
    <cfRule type="cellIs" dxfId="5934" priority="6182" stopIfTrue="1" operator="between">
      <formula>1.25</formula>
      <formula>1.75</formula>
    </cfRule>
  </conditionalFormatting>
  <conditionalFormatting sqref="U554">
    <cfRule type="cellIs" dxfId="5933" priority="6179" stopIfTrue="1" operator="greaterThan">
      <formula>1.75</formula>
    </cfRule>
    <cfRule type="cellIs" dxfId="5932" priority="6180" stopIfTrue="1" operator="between">
      <formula>1.25</formula>
      <formula>1.75</formula>
    </cfRule>
  </conditionalFormatting>
  <conditionalFormatting sqref="T554">
    <cfRule type="cellIs" dxfId="5931" priority="6177" stopIfTrue="1" operator="greaterThan">
      <formula>1.75</formula>
    </cfRule>
    <cfRule type="cellIs" dxfId="5930" priority="6178" stopIfTrue="1" operator="between">
      <formula>1.25</formula>
      <formula>1.75</formula>
    </cfRule>
  </conditionalFormatting>
  <conditionalFormatting sqref="Q554">
    <cfRule type="cellIs" dxfId="5929" priority="6175" stopIfTrue="1" operator="greaterThan">
      <formula>1.75</formula>
    </cfRule>
    <cfRule type="cellIs" dxfId="5928" priority="6176" stopIfTrue="1" operator="between">
      <formula>1.25</formula>
      <formula>1.75</formula>
    </cfRule>
  </conditionalFormatting>
  <conditionalFormatting sqref="Q554">
    <cfRule type="cellIs" dxfId="5927" priority="6173" stopIfTrue="1" operator="greaterThan">
      <formula>1.75</formula>
    </cfRule>
    <cfRule type="cellIs" dxfId="5926" priority="6174" stopIfTrue="1" operator="between">
      <formula>1.25</formula>
      <formula>1.75</formula>
    </cfRule>
  </conditionalFormatting>
  <conditionalFormatting sqref="Q554">
    <cfRule type="cellIs" dxfId="5925" priority="6171" stopIfTrue="1" operator="greaterThan">
      <formula>1.75</formula>
    </cfRule>
    <cfRule type="cellIs" dxfId="5924" priority="6172" stopIfTrue="1" operator="between">
      <formula>1.25</formula>
      <formula>1.75</formula>
    </cfRule>
  </conditionalFormatting>
  <conditionalFormatting sqref="J554">
    <cfRule type="cellIs" dxfId="5923" priority="6169" stopIfTrue="1" operator="greaterThan">
      <formula>1.75</formula>
    </cfRule>
    <cfRule type="cellIs" dxfId="5922" priority="6170" stopIfTrue="1" operator="between">
      <formula>1.25</formula>
      <formula>1.75</formula>
    </cfRule>
  </conditionalFormatting>
  <conditionalFormatting sqref="J554">
    <cfRule type="cellIs" dxfId="5921" priority="6167" stopIfTrue="1" operator="greaterThan">
      <formula>1.75</formula>
    </cfRule>
    <cfRule type="cellIs" dxfId="5920" priority="6168" stopIfTrue="1" operator="between">
      <formula>1.25</formula>
      <formula>1.75</formula>
    </cfRule>
  </conditionalFormatting>
  <conditionalFormatting sqref="R554">
    <cfRule type="cellIs" dxfId="5919" priority="6165" stopIfTrue="1" operator="greaterThan">
      <formula>1.75</formula>
    </cfRule>
    <cfRule type="cellIs" dxfId="5918" priority="6166" stopIfTrue="1" operator="between">
      <formula>1.25</formula>
      <formula>1.75</formula>
    </cfRule>
  </conditionalFormatting>
  <conditionalFormatting sqref="K554">
    <cfRule type="cellIs" dxfId="5917" priority="6163" stopIfTrue="1" operator="greaterThan">
      <formula>1.75</formula>
    </cfRule>
    <cfRule type="cellIs" dxfId="5916" priority="6164" stopIfTrue="1" operator="between">
      <formula>1.25</formula>
      <formula>1.75</formula>
    </cfRule>
  </conditionalFormatting>
  <conditionalFormatting sqref="R554">
    <cfRule type="cellIs" dxfId="5915" priority="6161" stopIfTrue="1" operator="greaterThan">
      <formula>1.75</formula>
    </cfRule>
    <cfRule type="cellIs" dxfId="5914" priority="6162" stopIfTrue="1" operator="between">
      <formula>1.25</formula>
      <formula>1.75</formula>
    </cfRule>
  </conditionalFormatting>
  <conditionalFormatting sqref="R554">
    <cfRule type="cellIs" dxfId="5913" priority="6159" stopIfTrue="1" operator="greaterThan">
      <formula>1.75</formula>
    </cfRule>
    <cfRule type="cellIs" dxfId="5912" priority="6160" stopIfTrue="1" operator="between">
      <formula>1.25</formula>
      <formula>1.75</formula>
    </cfRule>
  </conditionalFormatting>
  <conditionalFormatting sqref="K554">
    <cfRule type="cellIs" dxfId="5911" priority="6157" stopIfTrue="1" operator="greaterThan">
      <formula>1.75</formula>
    </cfRule>
    <cfRule type="cellIs" dxfId="5910" priority="6158" stopIfTrue="1" operator="between">
      <formula>1.25</formula>
      <formula>1.75</formula>
    </cfRule>
  </conditionalFormatting>
  <conditionalFormatting sqref="K554">
    <cfRule type="cellIs" dxfId="5909" priority="6155" stopIfTrue="1" operator="greaterThan">
      <formula>1.75</formula>
    </cfRule>
    <cfRule type="cellIs" dxfId="5908" priority="6156" stopIfTrue="1" operator="between">
      <formula>1.25</formula>
      <formula>1.75</formula>
    </cfRule>
  </conditionalFormatting>
  <conditionalFormatting sqref="L554">
    <cfRule type="cellIs" dxfId="5907" priority="6153" stopIfTrue="1" operator="greaterThan">
      <formula>1.75</formula>
    </cfRule>
    <cfRule type="cellIs" dxfId="5906" priority="6154" stopIfTrue="1" operator="between">
      <formula>1.25</formula>
      <formula>1.75</formula>
    </cfRule>
  </conditionalFormatting>
  <conditionalFormatting sqref="L554">
    <cfRule type="cellIs" dxfId="5905" priority="6151" stopIfTrue="1" operator="greaterThan">
      <formula>1.75</formula>
    </cfRule>
    <cfRule type="cellIs" dxfId="5904" priority="6152" stopIfTrue="1" operator="between">
      <formula>1.25</formula>
      <formula>1.75</formula>
    </cfRule>
  </conditionalFormatting>
  <conditionalFormatting sqref="L554">
    <cfRule type="cellIs" dxfId="5903" priority="6149" stopIfTrue="1" operator="greaterThan">
      <formula>1.75</formula>
    </cfRule>
    <cfRule type="cellIs" dxfId="5902" priority="6150" stopIfTrue="1" operator="between">
      <formula>1.25</formula>
      <formula>1.75</formula>
    </cfRule>
  </conditionalFormatting>
  <conditionalFormatting sqref="S554">
    <cfRule type="cellIs" dxfId="5901" priority="6147" stopIfTrue="1" operator="greaterThan">
      <formula>1.75</formula>
    </cfRule>
    <cfRule type="cellIs" dxfId="5900" priority="6148" stopIfTrue="1" operator="between">
      <formula>1.25</formula>
      <formula>1.75</formula>
    </cfRule>
  </conditionalFormatting>
  <conditionalFormatting sqref="S554">
    <cfRule type="cellIs" dxfId="5899" priority="6145" stopIfTrue="1" operator="greaterThan">
      <formula>1.75</formula>
    </cfRule>
    <cfRule type="cellIs" dxfId="5898" priority="6146" stopIfTrue="1" operator="between">
      <formula>1.25</formula>
      <formula>1.75</formula>
    </cfRule>
  </conditionalFormatting>
  <conditionalFormatting sqref="S554">
    <cfRule type="cellIs" dxfId="5897" priority="6143" stopIfTrue="1" operator="greaterThan">
      <formula>1.75</formula>
    </cfRule>
    <cfRule type="cellIs" dxfId="5896" priority="6144" stopIfTrue="1" operator="between">
      <formula>1.25</formula>
      <formula>1.75</formula>
    </cfRule>
  </conditionalFormatting>
  <conditionalFormatting sqref="J566">
    <cfRule type="cellIs" dxfId="5895" priority="6141" stopIfTrue="1" operator="greaterThan">
      <formula>1.75</formula>
    </cfRule>
    <cfRule type="cellIs" dxfId="5894" priority="6142" stopIfTrue="1" operator="between">
      <formula>1.25</formula>
      <formula>1.75</formula>
    </cfRule>
  </conditionalFormatting>
  <conditionalFormatting sqref="C566:I566 M566:O566">
    <cfRule type="cellIs" dxfId="5893" priority="6139" stopIfTrue="1" operator="greaterThan">
      <formula>1.75</formula>
    </cfRule>
    <cfRule type="cellIs" dxfId="5892" priority="6140" stopIfTrue="1" operator="between">
      <formula>1.25</formula>
      <formula>1.75</formula>
    </cfRule>
  </conditionalFormatting>
  <conditionalFormatting sqref="V565">
    <cfRule type="cellIs" dxfId="5891" priority="6137" operator="lessThan">
      <formula>1000</formula>
    </cfRule>
    <cfRule type="cellIs" dxfId="5890" priority="6138" operator="lessThan">
      <formula>2000</formula>
    </cfRule>
  </conditionalFormatting>
  <conditionalFormatting sqref="C566:I566 M566:O566">
    <cfRule type="cellIs" dxfId="5889" priority="6135" stopIfTrue="1" operator="greaterThan">
      <formula>1.75</formula>
    </cfRule>
    <cfRule type="cellIs" dxfId="5888" priority="6136" stopIfTrue="1" operator="between">
      <formula>1.25</formula>
      <formula>1.75</formula>
    </cfRule>
  </conditionalFormatting>
  <conditionalFormatting sqref="C566:I566 M566:O566">
    <cfRule type="cellIs" dxfId="5887" priority="6133" stopIfTrue="1" operator="greaterThan">
      <formula>1.75</formula>
    </cfRule>
    <cfRule type="cellIs" dxfId="5886" priority="6134" stopIfTrue="1" operator="between">
      <formula>1.25</formula>
      <formula>1.75</formula>
    </cfRule>
  </conditionalFormatting>
  <conditionalFormatting sqref="P566">
    <cfRule type="cellIs" dxfId="5885" priority="6131" stopIfTrue="1" operator="greaterThan">
      <formula>1.75</formula>
    </cfRule>
    <cfRule type="cellIs" dxfId="5884" priority="6132" stopIfTrue="1" operator="between">
      <formula>1.25</formula>
      <formula>1.75</formula>
    </cfRule>
  </conditionalFormatting>
  <conditionalFormatting sqref="P566">
    <cfRule type="cellIs" dxfId="5883" priority="6129" stopIfTrue="1" operator="greaterThan">
      <formula>1.75</formula>
    </cfRule>
    <cfRule type="cellIs" dxfId="5882" priority="6130" stopIfTrue="1" operator="between">
      <formula>1.25</formula>
      <formula>1.75</formula>
    </cfRule>
  </conditionalFormatting>
  <conditionalFormatting sqref="P566">
    <cfRule type="cellIs" dxfId="5881" priority="6127" stopIfTrue="1" operator="greaterThan">
      <formula>1.75</formula>
    </cfRule>
    <cfRule type="cellIs" dxfId="5880" priority="6128" stopIfTrue="1" operator="between">
      <formula>1.25</formula>
      <formula>1.75</formula>
    </cfRule>
  </conditionalFormatting>
  <conditionalFormatting sqref="U566">
    <cfRule type="cellIs" dxfId="5879" priority="6125" stopIfTrue="1" operator="greaterThan">
      <formula>1.75</formula>
    </cfRule>
    <cfRule type="cellIs" dxfId="5878" priority="6126" stopIfTrue="1" operator="between">
      <formula>1.25</formula>
      <formula>1.75</formula>
    </cfRule>
  </conditionalFormatting>
  <conditionalFormatting sqref="T566">
    <cfRule type="cellIs" dxfId="5877" priority="6123" stopIfTrue="1" operator="greaterThan">
      <formula>1.75</formula>
    </cfRule>
    <cfRule type="cellIs" dxfId="5876" priority="6124" stopIfTrue="1" operator="between">
      <formula>1.25</formula>
      <formula>1.75</formula>
    </cfRule>
  </conditionalFormatting>
  <conditionalFormatting sqref="Q566">
    <cfRule type="cellIs" dxfId="5875" priority="6121" stopIfTrue="1" operator="greaterThan">
      <formula>1.75</formula>
    </cfRule>
    <cfRule type="cellIs" dxfId="5874" priority="6122" stopIfTrue="1" operator="between">
      <formula>1.25</formula>
      <formula>1.75</formula>
    </cfRule>
  </conditionalFormatting>
  <conditionalFormatting sqref="Q566">
    <cfRule type="cellIs" dxfId="5873" priority="6119" stopIfTrue="1" operator="greaterThan">
      <formula>1.75</formula>
    </cfRule>
    <cfRule type="cellIs" dxfId="5872" priority="6120" stopIfTrue="1" operator="between">
      <formula>1.25</formula>
      <formula>1.75</formula>
    </cfRule>
  </conditionalFormatting>
  <conditionalFormatting sqref="Q566">
    <cfRule type="cellIs" dxfId="5871" priority="6117" stopIfTrue="1" operator="greaterThan">
      <formula>1.75</formula>
    </cfRule>
    <cfRule type="cellIs" dxfId="5870" priority="6118" stopIfTrue="1" operator="between">
      <formula>1.25</formula>
      <formula>1.75</formula>
    </cfRule>
  </conditionalFormatting>
  <conditionalFormatting sqref="J566">
    <cfRule type="cellIs" dxfId="5869" priority="6115" stopIfTrue="1" operator="greaterThan">
      <formula>1.75</formula>
    </cfRule>
    <cfRule type="cellIs" dxfId="5868" priority="6116" stopIfTrue="1" operator="between">
      <formula>1.25</formula>
      <formula>1.75</formula>
    </cfRule>
  </conditionalFormatting>
  <conditionalFormatting sqref="J566">
    <cfRule type="cellIs" dxfId="5867" priority="6113" stopIfTrue="1" operator="greaterThan">
      <formula>1.75</formula>
    </cfRule>
    <cfRule type="cellIs" dxfId="5866" priority="6114" stopIfTrue="1" operator="between">
      <formula>1.25</formula>
      <formula>1.75</formula>
    </cfRule>
  </conditionalFormatting>
  <conditionalFormatting sqref="R566">
    <cfRule type="cellIs" dxfId="5865" priority="6111" stopIfTrue="1" operator="greaterThan">
      <formula>1.75</formula>
    </cfRule>
    <cfRule type="cellIs" dxfId="5864" priority="6112" stopIfTrue="1" operator="between">
      <formula>1.25</formula>
      <formula>1.75</formula>
    </cfRule>
  </conditionalFormatting>
  <conditionalFormatting sqref="K566">
    <cfRule type="cellIs" dxfId="5863" priority="6109" stopIfTrue="1" operator="greaterThan">
      <formula>1.75</formula>
    </cfRule>
    <cfRule type="cellIs" dxfId="5862" priority="6110" stopIfTrue="1" operator="between">
      <formula>1.25</formula>
      <formula>1.75</formula>
    </cfRule>
  </conditionalFormatting>
  <conditionalFormatting sqref="R566">
    <cfRule type="cellIs" dxfId="5861" priority="6107" stopIfTrue="1" operator="greaterThan">
      <formula>1.75</formula>
    </cfRule>
    <cfRule type="cellIs" dxfId="5860" priority="6108" stopIfTrue="1" operator="between">
      <formula>1.25</formula>
      <formula>1.75</formula>
    </cfRule>
  </conditionalFormatting>
  <conditionalFormatting sqref="R566">
    <cfRule type="cellIs" dxfId="5859" priority="6105" stopIfTrue="1" operator="greaterThan">
      <formula>1.75</formula>
    </cfRule>
    <cfRule type="cellIs" dxfId="5858" priority="6106" stopIfTrue="1" operator="between">
      <formula>1.25</formula>
      <formula>1.75</formula>
    </cfRule>
  </conditionalFormatting>
  <conditionalFormatting sqref="K566">
    <cfRule type="cellIs" dxfId="5857" priority="6103" stopIfTrue="1" operator="greaterThan">
      <formula>1.75</formula>
    </cfRule>
    <cfRule type="cellIs" dxfId="5856" priority="6104" stopIfTrue="1" operator="between">
      <formula>1.25</formula>
      <formula>1.75</formula>
    </cfRule>
  </conditionalFormatting>
  <conditionalFormatting sqref="K566">
    <cfRule type="cellIs" dxfId="5855" priority="6101" stopIfTrue="1" operator="greaterThan">
      <formula>1.75</formula>
    </cfRule>
    <cfRule type="cellIs" dxfId="5854" priority="6102" stopIfTrue="1" operator="between">
      <formula>1.25</formula>
      <formula>1.75</formula>
    </cfRule>
  </conditionalFormatting>
  <conditionalFormatting sqref="L566">
    <cfRule type="cellIs" dxfId="5853" priority="6099" stopIfTrue="1" operator="greaterThan">
      <formula>1.75</formula>
    </cfRule>
    <cfRule type="cellIs" dxfId="5852" priority="6100" stopIfTrue="1" operator="between">
      <formula>1.25</formula>
      <formula>1.75</formula>
    </cfRule>
  </conditionalFormatting>
  <conditionalFormatting sqref="L566">
    <cfRule type="cellIs" dxfId="5851" priority="6097" stopIfTrue="1" operator="greaterThan">
      <formula>1.75</formula>
    </cfRule>
    <cfRule type="cellIs" dxfId="5850" priority="6098" stopIfTrue="1" operator="between">
      <formula>1.25</formula>
      <formula>1.75</formula>
    </cfRule>
  </conditionalFormatting>
  <conditionalFormatting sqref="L566">
    <cfRule type="cellIs" dxfId="5849" priority="6095" stopIfTrue="1" operator="greaterThan">
      <formula>1.75</formula>
    </cfRule>
    <cfRule type="cellIs" dxfId="5848" priority="6096" stopIfTrue="1" operator="between">
      <formula>1.25</formula>
      <formula>1.75</formula>
    </cfRule>
  </conditionalFormatting>
  <conditionalFormatting sqref="S566">
    <cfRule type="cellIs" dxfId="5847" priority="6093" stopIfTrue="1" operator="greaterThan">
      <formula>1.75</formula>
    </cfRule>
    <cfRule type="cellIs" dxfId="5846" priority="6094" stopIfTrue="1" operator="between">
      <formula>1.25</formula>
      <formula>1.75</formula>
    </cfRule>
  </conditionalFormatting>
  <conditionalFormatting sqref="S566">
    <cfRule type="cellIs" dxfId="5845" priority="6091" stopIfTrue="1" operator="greaterThan">
      <formula>1.75</formula>
    </cfRule>
    <cfRule type="cellIs" dxfId="5844" priority="6092" stopIfTrue="1" operator="between">
      <formula>1.25</formula>
      <formula>1.75</formula>
    </cfRule>
  </conditionalFormatting>
  <conditionalFormatting sqref="S566">
    <cfRule type="cellIs" dxfId="5843" priority="6089" stopIfTrue="1" operator="greaterThan">
      <formula>1.75</formula>
    </cfRule>
    <cfRule type="cellIs" dxfId="5842" priority="6090" stopIfTrue="1" operator="between">
      <formula>1.25</formula>
      <formula>1.75</formula>
    </cfRule>
  </conditionalFormatting>
  <conditionalFormatting sqref="J542">
    <cfRule type="cellIs" dxfId="5841" priority="6087" stopIfTrue="1" operator="greaterThan">
      <formula>1.75</formula>
    </cfRule>
    <cfRule type="cellIs" dxfId="5840" priority="6088" stopIfTrue="1" operator="between">
      <formula>1.25</formula>
      <formula>1.75</formula>
    </cfRule>
  </conditionalFormatting>
  <conditionalFormatting sqref="C542:I542 M542:O542">
    <cfRule type="cellIs" dxfId="5839" priority="6085" stopIfTrue="1" operator="greaterThan">
      <formula>1.75</formula>
    </cfRule>
    <cfRule type="cellIs" dxfId="5838" priority="6086" stopIfTrue="1" operator="between">
      <formula>1.25</formula>
      <formula>1.75</formula>
    </cfRule>
  </conditionalFormatting>
  <conditionalFormatting sqref="V541">
    <cfRule type="cellIs" dxfId="5837" priority="6083" operator="lessThan">
      <formula>1000</formula>
    </cfRule>
    <cfRule type="cellIs" dxfId="5836" priority="6084" operator="lessThan">
      <formula>2000</formula>
    </cfRule>
  </conditionalFormatting>
  <conditionalFormatting sqref="C542:I542 M542:O542">
    <cfRule type="cellIs" dxfId="5835" priority="6081" stopIfTrue="1" operator="greaterThan">
      <formula>1.75</formula>
    </cfRule>
    <cfRule type="cellIs" dxfId="5834" priority="6082" stopIfTrue="1" operator="between">
      <formula>1.25</formula>
      <formula>1.75</formula>
    </cfRule>
  </conditionalFormatting>
  <conditionalFormatting sqref="C542:I542 M542:O542">
    <cfRule type="cellIs" dxfId="5833" priority="6079" stopIfTrue="1" operator="greaterThan">
      <formula>1.75</formula>
    </cfRule>
    <cfRule type="cellIs" dxfId="5832" priority="6080" stopIfTrue="1" operator="between">
      <formula>1.25</formula>
      <formula>1.75</formula>
    </cfRule>
  </conditionalFormatting>
  <conditionalFormatting sqref="P542">
    <cfRule type="cellIs" dxfId="5831" priority="6077" stopIfTrue="1" operator="greaterThan">
      <formula>1.75</formula>
    </cfRule>
    <cfRule type="cellIs" dxfId="5830" priority="6078" stopIfTrue="1" operator="between">
      <formula>1.25</formula>
      <formula>1.75</formula>
    </cfRule>
  </conditionalFormatting>
  <conditionalFormatting sqref="P542">
    <cfRule type="cellIs" dxfId="5829" priority="6075" stopIfTrue="1" operator="greaterThan">
      <formula>1.75</formula>
    </cfRule>
    <cfRule type="cellIs" dxfId="5828" priority="6076" stopIfTrue="1" operator="between">
      <formula>1.25</formula>
      <formula>1.75</formula>
    </cfRule>
  </conditionalFormatting>
  <conditionalFormatting sqref="P542">
    <cfRule type="cellIs" dxfId="5827" priority="6073" stopIfTrue="1" operator="greaterThan">
      <formula>1.75</formula>
    </cfRule>
    <cfRule type="cellIs" dxfId="5826" priority="6074" stopIfTrue="1" operator="between">
      <formula>1.25</formula>
      <formula>1.75</formula>
    </cfRule>
  </conditionalFormatting>
  <conditionalFormatting sqref="U542">
    <cfRule type="cellIs" dxfId="5825" priority="6071" stopIfTrue="1" operator="greaterThan">
      <formula>1.75</formula>
    </cfRule>
    <cfRule type="cellIs" dxfId="5824" priority="6072" stopIfTrue="1" operator="between">
      <formula>1.25</formula>
      <formula>1.75</formula>
    </cfRule>
  </conditionalFormatting>
  <conditionalFormatting sqref="T542">
    <cfRule type="cellIs" dxfId="5823" priority="6069" stopIfTrue="1" operator="greaterThan">
      <formula>1.75</formula>
    </cfRule>
    <cfRule type="cellIs" dxfId="5822" priority="6070" stopIfTrue="1" operator="between">
      <formula>1.25</formula>
      <formula>1.75</formula>
    </cfRule>
  </conditionalFormatting>
  <conditionalFormatting sqref="Q542">
    <cfRule type="cellIs" dxfId="5821" priority="6067" stopIfTrue="1" operator="greaterThan">
      <formula>1.75</formula>
    </cfRule>
    <cfRule type="cellIs" dxfId="5820" priority="6068" stopIfTrue="1" operator="between">
      <formula>1.25</formula>
      <formula>1.75</formula>
    </cfRule>
  </conditionalFormatting>
  <conditionalFormatting sqref="Q542">
    <cfRule type="cellIs" dxfId="5819" priority="6065" stopIfTrue="1" operator="greaterThan">
      <formula>1.75</formula>
    </cfRule>
    <cfRule type="cellIs" dxfId="5818" priority="6066" stopIfTrue="1" operator="between">
      <formula>1.25</formula>
      <formula>1.75</formula>
    </cfRule>
  </conditionalFormatting>
  <conditionalFormatting sqref="Q542">
    <cfRule type="cellIs" dxfId="5817" priority="6063" stopIfTrue="1" operator="greaterThan">
      <formula>1.75</formula>
    </cfRule>
    <cfRule type="cellIs" dxfId="5816" priority="6064" stopIfTrue="1" operator="between">
      <formula>1.25</formula>
      <formula>1.75</formula>
    </cfRule>
  </conditionalFormatting>
  <conditionalFormatting sqref="J542">
    <cfRule type="cellIs" dxfId="5815" priority="6061" stopIfTrue="1" operator="greaterThan">
      <formula>1.75</formula>
    </cfRule>
    <cfRule type="cellIs" dxfId="5814" priority="6062" stopIfTrue="1" operator="between">
      <formula>1.25</formula>
      <formula>1.75</formula>
    </cfRule>
  </conditionalFormatting>
  <conditionalFormatting sqref="J542">
    <cfRule type="cellIs" dxfId="5813" priority="6059" stopIfTrue="1" operator="greaterThan">
      <formula>1.75</formula>
    </cfRule>
    <cfRule type="cellIs" dxfId="5812" priority="6060" stopIfTrue="1" operator="between">
      <formula>1.25</formula>
      <formula>1.75</formula>
    </cfRule>
  </conditionalFormatting>
  <conditionalFormatting sqref="R542">
    <cfRule type="cellIs" dxfId="5811" priority="6057" stopIfTrue="1" operator="greaterThan">
      <formula>1.75</formula>
    </cfRule>
    <cfRule type="cellIs" dxfId="5810" priority="6058" stopIfTrue="1" operator="between">
      <formula>1.25</formula>
      <formula>1.75</formula>
    </cfRule>
  </conditionalFormatting>
  <conditionalFormatting sqref="K542">
    <cfRule type="cellIs" dxfId="5809" priority="6055" stopIfTrue="1" operator="greaterThan">
      <formula>1.75</formula>
    </cfRule>
    <cfRule type="cellIs" dxfId="5808" priority="6056" stopIfTrue="1" operator="between">
      <formula>1.25</formula>
      <formula>1.75</formula>
    </cfRule>
  </conditionalFormatting>
  <conditionalFormatting sqref="R542">
    <cfRule type="cellIs" dxfId="5807" priority="6053" stopIfTrue="1" operator="greaterThan">
      <formula>1.75</formula>
    </cfRule>
    <cfRule type="cellIs" dxfId="5806" priority="6054" stopIfTrue="1" operator="between">
      <formula>1.25</formula>
      <formula>1.75</formula>
    </cfRule>
  </conditionalFormatting>
  <conditionalFormatting sqref="R542">
    <cfRule type="cellIs" dxfId="5805" priority="6051" stopIfTrue="1" operator="greaterThan">
      <formula>1.75</formula>
    </cfRule>
    <cfRule type="cellIs" dxfId="5804" priority="6052" stopIfTrue="1" operator="between">
      <formula>1.25</formula>
      <formula>1.75</formula>
    </cfRule>
  </conditionalFormatting>
  <conditionalFormatting sqref="K542">
    <cfRule type="cellIs" dxfId="5803" priority="6049" stopIfTrue="1" operator="greaterThan">
      <formula>1.75</formula>
    </cfRule>
    <cfRule type="cellIs" dxfId="5802" priority="6050" stopIfTrue="1" operator="between">
      <formula>1.25</formula>
      <formula>1.75</formula>
    </cfRule>
  </conditionalFormatting>
  <conditionalFormatting sqref="K542">
    <cfRule type="cellIs" dxfId="5801" priority="6047" stopIfTrue="1" operator="greaterThan">
      <formula>1.75</formula>
    </cfRule>
    <cfRule type="cellIs" dxfId="5800" priority="6048" stopIfTrue="1" operator="between">
      <formula>1.25</formula>
      <formula>1.75</formula>
    </cfRule>
  </conditionalFormatting>
  <conditionalFormatting sqref="L542">
    <cfRule type="cellIs" dxfId="5799" priority="6045" stopIfTrue="1" operator="greaterThan">
      <formula>1.75</formula>
    </cfRule>
    <cfRule type="cellIs" dxfId="5798" priority="6046" stopIfTrue="1" operator="between">
      <formula>1.25</formula>
      <formula>1.75</formula>
    </cfRule>
  </conditionalFormatting>
  <conditionalFormatting sqref="L542">
    <cfRule type="cellIs" dxfId="5797" priority="6043" stopIfTrue="1" operator="greaterThan">
      <formula>1.75</formula>
    </cfRule>
    <cfRule type="cellIs" dxfId="5796" priority="6044" stopIfTrue="1" operator="between">
      <formula>1.25</formula>
      <formula>1.75</formula>
    </cfRule>
  </conditionalFormatting>
  <conditionalFormatting sqref="L542">
    <cfRule type="cellIs" dxfId="5795" priority="6041" stopIfTrue="1" operator="greaterThan">
      <formula>1.75</formula>
    </cfRule>
    <cfRule type="cellIs" dxfId="5794" priority="6042" stopIfTrue="1" operator="between">
      <formula>1.25</formula>
      <formula>1.75</formula>
    </cfRule>
  </conditionalFormatting>
  <conditionalFormatting sqref="S542">
    <cfRule type="cellIs" dxfId="5793" priority="6039" stopIfTrue="1" operator="greaterThan">
      <formula>1.75</formula>
    </cfRule>
    <cfRule type="cellIs" dxfId="5792" priority="6040" stopIfTrue="1" operator="between">
      <formula>1.25</formula>
      <formula>1.75</formula>
    </cfRule>
  </conditionalFormatting>
  <conditionalFormatting sqref="S542">
    <cfRule type="cellIs" dxfId="5791" priority="6037" stopIfTrue="1" operator="greaterThan">
      <formula>1.75</formula>
    </cfRule>
    <cfRule type="cellIs" dxfId="5790" priority="6038" stopIfTrue="1" operator="between">
      <formula>1.25</formula>
      <formula>1.75</formula>
    </cfRule>
  </conditionalFormatting>
  <conditionalFormatting sqref="S542">
    <cfRule type="cellIs" dxfId="5789" priority="6035" stopIfTrue="1" operator="greaterThan">
      <formula>1.75</formula>
    </cfRule>
    <cfRule type="cellIs" dxfId="5788" priority="6036" stopIfTrue="1" operator="between">
      <formula>1.25</formula>
      <formula>1.75</formula>
    </cfRule>
  </conditionalFormatting>
  <conditionalFormatting sqref="J530">
    <cfRule type="cellIs" dxfId="5787" priority="5979" stopIfTrue="1" operator="greaterThan">
      <formula>1.75</formula>
    </cfRule>
    <cfRule type="cellIs" dxfId="5786" priority="5980" stopIfTrue="1" operator="between">
      <formula>1.25</formula>
      <formula>1.75</formula>
    </cfRule>
  </conditionalFormatting>
  <conditionalFormatting sqref="V517">
    <cfRule type="cellIs" dxfId="5785" priority="6029" operator="lessThan">
      <formula>1000</formula>
    </cfRule>
    <cfRule type="cellIs" dxfId="5784" priority="6030" operator="lessThan">
      <formula>2000</formula>
    </cfRule>
  </conditionalFormatting>
  <conditionalFormatting sqref="C530:I530 M530:O530">
    <cfRule type="cellIs" dxfId="5783" priority="5973" stopIfTrue="1" operator="greaterThan">
      <formula>1.75</formula>
    </cfRule>
    <cfRule type="cellIs" dxfId="5782" priority="5974" stopIfTrue="1" operator="between">
      <formula>1.25</formula>
      <formula>1.75</formula>
    </cfRule>
  </conditionalFormatting>
  <conditionalFormatting sqref="C530:I530 M530:O530">
    <cfRule type="cellIs" dxfId="5781" priority="5971" stopIfTrue="1" operator="greaterThan">
      <formula>1.75</formula>
    </cfRule>
    <cfRule type="cellIs" dxfId="5780" priority="5972" stopIfTrue="1" operator="between">
      <formula>1.25</formula>
      <formula>1.75</formula>
    </cfRule>
  </conditionalFormatting>
  <conditionalFormatting sqref="P530">
    <cfRule type="cellIs" dxfId="5779" priority="5969" stopIfTrue="1" operator="greaterThan">
      <formula>1.75</formula>
    </cfRule>
    <cfRule type="cellIs" dxfId="5778" priority="5970" stopIfTrue="1" operator="between">
      <formula>1.25</formula>
      <formula>1.75</formula>
    </cfRule>
  </conditionalFormatting>
  <conditionalFormatting sqref="P530">
    <cfRule type="cellIs" dxfId="5777" priority="5967" stopIfTrue="1" operator="greaterThan">
      <formula>1.75</formula>
    </cfRule>
    <cfRule type="cellIs" dxfId="5776" priority="5968" stopIfTrue="1" operator="between">
      <formula>1.25</formula>
      <formula>1.75</formula>
    </cfRule>
  </conditionalFormatting>
  <conditionalFormatting sqref="P530">
    <cfRule type="cellIs" dxfId="5775" priority="5965" stopIfTrue="1" operator="greaterThan">
      <formula>1.75</formula>
    </cfRule>
    <cfRule type="cellIs" dxfId="5774" priority="5966" stopIfTrue="1" operator="between">
      <formula>1.25</formula>
      <formula>1.75</formula>
    </cfRule>
  </conditionalFormatting>
  <conditionalFormatting sqref="U530">
    <cfRule type="cellIs" dxfId="5773" priority="5963" stopIfTrue="1" operator="greaterThan">
      <formula>1.75</formula>
    </cfRule>
    <cfRule type="cellIs" dxfId="5772" priority="5964" stopIfTrue="1" operator="between">
      <formula>1.25</formula>
      <formula>1.75</formula>
    </cfRule>
  </conditionalFormatting>
  <conditionalFormatting sqref="T530">
    <cfRule type="cellIs" dxfId="5771" priority="5961" stopIfTrue="1" operator="greaterThan">
      <formula>1.75</formula>
    </cfRule>
    <cfRule type="cellIs" dxfId="5770" priority="5962" stopIfTrue="1" operator="between">
      <formula>1.25</formula>
      <formula>1.75</formula>
    </cfRule>
  </conditionalFormatting>
  <conditionalFormatting sqref="Q530">
    <cfRule type="cellIs" dxfId="5769" priority="5959" stopIfTrue="1" operator="greaterThan">
      <formula>1.75</formula>
    </cfRule>
    <cfRule type="cellIs" dxfId="5768" priority="5960" stopIfTrue="1" operator="between">
      <formula>1.25</formula>
      <formula>1.75</formula>
    </cfRule>
  </conditionalFormatting>
  <conditionalFormatting sqref="Q530">
    <cfRule type="cellIs" dxfId="5767" priority="5957" stopIfTrue="1" operator="greaterThan">
      <formula>1.75</formula>
    </cfRule>
    <cfRule type="cellIs" dxfId="5766" priority="5958" stopIfTrue="1" operator="between">
      <formula>1.25</formula>
      <formula>1.75</formula>
    </cfRule>
  </conditionalFormatting>
  <conditionalFormatting sqref="Q530">
    <cfRule type="cellIs" dxfId="5765" priority="5955" stopIfTrue="1" operator="greaterThan">
      <formula>1.75</formula>
    </cfRule>
    <cfRule type="cellIs" dxfId="5764" priority="5956" stopIfTrue="1" operator="between">
      <formula>1.25</formula>
      <formula>1.75</formula>
    </cfRule>
  </conditionalFormatting>
  <conditionalFormatting sqref="J530">
    <cfRule type="cellIs" dxfId="5763" priority="5953" stopIfTrue="1" operator="greaterThan">
      <formula>1.75</formula>
    </cfRule>
    <cfRule type="cellIs" dxfId="5762" priority="5954" stopIfTrue="1" operator="between">
      <formula>1.25</formula>
      <formula>1.75</formula>
    </cfRule>
  </conditionalFormatting>
  <conditionalFormatting sqref="J530">
    <cfRule type="cellIs" dxfId="5761" priority="5951" stopIfTrue="1" operator="greaterThan">
      <formula>1.75</formula>
    </cfRule>
    <cfRule type="cellIs" dxfId="5760" priority="5952" stopIfTrue="1" operator="between">
      <formula>1.25</formula>
      <formula>1.75</formula>
    </cfRule>
  </conditionalFormatting>
  <conditionalFormatting sqref="R530">
    <cfRule type="cellIs" dxfId="5759" priority="5949" stopIfTrue="1" operator="greaterThan">
      <formula>1.75</formula>
    </cfRule>
    <cfRule type="cellIs" dxfId="5758" priority="5950" stopIfTrue="1" operator="between">
      <formula>1.25</formula>
      <formula>1.75</formula>
    </cfRule>
  </conditionalFormatting>
  <conditionalFormatting sqref="K530">
    <cfRule type="cellIs" dxfId="5757" priority="5947" stopIfTrue="1" operator="greaterThan">
      <formula>1.75</formula>
    </cfRule>
    <cfRule type="cellIs" dxfId="5756" priority="5948" stopIfTrue="1" operator="between">
      <formula>1.25</formula>
      <formula>1.75</formula>
    </cfRule>
  </conditionalFormatting>
  <conditionalFormatting sqref="R530">
    <cfRule type="cellIs" dxfId="5755" priority="5945" stopIfTrue="1" operator="greaterThan">
      <formula>1.75</formula>
    </cfRule>
    <cfRule type="cellIs" dxfId="5754" priority="5946" stopIfTrue="1" operator="between">
      <formula>1.25</formula>
      <formula>1.75</formula>
    </cfRule>
  </conditionalFormatting>
  <conditionalFormatting sqref="R530">
    <cfRule type="cellIs" dxfId="5753" priority="5943" stopIfTrue="1" operator="greaterThan">
      <formula>1.75</formula>
    </cfRule>
    <cfRule type="cellIs" dxfId="5752" priority="5944" stopIfTrue="1" operator="between">
      <formula>1.25</formula>
      <formula>1.75</formula>
    </cfRule>
  </conditionalFormatting>
  <conditionalFormatting sqref="K530">
    <cfRule type="cellIs" dxfId="5751" priority="5941" stopIfTrue="1" operator="greaterThan">
      <formula>1.75</formula>
    </cfRule>
    <cfRule type="cellIs" dxfId="5750" priority="5942" stopIfTrue="1" operator="between">
      <formula>1.25</formula>
      <formula>1.75</formula>
    </cfRule>
  </conditionalFormatting>
  <conditionalFormatting sqref="K530">
    <cfRule type="cellIs" dxfId="5749" priority="5939" stopIfTrue="1" operator="greaterThan">
      <formula>1.75</formula>
    </cfRule>
    <cfRule type="cellIs" dxfId="5748" priority="5940" stopIfTrue="1" operator="between">
      <formula>1.25</formula>
      <formula>1.75</formula>
    </cfRule>
  </conditionalFormatting>
  <conditionalFormatting sqref="L530">
    <cfRule type="cellIs" dxfId="5747" priority="5937" stopIfTrue="1" operator="greaterThan">
      <formula>1.75</formula>
    </cfRule>
    <cfRule type="cellIs" dxfId="5746" priority="5938" stopIfTrue="1" operator="between">
      <formula>1.25</formula>
      <formula>1.75</formula>
    </cfRule>
  </conditionalFormatting>
  <conditionalFormatting sqref="L530">
    <cfRule type="cellIs" dxfId="5745" priority="5935" stopIfTrue="1" operator="greaterThan">
      <formula>1.75</formula>
    </cfRule>
    <cfRule type="cellIs" dxfId="5744" priority="5936" stopIfTrue="1" operator="between">
      <formula>1.25</formula>
      <formula>1.75</formula>
    </cfRule>
  </conditionalFormatting>
  <conditionalFormatting sqref="L530">
    <cfRule type="cellIs" dxfId="5743" priority="5933" stopIfTrue="1" operator="greaterThan">
      <formula>1.75</formula>
    </cfRule>
    <cfRule type="cellIs" dxfId="5742" priority="5934" stopIfTrue="1" operator="between">
      <formula>1.25</formula>
      <formula>1.75</formula>
    </cfRule>
  </conditionalFormatting>
  <conditionalFormatting sqref="S530">
    <cfRule type="cellIs" dxfId="5741" priority="5931" stopIfTrue="1" operator="greaterThan">
      <formula>1.75</formula>
    </cfRule>
    <cfRule type="cellIs" dxfId="5740" priority="5932" stopIfTrue="1" operator="between">
      <formula>1.25</formula>
      <formula>1.75</formula>
    </cfRule>
  </conditionalFormatting>
  <conditionalFormatting sqref="S530">
    <cfRule type="cellIs" dxfId="5739" priority="5929" stopIfTrue="1" operator="greaterThan">
      <formula>1.75</formula>
    </cfRule>
    <cfRule type="cellIs" dxfId="5738" priority="5930" stopIfTrue="1" operator="between">
      <formula>1.25</formula>
      <formula>1.75</formula>
    </cfRule>
  </conditionalFormatting>
  <conditionalFormatting sqref="C530:I530 M530:O530">
    <cfRule type="cellIs" dxfId="5737" priority="5977" stopIfTrue="1" operator="greaterThan">
      <formula>1.75</formula>
    </cfRule>
    <cfRule type="cellIs" dxfId="5736" priority="5978" stopIfTrue="1" operator="between">
      <formula>1.25</formula>
      <formula>1.75</formula>
    </cfRule>
  </conditionalFormatting>
  <conditionalFormatting sqref="V529">
    <cfRule type="cellIs" dxfId="5735" priority="5975" operator="lessThan">
      <formula>1000</formula>
    </cfRule>
    <cfRule type="cellIs" dxfId="5734" priority="5976" operator="lessThan">
      <formula>2000</formula>
    </cfRule>
  </conditionalFormatting>
  <conditionalFormatting sqref="S530">
    <cfRule type="cellIs" dxfId="5733" priority="5927" stopIfTrue="1" operator="greaterThan">
      <formula>1.75</formula>
    </cfRule>
    <cfRule type="cellIs" dxfId="5732" priority="5928" stopIfTrue="1" operator="between">
      <formula>1.25</formula>
      <formula>1.75</formula>
    </cfRule>
  </conditionalFormatting>
  <conditionalFormatting sqref="J506">
    <cfRule type="cellIs" dxfId="5731" priority="5925" stopIfTrue="1" operator="greaterThan">
      <formula>1.75</formula>
    </cfRule>
    <cfRule type="cellIs" dxfId="5730" priority="5926" stopIfTrue="1" operator="between">
      <formula>1.25</formula>
      <formula>1.75</formula>
    </cfRule>
  </conditionalFormatting>
  <conditionalFormatting sqref="C506:I506 M506:O506">
    <cfRule type="cellIs" dxfId="5729" priority="5923" stopIfTrue="1" operator="greaterThan">
      <formula>1.75</formula>
    </cfRule>
    <cfRule type="cellIs" dxfId="5728" priority="5924" stopIfTrue="1" operator="between">
      <formula>1.25</formula>
      <formula>1.75</formula>
    </cfRule>
  </conditionalFormatting>
  <conditionalFormatting sqref="V505">
    <cfRule type="cellIs" dxfId="5727" priority="5921" operator="lessThan">
      <formula>1000</formula>
    </cfRule>
    <cfRule type="cellIs" dxfId="5726" priority="5922" operator="lessThan">
      <formula>2000</formula>
    </cfRule>
  </conditionalFormatting>
  <conditionalFormatting sqref="C506:I506 M506:O506">
    <cfRule type="cellIs" dxfId="5725" priority="5919" stopIfTrue="1" operator="greaterThan">
      <formula>1.75</formula>
    </cfRule>
    <cfRule type="cellIs" dxfId="5724" priority="5920" stopIfTrue="1" operator="between">
      <formula>1.25</formula>
      <formula>1.75</formula>
    </cfRule>
  </conditionalFormatting>
  <conditionalFormatting sqref="C506:I506 M506:O506">
    <cfRule type="cellIs" dxfId="5723" priority="5917" stopIfTrue="1" operator="greaterThan">
      <formula>1.75</formula>
    </cfRule>
    <cfRule type="cellIs" dxfId="5722" priority="5918" stopIfTrue="1" operator="between">
      <formula>1.25</formula>
      <formula>1.75</formula>
    </cfRule>
  </conditionalFormatting>
  <conditionalFormatting sqref="P506">
    <cfRule type="cellIs" dxfId="5721" priority="5915" stopIfTrue="1" operator="greaterThan">
      <formula>1.75</formula>
    </cfRule>
    <cfRule type="cellIs" dxfId="5720" priority="5916" stopIfTrue="1" operator="between">
      <formula>1.25</formula>
      <formula>1.75</formula>
    </cfRule>
  </conditionalFormatting>
  <conditionalFormatting sqref="P506">
    <cfRule type="cellIs" dxfId="5719" priority="5913" stopIfTrue="1" operator="greaterThan">
      <formula>1.75</formula>
    </cfRule>
    <cfRule type="cellIs" dxfId="5718" priority="5914" stopIfTrue="1" operator="between">
      <formula>1.25</formula>
      <formula>1.75</formula>
    </cfRule>
  </conditionalFormatting>
  <conditionalFormatting sqref="P506">
    <cfRule type="cellIs" dxfId="5717" priority="5911" stopIfTrue="1" operator="greaterThan">
      <formula>1.75</formula>
    </cfRule>
    <cfRule type="cellIs" dxfId="5716" priority="5912" stopIfTrue="1" operator="between">
      <formula>1.25</formula>
      <formula>1.75</formula>
    </cfRule>
  </conditionalFormatting>
  <conditionalFormatting sqref="U506">
    <cfRule type="cellIs" dxfId="5715" priority="5909" stopIfTrue="1" operator="greaterThan">
      <formula>1.75</formula>
    </cfRule>
    <cfRule type="cellIs" dxfId="5714" priority="5910" stopIfTrue="1" operator="between">
      <formula>1.25</formula>
      <formula>1.75</formula>
    </cfRule>
  </conditionalFormatting>
  <conditionalFormatting sqref="T506">
    <cfRule type="cellIs" dxfId="5713" priority="5907" stopIfTrue="1" operator="greaterThan">
      <formula>1.75</formula>
    </cfRule>
    <cfRule type="cellIs" dxfId="5712" priority="5908" stopIfTrue="1" operator="between">
      <formula>1.25</formula>
      <formula>1.75</formula>
    </cfRule>
  </conditionalFormatting>
  <conditionalFormatting sqref="Q506">
    <cfRule type="cellIs" dxfId="5711" priority="5905" stopIfTrue="1" operator="greaterThan">
      <formula>1.75</formula>
    </cfRule>
    <cfRule type="cellIs" dxfId="5710" priority="5906" stopIfTrue="1" operator="between">
      <formula>1.25</formula>
      <formula>1.75</formula>
    </cfRule>
  </conditionalFormatting>
  <conditionalFormatting sqref="Q506">
    <cfRule type="cellIs" dxfId="5709" priority="5903" stopIfTrue="1" operator="greaterThan">
      <formula>1.75</formula>
    </cfRule>
    <cfRule type="cellIs" dxfId="5708" priority="5904" stopIfTrue="1" operator="between">
      <formula>1.25</formula>
      <formula>1.75</formula>
    </cfRule>
  </conditionalFormatting>
  <conditionalFormatting sqref="Q506">
    <cfRule type="cellIs" dxfId="5707" priority="5901" stopIfTrue="1" operator="greaterThan">
      <formula>1.75</formula>
    </cfRule>
    <cfRule type="cellIs" dxfId="5706" priority="5902" stopIfTrue="1" operator="between">
      <formula>1.25</formula>
      <formula>1.75</formula>
    </cfRule>
  </conditionalFormatting>
  <conditionalFormatting sqref="J506">
    <cfRule type="cellIs" dxfId="5705" priority="5899" stopIfTrue="1" operator="greaterThan">
      <formula>1.75</formula>
    </cfRule>
    <cfRule type="cellIs" dxfId="5704" priority="5900" stopIfTrue="1" operator="between">
      <formula>1.25</formula>
      <formula>1.75</formula>
    </cfRule>
  </conditionalFormatting>
  <conditionalFormatting sqref="J506">
    <cfRule type="cellIs" dxfId="5703" priority="5897" stopIfTrue="1" operator="greaterThan">
      <formula>1.75</formula>
    </cfRule>
    <cfRule type="cellIs" dxfId="5702" priority="5898" stopIfTrue="1" operator="between">
      <formula>1.25</formula>
      <formula>1.75</formula>
    </cfRule>
  </conditionalFormatting>
  <conditionalFormatting sqref="R506">
    <cfRule type="cellIs" dxfId="5701" priority="5895" stopIfTrue="1" operator="greaterThan">
      <formula>1.75</formula>
    </cfRule>
    <cfRule type="cellIs" dxfId="5700" priority="5896" stopIfTrue="1" operator="between">
      <formula>1.25</formula>
      <formula>1.75</formula>
    </cfRule>
  </conditionalFormatting>
  <conditionalFormatting sqref="K506">
    <cfRule type="cellIs" dxfId="5699" priority="5893" stopIfTrue="1" operator="greaterThan">
      <formula>1.75</formula>
    </cfRule>
    <cfRule type="cellIs" dxfId="5698" priority="5894" stopIfTrue="1" operator="between">
      <formula>1.25</formula>
      <formula>1.75</formula>
    </cfRule>
  </conditionalFormatting>
  <conditionalFormatting sqref="R506">
    <cfRule type="cellIs" dxfId="5697" priority="5891" stopIfTrue="1" operator="greaterThan">
      <formula>1.75</formula>
    </cfRule>
    <cfRule type="cellIs" dxfId="5696" priority="5892" stopIfTrue="1" operator="between">
      <formula>1.25</formula>
      <formula>1.75</formula>
    </cfRule>
  </conditionalFormatting>
  <conditionalFormatting sqref="R506">
    <cfRule type="cellIs" dxfId="5695" priority="5889" stopIfTrue="1" operator="greaterThan">
      <formula>1.75</formula>
    </cfRule>
    <cfRule type="cellIs" dxfId="5694" priority="5890" stopIfTrue="1" operator="between">
      <formula>1.25</formula>
      <formula>1.75</formula>
    </cfRule>
  </conditionalFormatting>
  <conditionalFormatting sqref="K506">
    <cfRule type="cellIs" dxfId="5693" priority="5887" stopIfTrue="1" operator="greaterThan">
      <formula>1.75</formula>
    </cfRule>
    <cfRule type="cellIs" dxfId="5692" priority="5888" stopIfTrue="1" operator="between">
      <formula>1.25</formula>
      <formula>1.75</formula>
    </cfRule>
  </conditionalFormatting>
  <conditionalFormatting sqref="K506">
    <cfRule type="cellIs" dxfId="5691" priority="5885" stopIfTrue="1" operator="greaterThan">
      <formula>1.75</formula>
    </cfRule>
    <cfRule type="cellIs" dxfId="5690" priority="5886" stopIfTrue="1" operator="between">
      <formula>1.25</formula>
      <formula>1.75</formula>
    </cfRule>
  </conditionalFormatting>
  <conditionalFormatting sqref="L506">
    <cfRule type="cellIs" dxfId="5689" priority="5883" stopIfTrue="1" operator="greaterThan">
      <formula>1.75</formula>
    </cfRule>
    <cfRule type="cellIs" dxfId="5688" priority="5884" stopIfTrue="1" operator="between">
      <formula>1.25</formula>
      <formula>1.75</formula>
    </cfRule>
  </conditionalFormatting>
  <conditionalFormatting sqref="L506">
    <cfRule type="cellIs" dxfId="5687" priority="5881" stopIfTrue="1" operator="greaterThan">
      <formula>1.75</formula>
    </cfRule>
    <cfRule type="cellIs" dxfId="5686" priority="5882" stopIfTrue="1" operator="between">
      <formula>1.25</formula>
      <formula>1.75</formula>
    </cfRule>
  </conditionalFormatting>
  <conditionalFormatting sqref="L506">
    <cfRule type="cellIs" dxfId="5685" priority="5879" stopIfTrue="1" operator="greaterThan">
      <formula>1.75</formula>
    </cfRule>
    <cfRule type="cellIs" dxfId="5684" priority="5880" stopIfTrue="1" operator="between">
      <formula>1.25</formula>
      <formula>1.75</formula>
    </cfRule>
  </conditionalFormatting>
  <conditionalFormatting sqref="S506">
    <cfRule type="cellIs" dxfId="5683" priority="5877" stopIfTrue="1" operator="greaterThan">
      <formula>1.75</formula>
    </cfRule>
    <cfRule type="cellIs" dxfId="5682" priority="5878" stopIfTrue="1" operator="between">
      <formula>1.25</formula>
      <formula>1.75</formula>
    </cfRule>
  </conditionalFormatting>
  <conditionalFormatting sqref="S506">
    <cfRule type="cellIs" dxfId="5681" priority="5875" stopIfTrue="1" operator="greaterThan">
      <formula>1.75</formula>
    </cfRule>
    <cfRule type="cellIs" dxfId="5680" priority="5876" stopIfTrue="1" operator="between">
      <formula>1.25</formula>
      <formula>1.75</formula>
    </cfRule>
  </conditionalFormatting>
  <conditionalFormatting sqref="S506">
    <cfRule type="cellIs" dxfId="5679" priority="5873" stopIfTrue="1" operator="greaterThan">
      <formula>1.75</formula>
    </cfRule>
    <cfRule type="cellIs" dxfId="5678" priority="5874" stopIfTrue="1" operator="between">
      <formula>1.25</formula>
      <formula>1.75</formula>
    </cfRule>
  </conditionalFormatting>
  <conditionalFormatting sqref="J518">
    <cfRule type="cellIs" dxfId="5677" priority="5871" stopIfTrue="1" operator="greaterThan">
      <formula>1.75</formula>
    </cfRule>
    <cfRule type="cellIs" dxfId="5676" priority="5872" stopIfTrue="1" operator="between">
      <formula>1.25</formula>
      <formula>1.75</formula>
    </cfRule>
  </conditionalFormatting>
  <conditionalFormatting sqref="C518:I518 M518:O518">
    <cfRule type="cellIs" dxfId="5675" priority="5869" stopIfTrue="1" operator="greaterThan">
      <formula>1.75</formula>
    </cfRule>
    <cfRule type="cellIs" dxfId="5674" priority="5870" stopIfTrue="1" operator="between">
      <formula>1.25</formula>
      <formula>1.75</formula>
    </cfRule>
  </conditionalFormatting>
  <conditionalFormatting sqref="C518:I518 M518:O518">
    <cfRule type="cellIs" dxfId="5673" priority="5867" stopIfTrue="1" operator="greaterThan">
      <formula>1.75</formula>
    </cfRule>
    <cfRule type="cellIs" dxfId="5672" priority="5868" stopIfTrue="1" operator="between">
      <formula>1.25</formula>
      <formula>1.75</formula>
    </cfRule>
  </conditionalFormatting>
  <conditionalFormatting sqref="C518:I518 M518:O518">
    <cfRule type="cellIs" dxfId="5671" priority="5865" stopIfTrue="1" operator="greaterThan">
      <formula>1.75</formula>
    </cfRule>
    <cfRule type="cellIs" dxfId="5670" priority="5866" stopIfTrue="1" operator="between">
      <formula>1.25</formula>
      <formula>1.75</formula>
    </cfRule>
  </conditionalFormatting>
  <conditionalFormatting sqref="P518">
    <cfRule type="cellIs" dxfId="5669" priority="5863" stopIfTrue="1" operator="greaterThan">
      <formula>1.75</formula>
    </cfRule>
    <cfRule type="cellIs" dxfId="5668" priority="5864" stopIfTrue="1" operator="between">
      <formula>1.25</formula>
      <formula>1.75</formula>
    </cfRule>
  </conditionalFormatting>
  <conditionalFormatting sqref="P518">
    <cfRule type="cellIs" dxfId="5667" priority="5861" stopIfTrue="1" operator="greaterThan">
      <formula>1.75</formula>
    </cfRule>
    <cfRule type="cellIs" dxfId="5666" priority="5862" stopIfTrue="1" operator="between">
      <formula>1.25</formula>
      <formula>1.75</formula>
    </cfRule>
  </conditionalFormatting>
  <conditionalFormatting sqref="P518">
    <cfRule type="cellIs" dxfId="5665" priority="5859" stopIfTrue="1" operator="greaterThan">
      <formula>1.75</formula>
    </cfRule>
    <cfRule type="cellIs" dxfId="5664" priority="5860" stopIfTrue="1" operator="between">
      <formula>1.25</formula>
      <formula>1.75</formula>
    </cfRule>
  </conditionalFormatting>
  <conditionalFormatting sqref="U518">
    <cfRule type="cellIs" dxfId="5663" priority="5857" stopIfTrue="1" operator="greaterThan">
      <formula>1.75</formula>
    </cfRule>
    <cfRule type="cellIs" dxfId="5662" priority="5858" stopIfTrue="1" operator="between">
      <formula>1.25</formula>
      <formula>1.75</formula>
    </cfRule>
  </conditionalFormatting>
  <conditionalFormatting sqref="T518">
    <cfRule type="cellIs" dxfId="5661" priority="5855" stopIfTrue="1" operator="greaterThan">
      <formula>1.75</formula>
    </cfRule>
    <cfRule type="cellIs" dxfId="5660" priority="5856" stopIfTrue="1" operator="between">
      <formula>1.25</formula>
      <formula>1.75</formula>
    </cfRule>
  </conditionalFormatting>
  <conditionalFormatting sqref="Q518">
    <cfRule type="cellIs" dxfId="5659" priority="5853" stopIfTrue="1" operator="greaterThan">
      <formula>1.75</formula>
    </cfRule>
    <cfRule type="cellIs" dxfId="5658" priority="5854" stopIfTrue="1" operator="between">
      <formula>1.25</formula>
      <formula>1.75</formula>
    </cfRule>
  </conditionalFormatting>
  <conditionalFormatting sqref="Q518">
    <cfRule type="cellIs" dxfId="5657" priority="5851" stopIfTrue="1" operator="greaterThan">
      <formula>1.75</formula>
    </cfRule>
    <cfRule type="cellIs" dxfId="5656" priority="5852" stopIfTrue="1" operator="between">
      <formula>1.25</formula>
      <formula>1.75</formula>
    </cfRule>
  </conditionalFormatting>
  <conditionalFormatting sqref="Q518">
    <cfRule type="cellIs" dxfId="5655" priority="5849" stopIfTrue="1" operator="greaterThan">
      <formula>1.75</formula>
    </cfRule>
    <cfRule type="cellIs" dxfId="5654" priority="5850" stopIfTrue="1" operator="between">
      <formula>1.25</formula>
      <formula>1.75</formula>
    </cfRule>
  </conditionalFormatting>
  <conditionalFormatting sqref="J518">
    <cfRule type="cellIs" dxfId="5653" priority="5847" stopIfTrue="1" operator="greaterThan">
      <formula>1.75</formula>
    </cfRule>
    <cfRule type="cellIs" dxfId="5652" priority="5848" stopIfTrue="1" operator="between">
      <formula>1.25</formula>
      <formula>1.75</formula>
    </cfRule>
  </conditionalFormatting>
  <conditionalFormatting sqref="J518">
    <cfRule type="cellIs" dxfId="5651" priority="5845" stopIfTrue="1" operator="greaterThan">
      <formula>1.75</formula>
    </cfRule>
    <cfRule type="cellIs" dxfId="5650" priority="5846" stopIfTrue="1" operator="between">
      <formula>1.25</formula>
      <formula>1.75</formula>
    </cfRule>
  </conditionalFormatting>
  <conditionalFormatting sqref="R518">
    <cfRule type="cellIs" dxfId="5649" priority="5843" stopIfTrue="1" operator="greaterThan">
      <formula>1.75</formula>
    </cfRule>
    <cfRule type="cellIs" dxfId="5648" priority="5844" stopIfTrue="1" operator="between">
      <formula>1.25</formula>
      <formula>1.75</formula>
    </cfRule>
  </conditionalFormatting>
  <conditionalFormatting sqref="K518">
    <cfRule type="cellIs" dxfId="5647" priority="5841" stopIfTrue="1" operator="greaterThan">
      <formula>1.75</formula>
    </cfRule>
    <cfRule type="cellIs" dxfId="5646" priority="5842" stopIfTrue="1" operator="between">
      <formula>1.25</formula>
      <formula>1.75</formula>
    </cfRule>
  </conditionalFormatting>
  <conditionalFormatting sqref="R518">
    <cfRule type="cellIs" dxfId="5645" priority="5839" stopIfTrue="1" operator="greaterThan">
      <formula>1.75</formula>
    </cfRule>
    <cfRule type="cellIs" dxfId="5644" priority="5840" stopIfTrue="1" operator="between">
      <formula>1.25</formula>
      <formula>1.75</formula>
    </cfRule>
  </conditionalFormatting>
  <conditionalFormatting sqref="R518">
    <cfRule type="cellIs" dxfId="5643" priority="5837" stopIfTrue="1" operator="greaterThan">
      <formula>1.75</formula>
    </cfRule>
    <cfRule type="cellIs" dxfId="5642" priority="5838" stopIfTrue="1" operator="between">
      <formula>1.25</formula>
      <formula>1.75</formula>
    </cfRule>
  </conditionalFormatting>
  <conditionalFormatting sqref="K518">
    <cfRule type="cellIs" dxfId="5641" priority="5835" stopIfTrue="1" operator="greaterThan">
      <formula>1.75</formula>
    </cfRule>
    <cfRule type="cellIs" dxfId="5640" priority="5836" stopIfTrue="1" operator="between">
      <formula>1.25</formula>
      <formula>1.75</formula>
    </cfRule>
  </conditionalFormatting>
  <conditionalFormatting sqref="K518">
    <cfRule type="cellIs" dxfId="5639" priority="5833" stopIfTrue="1" operator="greaterThan">
      <formula>1.75</formula>
    </cfRule>
    <cfRule type="cellIs" dxfId="5638" priority="5834" stopIfTrue="1" operator="between">
      <formula>1.25</formula>
      <formula>1.75</formula>
    </cfRule>
  </conditionalFormatting>
  <conditionalFormatting sqref="L518">
    <cfRule type="cellIs" dxfId="5637" priority="5831" stopIfTrue="1" operator="greaterThan">
      <formula>1.75</formula>
    </cfRule>
    <cfRule type="cellIs" dxfId="5636" priority="5832" stopIfTrue="1" operator="between">
      <formula>1.25</formula>
      <formula>1.75</formula>
    </cfRule>
  </conditionalFormatting>
  <conditionalFormatting sqref="L518">
    <cfRule type="cellIs" dxfId="5635" priority="5829" stopIfTrue="1" operator="greaterThan">
      <formula>1.75</formula>
    </cfRule>
    <cfRule type="cellIs" dxfId="5634" priority="5830" stopIfTrue="1" operator="between">
      <formula>1.25</formula>
      <formula>1.75</formula>
    </cfRule>
  </conditionalFormatting>
  <conditionalFormatting sqref="L518">
    <cfRule type="cellIs" dxfId="5633" priority="5827" stopIfTrue="1" operator="greaterThan">
      <formula>1.75</formula>
    </cfRule>
    <cfRule type="cellIs" dxfId="5632" priority="5828" stopIfTrue="1" operator="between">
      <formula>1.25</formula>
      <formula>1.75</formula>
    </cfRule>
  </conditionalFormatting>
  <conditionalFormatting sqref="S518">
    <cfRule type="cellIs" dxfId="5631" priority="5825" stopIfTrue="1" operator="greaterThan">
      <formula>1.75</formula>
    </cfRule>
    <cfRule type="cellIs" dxfId="5630" priority="5826" stopIfTrue="1" operator="between">
      <formula>1.25</formula>
      <formula>1.75</formula>
    </cfRule>
  </conditionalFormatting>
  <conditionalFormatting sqref="S518">
    <cfRule type="cellIs" dxfId="5629" priority="5823" stopIfTrue="1" operator="greaterThan">
      <formula>1.75</formula>
    </cfRule>
    <cfRule type="cellIs" dxfId="5628" priority="5824" stopIfTrue="1" operator="between">
      <formula>1.25</formula>
      <formula>1.75</formula>
    </cfRule>
  </conditionalFormatting>
  <conditionalFormatting sqref="S518">
    <cfRule type="cellIs" dxfId="5627" priority="5821" stopIfTrue="1" operator="greaterThan">
      <formula>1.75</formula>
    </cfRule>
    <cfRule type="cellIs" dxfId="5626" priority="5822" stopIfTrue="1" operator="between">
      <formula>1.25</formula>
      <formula>1.75</formula>
    </cfRule>
  </conditionalFormatting>
  <conditionalFormatting sqref="J494">
    <cfRule type="cellIs" dxfId="5625" priority="5819" stopIfTrue="1" operator="greaterThan">
      <formula>1.75</formula>
    </cfRule>
    <cfRule type="cellIs" dxfId="5624" priority="5820" stopIfTrue="1" operator="between">
      <formula>1.25</formula>
      <formula>1.75</formula>
    </cfRule>
  </conditionalFormatting>
  <conditionalFormatting sqref="C494:I494 M494:O494">
    <cfRule type="cellIs" dxfId="5623" priority="5817" stopIfTrue="1" operator="greaterThan">
      <formula>1.75</formula>
    </cfRule>
    <cfRule type="cellIs" dxfId="5622" priority="5818" stopIfTrue="1" operator="between">
      <formula>1.25</formula>
      <formula>1.75</formula>
    </cfRule>
  </conditionalFormatting>
  <conditionalFormatting sqref="V493">
    <cfRule type="cellIs" dxfId="5621" priority="5815" operator="lessThan">
      <formula>1000</formula>
    </cfRule>
    <cfRule type="cellIs" dxfId="5620" priority="5816" operator="lessThan">
      <formula>2000</formula>
    </cfRule>
  </conditionalFormatting>
  <conditionalFormatting sqref="C494:I494 M494:O494">
    <cfRule type="cellIs" dxfId="5619" priority="5813" stopIfTrue="1" operator="greaterThan">
      <formula>1.75</formula>
    </cfRule>
    <cfRule type="cellIs" dxfId="5618" priority="5814" stopIfTrue="1" operator="between">
      <formula>1.25</formula>
      <formula>1.75</formula>
    </cfRule>
  </conditionalFormatting>
  <conditionalFormatting sqref="C494:I494 M494:O494">
    <cfRule type="cellIs" dxfId="5617" priority="5811" stopIfTrue="1" operator="greaterThan">
      <formula>1.75</formula>
    </cfRule>
    <cfRule type="cellIs" dxfId="5616" priority="5812" stopIfTrue="1" operator="between">
      <formula>1.25</formula>
      <formula>1.75</formula>
    </cfRule>
  </conditionalFormatting>
  <conditionalFormatting sqref="P494">
    <cfRule type="cellIs" dxfId="5615" priority="5809" stopIfTrue="1" operator="greaterThan">
      <formula>1.75</formula>
    </cfRule>
    <cfRule type="cellIs" dxfId="5614" priority="5810" stopIfTrue="1" operator="between">
      <formula>1.25</formula>
      <formula>1.75</formula>
    </cfRule>
  </conditionalFormatting>
  <conditionalFormatting sqref="P494">
    <cfRule type="cellIs" dxfId="5613" priority="5807" stopIfTrue="1" operator="greaterThan">
      <formula>1.75</formula>
    </cfRule>
    <cfRule type="cellIs" dxfId="5612" priority="5808" stopIfTrue="1" operator="between">
      <formula>1.25</formula>
      <formula>1.75</formula>
    </cfRule>
  </conditionalFormatting>
  <conditionalFormatting sqref="P494">
    <cfRule type="cellIs" dxfId="5611" priority="5805" stopIfTrue="1" operator="greaterThan">
      <formula>1.75</formula>
    </cfRule>
    <cfRule type="cellIs" dxfId="5610" priority="5806" stopIfTrue="1" operator="between">
      <formula>1.25</formula>
      <formula>1.75</formula>
    </cfRule>
  </conditionalFormatting>
  <conditionalFormatting sqref="U494">
    <cfRule type="cellIs" dxfId="5609" priority="5803" stopIfTrue="1" operator="greaterThan">
      <formula>1.75</formula>
    </cfRule>
    <cfRule type="cellIs" dxfId="5608" priority="5804" stopIfTrue="1" operator="between">
      <formula>1.25</formula>
      <formula>1.75</formula>
    </cfRule>
  </conditionalFormatting>
  <conditionalFormatting sqref="T494">
    <cfRule type="cellIs" dxfId="5607" priority="5801" stopIfTrue="1" operator="greaterThan">
      <formula>1.75</formula>
    </cfRule>
    <cfRule type="cellIs" dxfId="5606" priority="5802" stopIfTrue="1" operator="between">
      <formula>1.25</formula>
      <formula>1.75</formula>
    </cfRule>
  </conditionalFormatting>
  <conditionalFormatting sqref="Q494">
    <cfRule type="cellIs" dxfId="5605" priority="5799" stopIfTrue="1" operator="greaterThan">
      <formula>1.75</formula>
    </cfRule>
    <cfRule type="cellIs" dxfId="5604" priority="5800" stopIfTrue="1" operator="between">
      <formula>1.25</formula>
      <formula>1.75</formula>
    </cfRule>
  </conditionalFormatting>
  <conditionalFormatting sqref="Q494">
    <cfRule type="cellIs" dxfId="5603" priority="5797" stopIfTrue="1" operator="greaterThan">
      <formula>1.75</formula>
    </cfRule>
    <cfRule type="cellIs" dxfId="5602" priority="5798" stopIfTrue="1" operator="between">
      <formula>1.25</formula>
      <formula>1.75</formula>
    </cfRule>
  </conditionalFormatting>
  <conditionalFormatting sqref="Q494">
    <cfRule type="cellIs" dxfId="5601" priority="5795" stopIfTrue="1" operator="greaterThan">
      <formula>1.75</formula>
    </cfRule>
    <cfRule type="cellIs" dxfId="5600" priority="5796" stopIfTrue="1" operator="between">
      <formula>1.25</formula>
      <formula>1.75</formula>
    </cfRule>
  </conditionalFormatting>
  <conditionalFormatting sqref="J494">
    <cfRule type="cellIs" dxfId="5599" priority="5793" stopIfTrue="1" operator="greaterThan">
      <formula>1.75</formula>
    </cfRule>
    <cfRule type="cellIs" dxfId="5598" priority="5794" stopIfTrue="1" operator="between">
      <formula>1.25</formula>
      <formula>1.75</formula>
    </cfRule>
  </conditionalFormatting>
  <conditionalFormatting sqref="J494">
    <cfRule type="cellIs" dxfId="5597" priority="5791" stopIfTrue="1" operator="greaterThan">
      <formula>1.75</formula>
    </cfRule>
    <cfRule type="cellIs" dxfId="5596" priority="5792" stopIfTrue="1" operator="between">
      <formula>1.25</formula>
      <formula>1.75</formula>
    </cfRule>
  </conditionalFormatting>
  <conditionalFormatting sqref="R494">
    <cfRule type="cellIs" dxfId="5595" priority="5789" stopIfTrue="1" operator="greaterThan">
      <formula>1.75</formula>
    </cfRule>
    <cfRule type="cellIs" dxfId="5594" priority="5790" stopIfTrue="1" operator="between">
      <formula>1.25</formula>
      <formula>1.75</formula>
    </cfRule>
  </conditionalFormatting>
  <conditionalFormatting sqref="K494">
    <cfRule type="cellIs" dxfId="5593" priority="5787" stopIfTrue="1" operator="greaterThan">
      <formula>1.75</formula>
    </cfRule>
    <cfRule type="cellIs" dxfId="5592" priority="5788" stopIfTrue="1" operator="between">
      <formula>1.25</formula>
      <formula>1.75</formula>
    </cfRule>
  </conditionalFormatting>
  <conditionalFormatting sqref="R494">
    <cfRule type="cellIs" dxfId="5591" priority="5785" stopIfTrue="1" operator="greaterThan">
      <formula>1.75</formula>
    </cfRule>
    <cfRule type="cellIs" dxfId="5590" priority="5786" stopIfTrue="1" operator="between">
      <formula>1.25</formula>
      <formula>1.75</formula>
    </cfRule>
  </conditionalFormatting>
  <conditionalFormatting sqref="R494">
    <cfRule type="cellIs" dxfId="5589" priority="5783" stopIfTrue="1" operator="greaterThan">
      <formula>1.75</formula>
    </cfRule>
    <cfRule type="cellIs" dxfId="5588" priority="5784" stopIfTrue="1" operator="between">
      <formula>1.25</formula>
      <formula>1.75</formula>
    </cfRule>
  </conditionalFormatting>
  <conditionalFormatting sqref="K494">
    <cfRule type="cellIs" dxfId="5587" priority="5781" stopIfTrue="1" operator="greaterThan">
      <formula>1.75</formula>
    </cfRule>
    <cfRule type="cellIs" dxfId="5586" priority="5782" stopIfTrue="1" operator="between">
      <formula>1.25</formula>
      <formula>1.75</formula>
    </cfRule>
  </conditionalFormatting>
  <conditionalFormatting sqref="K494">
    <cfRule type="cellIs" dxfId="5585" priority="5779" stopIfTrue="1" operator="greaterThan">
      <formula>1.75</formula>
    </cfRule>
    <cfRule type="cellIs" dxfId="5584" priority="5780" stopIfTrue="1" operator="between">
      <formula>1.25</formula>
      <formula>1.75</formula>
    </cfRule>
  </conditionalFormatting>
  <conditionalFormatting sqref="L494">
    <cfRule type="cellIs" dxfId="5583" priority="5777" stopIfTrue="1" operator="greaterThan">
      <formula>1.75</formula>
    </cfRule>
    <cfRule type="cellIs" dxfId="5582" priority="5778" stopIfTrue="1" operator="between">
      <formula>1.25</formula>
      <formula>1.75</formula>
    </cfRule>
  </conditionalFormatting>
  <conditionalFormatting sqref="L494">
    <cfRule type="cellIs" dxfId="5581" priority="5775" stopIfTrue="1" operator="greaterThan">
      <formula>1.75</formula>
    </cfRule>
    <cfRule type="cellIs" dxfId="5580" priority="5776" stopIfTrue="1" operator="between">
      <formula>1.25</formula>
      <formula>1.75</formula>
    </cfRule>
  </conditionalFormatting>
  <conditionalFormatting sqref="L494">
    <cfRule type="cellIs" dxfId="5579" priority="5773" stopIfTrue="1" operator="greaterThan">
      <formula>1.75</formula>
    </cfRule>
    <cfRule type="cellIs" dxfId="5578" priority="5774" stopIfTrue="1" operator="between">
      <formula>1.25</formula>
      <formula>1.75</formula>
    </cfRule>
  </conditionalFormatting>
  <conditionalFormatting sqref="S494">
    <cfRule type="cellIs" dxfId="5577" priority="5771" stopIfTrue="1" operator="greaterThan">
      <formula>1.75</formula>
    </cfRule>
    <cfRule type="cellIs" dxfId="5576" priority="5772" stopIfTrue="1" operator="between">
      <formula>1.25</formula>
      <formula>1.75</formula>
    </cfRule>
  </conditionalFormatting>
  <conditionalFormatting sqref="S494">
    <cfRule type="cellIs" dxfId="5575" priority="5769" stopIfTrue="1" operator="greaterThan">
      <formula>1.75</formula>
    </cfRule>
    <cfRule type="cellIs" dxfId="5574" priority="5770" stopIfTrue="1" operator="between">
      <formula>1.25</formula>
      <formula>1.75</formula>
    </cfRule>
  </conditionalFormatting>
  <conditionalFormatting sqref="S494">
    <cfRule type="cellIs" dxfId="5573" priority="5767" stopIfTrue="1" operator="greaterThan">
      <formula>1.75</formula>
    </cfRule>
    <cfRule type="cellIs" dxfId="5572" priority="5768" stopIfTrue="1" operator="between">
      <formula>1.25</formula>
      <formula>1.75</formula>
    </cfRule>
  </conditionalFormatting>
  <conditionalFormatting sqref="J482">
    <cfRule type="cellIs" dxfId="5571" priority="5765" stopIfTrue="1" operator="greaterThan">
      <formula>1.75</formula>
    </cfRule>
    <cfRule type="cellIs" dxfId="5570" priority="5766" stopIfTrue="1" operator="between">
      <formula>1.25</formula>
      <formula>1.75</formula>
    </cfRule>
  </conditionalFormatting>
  <conditionalFormatting sqref="C482:I482 M482:O482">
    <cfRule type="cellIs" dxfId="5569" priority="5763" stopIfTrue="1" operator="greaterThan">
      <formula>1.75</formula>
    </cfRule>
    <cfRule type="cellIs" dxfId="5568" priority="5764" stopIfTrue="1" operator="between">
      <formula>1.25</formula>
      <formula>1.75</formula>
    </cfRule>
  </conditionalFormatting>
  <conditionalFormatting sqref="V481">
    <cfRule type="cellIs" dxfId="5567" priority="5761" operator="lessThan">
      <formula>1000</formula>
    </cfRule>
    <cfRule type="cellIs" dxfId="5566" priority="5762" operator="lessThan">
      <formula>2000</formula>
    </cfRule>
  </conditionalFormatting>
  <conditionalFormatting sqref="C482:I482 M482:O482">
    <cfRule type="cellIs" dxfId="5565" priority="5759" stopIfTrue="1" operator="greaterThan">
      <formula>1.75</formula>
    </cfRule>
    <cfRule type="cellIs" dxfId="5564" priority="5760" stopIfTrue="1" operator="between">
      <formula>1.25</formula>
      <formula>1.75</formula>
    </cfRule>
  </conditionalFormatting>
  <conditionalFormatting sqref="C482:I482 M482:O482">
    <cfRule type="cellIs" dxfId="5563" priority="5757" stopIfTrue="1" operator="greaterThan">
      <formula>1.75</formula>
    </cfRule>
    <cfRule type="cellIs" dxfId="5562" priority="5758" stopIfTrue="1" operator="between">
      <formula>1.25</formula>
      <formula>1.75</formula>
    </cfRule>
  </conditionalFormatting>
  <conditionalFormatting sqref="P482">
    <cfRule type="cellIs" dxfId="5561" priority="5755" stopIfTrue="1" operator="greaterThan">
      <formula>1.75</formula>
    </cfRule>
    <cfRule type="cellIs" dxfId="5560" priority="5756" stopIfTrue="1" operator="between">
      <formula>1.25</formula>
      <formula>1.75</formula>
    </cfRule>
  </conditionalFormatting>
  <conditionalFormatting sqref="P482">
    <cfRule type="cellIs" dxfId="5559" priority="5753" stopIfTrue="1" operator="greaterThan">
      <formula>1.75</formula>
    </cfRule>
    <cfRule type="cellIs" dxfId="5558" priority="5754" stopIfTrue="1" operator="between">
      <formula>1.25</formula>
      <formula>1.75</formula>
    </cfRule>
  </conditionalFormatting>
  <conditionalFormatting sqref="P482">
    <cfRule type="cellIs" dxfId="5557" priority="5751" stopIfTrue="1" operator="greaterThan">
      <formula>1.75</formula>
    </cfRule>
    <cfRule type="cellIs" dxfId="5556" priority="5752" stopIfTrue="1" operator="between">
      <formula>1.25</formula>
      <formula>1.75</formula>
    </cfRule>
  </conditionalFormatting>
  <conditionalFormatting sqref="U482">
    <cfRule type="cellIs" dxfId="5555" priority="5749" stopIfTrue="1" operator="greaterThan">
      <formula>1.75</formula>
    </cfRule>
    <cfRule type="cellIs" dxfId="5554" priority="5750" stopIfTrue="1" operator="between">
      <formula>1.25</formula>
      <formula>1.75</formula>
    </cfRule>
  </conditionalFormatting>
  <conditionalFormatting sqref="T482">
    <cfRule type="cellIs" dxfId="5553" priority="5747" stopIfTrue="1" operator="greaterThan">
      <formula>1.75</formula>
    </cfRule>
    <cfRule type="cellIs" dxfId="5552" priority="5748" stopIfTrue="1" operator="between">
      <formula>1.25</formula>
      <formula>1.75</formula>
    </cfRule>
  </conditionalFormatting>
  <conditionalFormatting sqref="Q482">
    <cfRule type="cellIs" dxfId="5551" priority="5745" stopIfTrue="1" operator="greaterThan">
      <formula>1.75</formula>
    </cfRule>
    <cfRule type="cellIs" dxfId="5550" priority="5746" stopIfTrue="1" operator="between">
      <formula>1.25</formula>
      <formula>1.75</formula>
    </cfRule>
  </conditionalFormatting>
  <conditionalFormatting sqref="Q482">
    <cfRule type="cellIs" dxfId="5549" priority="5743" stopIfTrue="1" operator="greaterThan">
      <formula>1.75</formula>
    </cfRule>
    <cfRule type="cellIs" dxfId="5548" priority="5744" stopIfTrue="1" operator="between">
      <formula>1.25</formula>
      <formula>1.75</formula>
    </cfRule>
  </conditionalFormatting>
  <conditionalFormatting sqref="Q482">
    <cfRule type="cellIs" dxfId="5547" priority="5741" stopIfTrue="1" operator="greaterThan">
      <formula>1.75</formula>
    </cfRule>
    <cfRule type="cellIs" dxfId="5546" priority="5742" stopIfTrue="1" operator="between">
      <formula>1.25</formula>
      <formula>1.75</formula>
    </cfRule>
  </conditionalFormatting>
  <conditionalFormatting sqref="J482">
    <cfRule type="cellIs" dxfId="5545" priority="5739" stopIfTrue="1" operator="greaterThan">
      <formula>1.75</formula>
    </cfRule>
    <cfRule type="cellIs" dxfId="5544" priority="5740" stopIfTrue="1" operator="between">
      <formula>1.25</formula>
      <formula>1.75</formula>
    </cfRule>
  </conditionalFormatting>
  <conditionalFormatting sqref="J482">
    <cfRule type="cellIs" dxfId="5543" priority="5737" stopIfTrue="1" operator="greaterThan">
      <formula>1.75</formula>
    </cfRule>
    <cfRule type="cellIs" dxfId="5542" priority="5738" stopIfTrue="1" operator="between">
      <formula>1.25</formula>
      <formula>1.75</formula>
    </cfRule>
  </conditionalFormatting>
  <conditionalFormatting sqref="R482">
    <cfRule type="cellIs" dxfId="5541" priority="5735" stopIfTrue="1" operator="greaterThan">
      <formula>1.75</formula>
    </cfRule>
    <cfRule type="cellIs" dxfId="5540" priority="5736" stopIfTrue="1" operator="between">
      <formula>1.25</formula>
      <formula>1.75</formula>
    </cfRule>
  </conditionalFormatting>
  <conditionalFormatting sqref="K482">
    <cfRule type="cellIs" dxfId="5539" priority="5733" stopIfTrue="1" operator="greaterThan">
      <formula>1.75</formula>
    </cfRule>
    <cfRule type="cellIs" dxfId="5538" priority="5734" stopIfTrue="1" operator="between">
      <formula>1.25</formula>
      <formula>1.75</formula>
    </cfRule>
  </conditionalFormatting>
  <conditionalFormatting sqref="R482">
    <cfRule type="cellIs" dxfId="5537" priority="5731" stopIfTrue="1" operator="greaterThan">
      <formula>1.75</formula>
    </cfRule>
    <cfRule type="cellIs" dxfId="5536" priority="5732" stopIfTrue="1" operator="between">
      <formula>1.25</formula>
      <formula>1.75</formula>
    </cfRule>
  </conditionalFormatting>
  <conditionalFormatting sqref="R482">
    <cfRule type="cellIs" dxfId="5535" priority="5729" stopIfTrue="1" operator="greaterThan">
      <formula>1.75</formula>
    </cfRule>
    <cfRule type="cellIs" dxfId="5534" priority="5730" stopIfTrue="1" operator="between">
      <formula>1.25</formula>
      <formula>1.75</formula>
    </cfRule>
  </conditionalFormatting>
  <conditionalFormatting sqref="K482">
    <cfRule type="cellIs" dxfId="5533" priority="5727" stopIfTrue="1" operator="greaterThan">
      <formula>1.75</formula>
    </cfRule>
    <cfRule type="cellIs" dxfId="5532" priority="5728" stopIfTrue="1" operator="between">
      <formula>1.25</formula>
      <formula>1.75</formula>
    </cfRule>
  </conditionalFormatting>
  <conditionalFormatting sqref="K482">
    <cfRule type="cellIs" dxfId="5531" priority="5725" stopIfTrue="1" operator="greaterThan">
      <formula>1.75</formula>
    </cfRule>
    <cfRule type="cellIs" dxfId="5530" priority="5726" stopIfTrue="1" operator="between">
      <formula>1.25</formula>
      <formula>1.75</formula>
    </cfRule>
  </conditionalFormatting>
  <conditionalFormatting sqref="L482">
    <cfRule type="cellIs" dxfId="5529" priority="5723" stopIfTrue="1" operator="greaterThan">
      <formula>1.75</formula>
    </cfRule>
    <cfRule type="cellIs" dxfId="5528" priority="5724" stopIfTrue="1" operator="between">
      <formula>1.25</formula>
      <formula>1.75</formula>
    </cfRule>
  </conditionalFormatting>
  <conditionalFormatting sqref="L482">
    <cfRule type="cellIs" dxfId="5527" priority="5721" stopIfTrue="1" operator="greaterThan">
      <formula>1.75</formula>
    </cfRule>
    <cfRule type="cellIs" dxfId="5526" priority="5722" stopIfTrue="1" operator="between">
      <formula>1.25</formula>
      <formula>1.75</formula>
    </cfRule>
  </conditionalFormatting>
  <conditionalFormatting sqref="L482">
    <cfRule type="cellIs" dxfId="5525" priority="5719" stopIfTrue="1" operator="greaterThan">
      <formula>1.75</formula>
    </cfRule>
    <cfRule type="cellIs" dxfId="5524" priority="5720" stopIfTrue="1" operator="between">
      <formula>1.25</formula>
      <formula>1.75</formula>
    </cfRule>
  </conditionalFormatting>
  <conditionalFormatting sqref="S482">
    <cfRule type="cellIs" dxfId="5523" priority="5717" stopIfTrue="1" operator="greaterThan">
      <formula>1.75</formula>
    </cfRule>
    <cfRule type="cellIs" dxfId="5522" priority="5718" stopIfTrue="1" operator="between">
      <formula>1.25</formula>
      <formula>1.75</formula>
    </cfRule>
  </conditionalFormatting>
  <conditionalFormatting sqref="S482">
    <cfRule type="cellIs" dxfId="5521" priority="5715" stopIfTrue="1" operator="greaterThan">
      <formula>1.75</formula>
    </cfRule>
    <cfRule type="cellIs" dxfId="5520" priority="5716" stopIfTrue="1" operator="between">
      <formula>1.25</formula>
      <formula>1.75</formula>
    </cfRule>
  </conditionalFormatting>
  <conditionalFormatting sqref="S482">
    <cfRule type="cellIs" dxfId="5519" priority="5713" stopIfTrue="1" operator="greaterThan">
      <formula>1.75</formula>
    </cfRule>
    <cfRule type="cellIs" dxfId="5518" priority="5714" stopIfTrue="1" operator="between">
      <formula>1.25</formula>
      <formula>1.75</formula>
    </cfRule>
  </conditionalFormatting>
  <conditionalFormatting sqref="J470">
    <cfRule type="cellIs" dxfId="5517" priority="5711" stopIfTrue="1" operator="greaterThan">
      <formula>1.75</formula>
    </cfRule>
    <cfRule type="cellIs" dxfId="5516" priority="5712" stopIfTrue="1" operator="between">
      <formula>1.25</formula>
      <formula>1.75</formula>
    </cfRule>
  </conditionalFormatting>
  <conditionalFormatting sqref="C470:I470 M470:O470">
    <cfRule type="cellIs" dxfId="5515" priority="5709" stopIfTrue="1" operator="greaterThan">
      <formula>1.75</formula>
    </cfRule>
    <cfRule type="cellIs" dxfId="5514" priority="5710" stopIfTrue="1" operator="between">
      <formula>1.25</formula>
      <formula>1.75</formula>
    </cfRule>
  </conditionalFormatting>
  <conditionalFormatting sqref="V469">
    <cfRule type="cellIs" dxfId="5513" priority="5707" operator="lessThan">
      <formula>1000</formula>
    </cfRule>
    <cfRule type="cellIs" dxfId="5512" priority="5708" operator="lessThan">
      <formula>2000</formula>
    </cfRule>
  </conditionalFormatting>
  <conditionalFormatting sqref="C470:I470 M470:O470">
    <cfRule type="cellIs" dxfId="5511" priority="5705" stopIfTrue="1" operator="greaterThan">
      <formula>1.75</formula>
    </cfRule>
    <cfRule type="cellIs" dxfId="5510" priority="5706" stopIfTrue="1" operator="between">
      <formula>1.25</formula>
      <formula>1.75</formula>
    </cfRule>
  </conditionalFormatting>
  <conditionalFormatting sqref="C470:I470 M470:O470">
    <cfRule type="cellIs" dxfId="5509" priority="5703" stopIfTrue="1" operator="greaterThan">
      <formula>1.75</formula>
    </cfRule>
    <cfRule type="cellIs" dxfId="5508" priority="5704" stopIfTrue="1" operator="between">
      <formula>1.25</formula>
      <formula>1.75</formula>
    </cfRule>
  </conditionalFormatting>
  <conditionalFormatting sqref="P470">
    <cfRule type="cellIs" dxfId="5507" priority="5701" stopIfTrue="1" operator="greaterThan">
      <formula>1.75</formula>
    </cfRule>
    <cfRule type="cellIs" dxfId="5506" priority="5702" stopIfTrue="1" operator="between">
      <formula>1.25</formula>
      <formula>1.75</formula>
    </cfRule>
  </conditionalFormatting>
  <conditionalFormatting sqref="P470">
    <cfRule type="cellIs" dxfId="5505" priority="5699" stopIfTrue="1" operator="greaterThan">
      <formula>1.75</formula>
    </cfRule>
    <cfRule type="cellIs" dxfId="5504" priority="5700" stopIfTrue="1" operator="between">
      <formula>1.25</formula>
      <formula>1.75</formula>
    </cfRule>
  </conditionalFormatting>
  <conditionalFormatting sqref="P470">
    <cfRule type="cellIs" dxfId="5503" priority="5697" stopIfTrue="1" operator="greaterThan">
      <formula>1.75</formula>
    </cfRule>
    <cfRule type="cellIs" dxfId="5502" priority="5698" stopIfTrue="1" operator="between">
      <formula>1.25</formula>
      <formula>1.75</formula>
    </cfRule>
  </conditionalFormatting>
  <conditionalFormatting sqref="U470">
    <cfRule type="cellIs" dxfId="5501" priority="5695" stopIfTrue="1" operator="greaterThan">
      <formula>1.75</formula>
    </cfRule>
    <cfRule type="cellIs" dxfId="5500" priority="5696" stopIfTrue="1" operator="between">
      <formula>1.25</formula>
      <formula>1.75</formula>
    </cfRule>
  </conditionalFormatting>
  <conditionalFormatting sqref="T470">
    <cfRule type="cellIs" dxfId="5499" priority="5693" stopIfTrue="1" operator="greaterThan">
      <formula>1.75</formula>
    </cfRule>
    <cfRule type="cellIs" dxfId="5498" priority="5694" stopIfTrue="1" operator="between">
      <formula>1.25</formula>
      <formula>1.75</formula>
    </cfRule>
  </conditionalFormatting>
  <conditionalFormatting sqref="Q470">
    <cfRule type="cellIs" dxfId="5497" priority="5691" stopIfTrue="1" operator="greaterThan">
      <formula>1.75</formula>
    </cfRule>
    <cfRule type="cellIs" dxfId="5496" priority="5692" stopIfTrue="1" operator="between">
      <formula>1.25</formula>
      <formula>1.75</formula>
    </cfRule>
  </conditionalFormatting>
  <conditionalFormatting sqref="Q470">
    <cfRule type="cellIs" dxfId="5495" priority="5689" stopIfTrue="1" operator="greaterThan">
      <formula>1.75</formula>
    </cfRule>
    <cfRule type="cellIs" dxfId="5494" priority="5690" stopIfTrue="1" operator="between">
      <formula>1.25</formula>
      <formula>1.75</formula>
    </cfRule>
  </conditionalFormatting>
  <conditionalFormatting sqref="Q470">
    <cfRule type="cellIs" dxfId="5493" priority="5687" stopIfTrue="1" operator="greaterThan">
      <formula>1.75</formula>
    </cfRule>
    <cfRule type="cellIs" dxfId="5492" priority="5688" stopIfTrue="1" operator="between">
      <formula>1.25</formula>
      <formula>1.75</formula>
    </cfRule>
  </conditionalFormatting>
  <conditionalFormatting sqref="J470">
    <cfRule type="cellIs" dxfId="5491" priority="5685" stopIfTrue="1" operator="greaterThan">
      <formula>1.75</formula>
    </cfRule>
    <cfRule type="cellIs" dxfId="5490" priority="5686" stopIfTrue="1" operator="between">
      <formula>1.25</formula>
      <formula>1.75</formula>
    </cfRule>
  </conditionalFormatting>
  <conditionalFormatting sqref="J470">
    <cfRule type="cellIs" dxfId="5489" priority="5683" stopIfTrue="1" operator="greaterThan">
      <formula>1.75</formula>
    </cfRule>
    <cfRule type="cellIs" dxfId="5488" priority="5684" stopIfTrue="1" operator="between">
      <formula>1.25</formula>
      <formula>1.75</formula>
    </cfRule>
  </conditionalFormatting>
  <conditionalFormatting sqref="R470">
    <cfRule type="cellIs" dxfId="5487" priority="5681" stopIfTrue="1" operator="greaterThan">
      <formula>1.75</formula>
    </cfRule>
    <cfRule type="cellIs" dxfId="5486" priority="5682" stopIfTrue="1" operator="between">
      <formula>1.25</formula>
      <formula>1.75</formula>
    </cfRule>
  </conditionalFormatting>
  <conditionalFormatting sqref="K470">
    <cfRule type="cellIs" dxfId="5485" priority="5679" stopIfTrue="1" operator="greaterThan">
      <formula>1.75</formula>
    </cfRule>
    <cfRule type="cellIs" dxfId="5484" priority="5680" stopIfTrue="1" operator="between">
      <formula>1.25</formula>
      <formula>1.75</formula>
    </cfRule>
  </conditionalFormatting>
  <conditionalFormatting sqref="R470">
    <cfRule type="cellIs" dxfId="5483" priority="5677" stopIfTrue="1" operator="greaterThan">
      <formula>1.75</formula>
    </cfRule>
    <cfRule type="cellIs" dxfId="5482" priority="5678" stopIfTrue="1" operator="between">
      <formula>1.25</formula>
      <formula>1.75</formula>
    </cfRule>
  </conditionalFormatting>
  <conditionalFormatting sqref="R470">
    <cfRule type="cellIs" dxfId="5481" priority="5675" stopIfTrue="1" operator="greaterThan">
      <formula>1.75</formula>
    </cfRule>
    <cfRule type="cellIs" dxfId="5480" priority="5676" stopIfTrue="1" operator="between">
      <formula>1.25</formula>
      <formula>1.75</formula>
    </cfRule>
  </conditionalFormatting>
  <conditionalFormatting sqref="K470">
    <cfRule type="cellIs" dxfId="5479" priority="5673" stopIfTrue="1" operator="greaterThan">
      <formula>1.75</formula>
    </cfRule>
    <cfRule type="cellIs" dxfId="5478" priority="5674" stopIfTrue="1" operator="between">
      <formula>1.25</formula>
      <formula>1.75</formula>
    </cfRule>
  </conditionalFormatting>
  <conditionalFormatting sqref="K470">
    <cfRule type="cellIs" dxfId="5477" priority="5671" stopIfTrue="1" operator="greaterThan">
      <formula>1.75</formula>
    </cfRule>
    <cfRule type="cellIs" dxfId="5476" priority="5672" stopIfTrue="1" operator="between">
      <formula>1.25</formula>
      <formula>1.75</formula>
    </cfRule>
  </conditionalFormatting>
  <conditionalFormatting sqref="L470">
    <cfRule type="cellIs" dxfId="5475" priority="5669" stopIfTrue="1" operator="greaterThan">
      <formula>1.75</formula>
    </cfRule>
    <cfRule type="cellIs" dxfId="5474" priority="5670" stopIfTrue="1" operator="between">
      <formula>1.25</formula>
      <formula>1.75</formula>
    </cfRule>
  </conditionalFormatting>
  <conditionalFormatting sqref="L470">
    <cfRule type="cellIs" dxfId="5473" priority="5667" stopIfTrue="1" operator="greaterThan">
      <formula>1.75</formula>
    </cfRule>
    <cfRule type="cellIs" dxfId="5472" priority="5668" stopIfTrue="1" operator="between">
      <formula>1.25</formula>
      <formula>1.75</formula>
    </cfRule>
  </conditionalFormatting>
  <conditionalFormatting sqref="L470">
    <cfRule type="cellIs" dxfId="5471" priority="5665" stopIfTrue="1" operator="greaterThan">
      <formula>1.75</formula>
    </cfRule>
    <cfRule type="cellIs" dxfId="5470" priority="5666" stopIfTrue="1" operator="between">
      <formula>1.25</formula>
      <formula>1.75</formula>
    </cfRule>
  </conditionalFormatting>
  <conditionalFormatting sqref="S470">
    <cfRule type="cellIs" dxfId="5469" priority="5663" stopIfTrue="1" operator="greaterThan">
      <formula>1.75</formula>
    </cfRule>
    <cfRule type="cellIs" dxfId="5468" priority="5664" stopIfTrue="1" operator="between">
      <formula>1.25</formula>
      <formula>1.75</formula>
    </cfRule>
  </conditionalFormatting>
  <conditionalFormatting sqref="S470">
    <cfRule type="cellIs" dxfId="5467" priority="5661" stopIfTrue="1" operator="greaterThan">
      <formula>1.75</formula>
    </cfRule>
    <cfRule type="cellIs" dxfId="5466" priority="5662" stopIfTrue="1" operator="between">
      <formula>1.25</formula>
      <formula>1.75</formula>
    </cfRule>
  </conditionalFormatting>
  <conditionalFormatting sqref="S470">
    <cfRule type="cellIs" dxfId="5465" priority="5659" stopIfTrue="1" operator="greaterThan">
      <formula>1.75</formula>
    </cfRule>
    <cfRule type="cellIs" dxfId="5464" priority="5660" stopIfTrue="1" operator="between">
      <formula>1.25</formula>
      <formula>1.75</formula>
    </cfRule>
  </conditionalFormatting>
  <conditionalFormatting sqref="J458">
    <cfRule type="cellIs" dxfId="5463" priority="5657" stopIfTrue="1" operator="greaterThan">
      <formula>1.75</formula>
    </cfRule>
    <cfRule type="cellIs" dxfId="5462" priority="5658" stopIfTrue="1" operator="between">
      <formula>1.25</formula>
      <formula>1.75</formula>
    </cfRule>
  </conditionalFormatting>
  <conditionalFormatting sqref="C458:I458 M458:O458">
    <cfRule type="cellIs" dxfId="5461" priority="5655" stopIfTrue="1" operator="greaterThan">
      <formula>1.75</formula>
    </cfRule>
    <cfRule type="cellIs" dxfId="5460" priority="5656" stopIfTrue="1" operator="between">
      <formula>1.25</formula>
      <formula>1.75</formula>
    </cfRule>
  </conditionalFormatting>
  <conditionalFormatting sqref="V457">
    <cfRule type="cellIs" dxfId="5459" priority="5653" operator="lessThan">
      <formula>1000</formula>
    </cfRule>
    <cfRule type="cellIs" dxfId="5458" priority="5654" operator="lessThan">
      <formula>2000</formula>
    </cfRule>
  </conditionalFormatting>
  <conditionalFormatting sqref="C458:I458 M458:O458">
    <cfRule type="cellIs" dxfId="5457" priority="5651" stopIfTrue="1" operator="greaterThan">
      <formula>1.75</formula>
    </cfRule>
    <cfRule type="cellIs" dxfId="5456" priority="5652" stopIfTrue="1" operator="between">
      <formula>1.25</formula>
      <formula>1.75</formula>
    </cfRule>
  </conditionalFormatting>
  <conditionalFormatting sqref="C458:I458 M458:O458">
    <cfRule type="cellIs" dxfId="5455" priority="5649" stopIfTrue="1" operator="greaterThan">
      <formula>1.75</formula>
    </cfRule>
    <cfRule type="cellIs" dxfId="5454" priority="5650" stopIfTrue="1" operator="between">
      <formula>1.25</formula>
      <formula>1.75</formula>
    </cfRule>
  </conditionalFormatting>
  <conditionalFormatting sqref="P458">
    <cfRule type="cellIs" dxfId="5453" priority="5647" stopIfTrue="1" operator="greaterThan">
      <formula>1.75</formula>
    </cfRule>
    <cfRule type="cellIs" dxfId="5452" priority="5648" stopIfTrue="1" operator="between">
      <formula>1.25</formula>
      <formula>1.75</formula>
    </cfRule>
  </conditionalFormatting>
  <conditionalFormatting sqref="P458">
    <cfRule type="cellIs" dxfId="5451" priority="5645" stopIfTrue="1" operator="greaterThan">
      <formula>1.75</formula>
    </cfRule>
    <cfRule type="cellIs" dxfId="5450" priority="5646" stopIfTrue="1" operator="between">
      <formula>1.25</formula>
      <formula>1.75</formula>
    </cfRule>
  </conditionalFormatting>
  <conditionalFormatting sqref="P458">
    <cfRule type="cellIs" dxfId="5449" priority="5643" stopIfTrue="1" operator="greaterThan">
      <formula>1.75</formula>
    </cfRule>
    <cfRule type="cellIs" dxfId="5448" priority="5644" stopIfTrue="1" operator="between">
      <formula>1.25</formula>
      <formula>1.75</formula>
    </cfRule>
  </conditionalFormatting>
  <conditionalFormatting sqref="U458">
    <cfRule type="cellIs" dxfId="5447" priority="5641" stopIfTrue="1" operator="greaterThan">
      <formula>1.75</formula>
    </cfRule>
    <cfRule type="cellIs" dxfId="5446" priority="5642" stopIfTrue="1" operator="between">
      <formula>1.25</formula>
      <formula>1.75</formula>
    </cfRule>
  </conditionalFormatting>
  <conditionalFormatting sqref="T458">
    <cfRule type="cellIs" dxfId="5445" priority="5639" stopIfTrue="1" operator="greaterThan">
      <formula>1.75</formula>
    </cfRule>
    <cfRule type="cellIs" dxfId="5444" priority="5640" stopIfTrue="1" operator="between">
      <formula>1.25</formula>
      <formula>1.75</formula>
    </cfRule>
  </conditionalFormatting>
  <conditionalFormatting sqref="Q458">
    <cfRule type="cellIs" dxfId="5443" priority="5637" stopIfTrue="1" operator="greaterThan">
      <formula>1.75</formula>
    </cfRule>
    <cfRule type="cellIs" dxfId="5442" priority="5638" stopIfTrue="1" operator="between">
      <formula>1.25</formula>
      <formula>1.75</formula>
    </cfRule>
  </conditionalFormatting>
  <conditionalFormatting sqref="Q458">
    <cfRule type="cellIs" dxfId="5441" priority="5635" stopIfTrue="1" operator="greaterThan">
      <formula>1.75</formula>
    </cfRule>
    <cfRule type="cellIs" dxfId="5440" priority="5636" stopIfTrue="1" operator="between">
      <formula>1.25</formula>
      <formula>1.75</formula>
    </cfRule>
  </conditionalFormatting>
  <conditionalFormatting sqref="Q458">
    <cfRule type="cellIs" dxfId="5439" priority="5633" stopIfTrue="1" operator="greaterThan">
      <formula>1.75</formula>
    </cfRule>
    <cfRule type="cellIs" dxfId="5438" priority="5634" stopIfTrue="1" operator="between">
      <formula>1.25</formula>
      <formula>1.75</formula>
    </cfRule>
  </conditionalFormatting>
  <conditionalFormatting sqref="J458">
    <cfRule type="cellIs" dxfId="5437" priority="5631" stopIfTrue="1" operator="greaterThan">
      <formula>1.75</formula>
    </cfRule>
    <cfRule type="cellIs" dxfId="5436" priority="5632" stopIfTrue="1" operator="between">
      <formula>1.25</formula>
      <formula>1.75</formula>
    </cfRule>
  </conditionalFormatting>
  <conditionalFormatting sqref="J458">
    <cfRule type="cellIs" dxfId="5435" priority="5629" stopIfTrue="1" operator="greaterThan">
      <formula>1.75</formula>
    </cfRule>
    <cfRule type="cellIs" dxfId="5434" priority="5630" stopIfTrue="1" operator="between">
      <formula>1.25</formula>
      <formula>1.75</formula>
    </cfRule>
  </conditionalFormatting>
  <conditionalFormatting sqref="R458">
    <cfRule type="cellIs" dxfId="5433" priority="5627" stopIfTrue="1" operator="greaterThan">
      <formula>1.75</formula>
    </cfRule>
    <cfRule type="cellIs" dxfId="5432" priority="5628" stopIfTrue="1" operator="between">
      <formula>1.25</formula>
      <formula>1.75</formula>
    </cfRule>
  </conditionalFormatting>
  <conditionalFormatting sqref="K458">
    <cfRule type="cellIs" dxfId="5431" priority="5625" stopIfTrue="1" operator="greaterThan">
      <formula>1.75</formula>
    </cfRule>
    <cfRule type="cellIs" dxfId="5430" priority="5626" stopIfTrue="1" operator="between">
      <formula>1.25</formula>
      <formula>1.75</formula>
    </cfRule>
  </conditionalFormatting>
  <conditionalFormatting sqref="R458">
    <cfRule type="cellIs" dxfId="5429" priority="5623" stopIfTrue="1" operator="greaterThan">
      <formula>1.75</formula>
    </cfRule>
    <cfRule type="cellIs" dxfId="5428" priority="5624" stopIfTrue="1" operator="between">
      <formula>1.25</formula>
      <formula>1.75</formula>
    </cfRule>
  </conditionalFormatting>
  <conditionalFormatting sqref="R458">
    <cfRule type="cellIs" dxfId="5427" priority="5621" stopIfTrue="1" operator="greaterThan">
      <formula>1.75</formula>
    </cfRule>
    <cfRule type="cellIs" dxfId="5426" priority="5622" stopIfTrue="1" operator="between">
      <formula>1.25</formula>
      <formula>1.75</formula>
    </cfRule>
  </conditionalFormatting>
  <conditionalFormatting sqref="K458">
    <cfRule type="cellIs" dxfId="5425" priority="5619" stopIfTrue="1" operator="greaterThan">
      <formula>1.75</formula>
    </cfRule>
    <cfRule type="cellIs" dxfId="5424" priority="5620" stopIfTrue="1" operator="between">
      <formula>1.25</formula>
      <formula>1.75</formula>
    </cfRule>
  </conditionalFormatting>
  <conditionalFormatting sqref="K458">
    <cfRule type="cellIs" dxfId="5423" priority="5617" stopIfTrue="1" operator="greaterThan">
      <formula>1.75</formula>
    </cfRule>
    <cfRule type="cellIs" dxfId="5422" priority="5618" stopIfTrue="1" operator="between">
      <formula>1.25</formula>
      <formula>1.75</formula>
    </cfRule>
  </conditionalFormatting>
  <conditionalFormatting sqref="L458">
    <cfRule type="cellIs" dxfId="5421" priority="5615" stopIfTrue="1" operator="greaterThan">
      <formula>1.75</formula>
    </cfRule>
    <cfRule type="cellIs" dxfId="5420" priority="5616" stopIfTrue="1" operator="between">
      <formula>1.25</formula>
      <formula>1.75</formula>
    </cfRule>
  </conditionalFormatting>
  <conditionalFormatting sqref="L458">
    <cfRule type="cellIs" dxfId="5419" priority="5613" stopIfTrue="1" operator="greaterThan">
      <formula>1.75</formula>
    </cfRule>
    <cfRule type="cellIs" dxfId="5418" priority="5614" stopIfTrue="1" operator="between">
      <formula>1.25</formula>
      <formula>1.75</formula>
    </cfRule>
  </conditionalFormatting>
  <conditionalFormatting sqref="L458">
    <cfRule type="cellIs" dxfId="5417" priority="5611" stopIfTrue="1" operator="greaterThan">
      <formula>1.75</formula>
    </cfRule>
    <cfRule type="cellIs" dxfId="5416" priority="5612" stopIfTrue="1" operator="between">
      <formula>1.25</formula>
      <formula>1.75</formula>
    </cfRule>
  </conditionalFormatting>
  <conditionalFormatting sqref="S458">
    <cfRule type="cellIs" dxfId="5415" priority="5609" stopIfTrue="1" operator="greaterThan">
      <formula>1.75</formula>
    </cfRule>
    <cfRule type="cellIs" dxfId="5414" priority="5610" stopIfTrue="1" operator="between">
      <formula>1.25</formula>
      <formula>1.75</formula>
    </cfRule>
  </conditionalFormatting>
  <conditionalFormatting sqref="S458">
    <cfRule type="cellIs" dxfId="5413" priority="5607" stopIfTrue="1" operator="greaterThan">
      <formula>1.75</formula>
    </cfRule>
    <cfRule type="cellIs" dxfId="5412" priority="5608" stopIfTrue="1" operator="between">
      <formula>1.25</formula>
      <formula>1.75</formula>
    </cfRule>
  </conditionalFormatting>
  <conditionalFormatting sqref="S458">
    <cfRule type="cellIs" dxfId="5411" priority="5605" stopIfTrue="1" operator="greaterThan">
      <formula>1.75</formula>
    </cfRule>
    <cfRule type="cellIs" dxfId="5410" priority="5606" stopIfTrue="1" operator="between">
      <formula>1.25</formula>
      <formula>1.75</formula>
    </cfRule>
  </conditionalFormatting>
  <conditionalFormatting sqref="J446">
    <cfRule type="cellIs" dxfId="5409" priority="5603" stopIfTrue="1" operator="greaterThan">
      <formula>1.75</formula>
    </cfRule>
    <cfRule type="cellIs" dxfId="5408" priority="5604" stopIfTrue="1" operator="between">
      <formula>1.25</formula>
      <formula>1.75</formula>
    </cfRule>
  </conditionalFormatting>
  <conditionalFormatting sqref="C446:I446 M446:O446">
    <cfRule type="cellIs" dxfId="5407" priority="5601" stopIfTrue="1" operator="greaterThan">
      <formula>1.75</formula>
    </cfRule>
    <cfRule type="cellIs" dxfId="5406" priority="5602" stopIfTrue="1" operator="between">
      <formula>1.25</formula>
      <formula>1.75</formula>
    </cfRule>
  </conditionalFormatting>
  <conditionalFormatting sqref="V445">
    <cfRule type="cellIs" dxfId="5405" priority="5599" operator="lessThan">
      <formula>1000</formula>
    </cfRule>
    <cfRule type="cellIs" dxfId="5404" priority="5600" operator="lessThan">
      <formula>2000</formula>
    </cfRule>
  </conditionalFormatting>
  <conditionalFormatting sqref="C446:I446 M446:O446">
    <cfRule type="cellIs" dxfId="5403" priority="5597" stopIfTrue="1" operator="greaterThan">
      <formula>1.75</formula>
    </cfRule>
    <cfRule type="cellIs" dxfId="5402" priority="5598" stopIfTrue="1" operator="between">
      <formula>1.25</formula>
      <formula>1.75</formula>
    </cfRule>
  </conditionalFormatting>
  <conditionalFormatting sqref="C446:I446 M446:O446">
    <cfRule type="cellIs" dxfId="5401" priority="5595" stopIfTrue="1" operator="greaterThan">
      <formula>1.75</formula>
    </cfRule>
    <cfRule type="cellIs" dxfId="5400" priority="5596" stopIfTrue="1" operator="between">
      <formula>1.25</formula>
      <formula>1.75</formula>
    </cfRule>
  </conditionalFormatting>
  <conditionalFormatting sqref="P446">
    <cfRule type="cellIs" dxfId="5399" priority="5593" stopIfTrue="1" operator="greaterThan">
      <formula>1.75</formula>
    </cfRule>
    <cfRule type="cellIs" dxfId="5398" priority="5594" stopIfTrue="1" operator="between">
      <formula>1.25</formula>
      <formula>1.75</formula>
    </cfRule>
  </conditionalFormatting>
  <conditionalFormatting sqref="P446">
    <cfRule type="cellIs" dxfId="5397" priority="5591" stopIfTrue="1" operator="greaterThan">
      <formula>1.75</formula>
    </cfRule>
    <cfRule type="cellIs" dxfId="5396" priority="5592" stopIfTrue="1" operator="between">
      <formula>1.25</formula>
      <formula>1.75</formula>
    </cfRule>
  </conditionalFormatting>
  <conditionalFormatting sqref="P446">
    <cfRule type="cellIs" dxfId="5395" priority="5589" stopIfTrue="1" operator="greaterThan">
      <formula>1.75</formula>
    </cfRule>
    <cfRule type="cellIs" dxfId="5394" priority="5590" stopIfTrue="1" operator="between">
      <formula>1.25</formula>
      <formula>1.75</formula>
    </cfRule>
  </conditionalFormatting>
  <conditionalFormatting sqref="U446">
    <cfRule type="cellIs" dxfId="5393" priority="5587" stopIfTrue="1" operator="greaterThan">
      <formula>1.75</formula>
    </cfRule>
    <cfRule type="cellIs" dxfId="5392" priority="5588" stopIfTrue="1" operator="between">
      <formula>1.25</formula>
      <formula>1.75</formula>
    </cfRule>
  </conditionalFormatting>
  <conditionalFormatting sqref="T446">
    <cfRule type="cellIs" dxfId="5391" priority="5585" stopIfTrue="1" operator="greaterThan">
      <formula>1.75</formula>
    </cfRule>
    <cfRule type="cellIs" dxfId="5390" priority="5586" stopIfTrue="1" operator="between">
      <formula>1.25</formula>
      <formula>1.75</formula>
    </cfRule>
  </conditionalFormatting>
  <conditionalFormatting sqref="Q446">
    <cfRule type="cellIs" dxfId="5389" priority="5583" stopIfTrue="1" operator="greaterThan">
      <formula>1.75</formula>
    </cfRule>
    <cfRule type="cellIs" dxfId="5388" priority="5584" stopIfTrue="1" operator="between">
      <formula>1.25</formula>
      <formula>1.75</formula>
    </cfRule>
  </conditionalFormatting>
  <conditionalFormatting sqref="Q446">
    <cfRule type="cellIs" dxfId="5387" priority="5581" stopIfTrue="1" operator="greaterThan">
      <formula>1.75</formula>
    </cfRule>
    <cfRule type="cellIs" dxfId="5386" priority="5582" stopIfTrue="1" operator="between">
      <formula>1.25</formula>
      <formula>1.75</formula>
    </cfRule>
  </conditionalFormatting>
  <conditionalFormatting sqref="Q446">
    <cfRule type="cellIs" dxfId="5385" priority="5579" stopIfTrue="1" operator="greaterThan">
      <formula>1.75</formula>
    </cfRule>
    <cfRule type="cellIs" dxfId="5384" priority="5580" stopIfTrue="1" operator="between">
      <formula>1.25</formula>
      <formula>1.75</formula>
    </cfRule>
  </conditionalFormatting>
  <conditionalFormatting sqref="J446">
    <cfRule type="cellIs" dxfId="5383" priority="5577" stopIfTrue="1" operator="greaterThan">
      <formula>1.75</formula>
    </cfRule>
    <cfRule type="cellIs" dxfId="5382" priority="5578" stopIfTrue="1" operator="between">
      <formula>1.25</formula>
      <formula>1.75</formula>
    </cfRule>
  </conditionalFormatting>
  <conditionalFormatting sqref="J446">
    <cfRule type="cellIs" dxfId="5381" priority="5575" stopIfTrue="1" operator="greaterThan">
      <formula>1.75</formula>
    </cfRule>
    <cfRule type="cellIs" dxfId="5380" priority="5576" stopIfTrue="1" operator="between">
      <formula>1.25</formula>
      <formula>1.75</formula>
    </cfRule>
  </conditionalFormatting>
  <conditionalFormatting sqref="R446">
    <cfRule type="cellIs" dxfId="5379" priority="5573" stopIfTrue="1" operator="greaterThan">
      <formula>1.75</formula>
    </cfRule>
    <cfRule type="cellIs" dxfId="5378" priority="5574" stopIfTrue="1" operator="between">
      <formula>1.25</formula>
      <formula>1.75</formula>
    </cfRule>
  </conditionalFormatting>
  <conditionalFormatting sqref="K446">
    <cfRule type="cellIs" dxfId="5377" priority="5571" stopIfTrue="1" operator="greaterThan">
      <formula>1.75</formula>
    </cfRule>
    <cfRule type="cellIs" dxfId="5376" priority="5572" stopIfTrue="1" operator="between">
      <formula>1.25</formula>
      <formula>1.75</formula>
    </cfRule>
  </conditionalFormatting>
  <conditionalFormatting sqref="R446">
    <cfRule type="cellIs" dxfId="5375" priority="5569" stopIfTrue="1" operator="greaterThan">
      <formula>1.75</formula>
    </cfRule>
    <cfRule type="cellIs" dxfId="5374" priority="5570" stopIfTrue="1" operator="between">
      <formula>1.25</formula>
      <formula>1.75</formula>
    </cfRule>
  </conditionalFormatting>
  <conditionalFormatting sqref="R446">
    <cfRule type="cellIs" dxfId="5373" priority="5567" stopIfTrue="1" operator="greaterThan">
      <formula>1.75</formula>
    </cfRule>
    <cfRule type="cellIs" dxfId="5372" priority="5568" stopIfTrue="1" operator="between">
      <formula>1.25</formula>
      <formula>1.75</formula>
    </cfRule>
  </conditionalFormatting>
  <conditionalFormatting sqref="K446">
    <cfRule type="cellIs" dxfId="5371" priority="5565" stopIfTrue="1" operator="greaterThan">
      <formula>1.75</formula>
    </cfRule>
    <cfRule type="cellIs" dxfId="5370" priority="5566" stopIfTrue="1" operator="between">
      <formula>1.25</formula>
      <formula>1.75</formula>
    </cfRule>
  </conditionalFormatting>
  <conditionalFormatting sqref="K446">
    <cfRule type="cellIs" dxfId="5369" priority="5563" stopIfTrue="1" operator="greaterThan">
      <formula>1.75</formula>
    </cfRule>
    <cfRule type="cellIs" dxfId="5368" priority="5564" stopIfTrue="1" operator="between">
      <formula>1.25</formula>
      <formula>1.75</formula>
    </cfRule>
  </conditionalFormatting>
  <conditionalFormatting sqref="L446">
    <cfRule type="cellIs" dxfId="5367" priority="5561" stopIfTrue="1" operator="greaterThan">
      <formula>1.75</formula>
    </cfRule>
    <cfRule type="cellIs" dxfId="5366" priority="5562" stopIfTrue="1" operator="between">
      <formula>1.25</formula>
      <formula>1.75</formula>
    </cfRule>
  </conditionalFormatting>
  <conditionalFormatting sqref="L446">
    <cfRule type="cellIs" dxfId="5365" priority="5559" stopIfTrue="1" operator="greaterThan">
      <formula>1.75</formula>
    </cfRule>
    <cfRule type="cellIs" dxfId="5364" priority="5560" stopIfTrue="1" operator="between">
      <formula>1.25</formula>
      <formula>1.75</formula>
    </cfRule>
  </conditionalFormatting>
  <conditionalFormatting sqref="L446">
    <cfRule type="cellIs" dxfId="5363" priority="5557" stopIfTrue="1" operator="greaterThan">
      <formula>1.75</formula>
    </cfRule>
    <cfRule type="cellIs" dxfId="5362" priority="5558" stopIfTrue="1" operator="between">
      <formula>1.25</formula>
      <formula>1.75</formula>
    </cfRule>
  </conditionalFormatting>
  <conditionalFormatting sqref="S446">
    <cfRule type="cellIs" dxfId="5361" priority="5555" stopIfTrue="1" operator="greaterThan">
      <formula>1.75</formula>
    </cfRule>
    <cfRule type="cellIs" dxfId="5360" priority="5556" stopIfTrue="1" operator="between">
      <formula>1.25</formula>
      <formula>1.75</formula>
    </cfRule>
  </conditionalFormatting>
  <conditionalFormatting sqref="S446">
    <cfRule type="cellIs" dxfId="5359" priority="5553" stopIfTrue="1" operator="greaterThan">
      <formula>1.75</formula>
    </cfRule>
    <cfRule type="cellIs" dxfId="5358" priority="5554" stopIfTrue="1" operator="between">
      <formula>1.25</formula>
      <formula>1.75</formula>
    </cfRule>
  </conditionalFormatting>
  <conditionalFormatting sqref="S446">
    <cfRule type="cellIs" dxfId="5357" priority="5551" stopIfTrue="1" operator="greaterThan">
      <formula>1.75</formula>
    </cfRule>
    <cfRule type="cellIs" dxfId="5356" priority="5552" stopIfTrue="1" operator="between">
      <formula>1.25</formula>
      <formula>1.75</formula>
    </cfRule>
  </conditionalFormatting>
  <conditionalFormatting sqref="J434">
    <cfRule type="cellIs" dxfId="5355" priority="5549" stopIfTrue="1" operator="greaterThan">
      <formula>1.75</formula>
    </cfRule>
    <cfRule type="cellIs" dxfId="5354" priority="5550" stopIfTrue="1" operator="between">
      <formula>1.25</formula>
      <formula>1.75</formula>
    </cfRule>
  </conditionalFormatting>
  <conditionalFormatting sqref="C434:I434 M434:O434">
    <cfRule type="cellIs" dxfId="5353" priority="5547" stopIfTrue="1" operator="greaterThan">
      <formula>1.75</formula>
    </cfRule>
    <cfRule type="cellIs" dxfId="5352" priority="5548" stopIfTrue="1" operator="between">
      <formula>1.25</formula>
      <formula>1.75</formula>
    </cfRule>
  </conditionalFormatting>
  <conditionalFormatting sqref="V433">
    <cfRule type="cellIs" dxfId="5351" priority="5545" operator="lessThan">
      <formula>1000</formula>
    </cfRule>
    <cfRule type="cellIs" dxfId="5350" priority="5546" operator="lessThan">
      <formula>2000</formula>
    </cfRule>
  </conditionalFormatting>
  <conditionalFormatting sqref="C434:I434 M434:O434">
    <cfRule type="cellIs" dxfId="5349" priority="5543" stopIfTrue="1" operator="greaterThan">
      <formula>1.75</formula>
    </cfRule>
    <cfRule type="cellIs" dxfId="5348" priority="5544" stopIfTrue="1" operator="between">
      <formula>1.25</formula>
      <formula>1.75</formula>
    </cfRule>
  </conditionalFormatting>
  <conditionalFormatting sqref="C434:I434 M434:O434">
    <cfRule type="cellIs" dxfId="5347" priority="5541" stopIfTrue="1" operator="greaterThan">
      <formula>1.75</formula>
    </cfRule>
    <cfRule type="cellIs" dxfId="5346" priority="5542" stopIfTrue="1" operator="between">
      <formula>1.25</formula>
      <formula>1.75</formula>
    </cfRule>
  </conditionalFormatting>
  <conditionalFormatting sqref="P434">
    <cfRule type="cellIs" dxfId="5345" priority="5539" stopIfTrue="1" operator="greaterThan">
      <formula>1.75</formula>
    </cfRule>
    <cfRule type="cellIs" dxfId="5344" priority="5540" stopIfTrue="1" operator="between">
      <formula>1.25</formula>
      <formula>1.75</formula>
    </cfRule>
  </conditionalFormatting>
  <conditionalFormatting sqref="P434">
    <cfRule type="cellIs" dxfId="5343" priority="5537" stopIfTrue="1" operator="greaterThan">
      <formula>1.75</formula>
    </cfRule>
    <cfRule type="cellIs" dxfId="5342" priority="5538" stopIfTrue="1" operator="between">
      <formula>1.25</formula>
      <formula>1.75</formula>
    </cfRule>
  </conditionalFormatting>
  <conditionalFormatting sqref="P434">
    <cfRule type="cellIs" dxfId="5341" priority="5535" stopIfTrue="1" operator="greaterThan">
      <formula>1.75</formula>
    </cfRule>
    <cfRule type="cellIs" dxfId="5340" priority="5536" stopIfTrue="1" operator="between">
      <formula>1.25</formula>
      <formula>1.75</formula>
    </cfRule>
  </conditionalFormatting>
  <conditionalFormatting sqref="U434">
    <cfRule type="cellIs" dxfId="5339" priority="5533" stopIfTrue="1" operator="greaterThan">
      <formula>1.75</formula>
    </cfRule>
    <cfRule type="cellIs" dxfId="5338" priority="5534" stopIfTrue="1" operator="between">
      <formula>1.25</formula>
      <formula>1.75</formula>
    </cfRule>
  </conditionalFormatting>
  <conditionalFormatting sqref="T434">
    <cfRule type="cellIs" dxfId="5337" priority="5531" stopIfTrue="1" operator="greaterThan">
      <formula>1.75</formula>
    </cfRule>
    <cfRule type="cellIs" dxfId="5336" priority="5532" stopIfTrue="1" operator="between">
      <formula>1.25</formula>
      <formula>1.75</formula>
    </cfRule>
  </conditionalFormatting>
  <conditionalFormatting sqref="Q434">
    <cfRule type="cellIs" dxfId="5335" priority="5529" stopIfTrue="1" operator="greaterThan">
      <formula>1.75</formula>
    </cfRule>
    <cfRule type="cellIs" dxfId="5334" priority="5530" stopIfTrue="1" operator="between">
      <formula>1.25</formula>
      <formula>1.75</formula>
    </cfRule>
  </conditionalFormatting>
  <conditionalFormatting sqref="Q434">
    <cfRule type="cellIs" dxfId="5333" priority="5527" stopIfTrue="1" operator="greaterThan">
      <formula>1.75</formula>
    </cfRule>
    <cfRule type="cellIs" dxfId="5332" priority="5528" stopIfTrue="1" operator="between">
      <formula>1.25</formula>
      <formula>1.75</formula>
    </cfRule>
  </conditionalFormatting>
  <conditionalFormatting sqref="Q434">
    <cfRule type="cellIs" dxfId="5331" priority="5525" stopIfTrue="1" operator="greaterThan">
      <formula>1.75</formula>
    </cfRule>
    <cfRule type="cellIs" dxfId="5330" priority="5526" stopIfTrue="1" operator="between">
      <formula>1.25</formula>
      <formula>1.75</formula>
    </cfRule>
  </conditionalFormatting>
  <conditionalFormatting sqref="J434">
    <cfRule type="cellIs" dxfId="5329" priority="5523" stopIfTrue="1" operator="greaterThan">
      <formula>1.75</formula>
    </cfRule>
    <cfRule type="cellIs" dxfId="5328" priority="5524" stopIfTrue="1" operator="between">
      <formula>1.25</formula>
      <formula>1.75</formula>
    </cfRule>
  </conditionalFormatting>
  <conditionalFormatting sqref="J434">
    <cfRule type="cellIs" dxfId="5327" priority="5521" stopIfTrue="1" operator="greaterThan">
      <formula>1.75</formula>
    </cfRule>
    <cfRule type="cellIs" dxfId="5326" priority="5522" stopIfTrue="1" operator="between">
      <formula>1.25</formula>
      <formula>1.75</formula>
    </cfRule>
  </conditionalFormatting>
  <conditionalFormatting sqref="R434">
    <cfRule type="cellIs" dxfId="5325" priority="5519" stopIfTrue="1" operator="greaterThan">
      <formula>1.75</formula>
    </cfRule>
    <cfRule type="cellIs" dxfId="5324" priority="5520" stopIfTrue="1" operator="between">
      <formula>1.25</formula>
      <formula>1.75</formula>
    </cfRule>
  </conditionalFormatting>
  <conditionalFormatting sqref="K434">
    <cfRule type="cellIs" dxfId="5323" priority="5517" stopIfTrue="1" operator="greaterThan">
      <formula>1.75</formula>
    </cfRule>
    <cfRule type="cellIs" dxfId="5322" priority="5518" stopIfTrue="1" operator="between">
      <formula>1.25</formula>
      <formula>1.75</formula>
    </cfRule>
  </conditionalFormatting>
  <conditionalFormatting sqref="R434">
    <cfRule type="cellIs" dxfId="5321" priority="5515" stopIfTrue="1" operator="greaterThan">
      <formula>1.75</formula>
    </cfRule>
    <cfRule type="cellIs" dxfId="5320" priority="5516" stopIfTrue="1" operator="between">
      <formula>1.25</formula>
      <formula>1.75</formula>
    </cfRule>
  </conditionalFormatting>
  <conditionalFormatting sqref="R434">
    <cfRule type="cellIs" dxfId="5319" priority="5513" stopIfTrue="1" operator="greaterThan">
      <formula>1.75</formula>
    </cfRule>
    <cfRule type="cellIs" dxfId="5318" priority="5514" stopIfTrue="1" operator="between">
      <formula>1.25</formula>
      <formula>1.75</formula>
    </cfRule>
  </conditionalFormatting>
  <conditionalFormatting sqref="K434">
    <cfRule type="cellIs" dxfId="5317" priority="5511" stopIfTrue="1" operator="greaterThan">
      <formula>1.75</formula>
    </cfRule>
    <cfRule type="cellIs" dxfId="5316" priority="5512" stopIfTrue="1" operator="between">
      <formula>1.25</formula>
      <formula>1.75</formula>
    </cfRule>
  </conditionalFormatting>
  <conditionalFormatting sqref="K434">
    <cfRule type="cellIs" dxfId="5315" priority="5509" stopIfTrue="1" operator="greaterThan">
      <formula>1.75</formula>
    </cfRule>
    <cfRule type="cellIs" dxfId="5314" priority="5510" stopIfTrue="1" operator="between">
      <formula>1.25</formula>
      <formula>1.75</formula>
    </cfRule>
  </conditionalFormatting>
  <conditionalFormatting sqref="L434">
    <cfRule type="cellIs" dxfId="5313" priority="5507" stopIfTrue="1" operator="greaterThan">
      <formula>1.75</formula>
    </cfRule>
    <cfRule type="cellIs" dxfId="5312" priority="5508" stopIfTrue="1" operator="between">
      <formula>1.25</formula>
      <formula>1.75</formula>
    </cfRule>
  </conditionalFormatting>
  <conditionalFormatting sqref="L434">
    <cfRule type="cellIs" dxfId="5311" priority="5505" stopIfTrue="1" operator="greaterThan">
      <formula>1.75</formula>
    </cfRule>
    <cfRule type="cellIs" dxfId="5310" priority="5506" stopIfTrue="1" operator="between">
      <formula>1.25</formula>
      <formula>1.75</formula>
    </cfRule>
  </conditionalFormatting>
  <conditionalFormatting sqref="L434">
    <cfRule type="cellIs" dxfId="5309" priority="5503" stopIfTrue="1" operator="greaterThan">
      <formula>1.75</formula>
    </cfRule>
    <cfRule type="cellIs" dxfId="5308" priority="5504" stopIfTrue="1" operator="between">
      <formula>1.25</formula>
      <formula>1.75</formula>
    </cfRule>
  </conditionalFormatting>
  <conditionalFormatting sqref="S434">
    <cfRule type="cellIs" dxfId="5307" priority="5501" stopIfTrue="1" operator="greaterThan">
      <formula>1.75</formula>
    </cfRule>
    <cfRule type="cellIs" dxfId="5306" priority="5502" stopIfTrue="1" operator="between">
      <formula>1.25</formula>
      <formula>1.75</formula>
    </cfRule>
  </conditionalFormatting>
  <conditionalFormatting sqref="S434">
    <cfRule type="cellIs" dxfId="5305" priority="5499" stopIfTrue="1" operator="greaterThan">
      <formula>1.75</formula>
    </cfRule>
    <cfRule type="cellIs" dxfId="5304" priority="5500" stopIfTrue="1" operator="between">
      <formula>1.25</formula>
      <formula>1.75</formula>
    </cfRule>
  </conditionalFormatting>
  <conditionalFormatting sqref="S434">
    <cfRule type="cellIs" dxfId="5303" priority="5497" stopIfTrue="1" operator="greaterThan">
      <formula>1.75</formula>
    </cfRule>
    <cfRule type="cellIs" dxfId="5302" priority="5498" stopIfTrue="1" operator="between">
      <formula>1.25</formula>
      <formula>1.75</formula>
    </cfRule>
  </conditionalFormatting>
  <conditionalFormatting sqref="J422">
    <cfRule type="cellIs" dxfId="5301" priority="5495" stopIfTrue="1" operator="greaterThan">
      <formula>1.75</formula>
    </cfRule>
    <cfRule type="cellIs" dxfId="5300" priority="5496" stopIfTrue="1" operator="between">
      <formula>1.25</formula>
      <formula>1.75</formula>
    </cfRule>
  </conditionalFormatting>
  <conditionalFormatting sqref="C422:I422 M422:O422">
    <cfRule type="cellIs" dxfId="5299" priority="5493" stopIfTrue="1" operator="greaterThan">
      <formula>1.75</formula>
    </cfRule>
    <cfRule type="cellIs" dxfId="5298" priority="5494" stopIfTrue="1" operator="between">
      <formula>1.25</formula>
      <formula>1.75</formula>
    </cfRule>
  </conditionalFormatting>
  <conditionalFormatting sqref="V421">
    <cfRule type="cellIs" dxfId="5297" priority="5491" operator="lessThan">
      <formula>1000</formula>
    </cfRule>
    <cfRule type="cellIs" dxfId="5296" priority="5492" operator="lessThan">
      <formula>2000</formula>
    </cfRule>
  </conditionalFormatting>
  <conditionalFormatting sqref="C422:I422 M422:O422">
    <cfRule type="cellIs" dxfId="5295" priority="5489" stopIfTrue="1" operator="greaterThan">
      <formula>1.75</formula>
    </cfRule>
    <cfRule type="cellIs" dxfId="5294" priority="5490" stopIfTrue="1" operator="between">
      <formula>1.25</formula>
      <formula>1.75</formula>
    </cfRule>
  </conditionalFormatting>
  <conditionalFormatting sqref="C422:I422 M422:O422">
    <cfRule type="cellIs" dxfId="5293" priority="5487" stopIfTrue="1" operator="greaterThan">
      <formula>1.75</formula>
    </cfRule>
    <cfRule type="cellIs" dxfId="5292" priority="5488" stopIfTrue="1" operator="between">
      <formula>1.25</formula>
      <formula>1.75</formula>
    </cfRule>
  </conditionalFormatting>
  <conditionalFormatting sqref="P422">
    <cfRule type="cellIs" dxfId="5291" priority="5485" stopIfTrue="1" operator="greaterThan">
      <formula>1.75</formula>
    </cfRule>
    <cfRule type="cellIs" dxfId="5290" priority="5486" stopIfTrue="1" operator="between">
      <formula>1.25</formula>
      <formula>1.75</formula>
    </cfRule>
  </conditionalFormatting>
  <conditionalFormatting sqref="P422">
    <cfRule type="cellIs" dxfId="5289" priority="5483" stopIfTrue="1" operator="greaterThan">
      <formula>1.75</formula>
    </cfRule>
    <cfRule type="cellIs" dxfId="5288" priority="5484" stopIfTrue="1" operator="between">
      <formula>1.25</formula>
      <formula>1.75</formula>
    </cfRule>
  </conditionalFormatting>
  <conditionalFormatting sqref="P422">
    <cfRule type="cellIs" dxfId="5287" priority="5481" stopIfTrue="1" operator="greaterThan">
      <formula>1.75</formula>
    </cfRule>
    <cfRule type="cellIs" dxfId="5286" priority="5482" stopIfTrue="1" operator="between">
      <formula>1.25</formula>
      <formula>1.75</formula>
    </cfRule>
  </conditionalFormatting>
  <conditionalFormatting sqref="U422">
    <cfRule type="cellIs" dxfId="5285" priority="5479" stopIfTrue="1" operator="greaterThan">
      <formula>1.75</formula>
    </cfRule>
    <cfRule type="cellIs" dxfId="5284" priority="5480" stopIfTrue="1" operator="between">
      <formula>1.25</formula>
      <formula>1.75</formula>
    </cfRule>
  </conditionalFormatting>
  <conditionalFormatting sqref="T422">
    <cfRule type="cellIs" dxfId="5283" priority="5477" stopIfTrue="1" operator="greaterThan">
      <formula>1.75</formula>
    </cfRule>
    <cfRule type="cellIs" dxfId="5282" priority="5478" stopIfTrue="1" operator="between">
      <formula>1.25</formula>
      <formula>1.75</formula>
    </cfRule>
  </conditionalFormatting>
  <conditionalFormatting sqref="Q422">
    <cfRule type="cellIs" dxfId="5281" priority="5475" stopIfTrue="1" operator="greaterThan">
      <formula>1.75</formula>
    </cfRule>
    <cfRule type="cellIs" dxfId="5280" priority="5476" stopIfTrue="1" operator="between">
      <formula>1.25</formula>
      <formula>1.75</formula>
    </cfRule>
  </conditionalFormatting>
  <conditionalFormatting sqref="Q422">
    <cfRule type="cellIs" dxfId="5279" priority="5473" stopIfTrue="1" operator="greaterThan">
      <formula>1.75</formula>
    </cfRule>
    <cfRule type="cellIs" dxfId="5278" priority="5474" stopIfTrue="1" operator="between">
      <formula>1.25</formula>
      <formula>1.75</formula>
    </cfRule>
  </conditionalFormatting>
  <conditionalFormatting sqref="Q422">
    <cfRule type="cellIs" dxfId="5277" priority="5471" stopIfTrue="1" operator="greaterThan">
      <formula>1.75</formula>
    </cfRule>
    <cfRule type="cellIs" dxfId="5276" priority="5472" stopIfTrue="1" operator="between">
      <formula>1.25</formula>
      <formula>1.75</formula>
    </cfRule>
  </conditionalFormatting>
  <conditionalFormatting sqref="J422">
    <cfRule type="cellIs" dxfId="5275" priority="5469" stopIfTrue="1" operator="greaterThan">
      <formula>1.75</formula>
    </cfRule>
    <cfRule type="cellIs" dxfId="5274" priority="5470" stopIfTrue="1" operator="between">
      <formula>1.25</formula>
      <formula>1.75</formula>
    </cfRule>
  </conditionalFormatting>
  <conditionalFormatting sqref="J422">
    <cfRule type="cellIs" dxfId="5273" priority="5467" stopIfTrue="1" operator="greaterThan">
      <formula>1.75</formula>
    </cfRule>
    <cfRule type="cellIs" dxfId="5272" priority="5468" stopIfTrue="1" operator="between">
      <formula>1.25</formula>
      <formula>1.75</formula>
    </cfRule>
  </conditionalFormatting>
  <conditionalFormatting sqref="R422">
    <cfRule type="cellIs" dxfId="5271" priority="5465" stopIfTrue="1" operator="greaterThan">
      <formula>1.75</formula>
    </cfRule>
    <cfRule type="cellIs" dxfId="5270" priority="5466" stopIfTrue="1" operator="between">
      <formula>1.25</formula>
      <formula>1.75</formula>
    </cfRule>
  </conditionalFormatting>
  <conditionalFormatting sqref="K422">
    <cfRule type="cellIs" dxfId="5269" priority="5463" stopIfTrue="1" operator="greaterThan">
      <formula>1.75</formula>
    </cfRule>
    <cfRule type="cellIs" dxfId="5268" priority="5464" stopIfTrue="1" operator="between">
      <formula>1.25</formula>
      <formula>1.75</formula>
    </cfRule>
  </conditionalFormatting>
  <conditionalFormatting sqref="R422">
    <cfRule type="cellIs" dxfId="5267" priority="5461" stopIfTrue="1" operator="greaterThan">
      <formula>1.75</formula>
    </cfRule>
    <cfRule type="cellIs" dxfId="5266" priority="5462" stopIfTrue="1" operator="between">
      <formula>1.25</formula>
      <formula>1.75</formula>
    </cfRule>
  </conditionalFormatting>
  <conditionalFormatting sqref="R422">
    <cfRule type="cellIs" dxfId="5265" priority="5459" stopIfTrue="1" operator="greaterThan">
      <formula>1.75</formula>
    </cfRule>
    <cfRule type="cellIs" dxfId="5264" priority="5460" stopIfTrue="1" operator="between">
      <formula>1.25</formula>
      <formula>1.75</formula>
    </cfRule>
  </conditionalFormatting>
  <conditionalFormatting sqref="K422">
    <cfRule type="cellIs" dxfId="5263" priority="5457" stopIfTrue="1" operator="greaterThan">
      <formula>1.75</formula>
    </cfRule>
    <cfRule type="cellIs" dxfId="5262" priority="5458" stopIfTrue="1" operator="between">
      <formula>1.25</formula>
      <formula>1.75</formula>
    </cfRule>
  </conditionalFormatting>
  <conditionalFormatting sqref="K422">
    <cfRule type="cellIs" dxfId="5261" priority="5455" stopIfTrue="1" operator="greaterThan">
      <formula>1.75</formula>
    </cfRule>
    <cfRule type="cellIs" dxfId="5260" priority="5456" stopIfTrue="1" operator="between">
      <formula>1.25</formula>
      <formula>1.75</formula>
    </cfRule>
  </conditionalFormatting>
  <conditionalFormatting sqref="L422">
    <cfRule type="cellIs" dxfId="5259" priority="5453" stopIfTrue="1" operator="greaterThan">
      <formula>1.75</formula>
    </cfRule>
    <cfRule type="cellIs" dxfId="5258" priority="5454" stopIfTrue="1" operator="between">
      <formula>1.25</formula>
      <formula>1.75</formula>
    </cfRule>
  </conditionalFormatting>
  <conditionalFormatting sqref="L422">
    <cfRule type="cellIs" dxfId="5257" priority="5451" stopIfTrue="1" operator="greaterThan">
      <formula>1.75</formula>
    </cfRule>
    <cfRule type="cellIs" dxfId="5256" priority="5452" stopIfTrue="1" operator="between">
      <formula>1.25</formula>
      <formula>1.75</formula>
    </cfRule>
  </conditionalFormatting>
  <conditionalFormatting sqref="L422">
    <cfRule type="cellIs" dxfId="5255" priority="5449" stopIfTrue="1" operator="greaterThan">
      <formula>1.75</formula>
    </cfRule>
    <cfRule type="cellIs" dxfId="5254" priority="5450" stopIfTrue="1" operator="between">
      <formula>1.25</formula>
      <formula>1.75</formula>
    </cfRule>
  </conditionalFormatting>
  <conditionalFormatting sqref="S422">
    <cfRule type="cellIs" dxfId="5253" priority="5447" stopIfTrue="1" operator="greaterThan">
      <formula>1.75</formula>
    </cfRule>
    <cfRule type="cellIs" dxfId="5252" priority="5448" stopIfTrue="1" operator="between">
      <formula>1.25</formula>
      <formula>1.75</formula>
    </cfRule>
  </conditionalFormatting>
  <conditionalFormatting sqref="S422">
    <cfRule type="cellIs" dxfId="5251" priority="5445" stopIfTrue="1" operator="greaterThan">
      <formula>1.75</formula>
    </cfRule>
    <cfRule type="cellIs" dxfId="5250" priority="5446" stopIfTrue="1" operator="between">
      <formula>1.25</formula>
      <formula>1.75</formula>
    </cfRule>
  </conditionalFormatting>
  <conditionalFormatting sqref="S422">
    <cfRule type="cellIs" dxfId="5249" priority="5443" stopIfTrue="1" operator="greaterThan">
      <formula>1.75</formula>
    </cfRule>
    <cfRule type="cellIs" dxfId="5248" priority="5444" stopIfTrue="1" operator="between">
      <formula>1.25</formula>
      <formula>1.75</formula>
    </cfRule>
  </conditionalFormatting>
  <conditionalFormatting sqref="J410">
    <cfRule type="cellIs" dxfId="5247" priority="5387" stopIfTrue="1" operator="greaterThan">
      <formula>1.75</formula>
    </cfRule>
    <cfRule type="cellIs" dxfId="5246" priority="5388" stopIfTrue="1" operator="between">
      <formula>1.25</formula>
      <formula>1.75</formula>
    </cfRule>
  </conditionalFormatting>
  <conditionalFormatting sqref="V409">
    <cfRule type="cellIs" dxfId="5245" priority="5437" operator="lessThan">
      <formula>1000</formula>
    </cfRule>
    <cfRule type="cellIs" dxfId="5244" priority="5438" operator="lessThan">
      <formula>2000</formula>
    </cfRule>
  </conditionalFormatting>
  <conditionalFormatting sqref="C410:I410 M410:O410">
    <cfRule type="cellIs" dxfId="5243" priority="5383" stopIfTrue="1" operator="greaterThan">
      <formula>1.75</formula>
    </cfRule>
    <cfRule type="cellIs" dxfId="5242" priority="5384" stopIfTrue="1" operator="between">
      <formula>1.25</formula>
      <formula>1.75</formula>
    </cfRule>
  </conditionalFormatting>
  <conditionalFormatting sqref="C410:I410 M410:O410">
    <cfRule type="cellIs" dxfId="5241" priority="5381" stopIfTrue="1" operator="greaterThan">
      <formula>1.75</formula>
    </cfRule>
    <cfRule type="cellIs" dxfId="5240" priority="5382" stopIfTrue="1" operator="between">
      <formula>1.25</formula>
      <formula>1.75</formula>
    </cfRule>
  </conditionalFormatting>
  <conditionalFormatting sqref="P410">
    <cfRule type="cellIs" dxfId="5239" priority="5379" stopIfTrue="1" operator="greaterThan">
      <formula>1.75</formula>
    </cfRule>
    <cfRule type="cellIs" dxfId="5238" priority="5380" stopIfTrue="1" operator="between">
      <formula>1.25</formula>
      <formula>1.75</formula>
    </cfRule>
  </conditionalFormatting>
  <conditionalFormatting sqref="P410">
    <cfRule type="cellIs" dxfId="5237" priority="5377" stopIfTrue="1" operator="greaterThan">
      <formula>1.75</formula>
    </cfRule>
    <cfRule type="cellIs" dxfId="5236" priority="5378" stopIfTrue="1" operator="between">
      <formula>1.25</formula>
      <formula>1.75</formula>
    </cfRule>
  </conditionalFormatting>
  <conditionalFormatting sqref="P410">
    <cfRule type="cellIs" dxfId="5235" priority="5375" stopIfTrue="1" operator="greaterThan">
      <formula>1.75</formula>
    </cfRule>
    <cfRule type="cellIs" dxfId="5234" priority="5376" stopIfTrue="1" operator="between">
      <formula>1.25</formula>
      <formula>1.75</formula>
    </cfRule>
  </conditionalFormatting>
  <conditionalFormatting sqref="U410">
    <cfRule type="cellIs" dxfId="5233" priority="5373" stopIfTrue="1" operator="greaterThan">
      <formula>1.75</formula>
    </cfRule>
    <cfRule type="cellIs" dxfId="5232" priority="5374" stopIfTrue="1" operator="between">
      <formula>1.25</formula>
      <formula>1.75</formula>
    </cfRule>
  </conditionalFormatting>
  <conditionalFormatting sqref="T410">
    <cfRule type="cellIs" dxfId="5231" priority="5371" stopIfTrue="1" operator="greaterThan">
      <formula>1.75</formula>
    </cfRule>
    <cfRule type="cellIs" dxfId="5230" priority="5372" stopIfTrue="1" operator="between">
      <formula>1.25</formula>
      <formula>1.75</formula>
    </cfRule>
  </conditionalFormatting>
  <conditionalFormatting sqref="Q410">
    <cfRule type="cellIs" dxfId="5229" priority="5369" stopIfTrue="1" operator="greaterThan">
      <formula>1.75</formula>
    </cfRule>
    <cfRule type="cellIs" dxfId="5228" priority="5370" stopIfTrue="1" operator="between">
      <formula>1.25</formula>
      <formula>1.75</formula>
    </cfRule>
  </conditionalFormatting>
  <conditionalFormatting sqref="Q410">
    <cfRule type="cellIs" dxfId="5227" priority="5367" stopIfTrue="1" operator="greaterThan">
      <formula>1.75</formula>
    </cfRule>
    <cfRule type="cellIs" dxfId="5226" priority="5368" stopIfTrue="1" operator="between">
      <formula>1.25</formula>
      <formula>1.75</formula>
    </cfRule>
  </conditionalFormatting>
  <conditionalFormatting sqref="Q410">
    <cfRule type="cellIs" dxfId="5225" priority="5365" stopIfTrue="1" operator="greaterThan">
      <formula>1.75</formula>
    </cfRule>
    <cfRule type="cellIs" dxfId="5224" priority="5366" stopIfTrue="1" operator="between">
      <formula>1.25</formula>
      <formula>1.75</formula>
    </cfRule>
  </conditionalFormatting>
  <conditionalFormatting sqref="J410">
    <cfRule type="cellIs" dxfId="5223" priority="5363" stopIfTrue="1" operator="greaterThan">
      <formula>1.75</formula>
    </cfRule>
    <cfRule type="cellIs" dxfId="5222" priority="5364" stopIfTrue="1" operator="between">
      <formula>1.25</formula>
      <formula>1.75</formula>
    </cfRule>
  </conditionalFormatting>
  <conditionalFormatting sqref="J410">
    <cfRule type="cellIs" dxfId="5221" priority="5361" stopIfTrue="1" operator="greaterThan">
      <formula>1.75</formula>
    </cfRule>
    <cfRule type="cellIs" dxfId="5220" priority="5362" stopIfTrue="1" operator="between">
      <formula>1.25</formula>
      <formula>1.75</formula>
    </cfRule>
  </conditionalFormatting>
  <conditionalFormatting sqref="R410">
    <cfRule type="cellIs" dxfId="5219" priority="5359" stopIfTrue="1" operator="greaterThan">
      <formula>1.75</formula>
    </cfRule>
    <cfRule type="cellIs" dxfId="5218" priority="5360" stopIfTrue="1" operator="between">
      <formula>1.25</formula>
      <formula>1.75</formula>
    </cfRule>
  </conditionalFormatting>
  <conditionalFormatting sqref="K410">
    <cfRule type="cellIs" dxfId="5217" priority="5357" stopIfTrue="1" operator="greaterThan">
      <formula>1.75</formula>
    </cfRule>
    <cfRule type="cellIs" dxfId="5216" priority="5358" stopIfTrue="1" operator="between">
      <formula>1.25</formula>
      <formula>1.75</formula>
    </cfRule>
  </conditionalFormatting>
  <conditionalFormatting sqref="R410">
    <cfRule type="cellIs" dxfId="5215" priority="5355" stopIfTrue="1" operator="greaterThan">
      <formula>1.75</formula>
    </cfRule>
    <cfRule type="cellIs" dxfId="5214" priority="5356" stopIfTrue="1" operator="between">
      <formula>1.25</formula>
      <formula>1.75</formula>
    </cfRule>
  </conditionalFormatting>
  <conditionalFormatting sqref="R410">
    <cfRule type="cellIs" dxfId="5213" priority="5353" stopIfTrue="1" operator="greaterThan">
      <formula>1.75</formula>
    </cfRule>
    <cfRule type="cellIs" dxfId="5212" priority="5354" stopIfTrue="1" operator="between">
      <formula>1.25</formula>
      <formula>1.75</formula>
    </cfRule>
  </conditionalFormatting>
  <conditionalFormatting sqref="K410">
    <cfRule type="cellIs" dxfId="5211" priority="5351" stopIfTrue="1" operator="greaterThan">
      <formula>1.75</formula>
    </cfRule>
    <cfRule type="cellIs" dxfId="5210" priority="5352" stopIfTrue="1" operator="between">
      <formula>1.25</formula>
      <formula>1.75</formula>
    </cfRule>
  </conditionalFormatting>
  <conditionalFormatting sqref="K410">
    <cfRule type="cellIs" dxfId="5209" priority="5349" stopIfTrue="1" operator="greaterThan">
      <formula>1.75</formula>
    </cfRule>
    <cfRule type="cellIs" dxfId="5208" priority="5350" stopIfTrue="1" operator="between">
      <formula>1.25</formula>
      <formula>1.75</formula>
    </cfRule>
  </conditionalFormatting>
  <conditionalFormatting sqref="L410">
    <cfRule type="cellIs" dxfId="5207" priority="5347" stopIfTrue="1" operator="greaterThan">
      <formula>1.75</formula>
    </cfRule>
    <cfRule type="cellIs" dxfId="5206" priority="5348" stopIfTrue="1" operator="between">
      <formula>1.25</formula>
      <formula>1.75</formula>
    </cfRule>
  </conditionalFormatting>
  <conditionalFormatting sqref="L410">
    <cfRule type="cellIs" dxfId="5205" priority="5345" stopIfTrue="1" operator="greaterThan">
      <formula>1.75</formula>
    </cfRule>
    <cfRule type="cellIs" dxfId="5204" priority="5346" stopIfTrue="1" operator="between">
      <formula>1.25</formula>
      <formula>1.75</formula>
    </cfRule>
  </conditionalFormatting>
  <conditionalFormatting sqref="L410">
    <cfRule type="cellIs" dxfId="5203" priority="5343" stopIfTrue="1" operator="greaterThan">
      <formula>1.75</formula>
    </cfRule>
    <cfRule type="cellIs" dxfId="5202" priority="5344" stopIfTrue="1" operator="between">
      <formula>1.25</formula>
      <formula>1.75</formula>
    </cfRule>
  </conditionalFormatting>
  <conditionalFormatting sqref="S410">
    <cfRule type="cellIs" dxfId="5201" priority="5341" stopIfTrue="1" operator="greaterThan">
      <formula>1.75</formula>
    </cfRule>
    <cfRule type="cellIs" dxfId="5200" priority="5342" stopIfTrue="1" operator="between">
      <formula>1.25</formula>
      <formula>1.75</formula>
    </cfRule>
  </conditionalFormatting>
  <conditionalFormatting sqref="S410">
    <cfRule type="cellIs" dxfId="5199" priority="5339" stopIfTrue="1" operator="greaterThan">
      <formula>1.75</formula>
    </cfRule>
    <cfRule type="cellIs" dxfId="5198" priority="5340" stopIfTrue="1" operator="between">
      <formula>1.25</formula>
      <formula>1.75</formula>
    </cfRule>
  </conditionalFormatting>
  <conditionalFormatting sqref="S410">
    <cfRule type="cellIs" dxfId="5197" priority="5337" stopIfTrue="1" operator="greaterThan">
      <formula>1.75</formula>
    </cfRule>
    <cfRule type="cellIs" dxfId="5196" priority="5338" stopIfTrue="1" operator="between">
      <formula>1.25</formula>
      <formula>1.75</formula>
    </cfRule>
  </conditionalFormatting>
  <conditionalFormatting sqref="C410:I410 M410:O410">
    <cfRule type="cellIs" dxfId="5195" priority="5385" stopIfTrue="1" operator="greaterThan">
      <formula>1.75</formula>
    </cfRule>
    <cfRule type="cellIs" dxfId="5194" priority="5386" stopIfTrue="1" operator="between">
      <formula>1.25</formula>
      <formula>1.75</formula>
    </cfRule>
  </conditionalFormatting>
  <conditionalFormatting sqref="J374">
    <cfRule type="cellIs" dxfId="5193" priority="5333" stopIfTrue="1" operator="greaterThan">
      <formula>1.75</formula>
    </cfRule>
    <cfRule type="cellIs" dxfId="5192" priority="5334" stopIfTrue="1" operator="between">
      <formula>1.25</formula>
      <formula>1.75</formula>
    </cfRule>
  </conditionalFormatting>
  <conditionalFormatting sqref="V373">
    <cfRule type="cellIs" dxfId="5191" priority="5335" operator="lessThan">
      <formula>1000</formula>
    </cfRule>
    <cfRule type="cellIs" dxfId="5190" priority="5336" operator="lessThan">
      <formula>2000</formula>
    </cfRule>
  </conditionalFormatting>
  <conditionalFormatting sqref="C374:I374 M374:O374">
    <cfRule type="cellIs" dxfId="5189" priority="5329" stopIfTrue="1" operator="greaterThan">
      <formula>1.75</formula>
    </cfRule>
    <cfRule type="cellIs" dxfId="5188" priority="5330" stopIfTrue="1" operator="between">
      <formula>1.25</formula>
      <formula>1.75</formula>
    </cfRule>
  </conditionalFormatting>
  <conditionalFormatting sqref="C374:I374 M374:O374">
    <cfRule type="cellIs" dxfId="5187" priority="5327" stopIfTrue="1" operator="greaterThan">
      <formula>1.75</formula>
    </cfRule>
    <cfRule type="cellIs" dxfId="5186" priority="5328" stopIfTrue="1" operator="between">
      <formula>1.25</formula>
      <formula>1.75</formula>
    </cfRule>
  </conditionalFormatting>
  <conditionalFormatting sqref="P374">
    <cfRule type="cellIs" dxfId="5185" priority="5325" stopIfTrue="1" operator="greaterThan">
      <formula>1.75</formula>
    </cfRule>
    <cfRule type="cellIs" dxfId="5184" priority="5326" stopIfTrue="1" operator="between">
      <formula>1.25</formula>
      <formula>1.75</formula>
    </cfRule>
  </conditionalFormatting>
  <conditionalFormatting sqref="P374">
    <cfRule type="cellIs" dxfId="5183" priority="5323" stopIfTrue="1" operator="greaterThan">
      <formula>1.75</formula>
    </cfRule>
    <cfRule type="cellIs" dxfId="5182" priority="5324" stopIfTrue="1" operator="between">
      <formula>1.25</formula>
      <formula>1.75</formula>
    </cfRule>
  </conditionalFormatting>
  <conditionalFormatting sqref="P374">
    <cfRule type="cellIs" dxfId="5181" priority="5321" stopIfTrue="1" operator="greaterThan">
      <formula>1.75</formula>
    </cfRule>
    <cfRule type="cellIs" dxfId="5180" priority="5322" stopIfTrue="1" operator="between">
      <formula>1.25</formula>
      <formula>1.75</formula>
    </cfRule>
  </conditionalFormatting>
  <conditionalFormatting sqref="U374">
    <cfRule type="cellIs" dxfId="5179" priority="5319" stopIfTrue="1" operator="greaterThan">
      <formula>1.75</formula>
    </cfRule>
    <cfRule type="cellIs" dxfId="5178" priority="5320" stopIfTrue="1" operator="between">
      <formula>1.25</formula>
      <formula>1.75</formula>
    </cfRule>
  </conditionalFormatting>
  <conditionalFormatting sqref="T374">
    <cfRule type="cellIs" dxfId="5177" priority="5317" stopIfTrue="1" operator="greaterThan">
      <formula>1.75</formula>
    </cfRule>
    <cfRule type="cellIs" dxfId="5176" priority="5318" stopIfTrue="1" operator="between">
      <formula>1.25</formula>
      <formula>1.75</formula>
    </cfRule>
  </conditionalFormatting>
  <conditionalFormatting sqref="Q374">
    <cfRule type="cellIs" dxfId="5175" priority="5315" stopIfTrue="1" operator="greaterThan">
      <formula>1.75</formula>
    </cfRule>
    <cfRule type="cellIs" dxfId="5174" priority="5316" stopIfTrue="1" operator="between">
      <formula>1.25</formula>
      <formula>1.75</formula>
    </cfRule>
  </conditionalFormatting>
  <conditionalFormatting sqref="Q374">
    <cfRule type="cellIs" dxfId="5173" priority="5313" stopIfTrue="1" operator="greaterThan">
      <formula>1.75</formula>
    </cfRule>
    <cfRule type="cellIs" dxfId="5172" priority="5314" stopIfTrue="1" operator="between">
      <formula>1.25</formula>
      <formula>1.75</formula>
    </cfRule>
  </conditionalFormatting>
  <conditionalFormatting sqref="Q374">
    <cfRule type="cellIs" dxfId="5171" priority="5311" stopIfTrue="1" operator="greaterThan">
      <formula>1.75</formula>
    </cfRule>
    <cfRule type="cellIs" dxfId="5170" priority="5312" stopIfTrue="1" operator="between">
      <formula>1.25</formula>
      <formula>1.75</formula>
    </cfRule>
  </conditionalFormatting>
  <conditionalFormatting sqref="J374">
    <cfRule type="cellIs" dxfId="5169" priority="5309" stopIfTrue="1" operator="greaterThan">
      <formula>1.75</formula>
    </cfRule>
    <cfRule type="cellIs" dxfId="5168" priority="5310" stopIfTrue="1" operator="between">
      <formula>1.25</formula>
      <formula>1.75</formula>
    </cfRule>
  </conditionalFormatting>
  <conditionalFormatting sqref="J374">
    <cfRule type="cellIs" dxfId="5167" priority="5307" stopIfTrue="1" operator="greaterThan">
      <formula>1.75</formula>
    </cfRule>
    <cfRule type="cellIs" dxfId="5166" priority="5308" stopIfTrue="1" operator="between">
      <formula>1.25</formula>
      <formula>1.75</formula>
    </cfRule>
  </conditionalFormatting>
  <conditionalFormatting sqref="R374">
    <cfRule type="cellIs" dxfId="5165" priority="5305" stopIfTrue="1" operator="greaterThan">
      <formula>1.75</formula>
    </cfRule>
    <cfRule type="cellIs" dxfId="5164" priority="5306" stopIfTrue="1" operator="between">
      <formula>1.25</formula>
      <formula>1.75</formula>
    </cfRule>
  </conditionalFormatting>
  <conditionalFormatting sqref="K374">
    <cfRule type="cellIs" dxfId="5163" priority="5303" stopIfTrue="1" operator="greaterThan">
      <formula>1.75</formula>
    </cfRule>
    <cfRule type="cellIs" dxfId="5162" priority="5304" stopIfTrue="1" operator="between">
      <formula>1.25</formula>
      <formula>1.75</formula>
    </cfRule>
  </conditionalFormatting>
  <conditionalFormatting sqref="R374">
    <cfRule type="cellIs" dxfId="5161" priority="5301" stopIfTrue="1" operator="greaterThan">
      <formula>1.75</formula>
    </cfRule>
    <cfRule type="cellIs" dxfId="5160" priority="5302" stopIfTrue="1" operator="between">
      <formula>1.25</formula>
      <formula>1.75</formula>
    </cfRule>
  </conditionalFormatting>
  <conditionalFormatting sqref="R374">
    <cfRule type="cellIs" dxfId="5159" priority="5299" stopIfTrue="1" operator="greaterThan">
      <formula>1.75</formula>
    </cfRule>
    <cfRule type="cellIs" dxfId="5158" priority="5300" stopIfTrue="1" operator="between">
      <formula>1.25</formula>
      <formula>1.75</formula>
    </cfRule>
  </conditionalFormatting>
  <conditionalFormatting sqref="K374">
    <cfRule type="cellIs" dxfId="5157" priority="5297" stopIfTrue="1" operator="greaterThan">
      <formula>1.75</formula>
    </cfRule>
    <cfRule type="cellIs" dxfId="5156" priority="5298" stopIfTrue="1" operator="between">
      <formula>1.25</formula>
      <formula>1.75</formula>
    </cfRule>
  </conditionalFormatting>
  <conditionalFormatting sqref="K374">
    <cfRule type="cellIs" dxfId="5155" priority="5295" stopIfTrue="1" operator="greaterThan">
      <formula>1.75</formula>
    </cfRule>
    <cfRule type="cellIs" dxfId="5154" priority="5296" stopIfTrue="1" operator="between">
      <formula>1.25</formula>
      <formula>1.75</formula>
    </cfRule>
  </conditionalFormatting>
  <conditionalFormatting sqref="L374">
    <cfRule type="cellIs" dxfId="5153" priority="5293" stopIfTrue="1" operator="greaterThan">
      <formula>1.75</formula>
    </cfRule>
    <cfRule type="cellIs" dxfId="5152" priority="5294" stopIfTrue="1" operator="between">
      <formula>1.25</formula>
      <formula>1.75</formula>
    </cfRule>
  </conditionalFormatting>
  <conditionalFormatting sqref="L374">
    <cfRule type="cellIs" dxfId="5151" priority="5291" stopIfTrue="1" operator="greaterThan">
      <formula>1.75</formula>
    </cfRule>
    <cfRule type="cellIs" dxfId="5150" priority="5292" stopIfTrue="1" operator="between">
      <formula>1.25</formula>
      <formula>1.75</formula>
    </cfRule>
  </conditionalFormatting>
  <conditionalFormatting sqref="L374">
    <cfRule type="cellIs" dxfId="5149" priority="5289" stopIfTrue="1" operator="greaterThan">
      <formula>1.75</formula>
    </cfRule>
    <cfRule type="cellIs" dxfId="5148" priority="5290" stopIfTrue="1" operator="between">
      <formula>1.25</formula>
      <formula>1.75</formula>
    </cfRule>
  </conditionalFormatting>
  <conditionalFormatting sqref="S374">
    <cfRule type="cellIs" dxfId="5147" priority="5287" stopIfTrue="1" operator="greaterThan">
      <formula>1.75</formula>
    </cfRule>
    <cfRule type="cellIs" dxfId="5146" priority="5288" stopIfTrue="1" operator="between">
      <formula>1.25</formula>
      <formula>1.75</formula>
    </cfRule>
  </conditionalFormatting>
  <conditionalFormatting sqref="S374">
    <cfRule type="cellIs" dxfId="5145" priority="5285" stopIfTrue="1" operator="greaterThan">
      <formula>1.75</formula>
    </cfRule>
    <cfRule type="cellIs" dxfId="5144" priority="5286" stopIfTrue="1" operator="between">
      <formula>1.25</formula>
      <formula>1.75</formula>
    </cfRule>
  </conditionalFormatting>
  <conditionalFormatting sqref="S374">
    <cfRule type="cellIs" dxfId="5143" priority="5283" stopIfTrue="1" operator="greaterThan">
      <formula>1.75</formula>
    </cfRule>
    <cfRule type="cellIs" dxfId="5142" priority="5284" stopIfTrue="1" operator="between">
      <formula>1.25</formula>
      <formula>1.75</formula>
    </cfRule>
  </conditionalFormatting>
  <conditionalFormatting sqref="C374:I374 M374:O374">
    <cfRule type="cellIs" dxfId="5141" priority="5331" stopIfTrue="1" operator="greaterThan">
      <formula>1.75</formula>
    </cfRule>
    <cfRule type="cellIs" dxfId="5140" priority="5332" stopIfTrue="1" operator="between">
      <formula>1.25</formula>
      <formula>1.75</formula>
    </cfRule>
  </conditionalFormatting>
  <conditionalFormatting sqref="J386">
    <cfRule type="cellIs" dxfId="5139" priority="5279" stopIfTrue="1" operator="greaterThan">
      <formula>1.75</formula>
    </cfRule>
    <cfRule type="cellIs" dxfId="5138" priority="5280" stopIfTrue="1" operator="between">
      <formula>1.25</formula>
      <formula>1.75</formula>
    </cfRule>
  </conditionalFormatting>
  <conditionalFormatting sqref="V385">
    <cfRule type="cellIs" dxfId="5137" priority="5281" operator="lessThan">
      <formula>1000</formula>
    </cfRule>
    <cfRule type="cellIs" dxfId="5136" priority="5282" operator="lessThan">
      <formula>2000</formula>
    </cfRule>
  </conditionalFormatting>
  <conditionalFormatting sqref="C386:I386 M386:O386">
    <cfRule type="cellIs" dxfId="5135" priority="5275" stopIfTrue="1" operator="greaterThan">
      <formula>1.75</formula>
    </cfRule>
    <cfRule type="cellIs" dxfId="5134" priority="5276" stopIfTrue="1" operator="between">
      <formula>1.25</formula>
      <formula>1.75</formula>
    </cfRule>
  </conditionalFormatting>
  <conditionalFormatting sqref="C386:I386 M386:O386">
    <cfRule type="cellIs" dxfId="5133" priority="5273" stopIfTrue="1" operator="greaterThan">
      <formula>1.75</formula>
    </cfRule>
    <cfRule type="cellIs" dxfId="5132" priority="5274" stopIfTrue="1" operator="between">
      <formula>1.25</formula>
      <formula>1.75</formula>
    </cfRule>
  </conditionalFormatting>
  <conditionalFormatting sqref="P386">
    <cfRule type="cellIs" dxfId="5131" priority="5271" stopIfTrue="1" operator="greaterThan">
      <formula>1.75</formula>
    </cfRule>
    <cfRule type="cellIs" dxfId="5130" priority="5272" stopIfTrue="1" operator="between">
      <formula>1.25</formula>
      <formula>1.75</formula>
    </cfRule>
  </conditionalFormatting>
  <conditionalFormatting sqref="P386">
    <cfRule type="cellIs" dxfId="5129" priority="5269" stopIfTrue="1" operator="greaterThan">
      <formula>1.75</formula>
    </cfRule>
    <cfRule type="cellIs" dxfId="5128" priority="5270" stopIfTrue="1" operator="between">
      <formula>1.25</formula>
      <formula>1.75</formula>
    </cfRule>
  </conditionalFormatting>
  <conditionalFormatting sqref="P386">
    <cfRule type="cellIs" dxfId="5127" priority="5267" stopIfTrue="1" operator="greaterThan">
      <formula>1.75</formula>
    </cfRule>
    <cfRule type="cellIs" dxfId="5126" priority="5268" stopIfTrue="1" operator="between">
      <formula>1.25</formula>
      <formula>1.75</formula>
    </cfRule>
  </conditionalFormatting>
  <conditionalFormatting sqref="U386">
    <cfRule type="cellIs" dxfId="5125" priority="5265" stopIfTrue="1" operator="greaterThan">
      <formula>1.75</formula>
    </cfRule>
    <cfRule type="cellIs" dxfId="5124" priority="5266" stopIfTrue="1" operator="between">
      <formula>1.25</formula>
      <formula>1.75</formula>
    </cfRule>
  </conditionalFormatting>
  <conditionalFormatting sqref="T386">
    <cfRule type="cellIs" dxfId="5123" priority="5263" stopIfTrue="1" operator="greaterThan">
      <formula>1.75</formula>
    </cfRule>
    <cfRule type="cellIs" dxfId="5122" priority="5264" stopIfTrue="1" operator="between">
      <formula>1.25</formula>
      <formula>1.75</formula>
    </cfRule>
  </conditionalFormatting>
  <conditionalFormatting sqref="Q386">
    <cfRule type="cellIs" dxfId="5121" priority="5261" stopIfTrue="1" operator="greaterThan">
      <formula>1.75</formula>
    </cfRule>
    <cfRule type="cellIs" dxfId="5120" priority="5262" stopIfTrue="1" operator="between">
      <formula>1.25</formula>
      <formula>1.75</formula>
    </cfRule>
  </conditionalFormatting>
  <conditionalFormatting sqref="Q386">
    <cfRule type="cellIs" dxfId="5119" priority="5259" stopIfTrue="1" operator="greaterThan">
      <formula>1.75</formula>
    </cfRule>
    <cfRule type="cellIs" dxfId="5118" priority="5260" stopIfTrue="1" operator="between">
      <formula>1.25</formula>
      <formula>1.75</formula>
    </cfRule>
  </conditionalFormatting>
  <conditionalFormatting sqref="Q386">
    <cfRule type="cellIs" dxfId="5117" priority="5257" stopIfTrue="1" operator="greaterThan">
      <formula>1.75</formula>
    </cfRule>
    <cfRule type="cellIs" dxfId="5116" priority="5258" stopIfTrue="1" operator="between">
      <formula>1.25</formula>
      <formula>1.75</formula>
    </cfRule>
  </conditionalFormatting>
  <conditionalFormatting sqref="J386">
    <cfRule type="cellIs" dxfId="5115" priority="5255" stopIfTrue="1" operator="greaterThan">
      <formula>1.75</formula>
    </cfRule>
    <cfRule type="cellIs" dxfId="5114" priority="5256" stopIfTrue="1" operator="between">
      <formula>1.25</formula>
      <formula>1.75</formula>
    </cfRule>
  </conditionalFormatting>
  <conditionalFormatting sqref="J386">
    <cfRule type="cellIs" dxfId="5113" priority="5253" stopIfTrue="1" operator="greaterThan">
      <formula>1.75</formula>
    </cfRule>
    <cfRule type="cellIs" dxfId="5112" priority="5254" stopIfTrue="1" operator="between">
      <formula>1.25</formula>
      <formula>1.75</formula>
    </cfRule>
  </conditionalFormatting>
  <conditionalFormatting sqref="R386">
    <cfRule type="cellIs" dxfId="5111" priority="5251" stopIfTrue="1" operator="greaterThan">
      <formula>1.75</formula>
    </cfRule>
    <cfRule type="cellIs" dxfId="5110" priority="5252" stopIfTrue="1" operator="between">
      <formula>1.25</formula>
      <formula>1.75</formula>
    </cfRule>
  </conditionalFormatting>
  <conditionalFormatting sqref="K386">
    <cfRule type="cellIs" dxfId="5109" priority="5249" stopIfTrue="1" operator="greaterThan">
      <formula>1.75</formula>
    </cfRule>
    <cfRule type="cellIs" dxfId="5108" priority="5250" stopIfTrue="1" operator="between">
      <formula>1.25</formula>
      <formula>1.75</formula>
    </cfRule>
  </conditionalFormatting>
  <conditionalFormatting sqref="R386">
    <cfRule type="cellIs" dxfId="5107" priority="5247" stopIfTrue="1" operator="greaterThan">
      <formula>1.75</formula>
    </cfRule>
    <cfRule type="cellIs" dxfId="5106" priority="5248" stopIfTrue="1" operator="between">
      <formula>1.25</formula>
      <formula>1.75</formula>
    </cfRule>
  </conditionalFormatting>
  <conditionalFormatting sqref="R386">
    <cfRule type="cellIs" dxfId="5105" priority="5245" stopIfTrue="1" operator="greaterThan">
      <formula>1.75</formula>
    </cfRule>
    <cfRule type="cellIs" dxfId="5104" priority="5246" stopIfTrue="1" operator="between">
      <formula>1.25</formula>
      <formula>1.75</formula>
    </cfRule>
  </conditionalFormatting>
  <conditionalFormatting sqref="K386">
    <cfRule type="cellIs" dxfId="5103" priority="5243" stopIfTrue="1" operator="greaterThan">
      <formula>1.75</formula>
    </cfRule>
    <cfRule type="cellIs" dxfId="5102" priority="5244" stopIfTrue="1" operator="between">
      <formula>1.25</formula>
      <formula>1.75</formula>
    </cfRule>
  </conditionalFormatting>
  <conditionalFormatting sqref="K386">
    <cfRule type="cellIs" dxfId="5101" priority="5241" stopIfTrue="1" operator="greaterThan">
      <formula>1.75</formula>
    </cfRule>
    <cfRule type="cellIs" dxfId="5100" priority="5242" stopIfTrue="1" operator="between">
      <formula>1.25</formula>
      <formula>1.75</formula>
    </cfRule>
  </conditionalFormatting>
  <conditionalFormatting sqref="L386">
    <cfRule type="cellIs" dxfId="5099" priority="5239" stopIfTrue="1" operator="greaterThan">
      <formula>1.75</formula>
    </cfRule>
    <cfRule type="cellIs" dxfId="5098" priority="5240" stopIfTrue="1" operator="between">
      <formula>1.25</formula>
      <formula>1.75</formula>
    </cfRule>
  </conditionalFormatting>
  <conditionalFormatting sqref="L386">
    <cfRule type="cellIs" dxfId="5097" priority="5237" stopIfTrue="1" operator="greaterThan">
      <formula>1.75</formula>
    </cfRule>
    <cfRule type="cellIs" dxfId="5096" priority="5238" stopIfTrue="1" operator="between">
      <formula>1.25</formula>
      <formula>1.75</formula>
    </cfRule>
  </conditionalFormatting>
  <conditionalFormatting sqref="L386">
    <cfRule type="cellIs" dxfId="5095" priority="5235" stopIfTrue="1" operator="greaterThan">
      <formula>1.75</formula>
    </cfRule>
    <cfRule type="cellIs" dxfId="5094" priority="5236" stopIfTrue="1" operator="between">
      <formula>1.25</formula>
      <formula>1.75</formula>
    </cfRule>
  </conditionalFormatting>
  <conditionalFormatting sqref="S386">
    <cfRule type="cellIs" dxfId="5093" priority="5233" stopIfTrue="1" operator="greaterThan">
      <formula>1.75</formula>
    </cfRule>
    <cfRule type="cellIs" dxfId="5092" priority="5234" stopIfTrue="1" operator="between">
      <formula>1.25</formula>
      <formula>1.75</formula>
    </cfRule>
  </conditionalFormatting>
  <conditionalFormatting sqref="S386">
    <cfRule type="cellIs" dxfId="5091" priority="5231" stopIfTrue="1" operator="greaterThan">
      <formula>1.75</formula>
    </cfRule>
    <cfRule type="cellIs" dxfId="5090" priority="5232" stopIfTrue="1" operator="between">
      <formula>1.25</formula>
      <formula>1.75</formula>
    </cfRule>
  </conditionalFormatting>
  <conditionalFormatting sqref="S386">
    <cfRule type="cellIs" dxfId="5089" priority="5229" stopIfTrue="1" operator="greaterThan">
      <formula>1.75</formula>
    </cfRule>
    <cfRule type="cellIs" dxfId="5088" priority="5230" stopIfTrue="1" operator="between">
      <formula>1.25</formula>
      <formula>1.75</formula>
    </cfRule>
  </conditionalFormatting>
  <conditionalFormatting sqref="C386:I386 M386:O386">
    <cfRule type="cellIs" dxfId="5087" priority="5277" stopIfTrue="1" operator="greaterThan">
      <formula>1.75</formula>
    </cfRule>
    <cfRule type="cellIs" dxfId="5086" priority="5278" stopIfTrue="1" operator="between">
      <formula>1.25</formula>
      <formula>1.75</formula>
    </cfRule>
  </conditionalFormatting>
  <conditionalFormatting sqref="J398">
    <cfRule type="cellIs" dxfId="5085" priority="5225" stopIfTrue="1" operator="greaterThan">
      <formula>1.75</formula>
    </cfRule>
    <cfRule type="cellIs" dxfId="5084" priority="5226" stopIfTrue="1" operator="between">
      <formula>1.25</formula>
      <formula>1.75</formula>
    </cfRule>
  </conditionalFormatting>
  <conditionalFormatting sqref="V397">
    <cfRule type="cellIs" dxfId="5083" priority="5227" operator="lessThan">
      <formula>1000</formula>
    </cfRule>
    <cfRule type="cellIs" dxfId="5082" priority="5228" operator="lessThan">
      <formula>2000</formula>
    </cfRule>
  </conditionalFormatting>
  <conditionalFormatting sqref="C398:I398 M398:O398">
    <cfRule type="cellIs" dxfId="5081" priority="5221" stopIfTrue="1" operator="greaterThan">
      <formula>1.75</formula>
    </cfRule>
    <cfRule type="cellIs" dxfId="5080" priority="5222" stopIfTrue="1" operator="between">
      <formula>1.25</formula>
      <formula>1.75</formula>
    </cfRule>
  </conditionalFormatting>
  <conditionalFormatting sqref="C398:I398 M398:O398">
    <cfRule type="cellIs" dxfId="5079" priority="5219" stopIfTrue="1" operator="greaterThan">
      <formula>1.75</formula>
    </cfRule>
    <cfRule type="cellIs" dxfId="5078" priority="5220" stopIfTrue="1" operator="between">
      <formula>1.25</formula>
      <formula>1.75</formula>
    </cfRule>
  </conditionalFormatting>
  <conditionalFormatting sqref="P398">
    <cfRule type="cellIs" dxfId="5077" priority="5217" stopIfTrue="1" operator="greaterThan">
      <formula>1.75</formula>
    </cfRule>
    <cfRule type="cellIs" dxfId="5076" priority="5218" stopIfTrue="1" operator="between">
      <formula>1.25</formula>
      <formula>1.75</formula>
    </cfRule>
  </conditionalFormatting>
  <conditionalFormatting sqref="P398">
    <cfRule type="cellIs" dxfId="5075" priority="5215" stopIfTrue="1" operator="greaterThan">
      <formula>1.75</formula>
    </cfRule>
    <cfRule type="cellIs" dxfId="5074" priority="5216" stopIfTrue="1" operator="between">
      <formula>1.25</formula>
      <formula>1.75</formula>
    </cfRule>
  </conditionalFormatting>
  <conditionalFormatting sqref="P398">
    <cfRule type="cellIs" dxfId="5073" priority="5213" stopIfTrue="1" operator="greaterThan">
      <formula>1.75</formula>
    </cfRule>
    <cfRule type="cellIs" dxfId="5072" priority="5214" stopIfTrue="1" operator="between">
      <formula>1.25</formula>
      <formula>1.75</formula>
    </cfRule>
  </conditionalFormatting>
  <conditionalFormatting sqref="U398">
    <cfRule type="cellIs" dxfId="5071" priority="5211" stopIfTrue="1" operator="greaterThan">
      <formula>1.75</formula>
    </cfRule>
    <cfRule type="cellIs" dxfId="5070" priority="5212" stopIfTrue="1" operator="between">
      <formula>1.25</formula>
      <formula>1.75</formula>
    </cfRule>
  </conditionalFormatting>
  <conditionalFormatting sqref="T398">
    <cfRule type="cellIs" dxfId="5069" priority="5209" stopIfTrue="1" operator="greaterThan">
      <formula>1.75</formula>
    </cfRule>
    <cfRule type="cellIs" dxfId="5068" priority="5210" stopIfTrue="1" operator="between">
      <formula>1.25</formula>
      <formula>1.75</formula>
    </cfRule>
  </conditionalFormatting>
  <conditionalFormatting sqref="Q398">
    <cfRule type="cellIs" dxfId="5067" priority="5207" stopIfTrue="1" operator="greaterThan">
      <formula>1.75</formula>
    </cfRule>
    <cfRule type="cellIs" dxfId="5066" priority="5208" stopIfTrue="1" operator="between">
      <formula>1.25</formula>
      <formula>1.75</formula>
    </cfRule>
  </conditionalFormatting>
  <conditionalFormatting sqref="Q398">
    <cfRule type="cellIs" dxfId="5065" priority="5205" stopIfTrue="1" operator="greaterThan">
      <formula>1.75</formula>
    </cfRule>
    <cfRule type="cellIs" dxfId="5064" priority="5206" stopIfTrue="1" operator="between">
      <formula>1.25</formula>
      <formula>1.75</formula>
    </cfRule>
  </conditionalFormatting>
  <conditionalFormatting sqref="Q398">
    <cfRule type="cellIs" dxfId="5063" priority="5203" stopIfTrue="1" operator="greaterThan">
      <formula>1.75</formula>
    </cfRule>
    <cfRule type="cellIs" dxfId="5062" priority="5204" stopIfTrue="1" operator="between">
      <formula>1.25</formula>
      <formula>1.75</formula>
    </cfRule>
  </conditionalFormatting>
  <conditionalFormatting sqref="J398">
    <cfRule type="cellIs" dxfId="5061" priority="5201" stopIfTrue="1" operator="greaterThan">
      <formula>1.75</formula>
    </cfRule>
    <cfRule type="cellIs" dxfId="5060" priority="5202" stopIfTrue="1" operator="between">
      <formula>1.25</formula>
      <formula>1.75</formula>
    </cfRule>
  </conditionalFormatting>
  <conditionalFormatting sqref="J398">
    <cfRule type="cellIs" dxfId="5059" priority="5199" stopIfTrue="1" operator="greaterThan">
      <formula>1.75</formula>
    </cfRule>
    <cfRule type="cellIs" dxfId="5058" priority="5200" stopIfTrue="1" operator="between">
      <formula>1.25</formula>
      <formula>1.75</formula>
    </cfRule>
  </conditionalFormatting>
  <conditionalFormatting sqref="R398">
    <cfRule type="cellIs" dxfId="5057" priority="5197" stopIfTrue="1" operator="greaterThan">
      <formula>1.75</formula>
    </cfRule>
    <cfRule type="cellIs" dxfId="5056" priority="5198" stopIfTrue="1" operator="between">
      <formula>1.25</formula>
      <formula>1.75</formula>
    </cfRule>
  </conditionalFormatting>
  <conditionalFormatting sqref="K398">
    <cfRule type="cellIs" dxfId="5055" priority="5195" stopIfTrue="1" operator="greaterThan">
      <formula>1.75</formula>
    </cfRule>
    <cfRule type="cellIs" dxfId="5054" priority="5196" stopIfTrue="1" operator="between">
      <formula>1.25</formula>
      <formula>1.75</formula>
    </cfRule>
  </conditionalFormatting>
  <conditionalFormatting sqref="R398">
    <cfRule type="cellIs" dxfId="5053" priority="5193" stopIfTrue="1" operator="greaterThan">
      <formula>1.75</formula>
    </cfRule>
    <cfRule type="cellIs" dxfId="5052" priority="5194" stopIfTrue="1" operator="between">
      <formula>1.25</formula>
      <formula>1.75</formula>
    </cfRule>
  </conditionalFormatting>
  <conditionalFormatting sqref="R398">
    <cfRule type="cellIs" dxfId="5051" priority="5191" stopIfTrue="1" operator="greaterThan">
      <formula>1.75</formula>
    </cfRule>
    <cfRule type="cellIs" dxfId="5050" priority="5192" stopIfTrue="1" operator="between">
      <formula>1.25</formula>
      <formula>1.75</formula>
    </cfRule>
  </conditionalFormatting>
  <conditionalFormatting sqref="K398">
    <cfRule type="cellIs" dxfId="5049" priority="5189" stopIfTrue="1" operator="greaterThan">
      <formula>1.75</formula>
    </cfRule>
    <cfRule type="cellIs" dxfId="5048" priority="5190" stopIfTrue="1" operator="between">
      <formula>1.25</formula>
      <formula>1.75</formula>
    </cfRule>
  </conditionalFormatting>
  <conditionalFormatting sqref="K398">
    <cfRule type="cellIs" dxfId="5047" priority="5187" stopIfTrue="1" operator="greaterThan">
      <formula>1.75</formula>
    </cfRule>
    <cfRule type="cellIs" dxfId="5046" priority="5188" stopIfTrue="1" operator="between">
      <formula>1.25</formula>
      <formula>1.75</formula>
    </cfRule>
  </conditionalFormatting>
  <conditionalFormatting sqref="L398">
    <cfRule type="cellIs" dxfId="5045" priority="5185" stopIfTrue="1" operator="greaterThan">
      <formula>1.75</formula>
    </cfRule>
    <cfRule type="cellIs" dxfId="5044" priority="5186" stopIfTrue="1" operator="between">
      <formula>1.25</formula>
      <formula>1.75</formula>
    </cfRule>
  </conditionalFormatting>
  <conditionalFormatting sqref="L398">
    <cfRule type="cellIs" dxfId="5043" priority="5183" stopIfTrue="1" operator="greaterThan">
      <formula>1.75</formula>
    </cfRule>
    <cfRule type="cellIs" dxfId="5042" priority="5184" stopIfTrue="1" operator="between">
      <formula>1.25</formula>
      <formula>1.75</formula>
    </cfRule>
  </conditionalFormatting>
  <conditionalFormatting sqref="L398">
    <cfRule type="cellIs" dxfId="5041" priority="5181" stopIfTrue="1" operator="greaterThan">
      <formula>1.75</formula>
    </cfRule>
    <cfRule type="cellIs" dxfId="5040" priority="5182" stopIfTrue="1" operator="between">
      <formula>1.25</formula>
      <formula>1.75</formula>
    </cfRule>
  </conditionalFormatting>
  <conditionalFormatting sqref="S398">
    <cfRule type="cellIs" dxfId="5039" priority="5179" stopIfTrue="1" operator="greaterThan">
      <formula>1.75</formula>
    </cfRule>
    <cfRule type="cellIs" dxfId="5038" priority="5180" stopIfTrue="1" operator="between">
      <formula>1.25</formula>
      <formula>1.75</formula>
    </cfRule>
  </conditionalFormatting>
  <conditionalFormatting sqref="S398">
    <cfRule type="cellIs" dxfId="5037" priority="5177" stopIfTrue="1" operator="greaterThan">
      <formula>1.75</formula>
    </cfRule>
    <cfRule type="cellIs" dxfId="5036" priority="5178" stopIfTrue="1" operator="between">
      <formula>1.25</formula>
      <formula>1.75</formula>
    </cfRule>
  </conditionalFormatting>
  <conditionalFormatting sqref="S398">
    <cfRule type="cellIs" dxfId="5035" priority="5175" stopIfTrue="1" operator="greaterThan">
      <formula>1.75</formula>
    </cfRule>
    <cfRule type="cellIs" dxfId="5034" priority="5176" stopIfTrue="1" operator="between">
      <formula>1.25</formula>
      <formula>1.75</formula>
    </cfRule>
  </conditionalFormatting>
  <conditionalFormatting sqref="C398:I398 M398:O398">
    <cfRule type="cellIs" dxfId="5033" priority="5223" stopIfTrue="1" operator="greaterThan">
      <formula>1.75</formula>
    </cfRule>
    <cfRule type="cellIs" dxfId="5032" priority="5224" stopIfTrue="1" operator="between">
      <formula>1.25</formula>
      <formula>1.75</formula>
    </cfRule>
  </conditionalFormatting>
  <conditionalFormatting sqref="J362">
    <cfRule type="cellIs" dxfId="5031" priority="5171" stopIfTrue="1" operator="greaterThan">
      <formula>1.75</formula>
    </cfRule>
    <cfRule type="cellIs" dxfId="5030" priority="5172" stopIfTrue="1" operator="between">
      <formula>1.25</formula>
      <formula>1.75</formula>
    </cfRule>
  </conditionalFormatting>
  <conditionalFormatting sqref="V361">
    <cfRule type="cellIs" dxfId="5029" priority="5173" operator="lessThan">
      <formula>1000</formula>
    </cfRule>
    <cfRule type="cellIs" dxfId="5028" priority="5174" operator="lessThan">
      <formula>2000</formula>
    </cfRule>
  </conditionalFormatting>
  <conditionalFormatting sqref="C362:I362 M362:O362">
    <cfRule type="cellIs" dxfId="5027" priority="5167" stopIfTrue="1" operator="greaterThan">
      <formula>1.75</formula>
    </cfRule>
    <cfRule type="cellIs" dxfId="5026" priority="5168" stopIfTrue="1" operator="between">
      <formula>1.25</formula>
      <formula>1.75</formula>
    </cfRule>
  </conditionalFormatting>
  <conditionalFormatting sqref="C362:I362 M362:O362">
    <cfRule type="cellIs" dxfId="5025" priority="5165" stopIfTrue="1" operator="greaterThan">
      <formula>1.75</formula>
    </cfRule>
    <cfRule type="cellIs" dxfId="5024" priority="5166" stopIfTrue="1" operator="between">
      <formula>1.25</formula>
      <formula>1.75</formula>
    </cfRule>
  </conditionalFormatting>
  <conditionalFormatting sqref="P362">
    <cfRule type="cellIs" dxfId="5023" priority="5163" stopIfTrue="1" operator="greaterThan">
      <formula>1.75</formula>
    </cfRule>
    <cfRule type="cellIs" dxfId="5022" priority="5164" stopIfTrue="1" operator="between">
      <formula>1.25</formula>
      <formula>1.75</formula>
    </cfRule>
  </conditionalFormatting>
  <conditionalFormatting sqref="P362">
    <cfRule type="cellIs" dxfId="5021" priority="5161" stopIfTrue="1" operator="greaterThan">
      <formula>1.75</formula>
    </cfRule>
    <cfRule type="cellIs" dxfId="5020" priority="5162" stopIfTrue="1" operator="between">
      <formula>1.25</formula>
      <formula>1.75</formula>
    </cfRule>
  </conditionalFormatting>
  <conditionalFormatting sqref="P362">
    <cfRule type="cellIs" dxfId="5019" priority="5159" stopIfTrue="1" operator="greaterThan">
      <formula>1.75</formula>
    </cfRule>
    <cfRule type="cellIs" dxfId="5018" priority="5160" stopIfTrue="1" operator="between">
      <formula>1.25</formula>
      <formula>1.75</formula>
    </cfRule>
  </conditionalFormatting>
  <conditionalFormatting sqref="U362">
    <cfRule type="cellIs" dxfId="5017" priority="5157" stopIfTrue="1" operator="greaterThan">
      <formula>1.75</formula>
    </cfRule>
    <cfRule type="cellIs" dxfId="5016" priority="5158" stopIfTrue="1" operator="between">
      <formula>1.25</formula>
      <formula>1.75</formula>
    </cfRule>
  </conditionalFormatting>
  <conditionalFormatting sqref="T362">
    <cfRule type="cellIs" dxfId="5015" priority="5155" stopIfTrue="1" operator="greaterThan">
      <formula>1.75</formula>
    </cfRule>
    <cfRule type="cellIs" dxfId="5014" priority="5156" stopIfTrue="1" operator="between">
      <formula>1.25</formula>
      <formula>1.75</formula>
    </cfRule>
  </conditionalFormatting>
  <conditionalFormatting sqref="Q362">
    <cfRule type="cellIs" dxfId="5013" priority="5153" stopIfTrue="1" operator="greaterThan">
      <formula>1.75</formula>
    </cfRule>
    <cfRule type="cellIs" dxfId="5012" priority="5154" stopIfTrue="1" operator="between">
      <formula>1.25</formula>
      <formula>1.75</formula>
    </cfRule>
  </conditionalFormatting>
  <conditionalFormatting sqref="Q362">
    <cfRule type="cellIs" dxfId="5011" priority="5151" stopIfTrue="1" operator="greaterThan">
      <formula>1.75</formula>
    </cfRule>
    <cfRule type="cellIs" dxfId="5010" priority="5152" stopIfTrue="1" operator="between">
      <formula>1.25</formula>
      <formula>1.75</formula>
    </cfRule>
  </conditionalFormatting>
  <conditionalFormatting sqref="Q362">
    <cfRule type="cellIs" dxfId="5009" priority="5149" stopIfTrue="1" operator="greaterThan">
      <formula>1.75</formula>
    </cfRule>
    <cfRule type="cellIs" dxfId="5008" priority="5150" stopIfTrue="1" operator="between">
      <formula>1.25</formula>
      <formula>1.75</formula>
    </cfRule>
  </conditionalFormatting>
  <conditionalFormatting sqref="J362">
    <cfRule type="cellIs" dxfId="5007" priority="5147" stopIfTrue="1" operator="greaterThan">
      <formula>1.75</formula>
    </cfRule>
    <cfRule type="cellIs" dxfId="5006" priority="5148" stopIfTrue="1" operator="between">
      <formula>1.25</formula>
      <formula>1.75</formula>
    </cfRule>
  </conditionalFormatting>
  <conditionalFormatting sqref="J362">
    <cfRule type="cellIs" dxfId="5005" priority="5145" stopIfTrue="1" operator="greaterThan">
      <formula>1.75</formula>
    </cfRule>
    <cfRule type="cellIs" dxfId="5004" priority="5146" stopIfTrue="1" operator="between">
      <formula>1.25</formula>
      <formula>1.75</formula>
    </cfRule>
  </conditionalFormatting>
  <conditionalFormatting sqref="R362">
    <cfRule type="cellIs" dxfId="5003" priority="5143" stopIfTrue="1" operator="greaterThan">
      <formula>1.75</formula>
    </cfRule>
    <cfRule type="cellIs" dxfId="5002" priority="5144" stopIfTrue="1" operator="between">
      <formula>1.25</formula>
      <formula>1.75</formula>
    </cfRule>
  </conditionalFormatting>
  <conditionalFormatting sqref="K362">
    <cfRule type="cellIs" dxfId="5001" priority="5141" stopIfTrue="1" operator="greaterThan">
      <formula>1.75</formula>
    </cfRule>
    <cfRule type="cellIs" dxfId="5000" priority="5142" stopIfTrue="1" operator="between">
      <formula>1.25</formula>
      <formula>1.75</formula>
    </cfRule>
  </conditionalFormatting>
  <conditionalFormatting sqref="R362">
    <cfRule type="cellIs" dxfId="4999" priority="5139" stopIfTrue="1" operator="greaterThan">
      <formula>1.75</formula>
    </cfRule>
    <cfRule type="cellIs" dxfId="4998" priority="5140" stopIfTrue="1" operator="between">
      <formula>1.25</formula>
      <formula>1.75</formula>
    </cfRule>
  </conditionalFormatting>
  <conditionalFormatting sqref="R362">
    <cfRule type="cellIs" dxfId="4997" priority="5137" stopIfTrue="1" operator="greaterThan">
      <formula>1.75</formula>
    </cfRule>
    <cfRule type="cellIs" dxfId="4996" priority="5138" stopIfTrue="1" operator="between">
      <formula>1.25</formula>
      <formula>1.75</formula>
    </cfRule>
  </conditionalFormatting>
  <conditionalFormatting sqref="K362">
    <cfRule type="cellIs" dxfId="4995" priority="5135" stopIfTrue="1" operator="greaterThan">
      <formula>1.75</formula>
    </cfRule>
    <cfRule type="cellIs" dxfId="4994" priority="5136" stopIfTrue="1" operator="between">
      <formula>1.25</formula>
      <formula>1.75</formula>
    </cfRule>
  </conditionalFormatting>
  <conditionalFormatting sqref="K362">
    <cfRule type="cellIs" dxfId="4993" priority="5133" stopIfTrue="1" operator="greaterThan">
      <formula>1.75</formula>
    </cfRule>
    <cfRule type="cellIs" dxfId="4992" priority="5134" stopIfTrue="1" operator="between">
      <formula>1.25</formula>
      <formula>1.75</formula>
    </cfRule>
  </conditionalFormatting>
  <conditionalFormatting sqref="L362">
    <cfRule type="cellIs" dxfId="4991" priority="5131" stopIfTrue="1" operator="greaterThan">
      <formula>1.75</formula>
    </cfRule>
    <cfRule type="cellIs" dxfId="4990" priority="5132" stopIfTrue="1" operator="between">
      <formula>1.25</formula>
      <formula>1.75</formula>
    </cfRule>
  </conditionalFormatting>
  <conditionalFormatting sqref="L362">
    <cfRule type="cellIs" dxfId="4989" priority="5129" stopIfTrue="1" operator="greaterThan">
      <formula>1.75</formula>
    </cfRule>
    <cfRule type="cellIs" dxfId="4988" priority="5130" stopIfTrue="1" operator="between">
      <formula>1.25</formula>
      <formula>1.75</formula>
    </cfRule>
  </conditionalFormatting>
  <conditionalFormatting sqref="L362">
    <cfRule type="cellIs" dxfId="4987" priority="5127" stopIfTrue="1" operator="greaterThan">
      <formula>1.75</formula>
    </cfRule>
    <cfRule type="cellIs" dxfId="4986" priority="5128" stopIfTrue="1" operator="between">
      <formula>1.25</formula>
      <formula>1.75</formula>
    </cfRule>
  </conditionalFormatting>
  <conditionalFormatting sqref="S362">
    <cfRule type="cellIs" dxfId="4985" priority="5125" stopIfTrue="1" operator="greaterThan">
      <formula>1.75</formula>
    </cfRule>
    <cfRule type="cellIs" dxfId="4984" priority="5126" stopIfTrue="1" operator="between">
      <formula>1.25</formula>
      <formula>1.75</formula>
    </cfRule>
  </conditionalFormatting>
  <conditionalFormatting sqref="S362">
    <cfRule type="cellIs" dxfId="4983" priority="5123" stopIfTrue="1" operator="greaterThan">
      <formula>1.75</formula>
    </cfRule>
    <cfRule type="cellIs" dxfId="4982" priority="5124" stopIfTrue="1" operator="between">
      <formula>1.25</formula>
      <formula>1.75</formula>
    </cfRule>
  </conditionalFormatting>
  <conditionalFormatting sqref="S362">
    <cfRule type="cellIs" dxfId="4981" priority="5121" stopIfTrue="1" operator="greaterThan">
      <formula>1.75</formula>
    </cfRule>
    <cfRule type="cellIs" dxfId="4980" priority="5122" stopIfTrue="1" operator="between">
      <formula>1.25</formula>
      <formula>1.75</formula>
    </cfRule>
  </conditionalFormatting>
  <conditionalFormatting sqref="C362:I362 M362:O362">
    <cfRule type="cellIs" dxfId="4979" priority="5169" stopIfTrue="1" operator="greaterThan">
      <formula>1.75</formula>
    </cfRule>
    <cfRule type="cellIs" dxfId="4978" priority="5170" stopIfTrue="1" operator="between">
      <formula>1.25</formula>
      <formula>1.75</formula>
    </cfRule>
  </conditionalFormatting>
  <conditionalFormatting sqref="J348">
    <cfRule type="cellIs" dxfId="4977" priority="5117" stopIfTrue="1" operator="greaterThan">
      <formula>1.75</formula>
    </cfRule>
    <cfRule type="cellIs" dxfId="4976" priority="5118" stopIfTrue="1" operator="between">
      <formula>1.25</formula>
      <formula>1.75</formula>
    </cfRule>
  </conditionalFormatting>
  <conditionalFormatting sqref="V347">
    <cfRule type="cellIs" dxfId="4975" priority="5119" operator="lessThan">
      <formula>1000</formula>
    </cfRule>
    <cfRule type="cellIs" dxfId="4974" priority="5120" operator="lessThan">
      <formula>2000</formula>
    </cfRule>
  </conditionalFormatting>
  <conditionalFormatting sqref="C348:I348 M348:O348">
    <cfRule type="cellIs" dxfId="4973" priority="5113" stopIfTrue="1" operator="greaterThan">
      <formula>1.75</formula>
    </cfRule>
    <cfRule type="cellIs" dxfId="4972" priority="5114" stopIfTrue="1" operator="between">
      <formula>1.25</formula>
      <formula>1.75</formula>
    </cfRule>
  </conditionalFormatting>
  <conditionalFormatting sqref="C348:I348 M348:O348">
    <cfRule type="cellIs" dxfId="4971" priority="5111" stopIfTrue="1" operator="greaterThan">
      <formula>1.75</formula>
    </cfRule>
    <cfRule type="cellIs" dxfId="4970" priority="5112" stopIfTrue="1" operator="between">
      <formula>1.25</formula>
      <formula>1.75</formula>
    </cfRule>
  </conditionalFormatting>
  <conditionalFormatting sqref="P348">
    <cfRule type="cellIs" dxfId="4969" priority="5109" stopIfTrue="1" operator="greaterThan">
      <formula>1.75</formula>
    </cfRule>
    <cfRule type="cellIs" dxfId="4968" priority="5110" stopIfTrue="1" operator="between">
      <formula>1.25</formula>
      <formula>1.75</formula>
    </cfRule>
  </conditionalFormatting>
  <conditionalFormatting sqref="P348">
    <cfRule type="cellIs" dxfId="4967" priority="5107" stopIfTrue="1" operator="greaterThan">
      <formula>1.75</formula>
    </cfRule>
    <cfRule type="cellIs" dxfId="4966" priority="5108" stopIfTrue="1" operator="between">
      <formula>1.25</formula>
      <formula>1.75</formula>
    </cfRule>
  </conditionalFormatting>
  <conditionalFormatting sqref="P348">
    <cfRule type="cellIs" dxfId="4965" priority="5105" stopIfTrue="1" operator="greaterThan">
      <formula>1.75</formula>
    </cfRule>
    <cfRule type="cellIs" dxfId="4964" priority="5106" stopIfTrue="1" operator="between">
      <formula>1.25</formula>
      <formula>1.75</formula>
    </cfRule>
  </conditionalFormatting>
  <conditionalFormatting sqref="U348">
    <cfRule type="cellIs" dxfId="4963" priority="5103" stopIfTrue="1" operator="greaterThan">
      <formula>1.75</formula>
    </cfRule>
    <cfRule type="cellIs" dxfId="4962" priority="5104" stopIfTrue="1" operator="between">
      <formula>1.25</formula>
      <formula>1.75</formula>
    </cfRule>
  </conditionalFormatting>
  <conditionalFormatting sqref="T348">
    <cfRule type="cellIs" dxfId="4961" priority="5101" stopIfTrue="1" operator="greaterThan">
      <formula>1.75</formula>
    </cfRule>
    <cfRule type="cellIs" dxfId="4960" priority="5102" stopIfTrue="1" operator="between">
      <formula>1.25</formula>
      <formula>1.75</formula>
    </cfRule>
  </conditionalFormatting>
  <conditionalFormatting sqref="Q348">
    <cfRule type="cellIs" dxfId="4959" priority="5099" stopIfTrue="1" operator="greaterThan">
      <formula>1.75</formula>
    </cfRule>
    <cfRule type="cellIs" dxfId="4958" priority="5100" stopIfTrue="1" operator="between">
      <formula>1.25</formula>
      <formula>1.75</formula>
    </cfRule>
  </conditionalFormatting>
  <conditionalFormatting sqref="Q348">
    <cfRule type="cellIs" dxfId="4957" priority="5097" stopIfTrue="1" operator="greaterThan">
      <formula>1.75</formula>
    </cfRule>
    <cfRule type="cellIs" dxfId="4956" priority="5098" stopIfTrue="1" operator="between">
      <formula>1.25</formula>
      <formula>1.75</formula>
    </cfRule>
  </conditionalFormatting>
  <conditionalFormatting sqref="Q348">
    <cfRule type="cellIs" dxfId="4955" priority="5095" stopIfTrue="1" operator="greaterThan">
      <formula>1.75</formula>
    </cfRule>
    <cfRule type="cellIs" dxfId="4954" priority="5096" stopIfTrue="1" operator="between">
      <formula>1.25</formula>
      <formula>1.75</formula>
    </cfRule>
  </conditionalFormatting>
  <conditionalFormatting sqref="J348">
    <cfRule type="cellIs" dxfId="4953" priority="5093" stopIfTrue="1" operator="greaterThan">
      <formula>1.75</formula>
    </cfRule>
    <cfRule type="cellIs" dxfId="4952" priority="5094" stopIfTrue="1" operator="between">
      <formula>1.25</formula>
      <formula>1.75</formula>
    </cfRule>
  </conditionalFormatting>
  <conditionalFormatting sqref="J348">
    <cfRule type="cellIs" dxfId="4951" priority="5091" stopIfTrue="1" operator="greaterThan">
      <formula>1.75</formula>
    </cfRule>
    <cfRule type="cellIs" dxfId="4950" priority="5092" stopIfTrue="1" operator="between">
      <formula>1.25</formula>
      <formula>1.75</formula>
    </cfRule>
  </conditionalFormatting>
  <conditionalFormatting sqref="R348">
    <cfRule type="cellIs" dxfId="4949" priority="5089" stopIfTrue="1" operator="greaterThan">
      <formula>1.75</formula>
    </cfRule>
    <cfRule type="cellIs" dxfId="4948" priority="5090" stopIfTrue="1" operator="between">
      <formula>1.25</formula>
      <formula>1.75</formula>
    </cfRule>
  </conditionalFormatting>
  <conditionalFormatting sqref="K348">
    <cfRule type="cellIs" dxfId="4947" priority="5087" stopIfTrue="1" operator="greaterThan">
      <formula>1.75</formula>
    </cfRule>
    <cfRule type="cellIs" dxfId="4946" priority="5088" stopIfTrue="1" operator="between">
      <formula>1.25</formula>
      <formula>1.75</formula>
    </cfRule>
  </conditionalFormatting>
  <conditionalFormatting sqref="R348">
    <cfRule type="cellIs" dxfId="4945" priority="5085" stopIfTrue="1" operator="greaterThan">
      <formula>1.75</formula>
    </cfRule>
    <cfRule type="cellIs" dxfId="4944" priority="5086" stopIfTrue="1" operator="between">
      <formula>1.25</formula>
      <formula>1.75</formula>
    </cfRule>
  </conditionalFormatting>
  <conditionalFormatting sqref="R348">
    <cfRule type="cellIs" dxfId="4943" priority="5083" stopIfTrue="1" operator="greaterThan">
      <formula>1.75</formula>
    </cfRule>
    <cfRule type="cellIs" dxfId="4942" priority="5084" stopIfTrue="1" operator="between">
      <formula>1.25</formula>
      <formula>1.75</formula>
    </cfRule>
  </conditionalFormatting>
  <conditionalFormatting sqref="K348">
    <cfRule type="cellIs" dxfId="4941" priority="5081" stopIfTrue="1" operator="greaterThan">
      <formula>1.75</formula>
    </cfRule>
    <cfRule type="cellIs" dxfId="4940" priority="5082" stopIfTrue="1" operator="between">
      <formula>1.25</formula>
      <formula>1.75</formula>
    </cfRule>
  </conditionalFormatting>
  <conditionalFormatting sqref="K348">
    <cfRule type="cellIs" dxfId="4939" priority="5079" stopIfTrue="1" operator="greaterThan">
      <formula>1.75</formula>
    </cfRule>
    <cfRule type="cellIs" dxfId="4938" priority="5080" stopIfTrue="1" operator="between">
      <formula>1.25</formula>
      <formula>1.75</formula>
    </cfRule>
  </conditionalFormatting>
  <conditionalFormatting sqref="L348">
    <cfRule type="cellIs" dxfId="4937" priority="5077" stopIfTrue="1" operator="greaterThan">
      <formula>1.75</formula>
    </cfRule>
    <cfRule type="cellIs" dxfId="4936" priority="5078" stopIfTrue="1" operator="between">
      <formula>1.25</formula>
      <formula>1.75</formula>
    </cfRule>
  </conditionalFormatting>
  <conditionalFormatting sqref="L348">
    <cfRule type="cellIs" dxfId="4935" priority="5075" stopIfTrue="1" operator="greaterThan">
      <formula>1.75</formula>
    </cfRule>
    <cfRule type="cellIs" dxfId="4934" priority="5076" stopIfTrue="1" operator="between">
      <formula>1.25</formula>
      <formula>1.75</formula>
    </cfRule>
  </conditionalFormatting>
  <conditionalFormatting sqref="L348">
    <cfRule type="cellIs" dxfId="4933" priority="5073" stopIfTrue="1" operator="greaterThan">
      <formula>1.75</formula>
    </cfRule>
    <cfRule type="cellIs" dxfId="4932" priority="5074" stopIfTrue="1" operator="between">
      <formula>1.25</formula>
      <formula>1.75</formula>
    </cfRule>
  </conditionalFormatting>
  <conditionalFormatting sqref="S348">
    <cfRule type="cellIs" dxfId="4931" priority="5071" stopIfTrue="1" operator="greaterThan">
      <formula>1.75</formula>
    </cfRule>
    <cfRule type="cellIs" dxfId="4930" priority="5072" stopIfTrue="1" operator="between">
      <formula>1.25</formula>
      <formula>1.75</formula>
    </cfRule>
  </conditionalFormatting>
  <conditionalFormatting sqref="S348">
    <cfRule type="cellIs" dxfId="4929" priority="5069" stopIfTrue="1" operator="greaterThan">
      <formula>1.75</formula>
    </cfRule>
    <cfRule type="cellIs" dxfId="4928" priority="5070" stopIfTrue="1" operator="between">
      <formula>1.25</formula>
      <formula>1.75</formula>
    </cfRule>
  </conditionalFormatting>
  <conditionalFormatting sqref="S348">
    <cfRule type="cellIs" dxfId="4927" priority="5067" stopIfTrue="1" operator="greaterThan">
      <formula>1.75</formula>
    </cfRule>
    <cfRule type="cellIs" dxfId="4926" priority="5068" stopIfTrue="1" operator="between">
      <formula>1.25</formula>
      <formula>1.75</formula>
    </cfRule>
  </conditionalFormatting>
  <conditionalFormatting sqref="C348:I348 M348:O348">
    <cfRule type="cellIs" dxfId="4925" priority="5115" stopIfTrue="1" operator="greaterThan">
      <formula>1.75</formula>
    </cfRule>
    <cfRule type="cellIs" dxfId="4924" priority="5116" stopIfTrue="1" operator="between">
      <formula>1.25</formula>
      <formula>1.75</formula>
    </cfRule>
  </conditionalFormatting>
  <conditionalFormatting sqref="C350:E350">
    <cfRule type="cellIs" dxfId="4923" priority="5059" stopIfTrue="1" operator="greaterThan">
      <formula>1.75</formula>
    </cfRule>
    <cfRule type="cellIs" dxfId="4922" priority="5060" stopIfTrue="1" operator="between">
      <formula>1.25</formula>
      <formula>1.75</formula>
    </cfRule>
  </conditionalFormatting>
  <conditionalFormatting sqref="C350:E350">
    <cfRule type="cellIs" dxfId="4921" priority="5061" stopIfTrue="1" operator="greaterThan">
      <formula>1.75</formula>
    </cfRule>
    <cfRule type="cellIs" dxfId="4920" priority="5062" stopIfTrue="1" operator="between">
      <formula>1.25</formula>
      <formula>1.75</formula>
    </cfRule>
  </conditionalFormatting>
  <conditionalFormatting sqref="F350:U350">
    <cfRule type="cellIs" dxfId="4919" priority="5013" stopIfTrue="1" operator="greaterThan">
      <formula>1.75</formula>
    </cfRule>
    <cfRule type="cellIs" dxfId="4918" priority="5014" stopIfTrue="1" operator="between">
      <formula>1.25</formula>
      <formula>1.75</formula>
    </cfRule>
  </conditionalFormatting>
  <conditionalFormatting sqref="F350:U350">
    <cfRule type="cellIs" dxfId="4917" priority="5011" stopIfTrue="1" operator="greaterThan">
      <formula>1.75</formula>
    </cfRule>
    <cfRule type="cellIs" dxfId="4916" priority="5012" stopIfTrue="1" operator="between">
      <formula>1.25</formula>
      <formula>1.75</formula>
    </cfRule>
  </conditionalFormatting>
  <conditionalFormatting sqref="F350:U350">
    <cfRule type="cellIs" dxfId="4915" priority="5009" stopIfTrue="1" operator="greaterThan">
      <formula>1.75</formula>
    </cfRule>
    <cfRule type="cellIs" dxfId="4914" priority="5010" stopIfTrue="1" operator="between">
      <formula>1.25</formula>
      <formula>1.75</formula>
    </cfRule>
  </conditionalFormatting>
  <conditionalFormatting sqref="C350:E350">
    <cfRule type="cellIs" dxfId="4913" priority="5063" stopIfTrue="1" operator="greaterThan">
      <formula>1.75</formula>
    </cfRule>
    <cfRule type="cellIs" dxfId="4912" priority="5064" stopIfTrue="1" operator="between">
      <formula>1.25</formula>
      <formula>1.75</formula>
    </cfRule>
  </conditionalFormatting>
  <conditionalFormatting sqref="J334">
    <cfRule type="cellIs" dxfId="4911" priority="4981" stopIfTrue="1" operator="greaterThan">
      <formula>1.75</formula>
    </cfRule>
    <cfRule type="cellIs" dxfId="4910" priority="4982" stopIfTrue="1" operator="between">
      <formula>1.25</formula>
      <formula>1.75</formula>
    </cfRule>
  </conditionalFormatting>
  <conditionalFormatting sqref="V333">
    <cfRule type="cellIs" dxfId="4909" priority="4983" operator="lessThan">
      <formula>1000</formula>
    </cfRule>
    <cfRule type="cellIs" dxfId="4908" priority="4984" operator="lessThan">
      <formula>2000</formula>
    </cfRule>
  </conditionalFormatting>
  <conditionalFormatting sqref="C334:I334 M334:O334">
    <cfRule type="cellIs" dxfId="4907" priority="4977" stopIfTrue="1" operator="greaterThan">
      <formula>1.75</formula>
    </cfRule>
    <cfRule type="cellIs" dxfId="4906" priority="4978" stopIfTrue="1" operator="between">
      <formula>1.25</formula>
      <formula>1.75</formula>
    </cfRule>
  </conditionalFormatting>
  <conditionalFormatting sqref="C334:I334 M334:O334">
    <cfRule type="cellIs" dxfId="4905" priority="4975" stopIfTrue="1" operator="greaterThan">
      <formula>1.75</formula>
    </cfRule>
    <cfRule type="cellIs" dxfId="4904" priority="4976" stopIfTrue="1" operator="between">
      <formula>1.25</formula>
      <formula>1.75</formula>
    </cfRule>
  </conditionalFormatting>
  <conditionalFormatting sqref="P334">
    <cfRule type="cellIs" dxfId="4903" priority="4973" stopIfTrue="1" operator="greaterThan">
      <formula>1.75</formula>
    </cfRule>
    <cfRule type="cellIs" dxfId="4902" priority="4974" stopIfTrue="1" operator="between">
      <formula>1.25</formula>
      <formula>1.75</formula>
    </cfRule>
  </conditionalFormatting>
  <conditionalFormatting sqref="P334">
    <cfRule type="cellIs" dxfId="4901" priority="4971" stopIfTrue="1" operator="greaterThan">
      <formula>1.75</formula>
    </cfRule>
    <cfRule type="cellIs" dxfId="4900" priority="4972" stopIfTrue="1" operator="between">
      <formula>1.25</formula>
      <formula>1.75</formula>
    </cfRule>
  </conditionalFormatting>
  <conditionalFormatting sqref="P334">
    <cfRule type="cellIs" dxfId="4899" priority="4969" stopIfTrue="1" operator="greaterThan">
      <formula>1.75</formula>
    </cfRule>
    <cfRule type="cellIs" dxfId="4898" priority="4970" stopIfTrue="1" operator="between">
      <formula>1.25</formula>
      <formula>1.75</formula>
    </cfRule>
  </conditionalFormatting>
  <conditionalFormatting sqref="U334">
    <cfRule type="cellIs" dxfId="4897" priority="4967" stopIfTrue="1" operator="greaterThan">
      <formula>1.75</formula>
    </cfRule>
    <cfRule type="cellIs" dxfId="4896" priority="4968" stopIfTrue="1" operator="between">
      <formula>1.25</formula>
      <formula>1.75</formula>
    </cfRule>
  </conditionalFormatting>
  <conditionalFormatting sqref="T334">
    <cfRule type="cellIs" dxfId="4895" priority="4965" stopIfTrue="1" operator="greaterThan">
      <formula>1.75</formula>
    </cfRule>
    <cfRule type="cellIs" dxfId="4894" priority="4966" stopIfTrue="1" operator="between">
      <formula>1.25</formula>
      <formula>1.75</formula>
    </cfRule>
  </conditionalFormatting>
  <conditionalFormatting sqref="Q334">
    <cfRule type="cellIs" dxfId="4893" priority="4963" stopIfTrue="1" operator="greaterThan">
      <formula>1.75</formula>
    </cfRule>
    <cfRule type="cellIs" dxfId="4892" priority="4964" stopIfTrue="1" operator="between">
      <formula>1.25</formula>
      <formula>1.75</formula>
    </cfRule>
  </conditionalFormatting>
  <conditionalFormatting sqref="Q334">
    <cfRule type="cellIs" dxfId="4891" priority="4961" stopIfTrue="1" operator="greaterThan">
      <formula>1.75</formula>
    </cfRule>
    <cfRule type="cellIs" dxfId="4890" priority="4962" stopIfTrue="1" operator="between">
      <formula>1.25</formula>
      <formula>1.75</formula>
    </cfRule>
  </conditionalFormatting>
  <conditionalFormatting sqref="Q334">
    <cfRule type="cellIs" dxfId="4889" priority="4959" stopIfTrue="1" operator="greaterThan">
      <formula>1.75</formula>
    </cfRule>
    <cfRule type="cellIs" dxfId="4888" priority="4960" stopIfTrue="1" operator="between">
      <formula>1.25</formula>
      <formula>1.75</formula>
    </cfRule>
  </conditionalFormatting>
  <conditionalFormatting sqref="J334">
    <cfRule type="cellIs" dxfId="4887" priority="4957" stopIfTrue="1" operator="greaterThan">
      <formula>1.75</formula>
    </cfRule>
    <cfRule type="cellIs" dxfId="4886" priority="4958" stopIfTrue="1" operator="between">
      <formula>1.25</formula>
      <formula>1.75</formula>
    </cfRule>
  </conditionalFormatting>
  <conditionalFormatting sqref="J334">
    <cfRule type="cellIs" dxfId="4885" priority="4955" stopIfTrue="1" operator="greaterThan">
      <formula>1.75</formula>
    </cfRule>
    <cfRule type="cellIs" dxfId="4884" priority="4956" stopIfTrue="1" operator="between">
      <formula>1.25</formula>
      <formula>1.75</formula>
    </cfRule>
  </conditionalFormatting>
  <conditionalFormatting sqref="R334">
    <cfRule type="cellIs" dxfId="4883" priority="4953" stopIfTrue="1" operator="greaterThan">
      <formula>1.75</formula>
    </cfRule>
    <cfRule type="cellIs" dxfId="4882" priority="4954" stopIfTrue="1" operator="between">
      <formula>1.25</formula>
      <formula>1.75</formula>
    </cfRule>
  </conditionalFormatting>
  <conditionalFormatting sqref="K334">
    <cfRule type="cellIs" dxfId="4881" priority="4951" stopIfTrue="1" operator="greaterThan">
      <formula>1.75</formula>
    </cfRule>
    <cfRule type="cellIs" dxfId="4880" priority="4952" stopIfTrue="1" operator="between">
      <formula>1.25</formula>
      <formula>1.75</formula>
    </cfRule>
  </conditionalFormatting>
  <conditionalFormatting sqref="R334">
    <cfRule type="cellIs" dxfId="4879" priority="4949" stopIfTrue="1" operator="greaterThan">
      <formula>1.75</formula>
    </cfRule>
    <cfRule type="cellIs" dxfId="4878" priority="4950" stopIfTrue="1" operator="between">
      <formula>1.25</formula>
      <formula>1.75</formula>
    </cfRule>
  </conditionalFormatting>
  <conditionalFormatting sqref="R334">
    <cfRule type="cellIs" dxfId="4877" priority="4947" stopIfTrue="1" operator="greaterThan">
      <formula>1.75</formula>
    </cfRule>
    <cfRule type="cellIs" dxfId="4876" priority="4948" stopIfTrue="1" operator="between">
      <formula>1.25</formula>
      <formula>1.75</formula>
    </cfRule>
  </conditionalFormatting>
  <conditionalFormatting sqref="K334">
    <cfRule type="cellIs" dxfId="4875" priority="4945" stopIfTrue="1" operator="greaterThan">
      <formula>1.75</formula>
    </cfRule>
    <cfRule type="cellIs" dxfId="4874" priority="4946" stopIfTrue="1" operator="between">
      <formula>1.25</formula>
      <formula>1.75</formula>
    </cfRule>
  </conditionalFormatting>
  <conditionalFormatting sqref="K334">
    <cfRule type="cellIs" dxfId="4873" priority="4943" stopIfTrue="1" operator="greaterThan">
      <formula>1.75</formula>
    </cfRule>
    <cfRule type="cellIs" dxfId="4872" priority="4944" stopIfTrue="1" operator="between">
      <formula>1.25</formula>
      <formula>1.75</formula>
    </cfRule>
  </conditionalFormatting>
  <conditionalFormatting sqref="L334">
    <cfRule type="cellIs" dxfId="4871" priority="4941" stopIfTrue="1" operator="greaterThan">
      <formula>1.75</formula>
    </cfRule>
    <cfRule type="cellIs" dxfId="4870" priority="4942" stopIfTrue="1" operator="between">
      <formula>1.25</formula>
      <formula>1.75</formula>
    </cfRule>
  </conditionalFormatting>
  <conditionalFormatting sqref="L334">
    <cfRule type="cellIs" dxfId="4869" priority="4939" stopIfTrue="1" operator="greaterThan">
      <formula>1.75</formula>
    </cfRule>
    <cfRule type="cellIs" dxfId="4868" priority="4940" stopIfTrue="1" operator="between">
      <formula>1.25</formula>
      <formula>1.75</formula>
    </cfRule>
  </conditionalFormatting>
  <conditionalFormatting sqref="L334">
    <cfRule type="cellIs" dxfId="4867" priority="4937" stopIfTrue="1" operator="greaterThan">
      <formula>1.75</formula>
    </cfRule>
    <cfRule type="cellIs" dxfId="4866" priority="4938" stopIfTrue="1" operator="between">
      <formula>1.25</formula>
      <formula>1.75</formula>
    </cfRule>
  </conditionalFormatting>
  <conditionalFormatting sqref="S334">
    <cfRule type="cellIs" dxfId="4865" priority="4935" stopIfTrue="1" operator="greaterThan">
      <formula>1.75</formula>
    </cfRule>
    <cfRule type="cellIs" dxfId="4864" priority="4936" stopIfTrue="1" operator="between">
      <formula>1.25</formula>
      <formula>1.75</formula>
    </cfRule>
  </conditionalFormatting>
  <conditionalFormatting sqref="S334">
    <cfRule type="cellIs" dxfId="4863" priority="4933" stopIfTrue="1" operator="greaterThan">
      <formula>1.75</formula>
    </cfRule>
    <cfRule type="cellIs" dxfId="4862" priority="4934" stopIfTrue="1" operator="between">
      <formula>1.25</formula>
      <formula>1.75</formula>
    </cfRule>
  </conditionalFormatting>
  <conditionalFormatting sqref="S334">
    <cfRule type="cellIs" dxfId="4861" priority="4931" stopIfTrue="1" operator="greaterThan">
      <formula>1.75</formula>
    </cfRule>
    <cfRule type="cellIs" dxfId="4860" priority="4932" stopIfTrue="1" operator="between">
      <formula>1.25</formula>
      <formula>1.75</formula>
    </cfRule>
  </conditionalFormatting>
  <conditionalFormatting sqref="C334:I334 M334:O334">
    <cfRule type="cellIs" dxfId="4859" priority="4979" stopIfTrue="1" operator="greaterThan">
      <formula>1.75</formula>
    </cfRule>
    <cfRule type="cellIs" dxfId="4858" priority="4980" stopIfTrue="1" operator="between">
      <formula>1.25</formula>
      <formula>1.75</formula>
    </cfRule>
  </conditionalFormatting>
  <conditionalFormatting sqref="C336:E336">
    <cfRule type="cellIs" dxfId="4857" priority="4925" stopIfTrue="1" operator="greaterThan">
      <formula>1.75</formula>
    </cfRule>
    <cfRule type="cellIs" dxfId="4856" priority="4926" stopIfTrue="1" operator="between">
      <formula>1.25</formula>
      <formula>1.75</formula>
    </cfRule>
  </conditionalFormatting>
  <conditionalFormatting sqref="C336:E336">
    <cfRule type="cellIs" dxfId="4855" priority="4927" stopIfTrue="1" operator="greaterThan">
      <formula>1.75</formula>
    </cfRule>
    <cfRule type="cellIs" dxfId="4854" priority="4928" stopIfTrue="1" operator="between">
      <formula>1.25</formula>
      <formula>1.75</formula>
    </cfRule>
  </conditionalFormatting>
  <conditionalFormatting sqref="F336:U336">
    <cfRule type="cellIs" dxfId="4853" priority="4923" stopIfTrue="1" operator="greaterThan">
      <formula>1.75</formula>
    </cfRule>
    <cfRule type="cellIs" dxfId="4852" priority="4924" stopIfTrue="1" operator="between">
      <formula>1.25</formula>
      <formula>1.75</formula>
    </cfRule>
  </conditionalFormatting>
  <conditionalFormatting sqref="F336:U336">
    <cfRule type="cellIs" dxfId="4851" priority="4921" stopIfTrue="1" operator="greaterThan">
      <formula>1.75</formula>
    </cfRule>
    <cfRule type="cellIs" dxfId="4850" priority="4922" stopIfTrue="1" operator="between">
      <formula>1.25</formula>
      <formula>1.75</formula>
    </cfRule>
  </conditionalFormatting>
  <conditionalFormatting sqref="F336:U336">
    <cfRule type="cellIs" dxfId="4849" priority="4919" stopIfTrue="1" operator="greaterThan">
      <formula>1.75</formula>
    </cfRule>
    <cfRule type="cellIs" dxfId="4848" priority="4920" stopIfTrue="1" operator="between">
      <formula>1.25</formula>
      <formula>1.75</formula>
    </cfRule>
  </conditionalFormatting>
  <conditionalFormatting sqref="C336:E336">
    <cfRule type="cellIs" dxfId="4847" priority="4929" stopIfTrue="1" operator="greaterThan">
      <formula>1.75</formula>
    </cfRule>
    <cfRule type="cellIs" dxfId="4846" priority="4930" stopIfTrue="1" operator="between">
      <formula>1.25</formula>
      <formula>1.75</formula>
    </cfRule>
  </conditionalFormatting>
  <conditionalFormatting sqref="J320">
    <cfRule type="cellIs" dxfId="4845" priority="4915" stopIfTrue="1" operator="greaterThan">
      <formula>1.75</formula>
    </cfRule>
    <cfRule type="cellIs" dxfId="4844" priority="4916" stopIfTrue="1" operator="between">
      <formula>1.25</formula>
      <formula>1.75</formula>
    </cfRule>
  </conditionalFormatting>
  <conditionalFormatting sqref="W319">
    <cfRule type="cellIs" dxfId="4843" priority="4917" operator="lessThan">
      <formula>1000</formula>
    </cfRule>
    <cfRule type="cellIs" dxfId="4842" priority="4918" operator="lessThan">
      <formula>2000</formula>
    </cfRule>
  </conditionalFormatting>
  <conditionalFormatting sqref="C320:I320 M320:O320">
    <cfRule type="cellIs" dxfId="4841" priority="4911" stopIfTrue="1" operator="greaterThan">
      <formula>1.75</formula>
    </cfRule>
    <cfRule type="cellIs" dxfId="4840" priority="4912" stopIfTrue="1" operator="between">
      <formula>1.25</formula>
      <formula>1.75</formula>
    </cfRule>
  </conditionalFormatting>
  <conditionalFormatting sqref="C320:I320 M320:O320">
    <cfRule type="cellIs" dxfId="4839" priority="4909" stopIfTrue="1" operator="greaterThan">
      <formula>1.75</formula>
    </cfRule>
    <cfRule type="cellIs" dxfId="4838" priority="4910" stopIfTrue="1" operator="between">
      <formula>1.25</formula>
      <formula>1.75</formula>
    </cfRule>
  </conditionalFormatting>
  <conditionalFormatting sqref="P320">
    <cfRule type="cellIs" dxfId="4837" priority="4907" stopIfTrue="1" operator="greaterThan">
      <formula>1.75</formula>
    </cfRule>
    <cfRule type="cellIs" dxfId="4836" priority="4908" stopIfTrue="1" operator="between">
      <formula>1.25</formula>
      <formula>1.75</formula>
    </cfRule>
  </conditionalFormatting>
  <conditionalFormatting sqref="P320">
    <cfRule type="cellIs" dxfId="4835" priority="4905" stopIfTrue="1" operator="greaterThan">
      <formula>1.75</formula>
    </cfRule>
    <cfRule type="cellIs" dxfId="4834" priority="4906" stopIfTrue="1" operator="between">
      <formula>1.25</formula>
      <formula>1.75</formula>
    </cfRule>
  </conditionalFormatting>
  <conditionalFormatting sqref="P320">
    <cfRule type="cellIs" dxfId="4833" priority="4903" stopIfTrue="1" operator="greaterThan">
      <formula>1.75</formula>
    </cfRule>
    <cfRule type="cellIs" dxfId="4832" priority="4904" stopIfTrue="1" operator="between">
      <formula>1.25</formula>
      <formula>1.75</formula>
    </cfRule>
  </conditionalFormatting>
  <conditionalFormatting sqref="U320">
    <cfRule type="cellIs" dxfId="4831" priority="4901" stopIfTrue="1" operator="greaterThan">
      <formula>1.75</formula>
    </cfRule>
    <cfRule type="cellIs" dxfId="4830" priority="4902" stopIfTrue="1" operator="between">
      <formula>1.25</formula>
      <formula>1.75</formula>
    </cfRule>
  </conditionalFormatting>
  <conditionalFormatting sqref="T320">
    <cfRule type="cellIs" dxfId="4829" priority="4899" stopIfTrue="1" operator="greaterThan">
      <formula>1.75</formula>
    </cfRule>
    <cfRule type="cellIs" dxfId="4828" priority="4900" stopIfTrue="1" operator="between">
      <formula>1.25</formula>
      <formula>1.75</formula>
    </cfRule>
  </conditionalFormatting>
  <conditionalFormatting sqref="Q320">
    <cfRule type="cellIs" dxfId="4827" priority="4897" stopIfTrue="1" operator="greaterThan">
      <formula>1.75</formula>
    </cfRule>
    <cfRule type="cellIs" dxfId="4826" priority="4898" stopIfTrue="1" operator="between">
      <formula>1.25</formula>
      <formula>1.75</formula>
    </cfRule>
  </conditionalFormatting>
  <conditionalFormatting sqref="Q320">
    <cfRule type="cellIs" dxfId="4825" priority="4895" stopIfTrue="1" operator="greaterThan">
      <formula>1.75</formula>
    </cfRule>
    <cfRule type="cellIs" dxfId="4824" priority="4896" stopIfTrue="1" operator="between">
      <formula>1.25</formula>
      <formula>1.75</formula>
    </cfRule>
  </conditionalFormatting>
  <conditionalFormatting sqref="Q320">
    <cfRule type="cellIs" dxfId="4823" priority="4893" stopIfTrue="1" operator="greaterThan">
      <formula>1.75</formula>
    </cfRule>
    <cfRule type="cellIs" dxfId="4822" priority="4894" stopIfTrue="1" operator="between">
      <formula>1.25</formula>
      <formula>1.75</formula>
    </cfRule>
  </conditionalFormatting>
  <conditionalFormatting sqref="J320">
    <cfRule type="cellIs" dxfId="4821" priority="4891" stopIfTrue="1" operator="greaterThan">
      <formula>1.75</formula>
    </cfRule>
    <cfRule type="cellIs" dxfId="4820" priority="4892" stopIfTrue="1" operator="between">
      <formula>1.25</formula>
      <formula>1.75</formula>
    </cfRule>
  </conditionalFormatting>
  <conditionalFormatting sqref="J320">
    <cfRule type="cellIs" dxfId="4819" priority="4889" stopIfTrue="1" operator="greaterThan">
      <formula>1.75</formula>
    </cfRule>
    <cfRule type="cellIs" dxfId="4818" priority="4890" stopIfTrue="1" operator="between">
      <formula>1.25</formula>
      <formula>1.75</formula>
    </cfRule>
  </conditionalFormatting>
  <conditionalFormatting sqref="R320">
    <cfRule type="cellIs" dxfId="4817" priority="4887" stopIfTrue="1" operator="greaterThan">
      <formula>1.75</formula>
    </cfRule>
    <cfRule type="cellIs" dxfId="4816" priority="4888" stopIfTrue="1" operator="between">
      <formula>1.25</formula>
      <formula>1.75</formula>
    </cfRule>
  </conditionalFormatting>
  <conditionalFormatting sqref="K320">
    <cfRule type="cellIs" dxfId="4815" priority="4885" stopIfTrue="1" operator="greaterThan">
      <formula>1.75</formula>
    </cfRule>
    <cfRule type="cellIs" dxfId="4814" priority="4886" stopIfTrue="1" operator="between">
      <formula>1.25</formula>
      <formula>1.75</formula>
    </cfRule>
  </conditionalFormatting>
  <conditionalFormatting sqref="R320">
    <cfRule type="cellIs" dxfId="4813" priority="4883" stopIfTrue="1" operator="greaterThan">
      <formula>1.75</formula>
    </cfRule>
    <cfRule type="cellIs" dxfId="4812" priority="4884" stopIfTrue="1" operator="between">
      <formula>1.25</formula>
      <formula>1.75</formula>
    </cfRule>
  </conditionalFormatting>
  <conditionalFormatting sqref="R320">
    <cfRule type="cellIs" dxfId="4811" priority="4881" stopIfTrue="1" operator="greaterThan">
      <formula>1.75</formula>
    </cfRule>
    <cfRule type="cellIs" dxfId="4810" priority="4882" stopIfTrue="1" operator="between">
      <formula>1.25</formula>
      <formula>1.75</formula>
    </cfRule>
  </conditionalFormatting>
  <conditionalFormatting sqref="K320">
    <cfRule type="cellIs" dxfId="4809" priority="4879" stopIfTrue="1" operator="greaterThan">
      <formula>1.75</formula>
    </cfRule>
    <cfRule type="cellIs" dxfId="4808" priority="4880" stopIfTrue="1" operator="between">
      <formula>1.25</formula>
      <formula>1.75</formula>
    </cfRule>
  </conditionalFormatting>
  <conditionalFormatting sqref="K320">
    <cfRule type="cellIs" dxfId="4807" priority="4877" stopIfTrue="1" operator="greaterThan">
      <formula>1.75</formula>
    </cfRule>
    <cfRule type="cellIs" dxfId="4806" priority="4878" stopIfTrue="1" operator="between">
      <formula>1.25</formula>
      <formula>1.75</formula>
    </cfRule>
  </conditionalFormatting>
  <conditionalFormatting sqref="L320">
    <cfRule type="cellIs" dxfId="4805" priority="4875" stopIfTrue="1" operator="greaterThan">
      <formula>1.75</formula>
    </cfRule>
    <cfRule type="cellIs" dxfId="4804" priority="4876" stopIfTrue="1" operator="between">
      <formula>1.25</formula>
      <formula>1.75</formula>
    </cfRule>
  </conditionalFormatting>
  <conditionalFormatting sqref="L320">
    <cfRule type="cellIs" dxfId="4803" priority="4873" stopIfTrue="1" operator="greaterThan">
      <formula>1.75</formula>
    </cfRule>
    <cfRule type="cellIs" dxfId="4802" priority="4874" stopIfTrue="1" operator="between">
      <formula>1.25</formula>
      <formula>1.75</formula>
    </cfRule>
  </conditionalFormatting>
  <conditionalFormatting sqref="L320">
    <cfRule type="cellIs" dxfId="4801" priority="4871" stopIfTrue="1" operator="greaterThan">
      <formula>1.75</formula>
    </cfRule>
    <cfRule type="cellIs" dxfId="4800" priority="4872" stopIfTrue="1" operator="between">
      <formula>1.25</formula>
      <formula>1.75</formula>
    </cfRule>
  </conditionalFormatting>
  <conditionalFormatting sqref="S320">
    <cfRule type="cellIs" dxfId="4799" priority="4869" stopIfTrue="1" operator="greaterThan">
      <formula>1.75</formula>
    </cfRule>
    <cfRule type="cellIs" dxfId="4798" priority="4870" stopIfTrue="1" operator="between">
      <formula>1.25</formula>
      <formula>1.75</formula>
    </cfRule>
  </conditionalFormatting>
  <conditionalFormatting sqref="S320">
    <cfRule type="cellIs" dxfId="4797" priority="4867" stopIfTrue="1" operator="greaterThan">
      <formula>1.75</formula>
    </cfRule>
    <cfRule type="cellIs" dxfId="4796" priority="4868" stopIfTrue="1" operator="between">
      <formula>1.25</formula>
      <formula>1.75</formula>
    </cfRule>
  </conditionalFormatting>
  <conditionalFormatting sqref="S320">
    <cfRule type="cellIs" dxfId="4795" priority="4865" stopIfTrue="1" operator="greaterThan">
      <formula>1.75</formula>
    </cfRule>
    <cfRule type="cellIs" dxfId="4794" priority="4866" stopIfTrue="1" operator="between">
      <formula>1.25</formula>
      <formula>1.75</formula>
    </cfRule>
  </conditionalFormatting>
  <conditionalFormatting sqref="C320:I320 M320:O320">
    <cfRule type="cellIs" dxfId="4793" priority="4913" stopIfTrue="1" operator="greaterThan">
      <formula>1.75</formula>
    </cfRule>
    <cfRule type="cellIs" dxfId="4792" priority="4914" stopIfTrue="1" operator="between">
      <formula>1.25</formula>
      <formula>1.75</formula>
    </cfRule>
  </conditionalFormatting>
  <conditionalFormatting sqref="C322:E322">
    <cfRule type="cellIs" dxfId="4791" priority="4859" stopIfTrue="1" operator="greaterThan">
      <formula>1.75</formula>
    </cfRule>
    <cfRule type="cellIs" dxfId="4790" priority="4860" stopIfTrue="1" operator="between">
      <formula>1.25</formula>
      <formula>1.75</formula>
    </cfRule>
  </conditionalFormatting>
  <conditionalFormatting sqref="C322:E322">
    <cfRule type="cellIs" dxfId="4789" priority="4861" stopIfTrue="1" operator="greaterThan">
      <formula>1.75</formula>
    </cfRule>
    <cfRule type="cellIs" dxfId="4788" priority="4862" stopIfTrue="1" operator="between">
      <formula>1.25</formula>
      <formula>1.75</formula>
    </cfRule>
  </conditionalFormatting>
  <conditionalFormatting sqref="F322:U322">
    <cfRule type="cellIs" dxfId="4787" priority="4857" stopIfTrue="1" operator="greaterThan">
      <formula>1.75</formula>
    </cfRule>
    <cfRule type="cellIs" dxfId="4786" priority="4858" stopIfTrue="1" operator="between">
      <formula>1.25</formula>
      <formula>1.75</formula>
    </cfRule>
  </conditionalFormatting>
  <conditionalFormatting sqref="F322:U322">
    <cfRule type="cellIs" dxfId="4785" priority="4855" stopIfTrue="1" operator="greaterThan">
      <formula>1.75</formula>
    </cfRule>
    <cfRule type="cellIs" dxfId="4784" priority="4856" stopIfTrue="1" operator="between">
      <formula>1.25</formula>
      <formula>1.75</formula>
    </cfRule>
  </conditionalFormatting>
  <conditionalFormatting sqref="F322:U322">
    <cfRule type="cellIs" dxfId="4783" priority="4853" stopIfTrue="1" operator="greaterThan">
      <formula>1.75</formula>
    </cfRule>
    <cfRule type="cellIs" dxfId="4782" priority="4854" stopIfTrue="1" operator="between">
      <formula>1.25</formula>
      <formula>1.75</formula>
    </cfRule>
  </conditionalFormatting>
  <conditionalFormatting sqref="C322:E322">
    <cfRule type="cellIs" dxfId="4781" priority="4863" stopIfTrue="1" operator="greaterThan">
      <formula>1.75</formula>
    </cfRule>
    <cfRule type="cellIs" dxfId="4780" priority="4864" stopIfTrue="1" operator="between">
      <formula>1.25</formula>
      <formula>1.75</formula>
    </cfRule>
  </conditionalFormatting>
  <conditionalFormatting sqref="V320">
    <cfRule type="cellIs" dxfId="4779" priority="4851" stopIfTrue="1" operator="greaterThan">
      <formula>1.75</formula>
    </cfRule>
    <cfRule type="cellIs" dxfId="4778" priority="4852" stopIfTrue="1" operator="between">
      <formula>1.25</formula>
      <formula>1.75</formula>
    </cfRule>
  </conditionalFormatting>
  <conditionalFormatting sqref="V322">
    <cfRule type="cellIs" dxfId="4777" priority="4849" stopIfTrue="1" operator="greaterThan">
      <formula>1.75</formula>
    </cfRule>
    <cfRule type="cellIs" dxfId="4776" priority="4850" stopIfTrue="1" operator="between">
      <formula>1.25</formula>
      <formula>1.75</formula>
    </cfRule>
  </conditionalFormatting>
  <conditionalFormatting sqref="V322">
    <cfRule type="cellIs" dxfId="4775" priority="4847" stopIfTrue="1" operator="greaterThan">
      <formula>1.75</formula>
    </cfRule>
    <cfRule type="cellIs" dxfId="4774" priority="4848" stopIfTrue="1" operator="between">
      <formula>1.25</formula>
      <formula>1.75</formula>
    </cfRule>
  </conditionalFormatting>
  <conditionalFormatting sqref="V322">
    <cfRule type="cellIs" dxfId="4773" priority="4845" stopIfTrue="1" operator="greaterThan">
      <formula>1.75</formula>
    </cfRule>
    <cfRule type="cellIs" dxfId="4772" priority="4846" stopIfTrue="1" operator="between">
      <formula>1.25</formula>
      <formula>1.75</formula>
    </cfRule>
  </conditionalFormatting>
  <conditionalFormatting sqref="J306">
    <cfRule type="cellIs" dxfId="4771" priority="4841" stopIfTrue="1" operator="greaterThan">
      <formula>1.75</formula>
    </cfRule>
    <cfRule type="cellIs" dxfId="4770" priority="4842" stopIfTrue="1" operator="between">
      <formula>1.25</formula>
      <formula>1.75</formula>
    </cfRule>
  </conditionalFormatting>
  <conditionalFormatting sqref="W305">
    <cfRule type="cellIs" dxfId="4769" priority="4843" operator="lessThan">
      <formula>1000</formula>
    </cfRule>
    <cfRule type="cellIs" dxfId="4768" priority="4844" operator="lessThan">
      <formula>2000</formula>
    </cfRule>
  </conditionalFormatting>
  <conditionalFormatting sqref="C306:I306 M306:O306">
    <cfRule type="cellIs" dxfId="4767" priority="4837" stopIfTrue="1" operator="greaterThan">
      <formula>1.75</formula>
    </cfRule>
    <cfRule type="cellIs" dxfId="4766" priority="4838" stopIfTrue="1" operator="between">
      <formula>1.25</formula>
      <formula>1.75</formula>
    </cfRule>
  </conditionalFormatting>
  <conditionalFormatting sqref="C306:I306 M306:O306">
    <cfRule type="cellIs" dxfId="4765" priority="4835" stopIfTrue="1" operator="greaterThan">
      <formula>1.75</formula>
    </cfRule>
    <cfRule type="cellIs" dxfId="4764" priority="4836" stopIfTrue="1" operator="between">
      <formula>1.25</formula>
      <formula>1.75</formula>
    </cfRule>
  </conditionalFormatting>
  <conditionalFormatting sqref="P306">
    <cfRule type="cellIs" dxfId="4763" priority="4833" stopIfTrue="1" operator="greaterThan">
      <formula>1.75</formula>
    </cfRule>
    <cfRule type="cellIs" dxfId="4762" priority="4834" stopIfTrue="1" operator="between">
      <formula>1.25</formula>
      <formula>1.75</formula>
    </cfRule>
  </conditionalFormatting>
  <conditionalFormatting sqref="P306">
    <cfRule type="cellIs" dxfId="4761" priority="4831" stopIfTrue="1" operator="greaterThan">
      <formula>1.75</formula>
    </cfRule>
    <cfRule type="cellIs" dxfId="4760" priority="4832" stopIfTrue="1" operator="between">
      <formula>1.25</formula>
      <formula>1.75</formula>
    </cfRule>
  </conditionalFormatting>
  <conditionalFormatting sqref="P306">
    <cfRule type="cellIs" dxfId="4759" priority="4829" stopIfTrue="1" operator="greaterThan">
      <formula>1.75</formula>
    </cfRule>
    <cfRule type="cellIs" dxfId="4758" priority="4830" stopIfTrue="1" operator="between">
      <formula>1.25</formula>
      <formula>1.75</formula>
    </cfRule>
  </conditionalFormatting>
  <conditionalFormatting sqref="U306">
    <cfRule type="cellIs" dxfId="4757" priority="4827" stopIfTrue="1" operator="greaterThan">
      <formula>1.75</formula>
    </cfRule>
    <cfRule type="cellIs" dxfId="4756" priority="4828" stopIfTrue="1" operator="between">
      <formula>1.25</formula>
      <formula>1.75</formula>
    </cfRule>
  </conditionalFormatting>
  <conditionalFormatting sqref="T306">
    <cfRule type="cellIs" dxfId="4755" priority="4825" stopIfTrue="1" operator="greaterThan">
      <formula>1.75</formula>
    </cfRule>
    <cfRule type="cellIs" dxfId="4754" priority="4826" stopIfTrue="1" operator="between">
      <formula>1.25</formula>
      <formula>1.75</formula>
    </cfRule>
  </conditionalFormatting>
  <conditionalFormatting sqref="Q306">
    <cfRule type="cellIs" dxfId="4753" priority="4823" stopIfTrue="1" operator="greaterThan">
      <formula>1.75</formula>
    </cfRule>
    <cfRule type="cellIs" dxfId="4752" priority="4824" stopIfTrue="1" operator="between">
      <formula>1.25</formula>
      <formula>1.75</formula>
    </cfRule>
  </conditionalFormatting>
  <conditionalFormatting sqref="Q306">
    <cfRule type="cellIs" dxfId="4751" priority="4821" stopIfTrue="1" operator="greaterThan">
      <formula>1.75</formula>
    </cfRule>
    <cfRule type="cellIs" dxfId="4750" priority="4822" stopIfTrue="1" operator="between">
      <formula>1.25</formula>
      <formula>1.75</formula>
    </cfRule>
  </conditionalFormatting>
  <conditionalFormatting sqref="Q306">
    <cfRule type="cellIs" dxfId="4749" priority="4819" stopIfTrue="1" operator="greaterThan">
      <formula>1.75</formula>
    </cfRule>
    <cfRule type="cellIs" dxfId="4748" priority="4820" stopIfTrue="1" operator="between">
      <formula>1.25</formula>
      <formula>1.75</formula>
    </cfRule>
  </conditionalFormatting>
  <conditionalFormatting sqref="J306">
    <cfRule type="cellIs" dxfId="4747" priority="4817" stopIfTrue="1" operator="greaterThan">
      <formula>1.75</formula>
    </cfRule>
    <cfRule type="cellIs" dxfId="4746" priority="4818" stopIfTrue="1" operator="between">
      <formula>1.25</formula>
      <formula>1.75</formula>
    </cfRule>
  </conditionalFormatting>
  <conditionalFormatting sqref="J306">
    <cfRule type="cellIs" dxfId="4745" priority="4815" stopIfTrue="1" operator="greaterThan">
      <formula>1.75</formula>
    </cfRule>
    <cfRule type="cellIs" dxfId="4744" priority="4816" stopIfTrue="1" operator="between">
      <formula>1.25</formula>
      <formula>1.75</formula>
    </cfRule>
  </conditionalFormatting>
  <conditionalFormatting sqref="R306">
    <cfRule type="cellIs" dxfId="4743" priority="4813" stopIfTrue="1" operator="greaterThan">
      <formula>1.75</formula>
    </cfRule>
    <cfRule type="cellIs" dxfId="4742" priority="4814" stopIfTrue="1" operator="between">
      <formula>1.25</formula>
      <formula>1.75</formula>
    </cfRule>
  </conditionalFormatting>
  <conditionalFormatting sqref="K306">
    <cfRule type="cellIs" dxfId="4741" priority="4811" stopIfTrue="1" operator="greaterThan">
      <formula>1.75</formula>
    </cfRule>
    <cfRule type="cellIs" dxfId="4740" priority="4812" stopIfTrue="1" operator="between">
      <formula>1.25</formula>
      <formula>1.75</formula>
    </cfRule>
  </conditionalFormatting>
  <conditionalFormatting sqref="R306">
    <cfRule type="cellIs" dxfId="4739" priority="4809" stopIfTrue="1" operator="greaterThan">
      <formula>1.75</formula>
    </cfRule>
    <cfRule type="cellIs" dxfId="4738" priority="4810" stopIfTrue="1" operator="between">
      <formula>1.25</formula>
      <formula>1.75</formula>
    </cfRule>
  </conditionalFormatting>
  <conditionalFormatting sqref="R306">
    <cfRule type="cellIs" dxfId="4737" priority="4807" stopIfTrue="1" operator="greaterThan">
      <formula>1.75</formula>
    </cfRule>
    <cfRule type="cellIs" dxfId="4736" priority="4808" stopIfTrue="1" operator="between">
      <formula>1.25</formula>
      <formula>1.75</formula>
    </cfRule>
  </conditionalFormatting>
  <conditionalFormatting sqref="K306">
    <cfRule type="cellIs" dxfId="4735" priority="4805" stopIfTrue="1" operator="greaterThan">
      <formula>1.75</formula>
    </cfRule>
    <cfRule type="cellIs" dxfId="4734" priority="4806" stopIfTrue="1" operator="between">
      <formula>1.25</formula>
      <formula>1.75</formula>
    </cfRule>
  </conditionalFormatting>
  <conditionalFormatting sqref="K306">
    <cfRule type="cellIs" dxfId="4733" priority="4803" stopIfTrue="1" operator="greaterThan">
      <formula>1.75</formula>
    </cfRule>
    <cfRule type="cellIs" dxfId="4732" priority="4804" stopIfTrue="1" operator="between">
      <formula>1.25</formula>
      <formula>1.75</formula>
    </cfRule>
  </conditionalFormatting>
  <conditionalFormatting sqref="L306">
    <cfRule type="cellIs" dxfId="4731" priority="4801" stopIfTrue="1" operator="greaterThan">
      <formula>1.75</formula>
    </cfRule>
    <cfRule type="cellIs" dxfId="4730" priority="4802" stopIfTrue="1" operator="between">
      <formula>1.25</formula>
      <formula>1.75</formula>
    </cfRule>
  </conditionalFormatting>
  <conditionalFormatting sqref="L306">
    <cfRule type="cellIs" dxfId="4729" priority="4799" stopIfTrue="1" operator="greaterThan">
      <formula>1.75</formula>
    </cfRule>
    <cfRule type="cellIs" dxfId="4728" priority="4800" stopIfTrue="1" operator="between">
      <formula>1.25</formula>
      <formula>1.75</formula>
    </cfRule>
  </conditionalFormatting>
  <conditionalFormatting sqref="L306">
    <cfRule type="cellIs" dxfId="4727" priority="4797" stopIfTrue="1" operator="greaterThan">
      <formula>1.75</formula>
    </cfRule>
    <cfRule type="cellIs" dxfId="4726" priority="4798" stopIfTrue="1" operator="between">
      <formula>1.25</formula>
      <formula>1.75</formula>
    </cfRule>
  </conditionalFormatting>
  <conditionalFormatting sqref="S306">
    <cfRule type="cellIs" dxfId="4725" priority="4795" stopIfTrue="1" operator="greaterThan">
      <formula>1.75</formula>
    </cfRule>
    <cfRule type="cellIs" dxfId="4724" priority="4796" stopIfTrue="1" operator="between">
      <formula>1.25</formula>
      <formula>1.75</formula>
    </cfRule>
  </conditionalFormatting>
  <conditionalFormatting sqref="S306">
    <cfRule type="cellIs" dxfId="4723" priority="4793" stopIfTrue="1" operator="greaterThan">
      <formula>1.75</formula>
    </cfRule>
    <cfRule type="cellIs" dxfId="4722" priority="4794" stopIfTrue="1" operator="between">
      <formula>1.25</formula>
      <formula>1.75</formula>
    </cfRule>
  </conditionalFormatting>
  <conditionalFormatting sqref="S306">
    <cfRule type="cellIs" dxfId="4721" priority="4791" stopIfTrue="1" operator="greaterThan">
      <formula>1.75</formula>
    </cfRule>
    <cfRule type="cellIs" dxfId="4720" priority="4792" stopIfTrue="1" operator="between">
      <formula>1.25</formula>
      <formula>1.75</formula>
    </cfRule>
  </conditionalFormatting>
  <conditionalFormatting sqref="C306:I306 M306:O306">
    <cfRule type="cellIs" dxfId="4719" priority="4839" stopIfTrue="1" operator="greaterThan">
      <formula>1.75</formula>
    </cfRule>
    <cfRule type="cellIs" dxfId="4718" priority="4840" stopIfTrue="1" operator="between">
      <formula>1.25</formula>
      <formula>1.75</formula>
    </cfRule>
  </conditionalFormatting>
  <conditionalFormatting sqref="C308:E308">
    <cfRule type="cellIs" dxfId="4717" priority="4785" stopIfTrue="1" operator="greaterThan">
      <formula>1.75</formula>
    </cfRule>
    <cfRule type="cellIs" dxfId="4716" priority="4786" stopIfTrue="1" operator="between">
      <formula>1.25</formula>
      <formula>1.75</formula>
    </cfRule>
  </conditionalFormatting>
  <conditionalFormatting sqref="C308:E308">
    <cfRule type="cellIs" dxfId="4715" priority="4787" stopIfTrue="1" operator="greaterThan">
      <formula>1.75</formula>
    </cfRule>
    <cfRule type="cellIs" dxfId="4714" priority="4788" stopIfTrue="1" operator="between">
      <formula>1.25</formula>
      <formula>1.75</formula>
    </cfRule>
  </conditionalFormatting>
  <conditionalFormatting sqref="F308:U308">
    <cfRule type="cellIs" dxfId="4713" priority="4783" stopIfTrue="1" operator="greaterThan">
      <formula>1.75</formula>
    </cfRule>
    <cfRule type="cellIs" dxfId="4712" priority="4784" stopIfTrue="1" operator="between">
      <formula>1.25</formula>
      <formula>1.75</formula>
    </cfRule>
  </conditionalFormatting>
  <conditionalFormatting sqref="F308:U308">
    <cfRule type="cellIs" dxfId="4711" priority="4781" stopIfTrue="1" operator="greaterThan">
      <formula>1.75</formula>
    </cfRule>
    <cfRule type="cellIs" dxfId="4710" priority="4782" stopIfTrue="1" operator="between">
      <formula>1.25</formula>
      <formula>1.75</formula>
    </cfRule>
  </conditionalFormatting>
  <conditionalFormatting sqref="F308:U308">
    <cfRule type="cellIs" dxfId="4709" priority="4779" stopIfTrue="1" operator="greaterThan">
      <formula>1.75</formula>
    </cfRule>
    <cfRule type="cellIs" dxfId="4708" priority="4780" stopIfTrue="1" operator="between">
      <formula>1.25</formula>
      <formula>1.75</formula>
    </cfRule>
  </conditionalFormatting>
  <conditionalFormatting sqref="C308:E308">
    <cfRule type="cellIs" dxfId="4707" priority="4789" stopIfTrue="1" operator="greaterThan">
      <formula>1.75</formula>
    </cfRule>
    <cfRule type="cellIs" dxfId="4706" priority="4790" stopIfTrue="1" operator="between">
      <formula>1.25</formula>
      <formula>1.75</formula>
    </cfRule>
  </conditionalFormatting>
  <conditionalFormatting sqref="V306">
    <cfRule type="cellIs" dxfId="4705" priority="4777" stopIfTrue="1" operator="greaterThan">
      <formula>1.75</formula>
    </cfRule>
    <cfRule type="cellIs" dxfId="4704" priority="4778" stopIfTrue="1" operator="between">
      <formula>1.25</formula>
      <formula>1.75</formula>
    </cfRule>
  </conditionalFormatting>
  <conditionalFormatting sqref="V308">
    <cfRule type="cellIs" dxfId="4703" priority="4775" stopIfTrue="1" operator="greaterThan">
      <formula>1.75</formula>
    </cfRule>
    <cfRule type="cellIs" dxfId="4702" priority="4776" stopIfTrue="1" operator="between">
      <formula>1.25</formula>
      <formula>1.75</formula>
    </cfRule>
  </conditionalFormatting>
  <conditionalFormatting sqref="V308">
    <cfRule type="cellIs" dxfId="4701" priority="4773" stopIfTrue="1" operator="greaterThan">
      <formula>1.75</formula>
    </cfRule>
    <cfRule type="cellIs" dxfId="4700" priority="4774" stopIfTrue="1" operator="between">
      <formula>1.25</formula>
      <formula>1.75</formula>
    </cfRule>
  </conditionalFormatting>
  <conditionalFormatting sqref="V308">
    <cfRule type="cellIs" dxfId="4699" priority="4771" stopIfTrue="1" operator="greaterThan">
      <formula>1.75</formula>
    </cfRule>
    <cfRule type="cellIs" dxfId="4698" priority="4772" stopIfTrue="1" operator="between">
      <formula>1.25</formula>
      <formula>1.75</formula>
    </cfRule>
  </conditionalFormatting>
  <conditionalFormatting sqref="J292">
    <cfRule type="cellIs" dxfId="4697" priority="4767" stopIfTrue="1" operator="greaterThan">
      <formula>1.75</formula>
    </cfRule>
    <cfRule type="cellIs" dxfId="4696" priority="4768" stopIfTrue="1" operator="between">
      <formula>1.25</formula>
      <formula>1.75</formula>
    </cfRule>
  </conditionalFormatting>
  <conditionalFormatting sqref="W291">
    <cfRule type="cellIs" dxfId="4695" priority="4769" operator="lessThan">
      <formula>1000</formula>
    </cfRule>
    <cfRule type="cellIs" dxfId="4694" priority="4770" operator="lessThan">
      <formula>2000</formula>
    </cfRule>
  </conditionalFormatting>
  <conditionalFormatting sqref="C292:I292 M292:O292">
    <cfRule type="cellIs" dxfId="4693" priority="4763" stopIfTrue="1" operator="greaterThan">
      <formula>1.75</formula>
    </cfRule>
    <cfRule type="cellIs" dxfId="4692" priority="4764" stopIfTrue="1" operator="between">
      <formula>1.25</formula>
      <formula>1.75</formula>
    </cfRule>
  </conditionalFormatting>
  <conditionalFormatting sqref="C292:I292 M292:O292">
    <cfRule type="cellIs" dxfId="4691" priority="4761" stopIfTrue="1" operator="greaterThan">
      <formula>1.75</formula>
    </cfRule>
    <cfRule type="cellIs" dxfId="4690" priority="4762" stopIfTrue="1" operator="between">
      <formula>1.25</formula>
      <formula>1.75</formula>
    </cfRule>
  </conditionalFormatting>
  <conditionalFormatting sqref="P292">
    <cfRule type="cellIs" dxfId="4689" priority="4759" stopIfTrue="1" operator="greaterThan">
      <formula>1.75</formula>
    </cfRule>
    <cfRule type="cellIs" dxfId="4688" priority="4760" stopIfTrue="1" operator="between">
      <formula>1.25</formula>
      <formula>1.75</formula>
    </cfRule>
  </conditionalFormatting>
  <conditionalFormatting sqref="P292">
    <cfRule type="cellIs" dxfId="4687" priority="4757" stopIfTrue="1" operator="greaterThan">
      <formula>1.75</formula>
    </cfRule>
    <cfRule type="cellIs" dxfId="4686" priority="4758" stopIfTrue="1" operator="between">
      <formula>1.25</formula>
      <formula>1.75</formula>
    </cfRule>
  </conditionalFormatting>
  <conditionalFormatting sqref="P292">
    <cfRule type="cellIs" dxfId="4685" priority="4755" stopIfTrue="1" operator="greaterThan">
      <formula>1.75</formula>
    </cfRule>
    <cfRule type="cellIs" dxfId="4684" priority="4756" stopIfTrue="1" operator="between">
      <formula>1.25</formula>
      <formula>1.75</formula>
    </cfRule>
  </conditionalFormatting>
  <conditionalFormatting sqref="U292">
    <cfRule type="cellIs" dxfId="4683" priority="4753" stopIfTrue="1" operator="greaterThan">
      <formula>1.75</formula>
    </cfRule>
    <cfRule type="cellIs" dxfId="4682" priority="4754" stopIfTrue="1" operator="between">
      <formula>1.25</formula>
      <formula>1.75</formula>
    </cfRule>
  </conditionalFormatting>
  <conditionalFormatting sqref="T292">
    <cfRule type="cellIs" dxfId="4681" priority="4751" stopIfTrue="1" operator="greaterThan">
      <formula>1.75</formula>
    </cfRule>
    <cfRule type="cellIs" dxfId="4680" priority="4752" stopIfTrue="1" operator="between">
      <formula>1.25</formula>
      <formula>1.75</formula>
    </cfRule>
  </conditionalFormatting>
  <conditionalFormatting sqref="Q292">
    <cfRule type="cellIs" dxfId="4679" priority="4749" stopIfTrue="1" operator="greaterThan">
      <formula>1.75</formula>
    </cfRule>
    <cfRule type="cellIs" dxfId="4678" priority="4750" stopIfTrue="1" operator="between">
      <formula>1.25</formula>
      <formula>1.75</formula>
    </cfRule>
  </conditionalFormatting>
  <conditionalFormatting sqref="Q292">
    <cfRule type="cellIs" dxfId="4677" priority="4747" stopIfTrue="1" operator="greaterThan">
      <formula>1.75</formula>
    </cfRule>
    <cfRule type="cellIs" dxfId="4676" priority="4748" stopIfTrue="1" operator="between">
      <formula>1.25</formula>
      <formula>1.75</formula>
    </cfRule>
  </conditionalFormatting>
  <conditionalFormatting sqref="Q292">
    <cfRule type="cellIs" dxfId="4675" priority="4745" stopIfTrue="1" operator="greaterThan">
      <formula>1.75</formula>
    </cfRule>
    <cfRule type="cellIs" dxfId="4674" priority="4746" stopIfTrue="1" operator="between">
      <formula>1.25</formula>
      <formula>1.75</formula>
    </cfRule>
  </conditionalFormatting>
  <conditionalFormatting sqref="J292">
    <cfRule type="cellIs" dxfId="4673" priority="4743" stopIfTrue="1" operator="greaterThan">
      <formula>1.75</formula>
    </cfRule>
    <cfRule type="cellIs" dxfId="4672" priority="4744" stopIfTrue="1" operator="between">
      <formula>1.25</formula>
      <formula>1.75</formula>
    </cfRule>
  </conditionalFormatting>
  <conditionalFormatting sqref="J292">
    <cfRule type="cellIs" dxfId="4671" priority="4741" stopIfTrue="1" operator="greaterThan">
      <formula>1.75</formula>
    </cfRule>
    <cfRule type="cellIs" dxfId="4670" priority="4742" stopIfTrue="1" operator="between">
      <formula>1.25</formula>
      <formula>1.75</formula>
    </cfRule>
  </conditionalFormatting>
  <conditionalFormatting sqref="R292">
    <cfRule type="cellIs" dxfId="4669" priority="4739" stopIfTrue="1" operator="greaterThan">
      <formula>1.75</formula>
    </cfRule>
    <cfRule type="cellIs" dxfId="4668" priority="4740" stopIfTrue="1" operator="between">
      <formula>1.25</formula>
      <formula>1.75</formula>
    </cfRule>
  </conditionalFormatting>
  <conditionalFormatting sqref="K292">
    <cfRule type="cellIs" dxfId="4667" priority="4737" stopIfTrue="1" operator="greaterThan">
      <formula>1.75</formula>
    </cfRule>
    <cfRule type="cellIs" dxfId="4666" priority="4738" stopIfTrue="1" operator="between">
      <formula>1.25</formula>
      <formula>1.75</formula>
    </cfRule>
  </conditionalFormatting>
  <conditionalFormatting sqref="R292">
    <cfRule type="cellIs" dxfId="4665" priority="4735" stopIfTrue="1" operator="greaterThan">
      <formula>1.75</formula>
    </cfRule>
    <cfRule type="cellIs" dxfId="4664" priority="4736" stopIfTrue="1" operator="between">
      <formula>1.25</formula>
      <formula>1.75</formula>
    </cfRule>
  </conditionalFormatting>
  <conditionalFormatting sqref="R292">
    <cfRule type="cellIs" dxfId="4663" priority="4733" stopIfTrue="1" operator="greaterThan">
      <formula>1.75</formula>
    </cfRule>
    <cfRule type="cellIs" dxfId="4662" priority="4734" stopIfTrue="1" operator="between">
      <formula>1.25</formula>
      <formula>1.75</formula>
    </cfRule>
  </conditionalFormatting>
  <conditionalFormatting sqref="K292">
    <cfRule type="cellIs" dxfId="4661" priority="4731" stopIfTrue="1" operator="greaterThan">
      <formula>1.75</formula>
    </cfRule>
    <cfRule type="cellIs" dxfId="4660" priority="4732" stopIfTrue="1" operator="between">
      <formula>1.25</formula>
      <formula>1.75</formula>
    </cfRule>
  </conditionalFormatting>
  <conditionalFormatting sqref="K292">
    <cfRule type="cellIs" dxfId="4659" priority="4729" stopIfTrue="1" operator="greaterThan">
      <formula>1.75</formula>
    </cfRule>
    <cfRule type="cellIs" dxfId="4658" priority="4730" stopIfTrue="1" operator="between">
      <formula>1.25</formula>
      <formula>1.75</formula>
    </cfRule>
  </conditionalFormatting>
  <conditionalFormatting sqref="L292">
    <cfRule type="cellIs" dxfId="4657" priority="4727" stopIfTrue="1" operator="greaterThan">
      <formula>1.75</formula>
    </cfRule>
    <cfRule type="cellIs" dxfId="4656" priority="4728" stopIfTrue="1" operator="between">
      <formula>1.25</formula>
      <formula>1.75</formula>
    </cfRule>
  </conditionalFormatting>
  <conditionalFormatting sqref="L292">
    <cfRule type="cellIs" dxfId="4655" priority="4725" stopIfTrue="1" operator="greaterThan">
      <formula>1.75</formula>
    </cfRule>
    <cfRule type="cellIs" dxfId="4654" priority="4726" stopIfTrue="1" operator="between">
      <formula>1.25</formula>
      <formula>1.75</formula>
    </cfRule>
  </conditionalFormatting>
  <conditionalFormatting sqref="L292">
    <cfRule type="cellIs" dxfId="4653" priority="4723" stopIfTrue="1" operator="greaterThan">
      <formula>1.75</formula>
    </cfRule>
    <cfRule type="cellIs" dxfId="4652" priority="4724" stopIfTrue="1" operator="between">
      <formula>1.25</formula>
      <formula>1.75</formula>
    </cfRule>
  </conditionalFormatting>
  <conditionalFormatting sqref="S292">
    <cfRule type="cellIs" dxfId="4651" priority="4721" stopIfTrue="1" operator="greaterThan">
      <formula>1.75</formula>
    </cfRule>
    <cfRule type="cellIs" dxfId="4650" priority="4722" stopIfTrue="1" operator="between">
      <formula>1.25</formula>
      <formula>1.75</formula>
    </cfRule>
  </conditionalFormatting>
  <conditionalFormatting sqref="S292">
    <cfRule type="cellIs" dxfId="4649" priority="4719" stopIfTrue="1" operator="greaterThan">
      <formula>1.75</formula>
    </cfRule>
    <cfRule type="cellIs" dxfId="4648" priority="4720" stopIfTrue="1" operator="between">
      <formula>1.25</formula>
      <formula>1.75</formula>
    </cfRule>
  </conditionalFormatting>
  <conditionalFormatting sqref="S292">
    <cfRule type="cellIs" dxfId="4647" priority="4717" stopIfTrue="1" operator="greaterThan">
      <formula>1.75</formula>
    </cfRule>
    <cfRule type="cellIs" dxfId="4646" priority="4718" stopIfTrue="1" operator="between">
      <formula>1.25</formula>
      <formula>1.75</formula>
    </cfRule>
  </conditionalFormatting>
  <conditionalFormatting sqref="C292:I292 M292:O292">
    <cfRule type="cellIs" dxfId="4645" priority="4765" stopIfTrue="1" operator="greaterThan">
      <formula>1.75</formula>
    </cfRule>
    <cfRule type="cellIs" dxfId="4644" priority="4766" stopIfTrue="1" operator="between">
      <formula>1.25</formula>
      <formula>1.75</formula>
    </cfRule>
  </conditionalFormatting>
  <conditionalFormatting sqref="C294:E294">
    <cfRule type="cellIs" dxfId="4643" priority="4711" stopIfTrue="1" operator="greaterThan">
      <formula>1.75</formula>
    </cfRule>
    <cfRule type="cellIs" dxfId="4642" priority="4712" stopIfTrue="1" operator="between">
      <formula>1.25</formula>
      <formula>1.75</formula>
    </cfRule>
  </conditionalFormatting>
  <conditionalFormatting sqref="C294:E294">
    <cfRule type="cellIs" dxfId="4641" priority="4713" stopIfTrue="1" operator="greaterThan">
      <formula>1.75</formula>
    </cfRule>
    <cfRule type="cellIs" dxfId="4640" priority="4714" stopIfTrue="1" operator="between">
      <formula>1.25</formula>
      <formula>1.75</formula>
    </cfRule>
  </conditionalFormatting>
  <conditionalFormatting sqref="F294:U294">
    <cfRule type="cellIs" dxfId="4639" priority="4709" stopIfTrue="1" operator="greaterThan">
      <formula>1.75</formula>
    </cfRule>
    <cfRule type="cellIs" dxfId="4638" priority="4710" stopIfTrue="1" operator="between">
      <formula>1.25</formula>
      <formula>1.75</formula>
    </cfRule>
  </conditionalFormatting>
  <conditionalFormatting sqref="F294:U294">
    <cfRule type="cellIs" dxfId="4637" priority="4707" stopIfTrue="1" operator="greaterThan">
      <formula>1.75</formula>
    </cfRule>
    <cfRule type="cellIs" dxfId="4636" priority="4708" stopIfTrue="1" operator="between">
      <formula>1.25</formula>
      <formula>1.75</formula>
    </cfRule>
  </conditionalFormatting>
  <conditionalFormatting sqref="F294:U294">
    <cfRule type="cellIs" dxfId="4635" priority="4705" stopIfTrue="1" operator="greaterThan">
      <formula>1.75</formula>
    </cfRule>
    <cfRule type="cellIs" dxfId="4634" priority="4706" stopIfTrue="1" operator="between">
      <formula>1.25</formula>
      <formula>1.75</formula>
    </cfRule>
  </conditionalFormatting>
  <conditionalFormatting sqref="C294:E294">
    <cfRule type="cellIs" dxfId="4633" priority="4715" stopIfTrue="1" operator="greaterThan">
      <formula>1.75</formula>
    </cfRule>
    <cfRule type="cellIs" dxfId="4632" priority="4716" stopIfTrue="1" operator="between">
      <formula>1.25</formula>
      <formula>1.75</formula>
    </cfRule>
  </conditionalFormatting>
  <conditionalFormatting sqref="V292">
    <cfRule type="cellIs" dxfId="4631" priority="4703" stopIfTrue="1" operator="greaterThan">
      <formula>1.75</formula>
    </cfRule>
    <cfRule type="cellIs" dxfId="4630" priority="4704" stopIfTrue="1" operator="between">
      <formula>1.25</formula>
      <formula>1.75</formula>
    </cfRule>
  </conditionalFormatting>
  <conditionalFormatting sqref="V294">
    <cfRule type="cellIs" dxfId="4629" priority="4701" stopIfTrue="1" operator="greaterThan">
      <formula>1.75</formula>
    </cfRule>
    <cfRule type="cellIs" dxfId="4628" priority="4702" stopIfTrue="1" operator="between">
      <formula>1.25</formula>
      <formula>1.75</formula>
    </cfRule>
  </conditionalFormatting>
  <conditionalFormatting sqref="V294">
    <cfRule type="cellIs" dxfId="4627" priority="4699" stopIfTrue="1" operator="greaterThan">
      <formula>1.75</formula>
    </cfRule>
    <cfRule type="cellIs" dxfId="4626" priority="4700" stopIfTrue="1" operator="between">
      <formula>1.25</formula>
      <formula>1.75</formula>
    </cfRule>
  </conditionalFormatting>
  <conditionalFormatting sqref="V294">
    <cfRule type="cellIs" dxfId="4625" priority="4697" stopIfTrue="1" operator="greaterThan">
      <formula>1.75</formula>
    </cfRule>
    <cfRule type="cellIs" dxfId="4624" priority="4698" stopIfTrue="1" operator="between">
      <formula>1.25</formula>
      <formula>1.75</formula>
    </cfRule>
  </conditionalFormatting>
  <conditionalFormatting sqref="J278">
    <cfRule type="cellIs" dxfId="4623" priority="4693" stopIfTrue="1" operator="greaterThan">
      <formula>1.75</formula>
    </cfRule>
    <cfRule type="cellIs" dxfId="4622" priority="4694" stopIfTrue="1" operator="between">
      <formula>1.25</formula>
      <formula>1.75</formula>
    </cfRule>
  </conditionalFormatting>
  <conditionalFormatting sqref="W277">
    <cfRule type="cellIs" dxfId="4621" priority="4695" operator="lessThan">
      <formula>1000</formula>
    </cfRule>
    <cfRule type="cellIs" dxfId="4620" priority="4696" operator="lessThan">
      <formula>2000</formula>
    </cfRule>
  </conditionalFormatting>
  <conditionalFormatting sqref="F278:I278 M278:O278">
    <cfRule type="cellIs" dxfId="4619" priority="4689" stopIfTrue="1" operator="greaterThan">
      <formula>1.75</formula>
    </cfRule>
    <cfRule type="cellIs" dxfId="4618" priority="4690" stopIfTrue="1" operator="between">
      <formula>1.25</formula>
      <formula>1.75</formula>
    </cfRule>
  </conditionalFormatting>
  <conditionalFormatting sqref="F278:I278 M278:O278">
    <cfRule type="cellIs" dxfId="4617" priority="4687" stopIfTrue="1" operator="greaterThan">
      <formula>1.75</formula>
    </cfRule>
    <cfRule type="cellIs" dxfId="4616" priority="4688" stopIfTrue="1" operator="between">
      <formula>1.25</formula>
      <formula>1.75</formula>
    </cfRule>
  </conditionalFormatting>
  <conditionalFormatting sqref="P278">
    <cfRule type="cellIs" dxfId="4615" priority="4685" stopIfTrue="1" operator="greaterThan">
      <formula>1.75</formula>
    </cfRule>
    <cfRule type="cellIs" dxfId="4614" priority="4686" stopIfTrue="1" operator="between">
      <formula>1.25</formula>
      <formula>1.75</formula>
    </cfRule>
  </conditionalFormatting>
  <conditionalFormatting sqref="P278">
    <cfRule type="cellIs" dxfId="4613" priority="4683" stopIfTrue="1" operator="greaterThan">
      <formula>1.75</formula>
    </cfRule>
    <cfRule type="cellIs" dxfId="4612" priority="4684" stopIfTrue="1" operator="between">
      <formula>1.25</formula>
      <formula>1.75</formula>
    </cfRule>
  </conditionalFormatting>
  <conditionalFormatting sqref="P278">
    <cfRule type="cellIs" dxfId="4611" priority="4681" stopIfTrue="1" operator="greaterThan">
      <formula>1.75</formula>
    </cfRule>
    <cfRule type="cellIs" dxfId="4610" priority="4682" stopIfTrue="1" operator="between">
      <formula>1.25</formula>
      <formula>1.75</formula>
    </cfRule>
  </conditionalFormatting>
  <conditionalFormatting sqref="U278">
    <cfRule type="cellIs" dxfId="4609" priority="4679" stopIfTrue="1" operator="greaterThan">
      <formula>1.75</formula>
    </cfRule>
    <cfRule type="cellIs" dxfId="4608" priority="4680" stopIfTrue="1" operator="between">
      <formula>1.25</formula>
      <formula>1.75</formula>
    </cfRule>
  </conditionalFormatting>
  <conditionalFormatting sqref="T278">
    <cfRule type="cellIs" dxfId="4607" priority="4677" stopIfTrue="1" operator="greaterThan">
      <formula>1.75</formula>
    </cfRule>
    <cfRule type="cellIs" dxfId="4606" priority="4678" stopIfTrue="1" operator="between">
      <formula>1.25</formula>
      <formula>1.75</formula>
    </cfRule>
  </conditionalFormatting>
  <conditionalFormatting sqref="Q278">
    <cfRule type="cellIs" dxfId="4605" priority="4675" stopIfTrue="1" operator="greaterThan">
      <formula>1.75</formula>
    </cfRule>
    <cfRule type="cellIs" dxfId="4604" priority="4676" stopIfTrue="1" operator="between">
      <formula>1.25</formula>
      <formula>1.75</formula>
    </cfRule>
  </conditionalFormatting>
  <conditionalFormatting sqref="Q278">
    <cfRule type="cellIs" dxfId="4603" priority="4673" stopIfTrue="1" operator="greaterThan">
      <formula>1.75</formula>
    </cfRule>
    <cfRule type="cellIs" dxfId="4602" priority="4674" stopIfTrue="1" operator="between">
      <formula>1.25</formula>
      <formula>1.75</formula>
    </cfRule>
  </conditionalFormatting>
  <conditionalFormatting sqref="Q278">
    <cfRule type="cellIs" dxfId="4601" priority="4671" stopIfTrue="1" operator="greaterThan">
      <formula>1.75</formula>
    </cfRule>
    <cfRule type="cellIs" dxfId="4600" priority="4672" stopIfTrue="1" operator="between">
      <formula>1.25</formula>
      <formula>1.75</formula>
    </cfRule>
  </conditionalFormatting>
  <conditionalFormatting sqref="J278">
    <cfRule type="cellIs" dxfId="4599" priority="4669" stopIfTrue="1" operator="greaterThan">
      <formula>1.75</formula>
    </cfRule>
    <cfRule type="cellIs" dxfId="4598" priority="4670" stopIfTrue="1" operator="between">
      <formula>1.25</formula>
      <formula>1.75</formula>
    </cfRule>
  </conditionalFormatting>
  <conditionalFormatting sqref="J278">
    <cfRule type="cellIs" dxfId="4597" priority="4667" stopIfTrue="1" operator="greaterThan">
      <formula>1.75</formula>
    </cfRule>
    <cfRule type="cellIs" dxfId="4596" priority="4668" stopIfTrue="1" operator="between">
      <formula>1.25</formula>
      <formula>1.75</formula>
    </cfRule>
  </conditionalFormatting>
  <conditionalFormatting sqref="R278">
    <cfRule type="cellIs" dxfId="4595" priority="4665" stopIfTrue="1" operator="greaterThan">
      <formula>1.75</formula>
    </cfRule>
    <cfRule type="cellIs" dxfId="4594" priority="4666" stopIfTrue="1" operator="between">
      <formula>1.25</formula>
      <formula>1.75</formula>
    </cfRule>
  </conditionalFormatting>
  <conditionalFormatting sqref="K278">
    <cfRule type="cellIs" dxfId="4593" priority="4663" stopIfTrue="1" operator="greaterThan">
      <formula>1.75</formula>
    </cfRule>
    <cfRule type="cellIs" dxfId="4592" priority="4664" stopIfTrue="1" operator="between">
      <formula>1.25</formula>
      <formula>1.75</formula>
    </cfRule>
  </conditionalFormatting>
  <conditionalFormatting sqref="R278">
    <cfRule type="cellIs" dxfId="4591" priority="4661" stopIfTrue="1" operator="greaterThan">
      <formula>1.75</formula>
    </cfRule>
    <cfRule type="cellIs" dxfId="4590" priority="4662" stopIfTrue="1" operator="between">
      <formula>1.25</formula>
      <formula>1.75</formula>
    </cfRule>
  </conditionalFormatting>
  <conditionalFormatting sqref="R278">
    <cfRule type="cellIs" dxfId="4589" priority="4659" stopIfTrue="1" operator="greaterThan">
      <formula>1.75</formula>
    </cfRule>
    <cfRule type="cellIs" dxfId="4588" priority="4660" stopIfTrue="1" operator="between">
      <formula>1.25</formula>
      <formula>1.75</formula>
    </cfRule>
  </conditionalFormatting>
  <conditionalFormatting sqref="K278">
    <cfRule type="cellIs" dxfId="4587" priority="4657" stopIfTrue="1" operator="greaterThan">
      <formula>1.75</formula>
    </cfRule>
    <cfRule type="cellIs" dxfId="4586" priority="4658" stopIfTrue="1" operator="between">
      <formula>1.25</formula>
      <formula>1.75</formula>
    </cfRule>
  </conditionalFormatting>
  <conditionalFormatting sqref="K278">
    <cfRule type="cellIs" dxfId="4585" priority="4655" stopIfTrue="1" operator="greaterThan">
      <formula>1.75</formula>
    </cfRule>
    <cfRule type="cellIs" dxfId="4584" priority="4656" stopIfTrue="1" operator="between">
      <formula>1.25</formula>
      <formula>1.75</formula>
    </cfRule>
  </conditionalFormatting>
  <conditionalFormatting sqref="L278">
    <cfRule type="cellIs" dxfId="4583" priority="4653" stopIfTrue="1" operator="greaterThan">
      <formula>1.75</formula>
    </cfRule>
    <cfRule type="cellIs" dxfId="4582" priority="4654" stopIfTrue="1" operator="between">
      <formula>1.25</formula>
      <formula>1.75</formula>
    </cfRule>
  </conditionalFormatting>
  <conditionalFormatting sqref="L278">
    <cfRule type="cellIs" dxfId="4581" priority="4651" stopIfTrue="1" operator="greaterThan">
      <formula>1.75</formula>
    </cfRule>
    <cfRule type="cellIs" dxfId="4580" priority="4652" stopIfTrue="1" operator="between">
      <formula>1.25</formula>
      <formula>1.75</formula>
    </cfRule>
  </conditionalFormatting>
  <conditionalFormatting sqref="L278">
    <cfRule type="cellIs" dxfId="4579" priority="4649" stopIfTrue="1" operator="greaterThan">
      <formula>1.75</formula>
    </cfRule>
    <cfRule type="cellIs" dxfId="4578" priority="4650" stopIfTrue="1" operator="between">
      <formula>1.25</formula>
      <formula>1.75</formula>
    </cfRule>
  </conditionalFormatting>
  <conditionalFormatting sqref="S278">
    <cfRule type="cellIs" dxfId="4577" priority="4647" stopIfTrue="1" operator="greaterThan">
      <formula>1.75</formula>
    </cfRule>
    <cfRule type="cellIs" dxfId="4576" priority="4648" stopIfTrue="1" operator="between">
      <formula>1.25</formula>
      <formula>1.75</formula>
    </cfRule>
  </conditionalFormatting>
  <conditionalFormatting sqref="S278">
    <cfRule type="cellIs" dxfId="4575" priority="4645" stopIfTrue="1" operator="greaterThan">
      <formula>1.75</formula>
    </cfRule>
    <cfRule type="cellIs" dxfId="4574" priority="4646" stopIfTrue="1" operator="between">
      <formula>1.25</formula>
      <formula>1.75</formula>
    </cfRule>
  </conditionalFormatting>
  <conditionalFormatting sqref="S278">
    <cfRule type="cellIs" dxfId="4573" priority="4643" stopIfTrue="1" operator="greaterThan">
      <formula>1.75</formula>
    </cfRule>
    <cfRule type="cellIs" dxfId="4572" priority="4644" stopIfTrue="1" operator="between">
      <formula>1.25</formula>
      <formula>1.75</formula>
    </cfRule>
  </conditionalFormatting>
  <conditionalFormatting sqref="F278:I278 M278:O278">
    <cfRule type="cellIs" dxfId="4571" priority="4691" stopIfTrue="1" operator="greaterThan">
      <formula>1.75</formula>
    </cfRule>
    <cfRule type="cellIs" dxfId="4570" priority="4692" stopIfTrue="1" operator="between">
      <formula>1.25</formula>
      <formula>1.75</formula>
    </cfRule>
  </conditionalFormatting>
  <conditionalFormatting sqref="D264">
    <cfRule type="cellIs" dxfId="4569" priority="4529" stopIfTrue="1" operator="greaterThan">
      <formula>1.75</formula>
    </cfRule>
    <cfRule type="cellIs" dxfId="4568" priority="4530" stopIfTrue="1" operator="between">
      <formula>1.25</formula>
      <formula>1.75</formula>
    </cfRule>
  </conditionalFormatting>
  <conditionalFormatting sqref="D278">
    <cfRule type="cellIs" dxfId="4567" priority="4531" stopIfTrue="1" operator="greaterThan">
      <formula>1.75</formula>
    </cfRule>
    <cfRule type="cellIs" dxfId="4566" priority="4532" stopIfTrue="1" operator="between">
      <formula>1.25</formula>
      <formula>1.75</formula>
    </cfRule>
  </conditionalFormatting>
  <conditionalFormatting sqref="F280:U280">
    <cfRule type="cellIs" dxfId="4565" priority="4635" stopIfTrue="1" operator="greaterThan">
      <formula>1.75</formula>
    </cfRule>
    <cfRule type="cellIs" dxfId="4564" priority="4636" stopIfTrue="1" operator="between">
      <formula>1.25</formula>
      <formula>1.75</formula>
    </cfRule>
  </conditionalFormatting>
  <conditionalFormatting sqref="F280:U280">
    <cfRule type="cellIs" dxfId="4563" priority="4633" stopIfTrue="1" operator="greaterThan">
      <formula>1.75</formula>
    </cfRule>
    <cfRule type="cellIs" dxfId="4562" priority="4634" stopIfTrue="1" operator="between">
      <formula>1.25</formula>
      <formula>1.75</formula>
    </cfRule>
  </conditionalFormatting>
  <conditionalFormatting sqref="F280:U280">
    <cfRule type="cellIs" dxfId="4561" priority="4631" stopIfTrue="1" operator="greaterThan">
      <formula>1.75</formula>
    </cfRule>
    <cfRule type="cellIs" dxfId="4560" priority="4632" stopIfTrue="1" operator="between">
      <formula>1.25</formula>
      <formula>1.75</formula>
    </cfRule>
  </conditionalFormatting>
  <conditionalFormatting sqref="D278">
    <cfRule type="cellIs" dxfId="4559" priority="4533" stopIfTrue="1" operator="greaterThan">
      <formula>1.75</formula>
    </cfRule>
    <cfRule type="cellIs" dxfId="4558" priority="4534" stopIfTrue="1" operator="between">
      <formula>1.25</formula>
      <formula>1.75</formula>
    </cfRule>
  </conditionalFormatting>
  <conditionalFormatting sqref="V278">
    <cfRule type="cellIs" dxfId="4557" priority="4629" stopIfTrue="1" operator="greaterThan">
      <formula>1.75</formula>
    </cfRule>
    <cfRule type="cellIs" dxfId="4556" priority="4630" stopIfTrue="1" operator="between">
      <formula>1.25</formula>
      <formula>1.75</formula>
    </cfRule>
  </conditionalFormatting>
  <conditionalFormatting sqref="V280">
    <cfRule type="cellIs" dxfId="4555" priority="4627" stopIfTrue="1" operator="greaterThan">
      <formula>1.75</formula>
    </cfRule>
    <cfRule type="cellIs" dxfId="4554" priority="4628" stopIfTrue="1" operator="between">
      <formula>1.25</formula>
      <formula>1.75</formula>
    </cfRule>
  </conditionalFormatting>
  <conditionalFormatting sqref="V280">
    <cfRule type="cellIs" dxfId="4553" priority="4625" stopIfTrue="1" operator="greaterThan">
      <formula>1.75</formula>
    </cfRule>
    <cfRule type="cellIs" dxfId="4552" priority="4626" stopIfTrue="1" operator="between">
      <formula>1.25</formula>
      <formula>1.75</formula>
    </cfRule>
  </conditionalFormatting>
  <conditionalFormatting sqref="V280">
    <cfRule type="cellIs" dxfId="4551" priority="4623" stopIfTrue="1" operator="greaterThan">
      <formula>1.75</formula>
    </cfRule>
    <cfRule type="cellIs" dxfId="4550" priority="4624" stopIfTrue="1" operator="between">
      <formula>1.25</formula>
      <formula>1.75</formula>
    </cfRule>
  </conditionalFormatting>
  <conditionalFormatting sqref="Q264">
    <cfRule type="cellIs" dxfId="4549" priority="4601" stopIfTrue="1" operator="greaterThan">
      <formula>1.75</formula>
    </cfRule>
    <cfRule type="cellIs" dxfId="4548" priority="4602" stopIfTrue="1" operator="between">
      <formula>1.25</formula>
      <formula>1.75</formula>
    </cfRule>
  </conditionalFormatting>
  <conditionalFormatting sqref="X263">
    <cfRule type="cellIs" dxfId="4547" priority="4621" operator="lessThan">
      <formula>1000</formula>
    </cfRule>
    <cfRule type="cellIs" dxfId="4546" priority="4622" operator="lessThan">
      <formula>2000</formula>
    </cfRule>
  </conditionalFormatting>
  <conditionalFormatting sqref="M264:O264">
    <cfRule type="cellIs" dxfId="4545" priority="4615" stopIfTrue="1" operator="greaterThan">
      <formula>1.75</formula>
    </cfRule>
    <cfRule type="cellIs" dxfId="4544" priority="4616" stopIfTrue="1" operator="between">
      <formula>1.25</formula>
      <formula>1.75</formula>
    </cfRule>
  </conditionalFormatting>
  <conditionalFormatting sqref="M264:O264">
    <cfRule type="cellIs" dxfId="4543" priority="4613" stopIfTrue="1" operator="greaterThan">
      <formula>1.75</formula>
    </cfRule>
    <cfRule type="cellIs" dxfId="4542" priority="4614" stopIfTrue="1" operator="between">
      <formula>1.25</formula>
      <formula>1.75</formula>
    </cfRule>
  </conditionalFormatting>
  <conditionalFormatting sqref="P264">
    <cfRule type="cellIs" dxfId="4541" priority="4611" stopIfTrue="1" operator="greaterThan">
      <formula>1.75</formula>
    </cfRule>
    <cfRule type="cellIs" dxfId="4540" priority="4612" stopIfTrue="1" operator="between">
      <formula>1.25</formula>
      <formula>1.75</formula>
    </cfRule>
  </conditionalFormatting>
  <conditionalFormatting sqref="P264">
    <cfRule type="cellIs" dxfId="4539" priority="4609" stopIfTrue="1" operator="greaterThan">
      <formula>1.75</formula>
    </cfRule>
    <cfRule type="cellIs" dxfId="4538" priority="4610" stopIfTrue="1" operator="between">
      <formula>1.25</formula>
      <formula>1.75</formula>
    </cfRule>
  </conditionalFormatting>
  <conditionalFormatting sqref="P264">
    <cfRule type="cellIs" dxfId="4537" priority="4607" stopIfTrue="1" operator="greaterThan">
      <formula>1.75</formula>
    </cfRule>
    <cfRule type="cellIs" dxfId="4536" priority="4608" stopIfTrue="1" operator="between">
      <formula>1.25</formula>
      <formula>1.75</formula>
    </cfRule>
  </conditionalFormatting>
  <conditionalFormatting sqref="U264">
    <cfRule type="cellIs" dxfId="4535" priority="4605" stopIfTrue="1" operator="greaterThan">
      <formula>1.75</formula>
    </cfRule>
    <cfRule type="cellIs" dxfId="4534" priority="4606" stopIfTrue="1" operator="between">
      <formula>1.25</formula>
      <formula>1.75</formula>
    </cfRule>
  </conditionalFormatting>
  <conditionalFormatting sqref="T264">
    <cfRule type="cellIs" dxfId="4533" priority="4603" stopIfTrue="1" operator="greaterThan">
      <formula>1.75</formula>
    </cfRule>
    <cfRule type="cellIs" dxfId="4532" priority="4604" stopIfTrue="1" operator="between">
      <formula>1.25</formula>
      <formula>1.75</formula>
    </cfRule>
  </conditionalFormatting>
  <conditionalFormatting sqref="Q264">
    <cfRule type="cellIs" dxfId="4531" priority="4599" stopIfTrue="1" operator="greaterThan">
      <formula>1.75</formula>
    </cfRule>
    <cfRule type="cellIs" dxfId="4530" priority="4600" stopIfTrue="1" operator="between">
      <formula>1.25</formula>
      <formula>1.75</formula>
    </cfRule>
  </conditionalFormatting>
  <conditionalFormatting sqref="Q264">
    <cfRule type="cellIs" dxfId="4529" priority="4597" stopIfTrue="1" operator="greaterThan">
      <formula>1.75</formula>
    </cfRule>
    <cfRule type="cellIs" dxfId="4528" priority="4598" stopIfTrue="1" operator="between">
      <formula>1.25</formula>
      <formula>1.75</formula>
    </cfRule>
  </conditionalFormatting>
  <conditionalFormatting sqref="R264">
    <cfRule type="cellIs" dxfId="4527" priority="4591" stopIfTrue="1" operator="greaterThan">
      <formula>1.75</formula>
    </cfRule>
    <cfRule type="cellIs" dxfId="4526" priority="4592" stopIfTrue="1" operator="between">
      <formula>1.25</formula>
      <formula>1.75</formula>
    </cfRule>
  </conditionalFormatting>
  <conditionalFormatting sqref="R264">
    <cfRule type="cellIs" dxfId="4525" priority="4587" stopIfTrue="1" operator="greaterThan">
      <formula>1.75</formula>
    </cfRule>
    <cfRule type="cellIs" dxfId="4524" priority="4588" stopIfTrue="1" operator="between">
      <formula>1.25</formula>
      <formula>1.75</formula>
    </cfRule>
  </conditionalFormatting>
  <conditionalFormatting sqref="R264">
    <cfRule type="cellIs" dxfId="4523" priority="4585" stopIfTrue="1" operator="greaterThan">
      <formula>1.75</formula>
    </cfRule>
    <cfRule type="cellIs" dxfId="4522" priority="4586" stopIfTrue="1" operator="between">
      <formula>1.25</formula>
      <formula>1.75</formula>
    </cfRule>
  </conditionalFormatting>
  <conditionalFormatting sqref="S264">
    <cfRule type="cellIs" dxfId="4521" priority="4571" stopIfTrue="1" operator="greaterThan">
      <formula>1.75</formula>
    </cfRule>
    <cfRule type="cellIs" dxfId="4520" priority="4572" stopIfTrue="1" operator="between">
      <formula>1.25</formula>
      <formula>1.75</formula>
    </cfRule>
  </conditionalFormatting>
  <conditionalFormatting sqref="S264">
    <cfRule type="cellIs" dxfId="4519" priority="4569" stopIfTrue="1" operator="greaterThan">
      <formula>1.75</formula>
    </cfRule>
    <cfRule type="cellIs" dxfId="4518" priority="4570" stopIfTrue="1" operator="between">
      <formula>1.25</formula>
      <formula>1.75</formula>
    </cfRule>
  </conditionalFormatting>
  <conditionalFormatting sqref="S264">
    <cfRule type="cellIs" dxfId="4517" priority="4573" stopIfTrue="1" operator="greaterThan">
      <formula>1.75</formula>
    </cfRule>
    <cfRule type="cellIs" dxfId="4516" priority="4574" stopIfTrue="1" operator="between">
      <formula>1.25</formula>
      <formula>1.75</formula>
    </cfRule>
  </conditionalFormatting>
  <conditionalFormatting sqref="M264:O264">
    <cfRule type="cellIs" dxfId="4515" priority="4617" stopIfTrue="1" operator="greaterThan">
      <formula>1.75</formula>
    </cfRule>
    <cfRule type="cellIs" dxfId="4514" priority="4618" stopIfTrue="1" operator="between">
      <formula>1.25</formula>
      <formula>1.75</formula>
    </cfRule>
  </conditionalFormatting>
  <conditionalFormatting sqref="H266">
    <cfRule type="cellIs" dxfId="4513" priority="4461" stopIfTrue="1" operator="greaterThan">
      <formula>1.75</formula>
    </cfRule>
    <cfRule type="cellIs" dxfId="4512" priority="4462" stopIfTrue="1" operator="between">
      <formula>1.25</formula>
      <formula>1.75</formula>
    </cfRule>
  </conditionalFormatting>
  <conditionalFormatting sqref="H266">
    <cfRule type="cellIs" dxfId="4511" priority="4463" stopIfTrue="1" operator="greaterThan">
      <formula>1.75</formula>
    </cfRule>
    <cfRule type="cellIs" dxfId="4510" priority="4464" stopIfTrue="1" operator="between">
      <formula>1.25</formula>
      <formula>1.75</formula>
    </cfRule>
  </conditionalFormatting>
  <conditionalFormatting sqref="M266:U266">
    <cfRule type="cellIs" dxfId="4509" priority="4561" stopIfTrue="1" operator="greaterThan">
      <formula>1.75</formula>
    </cfRule>
    <cfRule type="cellIs" dxfId="4508" priority="4562" stopIfTrue="1" operator="between">
      <formula>1.25</formula>
      <formula>1.75</formula>
    </cfRule>
  </conditionalFormatting>
  <conditionalFormatting sqref="M266:U266">
    <cfRule type="cellIs" dxfId="4507" priority="4559" stopIfTrue="1" operator="greaterThan">
      <formula>1.75</formula>
    </cfRule>
    <cfRule type="cellIs" dxfId="4506" priority="4560" stopIfTrue="1" operator="between">
      <formula>1.25</formula>
      <formula>1.75</formula>
    </cfRule>
  </conditionalFormatting>
  <conditionalFormatting sqref="M266:U266">
    <cfRule type="cellIs" dxfId="4505" priority="4557" stopIfTrue="1" operator="greaterThan">
      <formula>1.75</formula>
    </cfRule>
    <cfRule type="cellIs" dxfId="4504" priority="4558" stopIfTrue="1" operator="between">
      <formula>1.25</formula>
      <formula>1.75</formula>
    </cfRule>
  </conditionalFormatting>
  <conditionalFormatting sqref="G266">
    <cfRule type="cellIs" dxfId="4503" priority="4465" stopIfTrue="1" operator="greaterThan">
      <formula>1.75</formula>
    </cfRule>
    <cfRule type="cellIs" dxfId="4502" priority="4466" stopIfTrue="1" operator="between">
      <formula>1.25</formula>
      <formula>1.75</formula>
    </cfRule>
  </conditionalFormatting>
  <conditionalFormatting sqref="V264">
    <cfRule type="cellIs" dxfId="4501" priority="4555" stopIfTrue="1" operator="greaterThan">
      <formula>1.75</formula>
    </cfRule>
    <cfRule type="cellIs" dxfId="4500" priority="4556" stopIfTrue="1" operator="between">
      <formula>1.25</formula>
      <formula>1.75</formula>
    </cfRule>
  </conditionalFormatting>
  <conditionalFormatting sqref="V266">
    <cfRule type="cellIs" dxfId="4499" priority="4553" stopIfTrue="1" operator="greaterThan">
      <formula>1.75</formula>
    </cfRule>
    <cfRule type="cellIs" dxfId="4498" priority="4554" stopIfTrue="1" operator="between">
      <formula>1.25</formula>
      <formula>1.75</formula>
    </cfRule>
  </conditionalFormatting>
  <conditionalFormatting sqref="V266">
    <cfRule type="cellIs" dxfId="4497" priority="4551" stopIfTrue="1" operator="greaterThan">
      <formula>1.75</formula>
    </cfRule>
    <cfRule type="cellIs" dxfId="4496" priority="4552" stopIfTrue="1" operator="between">
      <formula>1.25</formula>
      <formula>1.75</formula>
    </cfRule>
  </conditionalFormatting>
  <conditionalFormatting sqref="V266">
    <cfRule type="cellIs" dxfId="4495" priority="4549" stopIfTrue="1" operator="greaterThan">
      <formula>1.75</formula>
    </cfRule>
    <cfRule type="cellIs" dxfId="4494" priority="4550" stopIfTrue="1" operator="between">
      <formula>1.25</formula>
      <formula>1.75</formula>
    </cfRule>
  </conditionalFormatting>
  <conditionalFormatting sqref="C278">
    <cfRule type="cellIs" dxfId="4493" priority="4545" stopIfTrue="1" operator="greaterThan">
      <formula>1.75</formula>
    </cfRule>
    <cfRule type="cellIs" dxfId="4492" priority="4546" stopIfTrue="1" operator="between">
      <formula>1.25</formula>
      <formula>1.75</formula>
    </cfRule>
  </conditionalFormatting>
  <conditionalFormatting sqref="C278">
    <cfRule type="cellIs" dxfId="4491" priority="4543" stopIfTrue="1" operator="greaterThan">
      <formula>1.75</formula>
    </cfRule>
    <cfRule type="cellIs" dxfId="4490" priority="4544" stopIfTrue="1" operator="between">
      <formula>1.25</formula>
      <formula>1.75</formula>
    </cfRule>
  </conditionalFormatting>
  <conditionalFormatting sqref="C278">
    <cfRule type="cellIs" dxfId="4489" priority="4547" stopIfTrue="1" operator="greaterThan">
      <formula>1.75</formula>
    </cfRule>
    <cfRule type="cellIs" dxfId="4488" priority="4548" stopIfTrue="1" operator="between">
      <formula>1.25</formula>
      <formula>1.75</formula>
    </cfRule>
  </conditionalFormatting>
  <conditionalFormatting sqref="C264">
    <cfRule type="cellIs" dxfId="4487" priority="4539" stopIfTrue="1" operator="greaterThan">
      <formula>1.75</formula>
    </cfRule>
    <cfRule type="cellIs" dxfId="4486" priority="4540" stopIfTrue="1" operator="between">
      <formula>1.25</formula>
      <formula>1.75</formula>
    </cfRule>
  </conditionalFormatting>
  <conditionalFormatting sqref="C264">
    <cfRule type="cellIs" dxfId="4485" priority="4537" stopIfTrue="1" operator="greaterThan">
      <formula>1.75</formula>
    </cfRule>
    <cfRule type="cellIs" dxfId="4484" priority="4538" stopIfTrue="1" operator="between">
      <formula>1.25</formula>
      <formula>1.75</formula>
    </cfRule>
  </conditionalFormatting>
  <conditionalFormatting sqref="C264">
    <cfRule type="cellIs" dxfId="4483" priority="4541" stopIfTrue="1" operator="greaterThan">
      <formula>1.75</formula>
    </cfRule>
    <cfRule type="cellIs" dxfId="4482" priority="4542" stopIfTrue="1" operator="between">
      <formula>1.25</formula>
      <formula>1.75</formula>
    </cfRule>
  </conditionalFormatting>
  <conditionalFormatting sqref="D278">
    <cfRule type="cellIs" dxfId="4481" priority="4535" stopIfTrue="1" operator="greaterThan">
      <formula>1.75</formula>
    </cfRule>
    <cfRule type="cellIs" dxfId="4480" priority="4536" stopIfTrue="1" operator="between">
      <formula>1.25</formula>
      <formula>1.75</formula>
    </cfRule>
  </conditionalFormatting>
  <conditionalFormatting sqref="D264">
    <cfRule type="cellIs" dxfId="4479" priority="4527" stopIfTrue="1" operator="greaterThan">
      <formula>1.75</formula>
    </cfRule>
    <cfRule type="cellIs" dxfId="4478" priority="4528" stopIfTrue="1" operator="between">
      <formula>1.25</formula>
      <formula>1.75</formula>
    </cfRule>
  </conditionalFormatting>
  <conditionalFormatting sqref="D264">
    <cfRule type="cellIs" dxfId="4477" priority="4525" stopIfTrue="1" operator="greaterThan">
      <formula>1.75</formula>
    </cfRule>
    <cfRule type="cellIs" dxfId="4476" priority="4526" stopIfTrue="1" operator="between">
      <formula>1.25</formula>
      <formula>1.75</formula>
    </cfRule>
  </conditionalFormatting>
  <conditionalFormatting sqref="C280">
    <cfRule type="cellIs" dxfId="4475" priority="4519" stopIfTrue="1" operator="greaterThan">
      <formula>1.75</formula>
    </cfRule>
    <cfRule type="cellIs" dxfId="4474" priority="4520" stopIfTrue="1" operator="between">
      <formula>1.25</formula>
      <formula>1.75</formula>
    </cfRule>
  </conditionalFormatting>
  <conditionalFormatting sqref="C280">
    <cfRule type="cellIs" dxfId="4473" priority="4521" stopIfTrue="1" operator="greaterThan">
      <formula>1.75</formula>
    </cfRule>
    <cfRule type="cellIs" dxfId="4472" priority="4522" stopIfTrue="1" operator="between">
      <formula>1.25</formula>
      <formula>1.75</formula>
    </cfRule>
  </conditionalFormatting>
  <conditionalFormatting sqref="C280">
    <cfRule type="cellIs" dxfId="4471" priority="4523" stopIfTrue="1" operator="greaterThan">
      <formula>1.75</formula>
    </cfRule>
    <cfRule type="cellIs" dxfId="4470" priority="4524" stopIfTrue="1" operator="between">
      <formula>1.25</formula>
      <formula>1.75</formula>
    </cfRule>
  </conditionalFormatting>
  <conditionalFormatting sqref="C266">
    <cfRule type="cellIs" dxfId="4469" priority="4513" stopIfTrue="1" operator="greaterThan">
      <formula>1.75</formula>
    </cfRule>
    <cfRule type="cellIs" dxfId="4468" priority="4514" stopIfTrue="1" operator="between">
      <formula>1.25</formula>
      <formula>1.75</formula>
    </cfRule>
  </conditionalFormatting>
  <conditionalFormatting sqref="C266">
    <cfRule type="cellIs" dxfId="4467" priority="4515" stopIfTrue="1" operator="greaterThan">
      <formula>1.75</formula>
    </cfRule>
    <cfRule type="cellIs" dxfId="4466" priority="4516" stopIfTrue="1" operator="between">
      <formula>1.25</formula>
      <formula>1.75</formula>
    </cfRule>
  </conditionalFormatting>
  <conditionalFormatting sqref="C266">
    <cfRule type="cellIs" dxfId="4465" priority="4517" stopIfTrue="1" operator="greaterThan">
      <formula>1.75</formula>
    </cfRule>
    <cfRule type="cellIs" dxfId="4464" priority="4518" stopIfTrue="1" operator="between">
      <formula>1.25</formula>
      <formula>1.75</formula>
    </cfRule>
  </conditionalFormatting>
  <conditionalFormatting sqref="D280">
    <cfRule type="cellIs" dxfId="4463" priority="4507" stopIfTrue="1" operator="greaterThan">
      <formula>1.75</formula>
    </cfRule>
    <cfRule type="cellIs" dxfId="4462" priority="4508" stopIfTrue="1" operator="between">
      <formula>1.25</formula>
      <formula>1.75</formula>
    </cfRule>
  </conditionalFormatting>
  <conditionalFormatting sqref="D280">
    <cfRule type="cellIs" dxfId="4461" priority="4509" stopIfTrue="1" operator="greaterThan">
      <formula>1.75</formula>
    </cfRule>
    <cfRule type="cellIs" dxfId="4460" priority="4510" stopIfTrue="1" operator="between">
      <formula>1.25</formula>
      <formula>1.75</formula>
    </cfRule>
  </conditionalFormatting>
  <conditionalFormatting sqref="D280">
    <cfRule type="cellIs" dxfId="4459" priority="4511" stopIfTrue="1" operator="greaterThan">
      <formula>1.75</formula>
    </cfRule>
    <cfRule type="cellIs" dxfId="4458" priority="4512" stopIfTrue="1" operator="between">
      <formula>1.25</formula>
      <formula>1.75</formula>
    </cfRule>
  </conditionalFormatting>
  <conditionalFormatting sqref="D266">
    <cfRule type="cellIs" dxfId="4457" priority="4501" stopIfTrue="1" operator="greaterThan">
      <formula>1.75</formula>
    </cfRule>
    <cfRule type="cellIs" dxfId="4456" priority="4502" stopIfTrue="1" operator="between">
      <formula>1.25</formula>
      <formula>1.75</formula>
    </cfRule>
  </conditionalFormatting>
  <conditionalFormatting sqref="D266">
    <cfRule type="cellIs" dxfId="4455" priority="4503" stopIfTrue="1" operator="greaterThan">
      <formula>1.75</formula>
    </cfRule>
    <cfRule type="cellIs" dxfId="4454" priority="4504" stopIfTrue="1" operator="between">
      <formula>1.25</formula>
      <formula>1.75</formula>
    </cfRule>
  </conditionalFormatting>
  <conditionalFormatting sqref="D266">
    <cfRule type="cellIs" dxfId="4453" priority="4505" stopIfTrue="1" operator="greaterThan">
      <formula>1.75</formula>
    </cfRule>
    <cfRule type="cellIs" dxfId="4452" priority="4506" stopIfTrue="1" operator="between">
      <formula>1.25</formula>
      <formula>1.75</formula>
    </cfRule>
  </conditionalFormatting>
  <conditionalFormatting sqref="E280">
    <cfRule type="cellIs" dxfId="4451" priority="4495" stopIfTrue="1" operator="greaterThan">
      <formula>1.75</formula>
    </cfRule>
    <cfRule type="cellIs" dxfId="4450" priority="4496" stopIfTrue="1" operator="between">
      <formula>1.25</formula>
      <formula>1.75</formula>
    </cfRule>
  </conditionalFormatting>
  <conditionalFormatting sqref="E280">
    <cfRule type="cellIs" dxfId="4449" priority="4497" stopIfTrue="1" operator="greaterThan">
      <formula>1.75</formula>
    </cfRule>
    <cfRule type="cellIs" dxfId="4448" priority="4498" stopIfTrue="1" operator="between">
      <formula>1.25</formula>
      <formula>1.75</formula>
    </cfRule>
  </conditionalFormatting>
  <conditionalFormatting sqref="E280">
    <cfRule type="cellIs" dxfId="4447" priority="4499" stopIfTrue="1" operator="greaterThan">
      <formula>1.75</formula>
    </cfRule>
    <cfRule type="cellIs" dxfId="4446" priority="4500" stopIfTrue="1" operator="between">
      <formula>1.25</formula>
      <formula>1.75</formula>
    </cfRule>
  </conditionalFormatting>
  <conditionalFormatting sqref="E266">
    <cfRule type="cellIs" dxfId="4445" priority="4489" stopIfTrue="1" operator="greaterThan">
      <formula>1.75</formula>
    </cfRule>
    <cfRule type="cellIs" dxfId="4444" priority="4490" stopIfTrue="1" operator="between">
      <formula>1.25</formula>
      <formula>1.75</formula>
    </cfRule>
  </conditionalFormatting>
  <conditionalFormatting sqref="E266">
    <cfRule type="cellIs" dxfId="4443" priority="4491" stopIfTrue="1" operator="greaterThan">
      <formula>1.75</formula>
    </cfRule>
    <cfRule type="cellIs" dxfId="4442" priority="4492" stopIfTrue="1" operator="between">
      <formula>1.25</formula>
      <formula>1.75</formula>
    </cfRule>
  </conditionalFormatting>
  <conditionalFormatting sqref="E266">
    <cfRule type="cellIs" dxfId="4441" priority="4493" stopIfTrue="1" operator="greaterThan">
      <formula>1.75</formula>
    </cfRule>
    <cfRule type="cellIs" dxfId="4440" priority="4494" stopIfTrue="1" operator="between">
      <formula>1.25</formula>
      <formula>1.75</formula>
    </cfRule>
  </conditionalFormatting>
  <conditionalFormatting sqref="E278">
    <cfRule type="cellIs" dxfId="4439" priority="4485" stopIfTrue="1" operator="greaterThan">
      <formula>1.75</formula>
    </cfRule>
    <cfRule type="cellIs" dxfId="4438" priority="4486" stopIfTrue="1" operator="between">
      <formula>1.25</formula>
      <formula>1.75</formula>
    </cfRule>
  </conditionalFormatting>
  <conditionalFormatting sqref="E278">
    <cfRule type="cellIs" dxfId="4437" priority="4483" stopIfTrue="1" operator="greaterThan">
      <formula>1.75</formula>
    </cfRule>
    <cfRule type="cellIs" dxfId="4436" priority="4484" stopIfTrue="1" operator="between">
      <formula>1.25</formula>
      <formula>1.75</formula>
    </cfRule>
  </conditionalFormatting>
  <conditionalFormatting sqref="E278">
    <cfRule type="cellIs" dxfId="4435" priority="4487" stopIfTrue="1" operator="greaterThan">
      <formula>1.75</formula>
    </cfRule>
    <cfRule type="cellIs" dxfId="4434" priority="4488" stopIfTrue="1" operator="between">
      <formula>1.25</formula>
      <formula>1.75</formula>
    </cfRule>
  </conditionalFormatting>
  <conditionalFormatting sqref="E264">
    <cfRule type="cellIs" dxfId="4433" priority="4479" stopIfTrue="1" operator="greaterThan">
      <formula>1.75</formula>
    </cfRule>
    <cfRule type="cellIs" dxfId="4432" priority="4480" stopIfTrue="1" operator="between">
      <formula>1.25</formula>
      <formula>1.75</formula>
    </cfRule>
  </conditionalFormatting>
  <conditionalFormatting sqref="E264">
    <cfRule type="cellIs" dxfId="4431" priority="4477" stopIfTrue="1" operator="greaterThan">
      <formula>1.75</formula>
    </cfRule>
    <cfRule type="cellIs" dxfId="4430" priority="4478" stopIfTrue="1" operator="between">
      <formula>1.25</formula>
      <formula>1.75</formula>
    </cfRule>
  </conditionalFormatting>
  <conditionalFormatting sqref="E264">
    <cfRule type="cellIs" dxfId="4429" priority="4481" stopIfTrue="1" operator="greaterThan">
      <formula>1.75</formula>
    </cfRule>
    <cfRule type="cellIs" dxfId="4428" priority="4482" stopIfTrue="1" operator="between">
      <formula>1.25</formula>
      <formula>1.75</formula>
    </cfRule>
  </conditionalFormatting>
  <conditionalFormatting sqref="F266">
    <cfRule type="cellIs" dxfId="4427" priority="4471" stopIfTrue="1" operator="greaterThan">
      <formula>1.75</formula>
    </cfRule>
    <cfRule type="cellIs" dxfId="4426" priority="4472" stopIfTrue="1" operator="between">
      <formula>1.25</formula>
      <formula>1.75</formula>
    </cfRule>
  </conditionalFormatting>
  <conditionalFormatting sqref="F266">
    <cfRule type="cellIs" dxfId="4425" priority="4473" stopIfTrue="1" operator="greaterThan">
      <formula>1.75</formula>
    </cfRule>
    <cfRule type="cellIs" dxfId="4424" priority="4474" stopIfTrue="1" operator="between">
      <formula>1.25</formula>
      <formula>1.75</formula>
    </cfRule>
  </conditionalFormatting>
  <conditionalFormatting sqref="F266">
    <cfRule type="cellIs" dxfId="4423" priority="4475" stopIfTrue="1" operator="greaterThan">
      <formula>1.75</formula>
    </cfRule>
    <cfRule type="cellIs" dxfId="4422" priority="4476" stopIfTrue="1" operator="between">
      <formula>1.25</formula>
      <formula>1.75</formula>
    </cfRule>
  </conditionalFormatting>
  <conditionalFormatting sqref="G266">
    <cfRule type="cellIs" dxfId="4421" priority="4467" stopIfTrue="1" operator="greaterThan">
      <formula>1.75</formula>
    </cfRule>
    <cfRule type="cellIs" dxfId="4420" priority="4468" stopIfTrue="1" operator="between">
      <formula>1.25</formula>
      <formula>1.75</formula>
    </cfRule>
  </conditionalFormatting>
  <conditionalFormatting sqref="G266">
    <cfRule type="cellIs" dxfId="4419" priority="4469" stopIfTrue="1" operator="greaterThan">
      <formula>1.75</formula>
    </cfRule>
    <cfRule type="cellIs" dxfId="4418" priority="4470" stopIfTrue="1" operator="between">
      <formula>1.25</formula>
      <formula>1.75</formula>
    </cfRule>
  </conditionalFormatting>
  <conditionalFormatting sqref="H266">
    <cfRule type="cellIs" dxfId="4417" priority="4459" stopIfTrue="1" operator="greaterThan">
      <formula>1.75</formula>
    </cfRule>
    <cfRule type="cellIs" dxfId="4416" priority="4460" stopIfTrue="1" operator="between">
      <formula>1.25</formula>
      <formula>1.75</formula>
    </cfRule>
  </conditionalFormatting>
  <conditionalFormatting sqref="I266">
    <cfRule type="cellIs" dxfId="4415" priority="4453" stopIfTrue="1" operator="greaterThan">
      <formula>1.75</formula>
    </cfRule>
    <cfRule type="cellIs" dxfId="4414" priority="4454" stopIfTrue="1" operator="between">
      <formula>1.25</formula>
      <formula>1.75</formula>
    </cfRule>
  </conditionalFormatting>
  <conditionalFormatting sqref="I266">
    <cfRule type="cellIs" dxfId="4413" priority="4455" stopIfTrue="1" operator="greaterThan">
      <formula>1.75</formula>
    </cfRule>
    <cfRule type="cellIs" dxfId="4412" priority="4456" stopIfTrue="1" operator="between">
      <formula>1.25</formula>
      <formula>1.75</formula>
    </cfRule>
  </conditionalFormatting>
  <conditionalFormatting sqref="I266">
    <cfRule type="cellIs" dxfId="4411" priority="4457" stopIfTrue="1" operator="greaterThan">
      <formula>1.75</formula>
    </cfRule>
    <cfRule type="cellIs" dxfId="4410" priority="4458" stopIfTrue="1" operator="between">
      <formula>1.25</formula>
      <formula>1.75</formula>
    </cfRule>
  </conditionalFormatting>
  <conditionalFormatting sqref="J266">
    <cfRule type="cellIs" dxfId="4409" priority="4447" stopIfTrue="1" operator="greaterThan">
      <formula>1.75</formula>
    </cfRule>
    <cfRule type="cellIs" dxfId="4408" priority="4448" stopIfTrue="1" operator="between">
      <formula>1.25</formula>
      <formula>1.75</formula>
    </cfRule>
  </conditionalFormatting>
  <conditionalFormatting sqref="J266">
    <cfRule type="cellIs" dxfId="4407" priority="4449" stopIfTrue="1" operator="greaterThan">
      <formula>1.75</formula>
    </cfRule>
    <cfRule type="cellIs" dxfId="4406" priority="4450" stopIfTrue="1" operator="between">
      <formula>1.25</formula>
      <formula>1.75</formula>
    </cfRule>
  </conditionalFormatting>
  <conditionalFormatting sqref="J266">
    <cfRule type="cellIs" dxfId="4405" priority="4451" stopIfTrue="1" operator="greaterThan">
      <formula>1.75</formula>
    </cfRule>
    <cfRule type="cellIs" dxfId="4404" priority="4452" stopIfTrue="1" operator="between">
      <formula>1.25</formula>
      <formula>1.75</formula>
    </cfRule>
  </conditionalFormatting>
  <conditionalFormatting sqref="K266">
    <cfRule type="cellIs" dxfId="4403" priority="4441" stopIfTrue="1" operator="greaterThan">
      <formula>1.75</formula>
    </cfRule>
    <cfRule type="cellIs" dxfId="4402" priority="4442" stopIfTrue="1" operator="between">
      <formula>1.25</formula>
      <formula>1.75</formula>
    </cfRule>
  </conditionalFormatting>
  <conditionalFormatting sqref="K266">
    <cfRule type="cellIs" dxfId="4401" priority="4443" stopIfTrue="1" operator="greaterThan">
      <formula>1.75</formula>
    </cfRule>
    <cfRule type="cellIs" dxfId="4400" priority="4444" stopIfTrue="1" operator="between">
      <formula>1.25</formula>
      <formula>1.75</formula>
    </cfRule>
  </conditionalFormatting>
  <conditionalFormatting sqref="K266">
    <cfRule type="cellIs" dxfId="4399" priority="4445" stopIfTrue="1" operator="greaterThan">
      <formula>1.75</formula>
    </cfRule>
    <cfRule type="cellIs" dxfId="4398" priority="4446" stopIfTrue="1" operator="between">
      <formula>1.25</formula>
      <formula>1.75</formula>
    </cfRule>
  </conditionalFormatting>
  <conditionalFormatting sqref="L266">
    <cfRule type="cellIs" dxfId="4397" priority="4435" stopIfTrue="1" operator="greaterThan">
      <formula>1.75</formula>
    </cfRule>
    <cfRule type="cellIs" dxfId="4396" priority="4436" stopIfTrue="1" operator="between">
      <formula>1.25</formula>
      <formula>1.75</formula>
    </cfRule>
  </conditionalFormatting>
  <conditionalFormatting sqref="L266">
    <cfRule type="cellIs" dxfId="4395" priority="4437" stopIfTrue="1" operator="greaterThan">
      <formula>1.75</formula>
    </cfRule>
    <cfRule type="cellIs" dxfId="4394" priority="4438" stopIfTrue="1" operator="between">
      <formula>1.25</formula>
      <formula>1.75</formula>
    </cfRule>
  </conditionalFormatting>
  <conditionalFormatting sqref="L266">
    <cfRule type="cellIs" dxfId="4393" priority="4439" stopIfTrue="1" operator="greaterThan">
      <formula>1.75</formula>
    </cfRule>
    <cfRule type="cellIs" dxfId="4392" priority="4440" stopIfTrue="1" operator="between">
      <formula>1.25</formula>
      <formula>1.75</formula>
    </cfRule>
  </conditionalFormatting>
  <conditionalFormatting sqref="F264">
    <cfRule type="cellIs" dxfId="4391" priority="4431" stopIfTrue="1" operator="greaterThan">
      <formula>1.75</formula>
    </cfRule>
    <cfRule type="cellIs" dxfId="4390" priority="4432" stopIfTrue="1" operator="between">
      <formula>1.25</formula>
      <formula>1.75</formula>
    </cfRule>
  </conditionalFormatting>
  <conditionalFormatting sqref="F264">
    <cfRule type="cellIs" dxfId="4389" priority="4429" stopIfTrue="1" operator="greaterThan">
      <formula>1.75</formula>
    </cfRule>
    <cfRule type="cellIs" dxfId="4388" priority="4430" stopIfTrue="1" operator="between">
      <formula>1.25</formula>
      <formula>1.75</formula>
    </cfRule>
  </conditionalFormatting>
  <conditionalFormatting sqref="F264">
    <cfRule type="cellIs" dxfId="4387" priority="4433" stopIfTrue="1" operator="greaterThan">
      <formula>1.75</formula>
    </cfRule>
    <cfRule type="cellIs" dxfId="4386" priority="4434" stopIfTrue="1" operator="between">
      <formula>1.25</formula>
      <formula>1.75</formula>
    </cfRule>
  </conditionalFormatting>
  <conditionalFormatting sqref="G264">
    <cfRule type="cellIs" dxfId="4385" priority="4425" stopIfTrue="1" operator="greaterThan">
      <formula>1.75</formula>
    </cfRule>
    <cfRule type="cellIs" dxfId="4384" priority="4426" stopIfTrue="1" operator="between">
      <formula>1.25</formula>
      <formula>1.75</formula>
    </cfRule>
  </conditionalFormatting>
  <conditionalFormatting sqref="G264">
    <cfRule type="cellIs" dxfId="4383" priority="4423" stopIfTrue="1" operator="greaterThan">
      <formula>1.75</formula>
    </cfRule>
    <cfRule type="cellIs" dxfId="4382" priority="4424" stopIfTrue="1" operator="between">
      <formula>1.25</formula>
      <formula>1.75</formula>
    </cfRule>
  </conditionalFormatting>
  <conditionalFormatting sqref="G264">
    <cfRule type="cellIs" dxfId="4381" priority="4427" stopIfTrue="1" operator="greaterThan">
      <formula>1.75</formula>
    </cfRule>
    <cfRule type="cellIs" dxfId="4380" priority="4428" stopIfTrue="1" operator="between">
      <formula>1.25</formula>
      <formula>1.75</formula>
    </cfRule>
  </conditionalFormatting>
  <conditionalFormatting sqref="H264">
    <cfRule type="cellIs" dxfId="4379" priority="4419" stopIfTrue="1" operator="greaterThan">
      <formula>1.75</formula>
    </cfRule>
    <cfRule type="cellIs" dxfId="4378" priority="4420" stopIfTrue="1" operator="between">
      <formula>1.25</formula>
      <formula>1.75</formula>
    </cfRule>
  </conditionalFormatting>
  <conditionalFormatting sqref="H264">
    <cfRule type="cellIs" dxfId="4377" priority="4417" stopIfTrue="1" operator="greaterThan">
      <formula>1.75</formula>
    </cfRule>
    <cfRule type="cellIs" dxfId="4376" priority="4418" stopIfTrue="1" operator="between">
      <formula>1.25</formula>
      <formula>1.75</formula>
    </cfRule>
  </conditionalFormatting>
  <conditionalFormatting sqref="H264">
    <cfRule type="cellIs" dxfId="4375" priority="4421" stopIfTrue="1" operator="greaterThan">
      <formula>1.75</formula>
    </cfRule>
    <cfRule type="cellIs" dxfId="4374" priority="4422" stopIfTrue="1" operator="between">
      <formula>1.25</formula>
      <formula>1.75</formula>
    </cfRule>
  </conditionalFormatting>
  <conditionalFormatting sqref="I264">
    <cfRule type="cellIs" dxfId="4373" priority="4413" stopIfTrue="1" operator="greaterThan">
      <formula>1.75</formula>
    </cfRule>
    <cfRule type="cellIs" dxfId="4372" priority="4414" stopIfTrue="1" operator="between">
      <formula>1.25</formula>
      <formula>1.75</formula>
    </cfRule>
  </conditionalFormatting>
  <conditionalFormatting sqref="I264">
    <cfRule type="cellIs" dxfId="4371" priority="4411" stopIfTrue="1" operator="greaterThan">
      <formula>1.75</formula>
    </cfRule>
    <cfRule type="cellIs" dxfId="4370" priority="4412" stopIfTrue="1" operator="between">
      <formula>1.25</formula>
      <formula>1.75</formula>
    </cfRule>
  </conditionalFormatting>
  <conditionalFormatting sqref="I264">
    <cfRule type="cellIs" dxfId="4369" priority="4415" stopIfTrue="1" operator="greaterThan">
      <formula>1.75</formula>
    </cfRule>
    <cfRule type="cellIs" dxfId="4368" priority="4416" stopIfTrue="1" operator="between">
      <formula>1.25</formula>
      <formula>1.75</formula>
    </cfRule>
  </conditionalFormatting>
  <conditionalFormatting sqref="J264">
    <cfRule type="cellIs" dxfId="4367" priority="4407" stopIfTrue="1" operator="greaterThan">
      <formula>1.75</formula>
    </cfRule>
    <cfRule type="cellIs" dxfId="4366" priority="4408" stopIfTrue="1" operator="between">
      <formula>1.25</formula>
      <formula>1.75</formula>
    </cfRule>
  </conditionalFormatting>
  <conditionalFormatting sqref="J264">
    <cfRule type="cellIs" dxfId="4365" priority="4405" stopIfTrue="1" operator="greaterThan">
      <formula>1.75</formula>
    </cfRule>
    <cfRule type="cellIs" dxfId="4364" priority="4406" stopIfTrue="1" operator="between">
      <formula>1.25</formula>
      <formula>1.75</formula>
    </cfRule>
  </conditionalFormatting>
  <conditionalFormatting sqref="J264">
    <cfRule type="cellIs" dxfId="4363" priority="4409" stopIfTrue="1" operator="greaterThan">
      <formula>1.75</formula>
    </cfRule>
    <cfRule type="cellIs" dxfId="4362" priority="4410" stopIfTrue="1" operator="between">
      <formula>1.25</formula>
      <formula>1.75</formula>
    </cfRule>
  </conditionalFormatting>
  <conditionalFormatting sqref="K264">
    <cfRule type="cellIs" dxfId="4361" priority="4401" stopIfTrue="1" operator="greaterThan">
      <formula>1.75</formula>
    </cfRule>
    <cfRule type="cellIs" dxfId="4360" priority="4402" stopIfTrue="1" operator="between">
      <formula>1.25</formula>
      <formula>1.75</formula>
    </cfRule>
  </conditionalFormatting>
  <conditionalFormatting sqref="K264">
    <cfRule type="cellIs" dxfId="4359" priority="4399" stopIfTrue="1" operator="greaterThan">
      <formula>1.75</formula>
    </cfRule>
    <cfRule type="cellIs" dxfId="4358" priority="4400" stopIfTrue="1" operator="between">
      <formula>1.25</formula>
      <formula>1.75</formula>
    </cfRule>
  </conditionalFormatting>
  <conditionalFormatting sqref="K264">
    <cfRule type="cellIs" dxfId="4357" priority="4403" stopIfTrue="1" operator="greaterThan">
      <formula>1.75</formula>
    </cfRule>
    <cfRule type="cellIs" dxfId="4356" priority="4404" stopIfTrue="1" operator="between">
      <formula>1.25</formula>
      <formula>1.75</formula>
    </cfRule>
  </conditionalFormatting>
  <conditionalFormatting sqref="L264">
    <cfRule type="cellIs" dxfId="4355" priority="4395" stopIfTrue="1" operator="greaterThan">
      <formula>1.75</formula>
    </cfRule>
    <cfRule type="cellIs" dxfId="4354" priority="4396" stopIfTrue="1" operator="between">
      <formula>1.25</formula>
      <formula>1.75</formula>
    </cfRule>
  </conditionalFormatting>
  <conditionalFormatting sqref="L264">
    <cfRule type="cellIs" dxfId="4353" priority="4393" stopIfTrue="1" operator="greaterThan">
      <formula>1.75</formula>
    </cfRule>
    <cfRule type="cellIs" dxfId="4352" priority="4394" stopIfTrue="1" operator="between">
      <formula>1.25</formula>
      <formula>1.75</formula>
    </cfRule>
  </conditionalFormatting>
  <conditionalFormatting sqref="L264">
    <cfRule type="cellIs" dxfId="4351" priority="4397" stopIfTrue="1" operator="greaterThan">
      <formula>1.75</formula>
    </cfRule>
    <cfRule type="cellIs" dxfId="4350" priority="4398" stopIfTrue="1" operator="between">
      <formula>1.25</formula>
      <formula>1.75</formula>
    </cfRule>
  </conditionalFormatting>
  <conditionalFormatting sqref="W264">
    <cfRule type="cellIs" dxfId="4349" priority="4391" stopIfTrue="1" operator="greaterThan">
      <formula>1.75</formula>
    </cfRule>
    <cfRule type="cellIs" dxfId="4348" priority="4392" stopIfTrue="1" operator="between">
      <formula>1.25</formula>
      <formula>1.75</formula>
    </cfRule>
  </conditionalFormatting>
  <conditionalFormatting sqref="W266">
    <cfRule type="cellIs" dxfId="4347" priority="4389" stopIfTrue="1" operator="greaterThan">
      <formula>1.75</formula>
    </cfRule>
    <cfRule type="cellIs" dxfId="4346" priority="4390" stopIfTrue="1" operator="between">
      <formula>1.25</formula>
      <formula>1.75</formula>
    </cfRule>
  </conditionalFormatting>
  <conditionalFormatting sqref="W266">
    <cfRule type="cellIs" dxfId="4345" priority="4387" stopIfTrue="1" operator="greaterThan">
      <formula>1.75</formula>
    </cfRule>
    <cfRule type="cellIs" dxfId="4344" priority="4388" stopIfTrue="1" operator="between">
      <formula>1.25</formula>
      <formula>1.75</formula>
    </cfRule>
  </conditionalFormatting>
  <conditionalFormatting sqref="W266">
    <cfRule type="cellIs" dxfId="4343" priority="4385" stopIfTrue="1" operator="greaterThan">
      <formula>1.75</formula>
    </cfRule>
    <cfRule type="cellIs" dxfId="4342" priority="4386" stopIfTrue="1" operator="between">
      <formula>1.25</formula>
      <formula>1.75</formula>
    </cfRule>
  </conditionalFormatting>
  <conditionalFormatting sqref="D250">
    <cfRule type="cellIs" dxfId="4341" priority="4327" stopIfTrue="1" operator="greaterThan">
      <formula>1.75</formula>
    </cfRule>
    <cfRule type="cellIs" dxfId="4340" priority="4328" stopIfTrue="1" operator="between">
      <formula>1.25</formula>
      <formula>1.75</formula>
    </cfRule>
  </conditionalFormatting>
  <conditionalFormatting sqref="Q250">
    <cfRule type="cellIs" dxfId="4339" priority="4365" stopIfTrue="1" operator="greaterThan">
      <formula>1.75</formula>
    </cfRule>
    <cfRule type="cellIs" dxfId="4338" priority="4366" stopIfTrue="1" operator="between">
      <formula>1.25</formula>
      <formula>1.75</formula>
    </cfRule>
  </conditionalFormatting>
  <conditionalFormatting sqref="X249">
    <cfRule type="cellIs" dxfId="4337" priority="4383" operator="lessThan">
      <formula>1000</formula>
    </cfRule>
    <cfRule type="cellIs" dxfId="4336" priority="4384" operator="lessThan">
      <formula>2000</formula>
    </cfRule>
  </conditionalFormatting>
  <conditionalFormatting sqref="M250:O250">
    <cfRule type="cellIs" dxfId="4335" priority="4379" stopIfTrue="1" operator="greaterThan">
      <formula>1.75</formula>
    </cfRule>
    <cfRule type="cellIs" dxfId="4334" priority="4380" stopIfTrue="1" operator="between">
      <formula>1.25</formula>
      <formula>1.75</formula>
    </cfRule>
  </conditionalFormatting>
  <conditionalFormatting sqref="M250:O250">
    <cfRule type="cellIs" dxfId="4333" priority="4377" stopIfTrue="1" operator="greaterThan">
      <formula>1.75</formula>
    </cfRule>
    <cfRule type="cellIs" dxfId="4332" priority="4378" stopIfTrue="1" operator="between">
      <formula>1.25</formula>
      <formula>1.75</formula>
    </cfRule>
  </conditionalFormatting>
  <conditionalFormatting sqref="P250">
    <cfRule type="cellIs" dxfId="4331" priority="4375" stopIfTrue="1" operator="greaterThan">
      <formula>1.75</formula>
    </cfRule>
    <cfRule type="cellIs" dxfId="4330" priority="4376" stopIfTrue="1" operator="between">
      <formula>1.25</formula>
      <formula>1.75</formula>
    </cfRule>
  </conditionalFormatting>
  <conditionalFormatting sqref="P250">
    <cfRule type="cellIs" dxfId="4329" priority="4373" stopIfTrue="1" operator="greaterThan">
      <formula>1.75</formula>
    </cfRule>
    <cfRule type="cellIs" dxfId="4328" priority="4374" stopIfTrue="1" operator="between">
      <formula>1.25</formula>
      <formula>1.75</formula>
    </cfRule>
  </conditionalFormatting>
  <conditionalFormatting sqref="P250">
    <cfRule type="cellIs" dxfId="4327" priority="4371" stopIfTrue="1" operator="greaterThan">
      <formula>1.75</formula>
    </cfRule>
    <cfRule type="cellIs" dxfId="4326" priority="4372" stopIfTrue="1" operator="between">
      <formula>1.25</formula>
      <formula>1.75</formula>
    </cfRule>
  </conditionalFormatting>
  <conditionalFormatting sqref="U250">
    <cfRule type="cellIs" dxfId="4325" priority="4369" stopIfTrue="1" operator="greaterThan">
      <formula>1.75</formula>
    </cfRule>
    <cfRule type="cellIs" dxfId="4324" priority="4370" stopIfTrue="1" operator="between">
      <formula>1.25</formula>
      <formula>1.75</formula>
    </cfRule>
  </conditionalFormatting>
  <conditionalFormatting sqref="T250">
    <cfRule type="cellIs" dxfId="4323" priority="4367" stopIfTrue="1" operator="greaterThan">
      <formula>1.75</formula>
    </cfRule>
    <cfRule type="cellIs" dxfId="4322" priority="4368" stopIfTrue="1" operator="between">
      <formula>1.25</formula>
      <formula>1.75</formula>
    </cfRule>
  </conditionalFormatting>
  <conditionalFormatting sqref="Q250">
    <cfRule type="cellIs" dxfId="4321" priority="4363" stopIfTrue="1" operator="greaterThan">
      <formula>1.75</formula>
    </cfRule>
    <cfRule type="cellIs" dxfId="4320" priority="4364" stopIfTrue="1" operator="between">
      <formula>1.25</formula>
      <formula>1.75</formula>
    </cfRule>
  </conditionalFormatting>
  <conditionalFormatting sqref="Q250">
    <cfRule type="cellIs" dxfId="4319" priority="4361" stopIfTrue="1" operator="greaterThan">
      <formula>1.75</formula>
    </cfRule>
    <cfRule type="cellIs" dxfId="4318" priority="4362" stopIfTrue="1" operator="between">
      <formula>1.25</formula>
      <formula>1.75</formula>
    </cfRule>
  </conditionalFormatting>
  <conditionalFormatting sqref="R250">
    <cfRule type="cellIs" dxfId="4317" priority="4359" stopIfTrue="1" operator="greaterThan">
      <formula>1.75</formula>
    </cfRule>
    <cfRule type="cellIs" dxfId="4316" priority="4360" stopIfTrue="1" operator="between">
      <formula>1.25</formula>
      <formula>1.75</formula>
    </cfRule>
  </conditionalFormatting>
  <conditionalFormatting sqref="R250">
    <cfRule type="cellIs" dxfId="4315" priority="4357" stopIfTrue="1" operator="greaterThan">
      <formula>1.75</formula>
    </cfRule>
    <cfRule type="cellIs" dxfId="4314" priority="4358" stopIfTrue="1" operator="between">
      <formula>1.25</formula>
      <formula>1.75</formula>
    </cfRule>
  </conditionalFormatting>
  <conditionalFormatting sqref="R250">
    <cfRule type="cellIs" dxfId="4313" priority="4355" stopIfTrue="1" operator="greaterThan">
      <formula>1.75</formula>
    </cfRule>
    <cfRule type="cellIs" dxfId="4312" priority="4356" stopIfTrue="1" operator="between">
      <formula>1.25</formula>
      <formula>1.75</formula>
    </cfRule>
  </conditionalFormatting>
  <conditionalFormatting sqref="S250">
    <cfRule type="cellIs" dxfId="4311" priority="4351" stopIfTrue="1" operator="greaterThan">
      <formula>1.75</formula>
    </cfRule>
    <cfRule type="cellIs" dxfId="4310" priority="4352" stopIfTrue="1" operator="between">
      <formula>1.25</formula>
      <formula>1.75</formula>
    </cfRule>
  </conditionalFormatting>
  <conditionalFormatting sqref="S250">
    <cfRule type="cellIs" dxfId="4309" priority="4349" stopIfTrue="1" operator="greaterThan">
      <formula>1.75</formula>
    </cfRule>
    <cfRule type="cellIs" dxfId="4308" priority="4350" stopIfTrue="1" operator="between">
      <formula>1.25</formula>
      <formula>1.75</formula>
    </cfRule>
  </conditionalFormatting>
  <conditionalFormatting sqref="S250">
    <cfRule type="cellIs" dxfId="4307" priority="4353" stopIfTrue="1" operator="greaterThan">
      <formula>1.75</formula>
    </cfRule>
    <cfRule type="cellIs" dxfId="4306" priority="4354" stopIfTrue="1" operator="between">
      <formula>1.25</formula>
      <formula>1.75</formula>
    </cfRule>
  </conditionalFormatting>
  <conditionalFormatting sqref="M250:O250">
    <cfRule type="cellIs" dxfId="4305" priority="4381" stopIfTrue="1" operator="greaterThan">
      <formula>1.75</formula>
    </cfRule>
    <cfRule type="cellIs" dxfId="4304" priority="4382" stopIfTrue="1" operator="between">
      <formula>1.25</formula>
      <formula>1.75</formula>
    </cfRule>
  </conditionalFormatting>
  <conditionalFormatting sqref="H252">
    <cfRule type="cellIs" dxfId="4303" priority="4283" stopIfTrue="1" operator="greaterThan">
      <formula>1.75</formula>
    </cfRule>
    <cfRule type="cellIs" dxfId="4302" priority="4284" stopIfTrue="1" operator="between">
      <formula>1.25</formula>
      <formula>1.75</formula>
    </cfRule>
  </conditionalFormatting>
  <conditionalFormatting sqref="H252">
    <cfRule type="cellIs" dxfId="4301" priority="4285" stopIfTrue="1" operator="greaterThan">
      <formula>1.75</formula>
    </cfRule>
    <cfRule type="cellIs" dxfId="4300" priority="4286" stopIfTrue="1" operator="between">
      <formula>1.25</formula>
      <formula>1.75</formula>
    </cfRule>
  </conditionalFormatting>
  <conditionalFormatting sqref="M252:U252">
    <cfRule type="cellIs" dxfId="4299" priority="4347" stopIfTrue="1" operator="greaterThan">
      <formula>1.75</formula>
    </cfRule>
    <cfRule type="cellIs" dxfId="4298" priority="4348" stopIfTrue="1" operator="between">
      <formula>1.25</formula>
      <formula>1.75</formula>
    </cfRule>
  </conditionalFormatting>
  <conditionalFormatting sqref="M252:U252">
    <cfRule type="cellIs" dxfId="4297" priority="4345" stopIfTrue="1" operator="greaterThan">
      <formula>1.75</formula>
    </cfRule>
    <cfRule type="cellIs" dxfId="4296" priority="4346" stopIfTrue="1" operator="between">
      <formula>1.25</formula>
      <formula>1.75</formula>
    </cfRule>
  </conditionalFormatting>
  <conditionalFormatting sqref="M252:U252">
    <cfRule type="cellIs" dxfId="4295" priority="4343" stopIfTrue="1" operator="greaterThan">
      <formula>1.75</formula>
    </cfRule>
    <cfRule type="cellIs" dxfId="4294" priority="4344" stopIfTrue="1" operator="between">
      <formula>1.25</formula>
      <formula>1.75</formula>
    </cfRule>
  </conditionalFormatting>
  <conditionalFormatting sqref="G252">
    <cfRule type="cellIs" dxfId="4293" priority="4287" stopIfTrue="1" operator="greaterThan">
      <formula>1.75</formula>
    </cfRule>
    <cfRule type="cellIs" dxfId="4292" priority="4288" stopIfTrue="1" operator="between">
      <formula>1.25</formula>
      <formula>1.75</formula>
    </cfRule>
  </conditionalFormatting>
  <conditionalFormatting sqref="V250">
    <cfRule type="cellIs" dxfId="4291" priority="4341" stopIfTrue="1" operator="greaterThan">
      <formula>1.75</formula>
    </cfRule>
    <cfRule type="cellIs" dxfId="4290" priority="4342" stopIfTrue="1" operator="between">
      <formula>1.25</formula>
      <formula>1.75</formula>
    </cfRule>
  </conditionalFormatting>
  <conditionalFormatting sqref="V252">
    <cfRule type="cellIs" dxfId="4289" priority="4339" stopIfTrue="1" operator="greaterThan">
      <formula>1.75</formula>
    </cfRule>
    <cfRule type="cellIs" dxfId="4288" priority="4340" stopIfTrue="1" operator="between">
      <formula>1.25</formula>
      <formula>1.75</formula>
    </cfRule>
  </conditionalFormatting>
  <conditionalFormatting sqref="V252">
    <cfRule type="cellIs" dxfId="4287" priority="4337" stopIfTrue="1" operator="greaterThan">
      <formula>1.75</formula>
    </cfRule>
    <cfRule type="cellIs" dxfId="4286" priority="4338" stopIfTrue="1" operator="between">
      <formula>1.25</formula>
      <formula>1.75</formula>
    </cfRule>
  </conditionalFormatting>
  <conditionalFormatting sqref="V252">
    <cfRule type="cellIs" dxfId="4285" priority="4335" stopIfTrue="1" operator="greaterThan">
      <formula>1.75</formula>
    </cfRule>
    <cfRule type="cellIs" dxfId="4284" priority="4336" stopIfTrue="1" operator="between">
      <formula>1.25</formula>
      <formula>1.75</formula>
    </cfRule>
  </conditionalFormatting>
  <conditionalFormatting sqref="C250">
    <cfRule type="cellIs" dxfId="4283" priority="4331" stopIfTrue="1" operator="greaterThan">
      <formula>1.75</formula>
    </cfRule>
    <cfRule type="cellIs" dxfId="4282" priority="4332" stopIfTrue="1" operator="between">
      <formula>1.25</formula>
      <formula>1.75</formula>
    </cfRule>
  </conditionalFormatting>
  <conditionalFormatting sqref="C250">
    <cfRule type="cellIs" dxfId="4281" priority="4329" stopIfTrue="1" operator="greaterThan">
      <formula>1.75</formula>
    </cfRule>
    <cfRule type="cellIs" dxfId="4280" priority="4330" stopIfTrue="1" operator="between">
      <formula>1.25</formula>
      <formula>1.75</formula>
    </cfRule>
  </conditionalFormatting>
  <conditionalFormatting sqref="C250">
    <cfRule type="cellIs" dxfId="4279" priority="4333" stopIfTrue="1" operator="greaterThan">
      <formula>1.75</formula>
    </cfRule>
    <cfRule type="cellIs" dxfId="4278" priority="4334" stopIfTrue="1" operator="between">
      <formula>1.25</formula>
      <formula>1.75</formula>
    </cfRule>
  </conditionalFormatting>
  <conditionalFormatting sqref="D250">
    <cfRule type="cellIs" dxfId="4277" priority="4325" stopIfTrue="1" operator="greaterThan">
      <formula>1.75</formula>
    </cfRule>
    <cfRule type="cellIs" dxfId="4276" priority="4326" stopIfTrue="1" operator="between">
      <formula>1.25</formula>
      <formula>1.75</formula>
    </cfRule>
  </conditionalFormatting>
  <conditionalFormatting sqref="D250">
    <cfRule type="cellIs" dxfId="4275" priority="4323" stopIfTrue="1" operator="greaterThan">
      <formula>1.75</formula>
    </cfRule>
    <cfRule type="cellIs" dxfId="4274" priority="4324" stopIfTrue="1" operator="between">
      <formula>1.25</formula>
      <formula>1.75</formula>
    </cfRule>
  </conditionalFormatting>
  <conditionalFormatting sqref="C252">
    <cfRule type="cellIs" dxfId="4273" priority="4317" stopIfTrue="1" operator="greaterThan">
      <formula>1.75</formula>
    </cfRule>
    <cfRule type="cellIs" dxfId="4272" priority="4318" stopIfTrue="1" operator="between">
      <formula>1.25</formula>
      <formula>1.75</formula>
    </cfRule>
  </conditionalFormatting>
  <conditionalFormatting sqref="C252">
    <cfRule type="cellIs" dxfId="4271" priority="4319" stopIfTrue="1" operator="greaterThan">
      <formula>1.75</formula>
    </cfRule>
    <cfRule type="cellIs" dxfId="4270" priority="4320" stopIfTrue="1" operator="between">
      <formula>1.25</formula>
      <formula>1.75</formula>
    </cfRule>
  </conditionalFormatting>
  <conditionalFormatting sqref="C252">
    <cfRule type="cellIs" dxfId="4269" priority="4321" stopIfTrue="1" operator="greaterThan">
      <formula>1.75</formula>
    </cfRule>
    <cfRule type="cellIs" dxfId="4268" priority="4322" stopIfTrue="1" operator="between">
      <formula>1.25</formula>
      <formula>1.75</formula>
    </cfRule>
  </conditionalFormatting>
  <conditionalFormatting sqref="D252">
    <cfRule type="cellIs" dxfId="4267" priority="4311" stopIfTrue="1" operator="greaterThan">
      <formula>1.75</formula>
    </cfRule>
    <cfRule type="cellIs" dxfId="4266" priority="4312" stopIfTrue="1" operator="between">
      <formula>1.25</formula>
      <formula>1.75</formula>
    </cfRule>
  </conditionalFormatting>
  <conditionalFormatting sqref="D252">
    <cfRule type="cellIs" dxfId="4265" priority="4313" stopIfTrue="1" operator="greaterThan">
      <formula>1.75</formula>
    </cfRule>
    <cfRule type="cellIs" dxfId="4264" priority="4314" stopIfTrue="1" operator="between">
      <formula>1.25</formula>
      <formula>1.75</formula>
    </cfRule>
  </conditionalFormatting>
  <conditionalFormatting sqref="D252">
    <cfRule type="cellIs" dxfId="4263" priority="4315" stopIfTrue="1" operator="greaterThan">
      <formula>1.75</formula>
    </cfRule>
    <cfRule type="cellIs" dxfId="4262" priority="4316" stopIfTrue="1" operator="between">
      <formula>1.25</formula>
      <formula>1.75</formula>
    </cfRule>
  </conditionalFormatting>
  <conditionalFormatting sqref="E252">
    <cfRule type="cellIs" dxfId="4261" priority="4305" stopIfTrue="1" operator="greaterThan">
      <formula>1.75</formula>
    </cfRule>
    <cfRule type="cellIs" dxfId="4260" priority="4306" stopIfTrue="1" operator="between">
      <formula>1.25</formula>
      <formula>1.75</formula>
    </cfRule>
  </conditionalFormatting>
  <conditionalFormatting sqref="E252">
    <cfRule type="cellIs" dxfId="4259" priority="4307" stopIfTrue="1" operator="greaterThan">
      <formula>1.75</formula>
    </cfRule>
    <cfRule type="cellIs" dxfId="4258" priority="4308" stopIfTrue="1" operator="between">
      <formula>1.25</formula>
      <formula>1.75</formula>
    </cfRule>
  </conditionalFormatting>
  <conditionalFormatting sqref="E252">
    <cfRule type="cellIs" dxfId="4257" priority="4309" stopIfTrue="1" operator="greaterThan">
      <formula>1.75</formula>
    </cfRule>
    <cfRule type="cellIs" dxfId="4256" priority="4310" stopIfTrue="1" operator="between">
      <formula>1.25</formula>
      <formula>1.75</formula>
    </cfRule>
  </conditionalFormatting>
  <conditionalFormatting sqref="E250">
    <cfRule type="cellIs" dxfId="4255" priority="4301" stopIfTrue="1" operator="greaterThan">
      <formula>1.75</formula>
    </cfRule>
    <cfRule type="cellIs" dxfId="4254" priority="4302" stopIfTrue="1" operator="between">
      <formula>1.25</formula>
      <formula>1.75</formula>
    </cfRule>
  </conditionalFormatting>
  <conditionalFormatting sqref="E250">
    <cfRule type="cellIs" dxfId="4253" priority="4299" stopIfTrue="1" operator="greaterThan">
      <formula>1.75</formula>
    </cfRule>
    <cfRule type="cellIs" dxfId="4252" priority="4300" stopIfTrue="1" operator="between">
      <formula>1.25</formula>
      <formula>1.75</formula>
    </cfRule>
  </conditionalFormatting>
  <conditionalFormatting sqref="E250">
    <cfRule type="cellIs" dxfId="4251" priority="4303" stopIfTrue="1" operator="greaterThan">
      <formula>1.75</formula>
    </cfRule>
    <cfRule type="cellIs" dxfId="4250" priority="4304" stopIfTrue="1" operator="between">
      <formula>1.25</formula>
      <formula>1.75</formula>
    </cfRule>
  </conditionalFormatting>
  <conditionalFormatting sqref="F252">
    <cfRule type="cellIs" dxfId="4249" priority="4293" stopIfTrue="1" operator="greaterThan">
      <formula>1.75</formula>
    </cfRule>
    <cfRule type="cellIs" dxfId="4248" priority="4294" stopIfTrue="1" operator="between">
      <formula>1.25</formula>
      <formula>1.75</formula>
    </cfRule>
  </conditionalFormatting>
  <conditionalFormatting sqref="F252">
    <cfRule type="cellIs" dxfId="4247" priority="4295" stopIfTrue="1" operator="greaterThan">
      <formula>1.75</formula>
    </cfRule>
    <cfRule type="cellIs" dxfId="4246" priority="4296" stopIfTrue="1" operator="between">
      <formula>1.25</formula>
      <formula>1.75</formula>
    </cfRule>
  </conditionalFormatting>
  <conditionalFormatting sqref="F252">
    <cfRule type="cellIs" dxfId="4245" priority="4297" stopIfTrue="1" operator="greaterThan">
      <formula>1.75</formula>
    </cfRule>
    <cfRule type="cellIs" dxfId="4244" priority="4298" stopIfTrue="1" operator="between">
      <formula>1.25</formula>
      <formula>1.75</formula>
    </cfRule>
  </conditionalFormatting>
  <conditionalFormatting sqref="G252">
    <cfRule type="cellIs" dxfId="4243" priority="4289" stopIfTrue="1" operator="greaterThan">
      <formula>1.75</formula>
    </cfRule>
    <cfRule type="cellIs" dxfId="4242" priority="4290" stopIfTrue="1" operator="between">
      <formula>1.25</formula>
      <formula>1.75</formula>
    </cfRule>
  </conditionalFormatting>
  <conditionalFormatting sqref="G252">
    <cfRule type="cellIs" dxfId="4241" priority="4291" stopIfTrue="1" operator="greaterThan">
      <formula>1.75</formula>
    </cfRule>
    <cfRule type="cellIs" dxfId="4240" priority="4292" stopIfTrue="1" operator="between">
      <formula>1.25</formula>
      <formula>1.75</formula>
    </cfRule>
  </conditionalFormatting>
  <conditionalFormatting sqref="H252">
    <cfRule type="cellIs" dxfId="4239" priority="4281" stopIfTrue="1" operator="greaterThan">
      <formula>1.75</formula>
    </cfRule>
    <cfRule type="cellIs" dxfId="4238" priority="4282" stopIfTrue="1" operator="between">
      <formula>1.25</formula>
      <formula>1.75</formula>
    </cfRule>
  </conditionalFormatting>
  <conditionalFormatting sqref="I252">
    <cfRule type="cellIs" dxfId="4237" priority="4275" stopIfTrue="1" operator="greaterThan">
      <formula>1.75</formula>
    </cfRule>
    <cfRule type="cellIs" dxfId="4236" priority="4276" stopIfTrue="1" operator="between">
      <formula>1.25</formula>
      <formula>1.75</formula>
    </cfRule>
  </conditionalFormatting>
  <conditionalFormatting sqref="I252">
    <cfRule type="cellIs" dxfId="4235" priority="4277" stopIfTrue="1" operator="greaterThan">
      <formula>1.75</formula>
    </cfRule>
    <cfRule type="cellIs" dxfId="4234" priority="4278" stopIfTrue="1" operator="between">
      <formula>1.25</formula>
      <formula>1.75</formula>
    </cfRule>
  </conditionalFormatting>
  <conditionalFormatting sqref="I252">
    <cfRule type="cellIs" dxfId="4233" priority="4279" stopIfTrue="1" operator="greaterThan">
      <formula>1.75</formula>
    </cfRule>
    <cfRule type="cellIs" dxfId="4232" priority="4280" stopIfTrue="1" operator="between">
      <formula>1.25</formula>
      <formula>1.75</formula>
    </cfRule>
  </conditionalFormatting>
  <conditionalFormatting sqref="J252">
    <cfRule type="cellIs" dxfId="4231" priority="4269" stopIfTrue="1" operator="greaterThan">
      <formula>1.75</formula>
    </cfRule>
    <cfRule type="cellIs" dxfId="4230" priority="4270" stopIfTrue="1" operator="between">
      <formula>1.25</formula>
      <formula>1.75</formula>
    </cfRule>
  </conditionalFormatting>
  <conditionalFormatting sqref="J252">
    <cfRule type="cellIs" dxfId="4229" priority="4271" stopIfTrue="1" operator="greaterThan">
      <formula>1.75</formula>
    </cfRule>
    <cfRule type="cellIs" dxfId="4228" priority="4272" stopIfTrue="1" operator="between">
      <formula>1.25</formula>
      <formula>1.75</formula>
    </cfRule>
  </conditionalFormatting>
  <conditionalFormatting sqref="J252">
    <cfRule type="cellIs" dxfId="4227" priority="4273" stopIfTrue="1" operator="greaterThan">
      <formula>1.75</formula>
    </cfRule>
    <cfRule type="cellIs" dxfId="4226" priority="4274" stopIfTrue="1" operator="between">
      <formula>1.25</formula>
      <formula>1.75</formula>
    </cfRule>
  </conditionalFormatting>
  <conditionalFormatting sqref="K252">
    <cfRule type="cellIs" dxfId="4225" priority="4263" stopIfTrue="1" operator="greaterThan">
      <formula>1.75</formula>
    </cfRule>
    <cfRule type="cellIs" dxfId="4224" priority="4264" stopIfTrue="1" operator="between">
      <formula>1.25</formula>
      <formula>1.75</formula>
    </cfRule>
  </conditionalFormatting>
  <conditionalFormatting sqref="K252">
    <cfRule type="cellIs" dxfId="4223" priority="4265" stopIfTrue="1" operator="greaterThan">
      <formula>1.75</formula>
    </cfRule>
    <cfRule type="cellIs" dxfId="4222" priority="4266" stopIfTrue="1" operator="between">
      <formula>1.25</formula>
      <formula>1.75</formula>
    </cfRule>
  </conditionalFormatting>
  <conditionalFormatting sqref="K252">
    <cfRule type="cellIs" dxfId="4221" priority="4267" stopIfTrue="1" operator="greaterThan">
      <formula>1.75</formula>
    </cfRule>
    <cfRule type="cellIs" dxfId="4220" priority="4268" stopIfTrue="1" operator="between">
      <formula>1.25</formula>
      <formula>1.75</formula>
    </cfRule>
  </conditionalFormatting>
  <conditionalFormatting sqref="L252">
    <cfRule type="cellIs" dxfId="4219" priority="4257" stopIfTrue="1" operator="greaterThan">
      <formula>1.75</formula>
    </cfRule>
    <cfRule type="cellIs" dxfId="4218" priority="4258" stopIfTrue="1" operator="between">
      <formula>1.25</formula>
      <formula>1.75</formula>
    </cfRule>
  </conditionalFormatting>
  <conditionalFormatting sqref="L252">
    <cfRule type="cellIs" dxfId="4217" priority="4259" stopIfTrue="1" operator="greaterThan">
      <formula>1.75</formula>
    </cfRule>
    <cfRule type="cellIs" dxfId="4216" priority="4260" stopIfTrue="1" operator="between">
      <formula>1.25</formula>
      <formula>1.75</formula>
    </cfRule>
  </conditionalFormatting>
  <conditionalFormatting sqref="L252">
    <cfRule type="cellIs" dxfId="4215" priority="4261" stopIfTrue="1" operator="greaterThan">
      <formula>1.75</formula>
    </cfRule>
    <cfRule type="cellIs" dxfId="4214" priority="4262" stopIfTrue="1" operator="between">
      <formula>1.25</formula>
      <formula>1.75</formula>
    </cfRule>
  </conditionalFormatting>
  <conditionalFormatting sqref="F250">
    <cfRule type="cellIs" dxfId="4213" priority="4253" stopIfTrue="1" operator="greaterThan">
      <formula>1.75</formula>
    </cfRule>
    <cfRule type="cellIs" dxfId="4212" priority="4254" stopIfTrue="1" operator="between">
      <formula>1.25</formula>
      <formula>1.75</formula>
    </cfRule>
  </conditionalFormatting>
  <conditionalFormatting sqref="F250">
    <cfRule type="cellIs" dxfId="4211" priority="4251" stopIfTrue="1" operator="greaterThan">
      <formula>1.75</formula>
    </cfRule>
    <cfRule type="cellIs" dxfId="4210" priority="4252" stopIfTrue="1" operator="between">
      <formula>1.25</formula>
      <formula>1.75</formula>
    </cfRule>
  </conditionalFormatting>
  <conditionalFormatting sqref="F250">
    <cfRule type="cellIs" dxfId="4209" priority="4255" stopIfTrue="1" operator="greaterThan">
      <formula>1.75</formula>
    </cfRule>
    <cfRule type="cellIs" dxfId="4208" priority="4256" stopIfTrue="1" operator="between">
      <formula>1.25</formula>
      <formula>1.75</formula>
    </cfRule>
  </conditionalFormatting>
  <conditionalFormatting sqref="G250">
    <cfRule type="cellIs" dxfId="4207" priority="4247" stopIfTrue="1" operator="greaterThan">
      <formula>1.75</formula>
    </cfRule>
    <cfRule type="cellIs" dxfId="4206" priority="4248" stopIfTrue="1" operator="between">
      <formula>1.25</formula>
      <formula>1.75</formula>
    </cfRule>
  </conditionalFormatting>
  <conditionalFormatting sqref="G250">
    <cfRule type="cellIs" dxfId="4205" priority="4245" stopIfTrue="1" operator="greaterThan">
      <formula>1.75</formula>
    </cfRule>
    <cfRule type="cellIs" dxfId="4204" priority="4246" stopIfTrue="1" operator="between">
      <formula>1.25</formula>
      <formula>1.75</formula>
    </cfRule>
  </conditionalFormatting>
  <conditionalFormatting sqref="G250">
    <cfRule type="cellIs" dxfId="4203" priority="4249" stopIfTrue="1" operator="greaterThan">
      <formula>1.75</formula>
    </cfRule>
    <cfRule type="cellIs" dxfId="4202" priority="4250" stopIfTrue="1" operator="between">
      <formula>1.25</formula>
      <formula>1.75</formula>
    </cfRule>
  </conditionalFormatting>
  <conditionalFormatting sqref="H250">
    <cfRule type="cellIs" dxfId="4201" priority="4241" stopIfTrue="1" operator="greaterThan">
      <formula>1.75</formula>
    </cfRule>
    <cfRule type="cellIs" dxfId="4200" priority="4242" stopIfTrue="1" operator="between">
      <formula>1.25</formula>
      <formula>1.75</formula>
    </cfRule>
  </conditionalFormatting>
  <conditionalFormatting sqref="H250">
    <cfRule type="cellIs" dxfId="4199" priority="4239" stopIfTrue="1" operator="greaterThan">
      <formula>1.75</formula>
    </cfRule>
    <cfRule type="cellIs" dxfId="4198" priority="4240" stopIfTrue="1" operator="between">
      <formula>1.25</formula>
      <formula>1.75</formula>
    </cfRule>
  </conditionalFormatting>
  <conditionalFormatting sqref="H250">
    <cfRule type="cellIs" dxfId="4197" priority="4243" stopIfTrue="1" operator="greaterThan">
      <formula>1.75</formula>
    </cfRule>
    <cfRule type="cellIs" dxfId="4196" priority="4244" stopIfTrue="1" operator="between">
      <formula>1.25</formula>
      <formula>1.75</formula>
    </cfRule>
  </conditionalFormatting>
  <conditionalFormatting sqref="I250">
    <cfRule type="cellIs" dxfId="4195" priority="4235" stopIfTrue="1" operator="greaterThan">
      <formula>1.75</formula>
    </cfRule>
    <cfRule type="cellIs" dxfId="4194" priority="4236" stopIfTrue="1" operator="between">
      <formula>1.25</formula>
      <formula>1.75</formula>
    </cfRule>
  </conditionalFormatting>
  <conditionalFormatting sqref="I250">
    <cfRule type="cellIs" dxfId="4193" priority="4233" stopIfTrue="1" operator="greaterThan">
      <formula>1.75</formula>
    </cfRule>
    <cfRule type="cellIs" dxfId="4192" priority="4234" stopIfTrue="1" operator="between">
      <formula>1.25</formula>
      <formula>1.75</formula>
    </cfRule>
  </conditionalFormatting>
  <conditionalFormatting sqref="I250">
    <cfRule type="cellIs" dxfId="4191" priority="4237" stopIfTrue="1" operator="greaterThan">
      <formula>1.75</formula>
    </cfRule>
    <cfRule type="cellIs" dxfId="4190" priority="4238" stopIfTrue="1" operator="between">
      <formula>1.25</formula>
      <formula>1.75</formula>
    </cfRule>
  </conditionalFormatting>
  <conditionalFormatting sqref="J250">
    <cfRule type="cellIs" dxfId="4189" priority="4229" stopIfTrue="1" operator="greaterThan">
      <formula>1.75</formula>
    </cfRule>
    <cfRule type="cellIs" dxfId="4188" priority="4230" stopIfTrue="1" operator="between">
      <formula>1.25</formula>
      <formula>1.75</formula>
    </cfRule>
  </conditionalFormatting>
  <conditionalFormatting sqref="J250">
    <cfRule type="cellIs" dxfId="4187" priority="4227" stopIfTrue="1" operator="greaterThan">
      <formula>1.75</formula>
    </cfRule>
    <cfRule type="cellIs" dxfId="4186" priority="4228" stopIfTrue="1" operator="between">
      <formula>1.25</formula>
      <formula>1.75</formula>
    </cfRule>
  </conditionalFormatting>
  <conditionalFormatting sqref="J250">
    <cfRule type="cellIs" dxfId="4185" priority="4231" stopIfTrue="1" operator="greaterThan">
      <formula>1.75</formula>
    </cfRule>
    <cfRule type="cellIs" dxfId="4184" priority="4232" stopIfTrue="1" operator="between">
      <formula>1.25</formula>
      <formula>1.75</formula>
    </cfRule>
  </conditionalFormatting>
  <conditionalFormatting sqref="K250">
    <cfRule type="cellIs" dxfId="4183" priority="4223" stopIfTrue="1" operator="greaterThan">
      <formula>1.75</formula>
    </cfRule>
    <cfRule type="cellIs" dxfId="4182" priority="4224" stopIfTrue="1" operator="between">
      <formula>1.25</formula>
      <formula>1.75</formula>
    </cfRule>
  </conditionalFormatting>
  <conditionalFormatting sqref="K250">
    <cfRule type="cellIs" dxfId="4181" priority="4221" stopIfTrue="1" operator="greaterThan">
      <formula>1.75</formula>
    </cfRule>
    <cfRule type="cellIs" dxfId="4180" priority="4222" stopIfTrue="1" operator="between">
      <formula>1.25</formula>
      <formula>1.75</formula>
    </cfRule>
  </conditionalFormatting>
  <conditionalFormatting sqref="K250">
    <cfRule type="cellIs" dxfId="4179" priority="4225" stopIfTrue="1" operator="greaterThan">
      <formula>1.75</formula>
    </cfRule>
    <cfRule type="cellIs" dxfId="4178" priority="4226" stopIfTrue="1" operator="between">
      <formula>1.25</formula>
      <formula>1.75</formula>
    </cfRule>
  </conditionalFormatting>
  <conditionalFormatting sqref="L250">
    <cfRule type="cellIs" dxfId="4177" priority="4217" stopIfTrue="1" operator="greaterThan">
      <formula>1.75</formula>
    </cfRule>
    <cfRule type="cellIs" dxfId="4176" priority="4218" stopIfTrue="1" operator="between">
      <formula>1.25</formula>
      <formula>1.75</formula>
    </cfRule>
  </conditionalFormatting>
  <conditionalFormatting sqref="L250">
    <cfRule type="cellIs" dxfId="4175" priority="4215" stopIfTrue="1" operator="greaterThan">
      <formula>1.75</formula>
    </cfRule>
    <cfRule type="cellIs" dxfId="4174" priority="4216" stopIfTrue="1" operator="between">
      <formula>1.25</formula>
      <formula>1.75</formula>
    </cfRule>
  </conditionalFormatting>
  <conditionalFormatting sqref="L250">
    <cfRule type="cellIs" dxfId="4173" priority="4219" stopIfTrue="1" operator="greaterThan">
      <formula>1.75</formula>
    </cfRule>
    <cfRule type="cellIs" dxfId="4172" priority="4220" stopIfTrue="1" operator="between">
      <formula>1.25</formula>
      <formula>1.75</formula>
    </cfRule>
  </conditionalFormatting>
  <conditionalFormatting sqref="W250">
    <cfRule type="cellIs" dxfId="4171" priority="4213" stopIfTrue="1" operator="greaterThan">
      <formula>1.75</formula>
    </cfRule>
    <cfRule type="cellIs" dxfId="4170" priority="4214" stopIfTrue="1" operator="between">
      <formula>1.25</formula>
      <formula>1.75</formula>
    </cfRule>
  </conditionalFormatting>
  <conditionalFormatting sqref="W252">
    <cfRule type="cellIs" dxfId="4169" priority="4211" stopIfTrue="1" operator="greaterThan">
      <formula>1.75</formula>
    </cfRule>
    <cfRule type="cellIs" dxfId="4168" priority="4212" stopIfTrue="1" operator="between">
      <formula>1.25</formula>
      <formula>1.75</formula>
    </cfRule>
  </conditionalFormatting>
  <conditionalFormatting sqref="W252">
    <cfRule type="cellIs" dxfId="4167" priority="4209" stopIfTrue="1" operator="greaterThan">
      <formula>1.75</formula>
    </cfRule>
    <cfRule type="cellIs" dxfId="4166" priority="4210" stopIfTrue="1" operator="between">
      <formula>1.25</formula>
      <formula>1.75</formula>
    </cfRule>
  </conditionalFormatting>
  <conditionalFormatting sqref="W252">
    <cfRule type="cellIs" dxfId="4165" priority="4207" stopIfTrue="1" operator="greaterThan">
      <formula>1.75</formula>
    </cfRule>
    <cfRule type="cellIs" dxfId="4164" priority="4208" stopIfTrue="1" operator="between">
      <formula>1.25</formula>
      <formula>1.75</formula>
    </cfRule>
  </conditionalFormatting>
  <conditionalFormatting sqref="D12">
    <cfRule type="cellIs" dxfId="4163" priority="4149" stopIfTrue="1" operator="greaterThan">
      <formula>1.75</formula>
    </cfRule>
    <cfRule type="cellIs" dxfId="4162" priority="4150" stopIfTrue="1" operator="between">
      <formula>1.25</formula>
      <formula>1.75</formula>
    </cfRule>
  </conditionalFormatting>
  <conditionalFormatting sqref="Q12">
    <cfRule type="cellIs" dxfId="4161" priority="4187" stopIfTrue="1" operator="greaterThan">
      <formula>1.75</formula>
    </cfRule>
    <cfRule type="cellIs" dxfId="4160" priority="4188" stopIfTrue="1" operator="between">
      <formula>1.25</formula>
      <formula>1.75</formula>
    </cfRule>
  </conditionalFormatting>
  <conditionalFormatting sqref="M12:O12">
    <cfRule type="cellIs" dxfId="4159" priority="4201" stopIfTrue="1" operator="greaterThan">
      <formula>1.75</formula>
    </cfRule>
    <cfRule type="cellIs" dxfId="4158" priority="4202" stopIfTrue="1" operator="between">
      <formula>1.25</formula>
      <formula>1.75</formula>
    </cfRule>
  </conditionalFormatting>
  <conditionalFormatting sqref="M12:O12">
    <cfRule type="cellIs" dxfId="4157" priority="4199" stopIfTrue="1" operator="greaterThan">
      <formula>1.75</formula>
    </cfRule>
    <cfRule type="cellIs" dxfId="4156" priority="4200" stopIfTrue="1" operator="between">
      <formula>1.25</formula>
      <formula>1.75</formula>
    </cfRule>
  </conditionalFormatting>
  <conditionalFormatting sqref="P12">
    <cfRule type="cellIs" dxfId="4155" priority="4197" stopIfTrue="1" operator="greaterThan">
      <formula>1.75</formula>
    </cfRule>
    <cfRule type="cellIs" dxfId="4154" priority="4198" stopIfTrue="1" operator="between">
      <formula>1.25</formula>
      <formula>1.75</formula>
    </cfRule>
  </conditionalFormatting>
  <conditionalFormatting sqref="P12">
    <cfRule type="cellIs" dxfId="4153" priority="4195" stopIfTrue="1" operator="greaterThan">
      <formula>1.75</formula>
    </cfRule>
    <cfRule type="cellIs" dxfId="4152" priority="4196" stopIfTrue="1" operator="between">
      <formula>1.25</formula>
      <formula>1.75</formula>
    </cfRule>
  </conditionalFormatting>
  <conditionalFormatting sqref="P12">
    <cfRule type="cellIs" dxfId="4151" priority="4193" stopIfTrue="1" operator="greaterThan">
      <formula>1.75</formula>
    </cfRule>
    <cfRule type="cellIs" dxfId="4150" priority="4194" stopIfTrue="1" operator="between">
      <formula>1.25</formula>
      <formula>1.75</formula>
    </cfRule>
  </conditionalFormatting>
  <conditionalFormatting sqref="U12">
    <cfRule type="cellIs" dxfId="4149" priority="4191" stopIfTrue="1" operator="greaterThan">
      <formula>1.75</formula>
    </cfRule>
    <cfRule type="cellIs" dxfId="4148" priority="4192" stopIfTrue="1" operator="between">
      <formula>1.25</formula>
      <formula>1.75</formula>
    </cfRule>
  </conditionalFormatting>
  <conditionalFormatting sqref="T12">
    <cfRule type="cellIs" dxfId="4147" priority="4189" stopIfTrue="1" operator="greaterThan">
      <formula>1.75</formula>
    </cfRule>
    <cfRule type="cellIs" dxfId="4146" priority="4190" stopIfTrue="1" operator="between">
      <formula>1.25</formula>
      <formula>1.75</formula>
    </cfRule>
  </conditionalFormatting>
  <conditionalFormatting sqref="Q12">
    <cfRule type="cellIs" dxfId="4145" priority="4185" stopIfTrue="1" operator="greaterThan">
      <formula>1.75</formula>
    </cfRule>
    <cfRule type="cellIs" dxfId="4144" priority="4186" stopIfTrue="1" operator="between">
      <formula>1.25</formula>
      <formula>1.75</formula>
    </cfRule>
  </conditionalFormatting>
  <conditionalFormatting sqref="Q12">
    <cfRule type="cellIs" dxfId="4143" priority="4183" stopIfTrue="1" operator="greaterThan">
      <formula>1.75</formula>
    </cfRule>
    <cfRule type="cellIs" dxfId="4142" priority="4184" stopIfTrue="1" operator="between">
      <formula>1.25</formula>
      <formula>1.75</formula>
    </cfRule>
  </conditionalFormatting>
  <conditionalFormatting sqref="R12">
    <cfRule type="cellIs" dxfId="4141" priority="4181" stopIfTrue="1" operator="greaterThan">
      <formula>1.75</formula>
    </cfRule>
    <cfRule type="cellIs" dxfId="4140" priority="4182" stopIfTrue="1" operator="between">
      <formula>1.25</formula>
      <formula>1.75</formula>
    </cfRule>
  </conditionalFormatting>
  <conditionalFormatting sqref="R12">
    <cfRule type="cellIs" dxfId="4139" priority="4179" stopIfTrue="1" operator="greaterThan">
      <formula>1.75</formula>
    </cfRule>
    <cfRule type="cellIs" dxfId="4138" priority="4180" stopIfTrue="1" operator="between">
      <formula>1.25</formula>
      <formula>1.75</formula>
    </cfRule>
  </conditionalFormatting>
  <conditionalFormatting sqref="R12">
    <cfRule type="cellIs" dxfId="4137" priority="4177" stopIfTrue="1" operator="greaterThan">
      <formula>1.75</formula>
    </cfRule>
    <cfRule type="cellIs" dxfId="4136" priority="4178" stopIfTrue="1" operator="between">
      <formula>1.25</formula>
      <formula>1.75</formula>
    </cfRule>
  </conditionalFormatting>
  <conditionalFormatting sqref="S12">
    <cfRule type="cellIs" dxfId="4135" priority="4173" stopIfTrue="1" operator="greaterThan">
      <formula>1.75</formula>
    </cfRule>
    <cfRule type="cellIs" dxfId="4134" priority="4174" stopIfTrue="1" operator="between">
      <formula>1.25</formula>
      <formula>1.75</formula>
    </cfRule>
  </conditionalFormatting>
  <conditionalFormatting sqref="S12">
    <cfRule type="cellIs" dxfId="4133" priority="4171" stopIfTrue="1" operator="greaterThan">
      <formula>1.75</formula>
    </cfRule>
    <cfRule type="cellIs" dxfId="4132" priority="4172" stopIfTrue="1" operator="between">
      <formula>1.25</formula>
      <formula>1.75</formula>
    </cfRule>
  </conditionalFormatting>
  <conditionalFormatting sqref="S12">
    <cfRule type="cellIs" dxfId="4131" priority="4175" stopIfTrue="1" operator="greaterThan">
      <formula>1.75</formula>
    </cfRule>
    <cfRule type="cellIs" dxfId="4130" priority="4176" stopIfTrue="1" operator="between">
      <formula>1.25</formula>
      <formula>1.75</formula>
    </cfRule>
  </conditionalFormatting>
  <conditionalFormatting sqref="M12:O12">
    <cfRule type="cellIs" dxfId="4129" priority="4203" stopIfTrue="1" operator="greaterThan">
      <formula>1.75</formula>
    </cfRule>
    <cfRule type="cellIs" dxfId="4128" priority="4204" stopIfTrue="1" operator="between">
      <formula>1.25</formula>
      <formula>1.75</formula>
    </cfRule>
  </conditionalFormatting>
  <conditionalFormatting sqref="H14">
    <cfRule type="cellIs" dxfId="4127" priority="4105" stopIfTrue="1" operator="greaterThan">
      <formula>1.75</formula>
    </cfRule>
    <cfRule type="cellIs" dxfId="4126" priority="4106" stopIfTrue="1" operator="between">
      <formula>1.25</formula>
      <formula>1.75</formula>
    </cfRule>
  </conditionalFormatting>
  <conditionalFormatting sqref="H14">
    <cfRule type="cellIs" dxfId="4125" priority="4107" stopIfTrue="1" operator="greaterThan">
      <formula>1.75</formula>
    </cfRule>
    <cfRule type="cellIs" dxfId="4124" priority="4108" stopIfTrue="1" operator="between">
      <formula>1.25</formula>
      <formula>1.75</formula>
    </cfRule>
  </conditionalFormatting>
  <conditionalFormatting sqref="M14:U14">
    <cfRule type="cellIs" dxfId="4123" priority="4169" stopIfTrue="1" operator="greaterThan">
      <formula>1.75</formula>
    </cfRule>
    <cfRule type="cellIs" dxfId="4122" priority="4170" stopIfTrue="1" operator="between">
      <formula>1.25</formula>
      <formula>1.75</formula>
    </cfRule>
  </conditionalFormatting>
  <conditionalFormatting sqref="M14:U14">
    <cfRule type="cellIs" dxfId="4121" priority="4167" stopIfTrue="1" operator="greaterThan">
      <formula>1.75</formula>
    </cfRule>
    <cfRule type="cellIs" dxfId="4120" priority="4168" stopIfTrue="1" operator="between">
      <formula>1.25</formula>
      <formula>1.75</formula>
    </cfRule>
  </conditionalFormatting>
  <conditionalFormatting sqref="M14:U14">
    <cfRule type="cellIs" dxfId="4119" priority="4165" stopIfTrue="1" operator="greaterThan">
      <formula>1.75</formula>
    </cfRule>
    <cfRule type="cellIs" dxfId="4118" priority="4166" stopIfTrue="1" operator="between">
      <formula>1.25</formula>
      <formula>1.75</formula>
    </cfRule>
  </conditionalFormatting>
  <conditionalFormatting sqref="G14">
    <cfRule type="cellIs" dxfId="4117" priority="4109" stopIfTrue="1" operator="greaterThan">
      <formula>1.75</formula>
    </cfRule>
    <cfRule type="cellIs" dxfId="4116" priority="4110" stopIfTrue="1" operator="between">
      <formula>1.25</formula>
      <formula>1.75</formula>
    </cfRule>
  </conditionalFormatting>
  <conditionalFormatting sqref="V12">
    <cfRule type="cellIs" dxfId="4115" priority="4163" stopIfTrue="1" operator="greaterThan">
      <formula>1.75</formula>
    </cfRule>
    <cfRule type="cellIs" dxfId="4114" priority="4164" stopIfTrue="1" operator="between">
      <formula>1.25</formula>
      <formula>1.75</formula>
    </cfRule>
  </conditionalFormatting>
  <conditionalFormatting sqref="V14">
    <cfRule type="cellIs" dxfId="4113" priority="4161" stopIfTrue="1" operator="greaterThan">
      <formula>1.75</formula>
    </cfRule>
    <cfRule type="cellIs" dxfId="4112" priority="4162" stopIfTrue="1" operator="between">
      <formula>1.25</formula>
      <formula>1.75</formula>
    </cfRule>
  </conditionalFormatting>
  <conditionalFormatting sqref="V14">
    <cfRule type="cellIs" dxfId="4111" priority="4159" stopIfTrue="1" operator="greaterThan">
      <formula>1.75</formula>
    </cfRule>
    <cfRule type="cellIs" dxfId="4110" priority="4160" stopIfTrue="1" operator="between">
      <formula>1.25</formula>
      <formula>1.75</formula>
    </cfRule>
  </conditionalFormatting>
  <conditionalFormatting sqref="V14">
    <cfRule type="cellIs" dxfId="4109" priority="4157" stopIfTrue="1" operator="greaterThan">
      <formula>1.75</formula>
    </cfRule>
    <cfRule type="cellIs" dxfId="4108" priority="4158" stopIfTrue="1" operator="between">
      <formula>1.25</formula>
      <formula>1.75</formula>
    </cfRule>
  </conditionalFormatting>
  <conditionalFormatting sqref="C12">
    <cfRule type="cellIs" dxfId="4107" priority="4153" stopIfTrue="1" operator="greaterThan">
      <formula>1.75</formula>
    </cfRule>
    <cfRule type="cellIs" dxfId="4106" priority="4154" stopIfTrue="1" operator="between">
      <formula>1.25</formula>
      <formula>1.75</formula>
    </cfRule>
  </conditionalFormatting>
  <conditionalFormatting sqref="C12">
    <cfRule type="cellIs" dxfId="4105" priority="4151" stopIfTrue="1" operator="greaterThan">
      <formula>1.75</formula>
    </cfRule>
    <cfRule type="cellIs" dxfId="4104" priority="4152" stopIfTrue="1" operator="between">
      <formula>1.25</formula>
      <formula>1.75</formula>
    </cfRule>
  </conditionalFormatting>
  <conditionalFormatting sqref="C12">
    <cfRule type="cellIs" dxfId="4103" priority="4155" stopIfTrue="1" operator="greaterThan">
      <formula>1.75</formula>
    </cfRule>
    <cfRule type="cellIs" dxfId="4102" priority="4156" stopIfTrue="1" operator="between">
      <formula>1.25</formula>
      <formula>1.75</formula>
    </cfRule>
  </conditionalFormatting>
  <conditionalFormatting sqref="D12">
    <cfRule type="cellIs" dxfId="4101" priority="4147" stopIfTrue="1" operator="greaterThan">
      <formula>1.75</formula>
    </cfRule>
    <cfRule type="cellIs" dxfId="4100" priority="4148" stopIfTrue="1" operator="between">
      <formula>1.25</formula>
      <formula>1.75</formula>
    </cfRule>
  </conditionalFormatting>
  <conditionalFormatting sqref="D12">
    <cfRule type="cellIs" dxfId="4099" priority="4145" stopIfTrue="1" operator="greaterThan">
      <formula>1.75</formula>
    </cfRule>
    <cfRule type="cellIs" dxfId="4098" priority="4146" stopIfTrue="1" operator="between">
      <formula>1.25</formula>
      <formula>1.75</formula>
    </cfRule>
  </conditionalFormatting>
  <conditionalFormatting sqref="C14">
    <cfRule type="cellIs" dxfId="4097" priority="4139" stopIfTrue="1" operator="greaterThan">
      <formula>1.75</formula>
    </cfRule>
    <cfRule type="cellIs" dxfId="4096" priority="4140" stopIfTrue="1" operator="between">
      <formula>1.25</formula>
      <formula>1.75</formula>
    </cfRule>
  </conditionalFormatting>
  <conditionalFormatting sqref="C14">
    <cfRule type="cellIs" dxfId="4095" priority="4141" stopIfTrue="1" operator="greaterThan">
      <formula>1.75</formula>
    </cfRule>
    <cfRule type="cellIs" dxfId="4094" priority="4142" stopIfTrue="1" operator="between">
      <formula>1.25</formula>
      <formula>1.75</formula>
    </cfRule>
  </conditionalFormatting>
  <conditionalFormatting sqref="C14">
    <cfRule type="cellIs" dxfId="4093" priority="4143" stopIfTrue="1" operator="greaterThan">
      <formula>1.75</formula>
    </cfRule>
    <cfRule type="cellIs" dxfId="4092" priority="4144" stopIfTrue="1" operator="between">
      <formula>1.25</formula>
      <formula>1.75</formula>
    </cfRule>
  </conditionalFormatting>
  <conditionalFormatting sqref="D14">
    <cfRule type="cellIs" dxfId="4091" priority="4133" stopIfTrue="1" operator="greaterThan">
      <formula>1.75</formula>
    </cfRule>
    <cfRule type="cellIs" dxfId="4090" priority="4134" stopIfTrue="1" operator="between">
      <formula>1.25</formula>
      <formula>1.75</formula>
    </cfRule>
  </conditionalFormatting>
  <conditionalFormatting sqref="D14">
    <cfRule type="cellIs" dxfId="4089" priority="4135" stopIfTrue="1" operator="greaterThan">
      <formula>1.75</formula>
    </cfRule>
    <cfRule type="cellIs" dxfId="4088" priority="4136" stopIfTrue="1" operator="between">
      <formula>1.25</formula>
      <formula>1.75</formula>
    </cfRule>
  </conditionalFormatting>
  <conditionalFormatting sqref="D14">
    <cfRule type="cellIs" dxfId="4087" priority="4137" stopIfTrue="1" operator="greaterThan">
      <formula>1.75</formula>
    </cfRule>
    <cfRule type="cellIs" dxfId="4086" priority="4138" stopIfTrue="1" operator="between">
      <formula>1.25</formula>
      <formula>1.75</formula>
    </cfRule>
  </conditionalFormatting>
  <conditionalFormatting sqref="E14">
    <cfRule type="cellIs" dxfId="4085" priority="4127" stopIfTrue="1" operator="greaterThan">
      <formula>1.75</formula>
    </cfRule>
    <cfRule type="cellIs" dxfId="4084" priority="4128" stopIfTrue="1" operator="between">
      <formula>1.25</formula>
      <formula>1.75</formula>
    </cfRule>
  </conditionalFormatting>
  <conditionalFormatting sqref="E14">
    <cfRule type="cellIs" dxfId="4083" priority="4129" stopIfTrue="1" operator="greaterThan">
      <formula>1.75</formula>
    </cfRule>
    <cfRule type="cellIs" dxfId="4082" priority="4130" stopIfTrue="1" operator="between">
      <formula>1.25</formula>
      <formula>1.75</formula>
    </cfRule>
  </conditionalFormatting>
  <conditionalFormatting sqref="E14">
    <cfRule type="cellIs" dxfId="4081" priority="4131" stopIfTrue="1" operator="greaterThan">
      <formula>1.75</formula>
    </cfRule>
    <cfRule type="cellIs" dxfId="4080" priority="4132" stopIfTrue="1" operator="between">
      <formula>1.25</formula>
      <formula>1.75</formula>
    </cfRule>
  </conditionalFormatting>
  <conditionalFormatting sqref="E12">
    <cfRule type="cellIs" dxfId="4079" priority="4123" stopIfTrue="1" operator="greaterThan">
      <formula>1.75</formula>
    </cfRule>
    <cfRule type="cellIs" dxfId="4078" priority="4124" stopIfTrue="1" operator="between">
      <formula>1.25</formula>
      <formula>1.75</formula>
    </cfRule>
  </conditionalFormatting>
  <conditionalFormatting sqref="E12">
    <cfRule type="cellIs" dxfId="4077" priority="4121" stopIfTrue="1" operator="greaterThan">
      <formula>1.75</formula>
    </cfRule>
    <cfRule type="cellIs" dxfId="4076" priority="4122" stopIfTrue="1" operator="between">
      <formula>1.25</formula>
      <formula>1.75</formula>
    </cfRule>
  </conditionalFormatting>
  <conditionalFormatting sqref="E12">
    <cfRule type="cellIs" dxfId="4075" priority="4125" stopIfTrue="1" operator="greaterThan">
      <formula>1.75</formula>
    </cfRule>
    <cfRule type="cellIs" dxfId="4074" priority="4126" stopIfTrue="1" operator="between">
      <formula>1.25</formula>
      <formula>1.75</formula>
    </cfRule>
  </conditionalFormatting>
  <conditionalFormatting sqref="F14">
    <cfRule type="cellIs" dxfId="4073" priority="4115" stopIfTrue="1" operator="greaterThan">
      <formula>1.75</formula>
    </cfRule>
    <cfRule type="cellIs" dxfId="4072" priority="4116" stopIfTrue="1" operator="between">
      <formula>1.25</formula>
      <formula>1.75</formula>
    </cfRule>
  </conditionalFormatting>
  <conditionalFormatting sqref="F14">
    <cfRule type="cellIs" dxfId="4071" priority="4117" stopIfTrue="1" operator="greaterThan">
      <formula>1.75</formula>
    </cfRule>
    <cfRule type="cellIs" dxfId="4070" priority="4118" stopIfTrue="1" operator="between">
      <formula>1.25</formula>
      <formula>1.75</formula>
    </cfRule>
  </conditionalFormatting>
  <conditionalFormatting sqref="F14">
    <cfRule type="cellIs" dxfId="4069" priority="4119" stopIfTrue="1" operator="greaterThan">
      <formula>1.75</formula>
    </cfRule>
    <cfRule type="cellIs" dxfId="4068" priority="4120" stopIfTrue="1" operator="between">
      <formula>1.25</formula>
      <formula>1.75</formula>
    </cfRule>
  </conditionalFormatting>
  <conditionalFormatting sqref="G14">
    <cfRule type="cellIs" dxfId="4067" priority="4111" stopIfTrue="1" operator="greaterThan">
      <formula>1.75</formula>
    </cfRule>
    <cfRule type="cellIs" dxfId="4066" priority="4112" stopIfTrue="1" operator="between">
      <formula>1.25</formula>
      <formula>1.75</formula>
    </cfRule>
  </conditionalFormatting>
  <conditionalFormatting sqref="G14">
    <cfRule type="cellIs" dxfId="4065" priority="4113" stopIfTrue="1" operator="greaterThan">
      <formula>1.75</formula>
    </cfRule>
    <cfRule type="cellIs" dxfId="4064" priority="4114" stopIfTrue="1" operator="between">
      <formula>1.25</formula>
      <formula>1.75</formula>
    </cfRule>
  </conditionalFormatting>
  <conditionalFormatting sqref="H14">
    <cfRule type="cellIs" dxfId="4063" priority="4103" stopIfTrue="1" operator="greaterThan">
      <formula>1.75</formula>
    </cfRule>
    <cfRule type="cellIs" dxfId="4062" priority="4104" stopIfTrue="1" operator="between">
      <formula>1.25</formula>
      <formula>1.75</formula>
    </cfRule>
  </conditionalFormatting>
  <conditionalFormatting sqref="I14">
    <cfRule type="cellIs" dxfId="4061" priority="4097" stopIfTrue="1" operator="greaterThan">
      <formula>1.75</formula>
    </cfRule>
    <cfRule type="cellIs" dxfId="4060" priority="4098" stopIfTrue="1" operator="between">
      <formula>1.25</formula>
      <formula>1.75</formula>
    </cfRule>
  </conditionalFormatting>
  <conditionalFormatting sqref="I14">
    <cfRule type="cellIs" dxfId="4059" priority="4099" stopIfTrue="1" operator="greaterThan">
      <formula>1.75</formula>
    </cfRule>
    <cfRule type="cellIs" dxfId="4058" priority="4100" stopIfTrue="1" operator="between">
      <formula>1.25</formula>
      <formula>1.75</formula>
    </cfRule>
  </conditionalFormatting>
  <conditionalFormatting sqref="I14">
    <cfRule type="cellIs" dxfId="4057" priority="4101" stopIfTrue="1" operator="greaterThan">
      <formula>1.75</formula>
    </cfRule>
    <cfRule type="cellIs" dxfId="4056" priority="4102" stopIfTrue="1" operator="between">
      <formula>1.25</formula>
      <formula>1.75</formula>
    </cfRule>
  </conditionalFormatting>
  <conditionalFormatting sqref="J14">
    <cfRule type="cellIs" dxfId="4055" priority="4091" stopIfTrue="1" operator="greaterThan">
      <formula>1.75</formula>
    </cfRule>
    <cfRule type="cellIs" dxfId="4054" priority="4092" stopIfTrue="1" operator="between">
      <formula>1.25</formula>
      <formula>1.75</formula>
    </cfRule>
  </conditionalFormatting>
  <conditionalFormatting sqref="J14">
    <cfRule type="cellIs" dxfId="4053" priority="4093" stopIfTrue="1" operator="greaterThan">
      <formula>1.75</formula>
    </cfRule>
    <cfRule type="cellIs" dxfId="4052" priority="4094" stopIfTrue="1" operator="between">
      <formula>1.25</formula>
      <formula>1.75</formula>
    </cfRule>
  </conditionalFormatting>
  <conditionalFormatting sqref="J14">
    <cfRule type="cellIs" dxfId="4051" priority="4095" stopIfTrue="1" operator="greaterThan">
      <formula>1.75</formula>
    </cfRule>
    <cfRule type="cellIs" dxfId="4050" priority="4096" stopIfTrue="1" operator="between">
      <formula>1.25</formula>
      <formula>1.75</formula>
    </cfRule>
  </conditionalFormatting>
  <conditionalFormatting sqref="K14">
    <cfRule type="cellIs" dxfId="4049" priority="4085" stopIfTrue="1" operator="greaterThan">
      <formula>1.75</formula>
    </cfRule>
    <cfRule type="cellIs" dxfId="4048" priority="4086" stopIfTrue="1" operator="between">
      <formula>1.25</formula>
      <formula>1.75</formula>
    </cfRule>
  </conditionalFormatting>
  <conditionalFormatting sqref="K14">
    <cfRule type="cellIs" dxfId="4047" priority="4087" stopIfTrue="1" operator="greaterThan">
      <formula>1.75</formula>
    </cfRule>
    <cfRule type="cellIs" dxfId="4046" priority="4088" stopIfTrue="1" operator="between">
      <formula>1.25</formula>
      <formula>1.75</formula>
    </cfRule>
  </conditionalFormatting>
  <conditionalFormatting sqref="K14">
    <cfRule type="cellIs" dxfId="4045" priority="4089" stopIfTrue="1" operator="greaterThan">
      <formula>1.75</formula>
    </cfRule>
    <cfRule type="cellIs" dxfId="4044" priority="4090" stopIfTrue="1" operator="between">
      <formula>1.25</formula>
      <formula>1.75</formula>
    </cfRule>
  </conditionalFormatting>
  <conditionalFormatting sqref="L14">
    <cfRule type="cellIs" dxfId="4043" priority="4079" stopIfTrue="1" operator="greaterThan">
      <formula>1.75</formula>
    </cfRule>
    <cfRule type="cellIs" dxfId="4042" priority="4080" stopIfTrue="1" operator="between">
      <formula>1.25</formula>
      <formula>1.75</formula>
    </cfRule>
  </conditionalFormatting>
  <conditionalFormatting sqref="L14">
    <cfRule type="cellIs" dxfId="4041" priority="4081" stopIfTrue="1" operator="greaterThan">
      <formula>1.75</formula>
    </cfRule>
    <cfRule type="cellIs" dxfId="4040" priority="4082" stopIfTrue="1" operator="between">
      <formula>1.25</formula>
      <formula>1.75</formula>
    </cfRule>
  </conditionalFormatting>
  <conditionalFormatting sqref="L14">
    <cfRule type="cellIs" dxfId="4039" priority="4083" stopIfTrue="1" operator="greaterThan">
      <formula>1.75</formula>
    </cfRule>
    <cfRule type="cellIs" dxfId="4038" priority="4084" stopIfTrue="1" operator="between">
      <formula>1.25</formula>
      <formula>1.75</formula>
    </cfRule>
  </conditionalFormatting>
  <conditionalFormatting sqref="F12">
    <cfRule type="cellIs" dxfId="4037" priority="4075" stopIfTrue="1" operator="greaterThan">
      <formula>1.75</formula>
    </cfRule>
    <cfRule type="cellIs" dxfId="4036" priority="4076" stopIfTrue="1" operator="between">
      <formula>1.25</formula>
      <formula>1.75</formula>
    </cfRule>
  </conditionalFormatting>
  <conditionalFormatting sqref="F12">
    <cfRule type="cellIs" dxfId="4035" priority="4073" stopIfTrue="1" operator="greaterThan">
      <formula>1.75</formula>
    </cfRule>
    <cfRule type="cellIs" dxfId="4034" priority="4074" stopIfTrue="1" operator="between">
      <formula>1.25</formula>
      <formula>1.75</formula>
    </cfRule>
  </conditionalFormatting>
  <conditionalFormatting sqref="F12">
    <cfRule type="cellIs" dxfId="4033" priority="4077" stopIfTrue="1" operator="greaterThan">
      <formula>1.75</formula>
    </cfRule>
    <cfRule type="cellIs" dxfId="4032" priority="4078" stopIfTrue="1" operator="between">
      <formula>1.25</formula>
      <formula>1.75</formula>
    </cfRule>
  </conditionalFormatting>
  <conditionalFormatting sqref="G12">
    <cfRule type="cellIs" dxfId="4031" priority="4069" stopIfTrue="1" operator="greaterThan">
      <formula>1.75</formula>
    </cfRule>
    <cfRule type="cellIs" dxfId="4030" priority="4070" stopIfTrue="1" operator="between">
      <formula>1.25</formula>
      <formula>1.75</formula>
    </cfRule>
  </conditionalFormatting>
  <conditionalFormatting sqref="G12">
    <cfRule type="cellIs" dxfId="4029" priority="4067" stopIfTrue="1" operator="greaterThan">
      <formula>1.75</formula>
    </cfRule>
    <cfRule type="cellIs" dxfId="4028" priority="4068" stopIfTrue="1" operator="between">
      <formula>1.25</formula>
      <formula>1.75</formula>
    </cfRule>
  </conditionalFormatting>
  <conditionalFormatting sqref="G12">
    <cfRule type="cellIs" dxfId="4027" priority="4071" stopIfTrue="1" operator="greaterThan">
      <formula>1.75</formula>
    </cfRule>
    <cfRule type="cellIs" dxfId="4026" priority="4072" stopIfTrue="1" operator="between">
      <formula>1.25</formula>
      <formula>1.75</formula>
    </cfRule>
  </conditionalFormatting>
  <conditionalFormatting sqref="H12">
    <cfRule type="cellIs" dxfId="4025" priority="4063" stopIfTrue="1" operator="greaterThan">
      <formula>1.75</formula>
    </cfRule>
    <cfRule type="cellIs" dxfId="4024" priority="4064" stopIfTrue="1" operator="between">
      <formula>1.25</formula>
      <formula>1.75</formula>
    </cfRule>
  </conditionalFormatting>
  <conditionalFormatting sqref="H12">
    <cfRule type="cellIs" dxfId="4023" priority="4061" stopIfTrue="1" operator="greaterThan">
      <formula>1.75</formula>
    </cfRule>
    <cfRule type="cellIs" dxfId="4022" priority="4062" stopIfTrue="1" operator="between">
      <formula>1.25</formula>
      <formula>1.75</formula>
    </cfRule>
  </conditionalFormatting>
  <conditionalFormatting sqref="H12">
    <cfRule type="cellIs" dxfId="4021" priority="4065" stopIfTrue="1" operator="greaterThan">
      <formula>1.75</formula>
    </cfRule>
    <cfRule type="cellIs" dxfId="4020" priority="4066" stopIfTrue="1" operator="between">
      <formula>1.25</formula>
      <formula>1.75</formula>
    </cfRule>
  </conditionalFormatting>
  <conditionalFormatting sqref="I12">
    <cfRule type="cellIs" dxfId="4019" priority="4057" stopIfTrue="1" operator="greaterThan">
      <formula>1.75</formula>
    </cfRule>
    <cfRule type="cellIs" dxfId="4018" priority="4058" stopIfTrue="1" operator="between">
      <formula>1.25</formula>
      <formula>1.75</formula>
    </cfRule>
  </conditionalFormatting>
  <conditionalFormatting sqref="I12">
    <cfRule type="cellIs" dxfId="4017" priority="4055" stopIfTrue="1" operator="greaterThan">
      <formula>1.75</formula>
    </cfRule>
    <cfRule type="cellIs" dxfId="4016" priority="4056" stopIfTrue="1" operator="between">
      <formula>1.25</formula>
      <formula>1.75</formula>
    </cfRule>
  </conditionalFormatting>
  <conditionalFormatting sqref="I12">
    <cfRule type="cellIs" dxfId="4015" priority="4059" stopIfTrue="1" operator="greaterThan">
      <formula>1.75</formula>
    </cfRule>
    <cfRule type="cellIs" dxfId="4014" priority="4060" stopIfTrue="1" operator="between">
      <formula>1.25</formula>
      <formula>1.75</formula>
    </cfRule>
  </conditionalFormatting>
  <conditionalFormatting sqref="J12">
    <cfRule type="cellIs" dxfId="4013" priority="4051" stopIfTrue="1" operator="greaterThan">
      <formula>1.75</formula>
    </cfRule>
    <cfRule type="cellIs" dxfId="4012" priority="4052" stopIfTrue="1" operator="between">
      <formula>1.25</formula>
      <formula>1.75</formula>
    </cfRule>
  </conditionalFormatting>
  <conditionalFormatting sqref="J12">
    <cfRule type="cellIs" dxfId="4011" priority="4049" stopIfTrue="1" operator="greaterThan">
      <formula>1.75</formula>
    </cfRule>
    <cfRule type="cellIs" dxfId="4010" priority="4050" stopIfTrue="1" operator="between">
      <formula>1.25</formula>
      <formula>1.75</formula>
    </cfRule>
  </conditionalFormatting>
  <conditionalFormatting sqref="J12">
    <cfRule type="cellIs" dxfId="4009" priority="4053" stopIfTrue="1" operator="greaterThan">
      <formula>1.75</formula>
    </cfRule>
    <cfRule type="cellIs" dxfId="4008" priority="4054" stopIfTrue="1" operator="between">
      <formula>1.25</formula>
      <formula>1.75</formula>
    </cfRule>
  </conditionalFormatting>
  <conditionalFormatting sqref="K12">
    <cfRule type="cellIs" dxfId="4007" priority="4045" stopIfTrue="1" operator="greaterThan">
      <formula>1.75</formula>
    </cfRule>
    <cfRule type="cellIs" dxfId="4006" priority="4046" stopIfTrue="1" operator="between">
      <formula>1.25</formula>
      <formula>1.75</formula>
    </cfRule>
  </conditionalFormatting>
  <conditionalFormatting sqref="K12">
    <cfRule type="cellIs" dxfId="4005" priority="4043" stopIfTrue="1" operator="greaterThan">
      <formula>1.75</formula>
    </cfRule>
    <cfRule type="cellIs" dxfId="4004" priority="4044" stopIfTrue="1" operator="between">
      <formula>1.25</formula>
      <formula>1.75</formula>
    </cfRule>
  </conditionalFormatting>
  <conditionalFormatting sqref="K12">
    <cfRule type="cellIs" dxfId="4003" priority="4047" stopIfTrue="1" operator="greaterThan">
      <formula>1.75</formula>
    </cfRule>
    <cfRule type="cellIs" dxfId="4002" priority="4048" stopIfTrue="1" operator="between">
      <formula>1.25</formula>
      <formula>1.75</formula>
    </cfRule>
  </conditionalFormatting>
  <conditionalFormatting sqref="L12">
    <cfRule type="cellIs" dxfId="4001" priority="4039" stopIfTrue="1" operator="greaterThan">
      <formula>1.75</formula>
    </cfRule>
    <cfRule type="cellIs" dxfId="4000" priority="4040" stopIfTrue="1" operator="between">
      <formula>1.25</formula>
      <formula>1.75</formula>
    </cfRule>
  </conditionalFormatting>
  <conditionalFormatting sqref="L12">
    <cfRule type="cellIs" dxfId="3999" priority="4037" stopIfTrue="1" operator="greaterThan">
      <formula>1.75</formula>
    </cfRule>
    <cfRule type="cellIs" dxfId="3998" priority="4038" stopIfTrue="1" operator="between">
      <formula>1.25</formula>
      <formula>1.75</formula>
    </cfRule>
  </conditionalFormatting>
  <conditionalFormatting sqref="L12">
    <cfRule type="cellIs" dxfId="3997" priority="4041" stopIfTrue="1" operator="greaterThan">
      <formula>1.75</formula>
    </cfRule>
    <cfRule type="cellIs" dxfId="3996" priority="4042" stopIfTrue="1" operator="between">
      <formula>1.25</formula>
      <formula>1.75</formula>
    </cfRule>
  </conditionalFormatting>
  <conditionalFormatting sqref="W12">
    <cfRule type="cellIs" dxfId="3995" priority="4035" stopIfTrue="1" operator="greaterThan">
      <formula>1.75</formula>
    </cfRule>
    <cfRule type="cellIs" dxfId="3994" priority="4036" stopIfTrue="1" operator="between">
      <formula>1.25</formula>
      <formula>1.75</formula>
    </cfRule>
  </conditionalFormatting>
  <conditionalFormatting sqref="W14">
    <cfRule type="cellIs" dxfId="3993" priority="4033" stopIfTrue="1" operator="greaterThan">
      <formula>1.75</formula>
    </cfRule>
    <cfRule type="cellIs" dxfId="3992" priority="4034" stopIfTrue="1" operator="between">
      <formula>1.25</formula>
      <formula>1.75</formula>
    </cfRule>
  </conditionalFormatting>
  <conditionalFormatting sqref="W14">
    <cfRule type="cellIs" dxfId="3991" priority="4031" stopIfTrue="1" operator="greaterThan">
      <formula>1.75</formula>
    </cfRule>
    <cfRule type="cellIs" dxfId="3990" priority="4032" stopIfTrue="1" operator="between">
      <formula>1.25</formula>
      <formula>1.75</formula>
    </cfRule>
  </conditionalFormatting>
  <conditionalFormatting sqref="W14">
    <cfRule type="cellIs" dxfId="3989" priority="4029" stopIfTrue="1" operator="greaterThan">
      <formula>1.75</formula>
    </cfRule>
    <cfRule type="cellIs" dxfId="3988" priority="4030" stopIfTrue="1" operator="between">
      <formula>1.25</formula>
      <formula>1.75</formula>
    </cfRule>
  </conditionalFormatting>
  <conditionalFormatting sqref="D236">
    <cfRule type="cellIs" dxfId="3987" priority="3971" stopIfTrue="1" operator="greaterThan">
      <formula>1.75</formula>
    </cfRule>
    <cfRule type="cellIs" dxfId="3986" priority="3972" stopIfTrue="1" operator="between">
      <formula>1.25</formula>
      <formula>1.75</formula>
    </cfRule>
  </conditionalFormatting>
  <conditionalFormatting sqref="Q236">
    <cfRule type="cellIs" dxfId="3985" priority="4009" stopIfTrue="1" operator="greaterThan">
      <formula>1.75</formula>
    </cfRule>
    <cfRule type="cellIs" dxfId="3984" priority="4010" stopIfTrue="1" operator="between">
      <formula>1.25</formula>
      <formula>1.75</formula>
    </cfRule>
  </conditionalFormatting>
  <conditionalFormatting sqref="X235">
    <cfRule type="cellIs" dxfId="3983" priority="4027" operator="lessThan">
      <formula>1000</formula>
    </cfRule>
    <cfRule type="cellIs" dxfId="3982" priority="4028" operator="lessThan">
      <formula>2000</formula>
    </cfRule>
  </conditionalFormatting>
  <conditionalFormatting sqref="M236:O236">
    <cfRule type="cellIs" dxfId="3981" priority="4023" stopIfTrue="1" operator="greaterThan">
      <formula>1.75</formula>
    </cfRule>
    <cfRule type="cellIs" dxfId="3980" priority="4024" stopIfTrue="1" operator="between">
      <formula>1.25</formula>
      <formula>1.75</formula>
    </cfRule>
  </conditionalFormatting>
  <conditionalFormatting sqref="M236:O236">
    <cfRule type="cellIs" dxfId="3979" priority="4021" stopIfTrue="1" operator="greaterThan">
      <formula>1.75</formula>
    </cfRule>
    <cfRule type="cellIs" dxfId="3978" priority="4022" stopIfTrue="1" operator="between">
      <formula>1.25</formula>
      <formula>1.75</formula>
    </cfRule>
  </conditionalFormatting>
  <conditionalFormatting sqref="P236">
    <cfRule type="cellIs" dxfId="3977" priority="4019" stopIfTrue="1" operator="greaterThan">
      <formula>1.75</formula>
    </cfRule>
    <cfRule type="cellIs" dxfId="3976" priority="4020" stopIfTrue="1" operator="between">
      <formula>1.25</formula>
      <formula>1.75</formula>
    </cfRule>
  </conditionalFormatting>
  <conditionalFormatting sqref="P236">
    <cfRule type="cellIs" dxfId="3975" priority="4017" stopIfTrue="1" operator="greaterThan">
      <formula>1.75</formula>
    </cfRule>
    <cfRule type="cellIs" dxfId="3974" priority="4018" stopIfTrue="1" operator="between">
      <formula>1.25</formula>
      <formula>1.75</formula>
    </cfRule>
  </conditionalFormatting>
  <conditionalFormatting sqref="P236">
    <cfRule type="cellIs" dxfId="3973" priority="4015" stopIfTrue="1" operator="greaterThan">
      <formula>1.75</formula>
    </cfRule>
    <cfRule type="cellIs" dxfId="3972" priority="4016" stopIfTrue="1" operator="between">
      <formula>1.25</formula>
      <formula>1.75</formula>
    </cfRule>
  </conditionalFormatting>
  <conditionalFormatting sqref="U236">
    <cfRule type="cellIs" dxfId="3971" priority="4013" stopIfTrue="1" operator="greaterThan">
      <formula>1.75</formula>
    </cfRule>
    <cfRule type="cellIs" dxfId="3970" priority="4014" stopIfTrue="1" operator="between">
      <formula>1.25</formula>
      <formula>1.75</formula>
    </cfRule>
  </conditionalFormatting>
  <conditionalFormatting sqref="T236">
    <cfRule type="cellIs" dxfId="3969" priority="4011" stopIfTrue="1" operator="greaterThan">
      <formula>1.75</formula>
    </cfRule>
    <cfRule type="cellIs" dxfId="3968" priority="4012" stopIfTrue="1" operator="between">
      <formula>1.25</formula>
      <formula>1.75</formula>
    </cfRule>
  </conditionalFormatting>
  <conditionalFormatting sqref="Q236">
    <cfRule type="cellIs" dxfId="3967" priority="4007" stopIfTrue="1" operator="greaterThan">
      <formula>1.75</formula>
    </cfRule>
    <cfRule type="cellIs" dxfId="3966" priority="4008" stopIfTrue="1" operator="between">
      <formula>1.25</formula>
      <formula>1.75</formula>
    </cfRule>
  </conditionalFormatting>
  <conditionalFormatting sqref="Q236">
    <cfRule type="cellIs" dxfId="3965" priority="4005" stopIfTrue="1" operator="greaterThan">
      <formula>1.75</formula>
    </cfRule>
    <cfRule type="cellIs" dxfId="3964" priority="4006" stopIfTrue="1" operator="between">
      <formula>1.25</formula>
      <formula>1.75</formula>
    </cfRule>
  </conditionalFormatting>
  <conditionalFormatting sqref="R236">
    <cfRule type="cellIs" dxfId="3963" priority="4003" stopIfTrue="1" operator="greaterThan">
      <formula>1.75</formula>
    </cfRule>
    <cfRule type="cellIs" dxfId="3962" priority="4004" stopIfTrue="1" operator="between">
      <formula>1.25</formula>
      <formula>1.75</formula>
    </cfRule>
  </conditionalFormatting>
  <conditionalFormatting sqref="R236">
    <cfRule type="cellIs" dxfId="3961" priority="4001" stopIfTrue="1" operator="greaterThan">
      <formula>1.75</formula>
    </cfRule>
    <cfRule type="cellIs" dxfId="3960" priority="4002" stopIfTrue="1" operator="between">
      <formula>1.25</formula>
      <formula>1.75</formula>
    </cfRule>
  </conditionalFormatting>
  <conditionalFormatting sqref="R236">
    <cfRule type="cellIs" dxfId="3959" priority="3999" stopIfTrue="1" operator="greaterThan">
      <formula>1.75</formula>
    </cfRule>
    <cfRule type="cellIs" dxfId="3958" priority="4000" stopIfTrue="1" operator="between">
      <formula>1.25</formula>
      <formula>1.75</formula>
    </cfRule>
  </conditionalFormatting>
  <conditionalFormatting sqref="S236">
    <cfRule type="cellIs" dxfId="3957" priority="3995" stopIfTrue="1" operator="greaterThan">
      <formula>1.75</formula>
    </cfRule>
    <cfRule type="cellIs" dxfId="3956" priority="3996" stopIfTrue="1" operator="between">
      <formula>1.25</formula>
      <formula>1.75</formula>
    </cfRule>
  </conditionalFormatting>
  <conditionalFormatting sqref="S236">
    <cfRule type="cellIs" dxfId="3955" priority="3993" stopIfTrue="1" operator="greaterThan">
      <formula>1.75</formula>
    </cfRule>
    <cfRule type="cellIs" dxfId="3954" priority="3994" stopIfTrue="1" operator="between">
      <formula>1.25</formula>
      <formula>1.75</formula>
    </cfRule>
  </conditionalFormatting>
  <conditionalFormatting sqref="S236">
    <cfRule type="cellIs" dxfId="3953" priority="3997" stopIfTrue="1" operator="greaterThan">
      <formula>1.75</formula>
    </cfRule>
    <cfRule type="cellIs" dxfId="3952" priority="3998" stopIfTrue="1" operator="between">
      <formula>1.25</formula>
      <formula>1.75</formula>
    </cfRule>
  </conditionalFormatting>
  <conditionalFormatting sqref="M236:O236">
    <cfRule type="cellIs" dxfId="3951" priority="4025" stopIfTrue="1" operator="greaterThan">
      <formula>1.75</formula>
    </cfRule>
    <cfRule type="cellIs" dxfId="3950" priority="4026" stopIfTrue="1" operator="between">
      <formula>1.25</formula>
      <formula>1.75</formula>
    </cfRule>
  </conditionalFormatting>
  <conditionalFormatting sqref="H238">
    <cfRule type="cellIs" dxfId="3949" priority="3927" stopIfTrue="1" operator="greaterThan">
      <formula>1.75</formula>
    </cfRule>
    <cfRule type="cellIs" dxfId="3948" priority="3928" stopIfTrue="1" operator="between">
      <formula>1.25</formula>
      <formula>1.75</formula>
    </cfRule>
  </conditionalFormatting>
  <conditionalFormatting sqref="H238">
    <cfRule type="cellIs" dxfId="3947" priority="3929" stopIfTrue="1" operator="greaterThan">
      <formula>1.75</formula>
    </cfRule>
    <cfRule type="cellIs" dxfId="3946" priority="3930" stopIfTrue="1" operator="between">
      <formula>1.25</formula>
      <formula>1.75</formula>
    </cfRule>
  </conditionalFormatting>
  <conditionalFormatting sqref="M238:U238">
    <cfRule type="cellIs" dxfId="3945" priority="3991" stopIfTrue="1" operator="greaterThan">
      <formula>1.75</formula>
    </cfRule>
    <cfRule type="cellIs" dxfId="3944" priority="3992" stopIfTrue="1" operator="between">
      <formula>1.25</formula>
      <formula>1.75</formula>
    </cfRule>
  </conditionalFormatting>
  <conditionalFormatting sqref="M238:U238">
    <cfRule type="cellIs" dxfId="3943" priority="3989" stopIfTrue="1" operator="greaterThan">
      <formula>1.75</formula>
    </cfRule>
    <cfRule type="cellIs" dxfId="3942" priority="3990" stopIfTrue="1" operator="between">
      <formula>1.25</formula>
      <formula>1.75</formula>
    </cfRule>
  </conditionalFormatting>
  <conditionalFormatting sqref="M238:U238">
    <cfRule type="cellIs" dxfId="3941" priority="3987" stopIfTrue="1" operator="greaterThan">
      <formula>1.75</formula>
    </cfRule>
    <cfRule type="cellIs" dxfId="3940" priority="3988" stopIfTrue="1" operator="between">
      <formula>1.25</formula>
      <formula>1.75</formula>
    </cfRule>
  </conditionalFormatting>
  <conditionalFormatting sqref="G238">
    <cfRule type="cellIs" dxfId="3939" priority="3931" stopIfTrue="1" operator="greaterThan">
      <formula>1.75</formula>
    </cfRule>
    <cfRule type="cellIs" dxfId="3938" priority="3932" stopIfTrue="1" operator="between">
      <formula>1.25</formula>
      <formula>1.75</formula>
    </cfRule>
  </conditionalFormatting>
  <conditionalFormatting sqref="V236">
    <cfRule type="cellIs" dxfId="3937" priority="3985" stopIfTrue="1" operator="greaterThan">
      <formula>1.75</formula>
    </cfRule>
    <cfRule type="cellIs" dxfId="3936" priority="3986" stopIfTrue="1" operator="between">
      <formula>1.25</formula>
      <formula>1.75</formula>
    </cfRule>
  </conditionalFormatting>
  <conditionalFormatting sqref="V238">
    <cfRule type="cellIs" dxfId="3935" priority="3983" stopIfTrue="1" operator="greaterThan">
      <formula>1.75</formula>
    </cfRule>
    <cfRule type="cellIs" dxfId="3934" priority="3984" stopIfTrue="1" operator="between">
      <formula>1.25</formula>
      <formula>1.75</formula>
    </cfRule>
  </conditionalFormatting>
  <conditionalFormatting sqref="V238">
    <cfRule type="cellIs" dxfId="3933" priority="3981" stopIfTrue="1" operator="greaterThan">
      <formula>1.75</formula>
    </cfRule>
    <cfRule type="cellIs" dxfId="3932" priority="3982" stopIfTrue="1" operator="between">
      <formula>1.25</formula>
      <formula>1.75</formula>
    </cfRule>
  </conditionalFormatting>
  <conditionalFormatting sqref="V238">
    <cfRule type="cellIs" dxfId="3931" priority="3979" stopIfTrue="1" operator="greaterThan">
      <formula>1.75</formula>
    </cfRule>
    <cfRule type="cellIs" dxfId="3930" priority="3980" stopIfTrue="1" operator="between">
      <formula>1.25</formula>
      <formula>1.75</formula>
    </cfRule>
  </conditionalFormatting>
  <conditionalFormatting sqref="C236">
    <cfRule type="cellIs" dxfId="3929" priority="3975" stopIfTrue="1" operator="greaterThan">
      <formula>1.75</formula>
    </cfRule>
    <cfRule type="cellIs" dxfId="3928" priority="3976" stopIfTrue="1" operator="between">
      <formula>1.25</formula>
      <formula>1.75</formula>
    </cfRule>
  </conditionalFormatting>
  <conditionalFormatting sqref="C236">
    <cfRule type="cellIs" dxfId="3927" priority="3973" stopIfTrue="1" operator="greaterThan">
      <formula>1.75</formula>
    </cfRule>
    <cfRule type="cellIs" dxfId="3926" priority="3974" stopIfTrue="1" operator="between">
      <formula>1.25</formula>
      <formula>1.75</formula>
    </cfRule>
  </conditionalFormatting>
  <conditionalFormatting sqref="C236">
    <cfRule type="cellIs" dxfId="3925" priority="3977" stopIfTrue="1" operator="greaterThan">
      <formula>1.75</formula>
    </cfRule>
    <cfRule type="cellIs" dxfId="3924" priority="3978" stopIfTrue="1" operator="between">
      <formula>1.25</formula>
      <formula>1.75</formula>
    </cfRule>
  </conditionalFormatting>
  <conditionalFormatting sqref="D236">
    <cfRule type="cellIs" dxfId="3923" priority="3969" stopIfTrue="1" operator="greaterThan">
      <formula>1.75</formula>
    </cfRule>
    <cfRule type="cellIs" dxfId="3922" priority="3970" stopIfTrue="1" operator="between">
      <formula>1.25</formula>
      <formula>1.75</formula>
    </cfRule>
  </conditionalFormatting>
  <conditionalFormatting sqref="D236">
    <cfRule type="cellIs" dxfId="3921" priority="3967" stopIfTrue="1" operator="greaterThan">
      <formula>1.75</formula>
    </cfRule>
    <cfRule type="cellIs" dxfId="3920" priority="3968" stopIfTrue="1" operator="between">
      <formula>1.25</formula>
      <formula>1.75</formula>
    </cfRule>
  </conditionalFormatting>
  <conditionalFormatting sqref="C238">
    <cfRule type="cellIs" dxfId="3919" priority="3961" stopIfTrue="1" operator="greaterThan">
      <formula>1.75</formula>
    </cfRule>
    <cfRule type="cellIs" dxfId="3918" priority="3962" stopIfTrue="1" operator="between">
      <formula>1.25</formula>
      <formula>1.75</formula>
    </cfRule>
  </conditionalFormatting>
  <conditionalFormatting sqref="C238">
    <cfRule type="cellIs" dxfId="3917" priority="3963" stopIfTrue="1" operator="greaterThan">
      <formula>1.75</formula>
    </cfRule>
    <cfRule type="cellIs" dxfId="3916" priority="3964" stopIfTrue="1" operator="between">
      <formula>1.25</formula>
      <formula>1.75</formula>
    </cfRule>
  </conditionalFormatting>
  <conditionalFormatting sqref="C238">
    <cfRule type="cellIs" dxfId="3915" priority="3965" stopIfTrue="1" operator="greaterThan">
      <formula>1.75</formula>
    </cfRule>
    <cfRule type="cellIs" dxfId="3914" priority="3966" stopIfTrue="1" operator="between">
      <formula>1.25</formula>
      <formula>1.75</formula>
    </cfRule>
  </conditionalFormatting>
  <conditionalFormatting sqref="D238">
    <cfRule type="cellIs" dxfId="3913" priority="3955" stopIfTrue="1" operator="greaterThan">
      <formula>1.75</formula>
    </cfRule>
    <cfRule type="cellIs" dxfId="3912" priority="3956" stopIfTrue="1" operator="between">
      <formula>1.25</formula>
      <formula>1.75</formula>
    </cfRule>
  </conditionalFormatting>
  <conditionalFormatting sqref="D238">
    <cfRule type="cellIs" dxfId="3911" priority="3957" stopIfTrue="1" operator="greaterThan">
      <formula>1.75</formula>
    </cfRule>
    <cfRule type="cellIs" dxfId="3910" priority="3958" stopIfTrue="1" operator="between">
      <formula>1.25</formula>
      <formula>1.75</formula>
    </cfRule>
  </conditionalFormatting>
  <conditionalFormatting sqref="D238">
    <cfRule type="cellIs" dxfId="3909" priority="3959" stopIfTrue="1" operator="greaterThan">
      <formula>1.75</formula>
    </cfRule>
    <cfRule type="cellIs" dxfId="3908" priority="3960" stopIfTrue="1" operator="between">
      <formula>1.25</formula>
      <formula>1.75</formula>
    </cfRule>
  </conditionalFormatting>
  <conditionalFormatting sqref="E238">
    <cfRule type="cellIs" dxfId="3907" priority="3949" stopIfTrue="1" operator="greaterThan">
      <formula>1.75</formula>
    </cfRule>
    <cfRule type="cellIs" dxfId="3906" priority="3950" stopIfTrue="1" operator="between">
      <formula>1.25</formula>
      <formula>1.75</formula>
    </cfRule>
  </conditionalFormatting>
  <conditionalFormatting sqref="E238">
    <cfRule type="cellIs" dxfId="3905" priority="3951" stopIfTrue="1" operator="greaterThan">
      <formula>1.75</formula>
    </cfRule>
    <cfRule type="cellIs" dxfId="3904" priority="3952" stopIfTrue="1" operator="between">
      <formula>1.25</formula>
      <formula>1.75</formula>
    </cfRule>
  </conditionalFormatting>
  <conditionalFormatting sqref="E238">
    <cfRule type="cellIs" dxfId="3903" priority="3953" stopIfTrue="1" operator="greaterThan">
      <formula>1.75</formula>
    </cfRule>
    <cfRule type="cellIs" dxfId="3902" priority="3954" stopIfTrue="1" operator="between">
      <formula>1.25</formula>
      <formula>1.75</formula>
    </cfRule>
  </conditionalFormatting>
  <conditionalFormatting sqref="E236">
    <cfRule type="cellIs" dxfId="3901" priority="3945" stopIfTrue="1" operator="greaterThan">
      <formula>1.75</formula>
    </cfRule>
    <cfRule type="cellIs" dxfId="3900" priority="3946" stopIfTrue="1" operator="between">
      <formula>1.25</formula>
      <formula>1.75</formula>
    </cfRule>
  </conditionalFormatting>
  <conditionalFormatting sqref="E236">
    <cfRule type="cellIs" dxfId="3899" priority="3943" stopIfTrue="1" operator="greaterThan">
      <formula>1.75</formula>
    </cfRule>
    <cfRule type="cellIs" dxfId="3898" priority="3944" stopIfTrue="1" operator="between">
      <formula>1.25</formula>
      <formula>1.75</formula>
    </cfRule>
  </conditionalFormatting>
  <conditionalFormatting sqref="E236">
    <cfRule type="cellIs" dxfId="3897" priority="3947" stopIfTrue="1" operator="greaterThan">
      <formula>1.75</formula>
    </cfRule>
    <cfRule type="cellIs" dxfId="3896" priority="3948" stopIfTrue="1" operator="between">
      <formula>1.25</formula>
      <formula>1.75</formula>
    </cfRule>
  </conditionalFormatting>
  <conditionalFormatting sqref="F238">
    <cfRule type="cellIs" dxfId="3895" priority="3937" stopIfTrue="1" operator="greaterThan">
      <formula>1.75</formula>
    </cfRule>
    <cfRule type="cellIs" dxfId="3894" priority="3938" stopIfTrue="1" operator="between">
      <formula>1.25</formula>
      <formula>1.75</formula>
    </cfRule>
  </conditionalFormatting>
  <conditionalFormatting sqref="F238">
    <cfRule type="cellIs" dxfId="3893" priority="3939" stopIfTrue="1" operator="greaterThan">
      <formula>1.75</formula>
    </cfRule>
    <cfRule type="cellIs" dxfId="3892" priority="3940" stopIfTrue="1" operator="between">
      <formula>1.25</formula>
      <formula>1.75</formula>
    </cfRule>
  </conditionalFormatting>
  <conditionalFormatting sqref="F238">
    <cfRule type="cellIs" dxfId="3891" priority="3941" stopIfTrue="1" operator="greaterThan">
      <formula>1.75</formula>
    </cfRule>
    <cfRule type="cellIs" dxfId="3890" priority="3942" stopIfTrue="1" operator="between">
      <formula>1.25</formula>
      <formula>1.75</formula>
    </cfRule>
  </conditionalFormatting>
  <conditionalFormatting sqref="G238">
    <cfRule type="cellIs" dxfId="3889" priority="3933" stopIfTrue="1" operator="greaterThan">
      <formula>1.75</formula>
    </cfRule>
    <cfRule type="cellIs" dxfId="3888" priority="3934" stopIfTrue="1" operator="between">
      <formula>1.25</formula>
      <formula>1.75</formula>
    </cfRule>
  </conditionalFormatting>
  <conditionalFormatting sqref="G238">
    <cfRule type="cellIs" dxfId="3887" priority="3935" stopIfTrue="1" operator="greaterThan">
      <formula>1.75</formula>
    </cfRule>
    <cfRule type="cellIs" dxfId="3886" priority="3936" stopIfTrue="1" operator="between">
      <formula>1.25</formula>
      <formula>1.75</formula>
    </cfRule>
  </conditionalFormatting>
  <conditionalFormatting sqref="H238">
    <cfRule type="cellIs" dxfId="3885" priority="3925" stopIfTrue="1" operator="greaterThan">
      <formula>1.75</formula>
    </cfRule>
    <cfRule type="cellIs" dxfId="3884" priority="3926" stopIfTrue="1" operator="between">
      <formula>1.25</formula>
      <formula>1.75</formula>
    </cfRule>
  </conditionalFormatting>
  <conditionalFormatting sqref="I238">
    <cfRule type="cellIs" dxfId="3883" priority="3919" stopIfTrue="1" operator="greaterThan">
      <formula>1.75</formula>
    </cfRule>
    <cfRule type="cellIs" dxfId="3882" priority="3920" stopIfTrue="1" operator="between">
      <formula>1.25</formula>
      <formula>1.75</formula>
    </cfRule>
  </conditionalFormatting>
  <conditionalFormatting sqref="I238">
    <cfRule type="cellIs" dxfId="3881" priority="3921" stopIfTrue="1" operator="greaterThan">
      <formula>1.75</formula>
    </cfRule>
    <cfRule type="cellIs" dxfId="3880" priority="3922" stopIfTrue="1" operator="between">
      <formula>1.25</formula>
      <formula>1.75</formula>
    </cfRule>
  </conditionalFormatting>
  <conditionalFormatting sqref="I238">
    <cfRule type="cellIs" dxfId="3879" priority="3923" stopIfTrue="1" operator="greaterThan">
      <formula>1.75</formula>
    </cfRule>
    <cfRule type="cellIs" dxfId="3878" priority="3924" stopIfTrue="1" operator="between">
      <formula>1.25</formula>
      <formula>1.75</formula>
    </cfRule>
  </conditionalFormatting>
  <conditionalFormatting sqref="J238">
    <cfRule type="cellIs" dxfId="3877" priority="3913" stopIfTrue="1" operator="greaterThan">
      <formula>1.75</formula>
    </cfRule>
    <cfRule type="cellIs" dxfId="3876" priority="3914" stopIfTrue="1" operator="between">
      <formula>1.25</formula>
      <formula>1.75</formula>
    </cfRule>
  </conditionalFormatting>
  <conditionalFormatting sqref="J238">
    <cfRule type="cellIs" dxfId="3875" priority="3915" stopIfTrue="1" operator="greaterThan">
      <formula>1.75</formula>
    </cfRule>
    <cfRule type="cellIs" dxfId="3874" priority="3916" stopIfTrue="1" operator="between">
      <formula>1.25</formula>
      <formula>1.75</formula>
    </cfRule>
  </conditionalFormatting>
  <conditionalFormatting sqref="J238">
    <cfRule type="cellIs" dxfId="3873" priority="3917" stopIfTrue="1" operator="greaterThan">
      <formula>1.75</formula>
    </cfRule>
    <cfRule type="cellIs" dxfId="3872" priority="3918" stopIfTrue="1" operator="between">
      <formula>1.25</formula>
      <formula>1.75</formula>
    </cfRule>
  </conditionalFormatting>
  <conditionalFormatting sqref="K238">
    <cfRule type="cellIs" dxfId="3871" priority="3907" stopIfTrue="1" operator="greaterThan">
      <formula>1.75</formula>
    </cfRule>
    <cfRule type="cellIs" dxfId="3870" priority="3908" stopIfTrue="1" operator="between">
      <formula>1.25</formula>
      <formula>1.75</formula>
    </cfRule>
  </conditionalFormatting>
  <conditionalFormatting sqref="K238">
    <cfRule type="cellIs" dxfId="3869" priority="3909" stopIfTrue="1" operator="greaterThan">
      <formula>1.75</formula>
    </cfRule>
    <cfRule type="cellIs" dxfId="3868" priority="3910" stopIfTrue="1" operator="between">
      <formula>1.25</formula>
      <formula>1.75</formula>
    </cfRule>
  </conditionalFormatting>
  <conditionalFormatting sqref="K238">
    <cfRule type="cellIs" dxfId="3867" priority="3911" stopIfTrue="1" operator="greaterThan">
      <formula>1.75</formula>
    </cfRule>
    <cfRule type="cellIs" dxfId="3866" priority="3912" stopIfTrue="1" operator="between">
      <formula>1.25</formula>
      <formula>1.75</formula>
    </cfRule>
  </conditionalFormatting>
  <conditionalFormatting sqref="L238">
    <cfRule type="cellIs" dxfId="3865" priority="3901" stopIfTrue="1" operator="greaterThan">
      <formula>1.75</formula>
    </cfRule>
    <cfRule type="cellIs" dxfId="3864" priority="3902" stopIfTrue="1" operator="between">
      <formula>1.25</formula>
      <formula>1.75</formula>
    </cfRule>
  </conditionalFormatting>
  <conditionalFormatting sqref="L238">
    <cfRule type="cellIs" dxfId="3863" priority="3903" stopIfTrue="1" operator="greaterThan">
      <formula>1.75</formula>
    </cfRule>
    <cfRule type="cellIs" dxfId="3862" priority="3904" stopIfTrue="1" operator="between">
      <formula>1.25</formula>
      <formula>1.75</formula>
    </cfRule>
  </conditionalFormatting>
  <conditionalFormatting sqref="L238">
    <cfRule type="cellIs" dxfId="3861" priority="3905" stopIfTrue="1" operator="greaterThan">
      <formula>1.75</formula>
    </cfRule>
    <cfRule type="cellIs" dxfId="3860" priority="3906" stopIfTrue="1" operator="between">
      <formula>1.25</formula>
      <formula>1.75</formula>
    </cfRule>
  </conditionalFormatting>
  <conditionalFormatting sqref="F236">
    <cfRule type="cellIs" dxfId="3859" priority="3897" stopIfTrue="1" operator="greaterThan">
      <formula>1.75</formula>
    </cfRule>
    <cfRule type="cellIs" dxfId="3858" priority="3898" stopIfTrue="1" operator="between">
      <formula>1.25</formula>
      <formula>1.75</formula>
    </cfRule>
  </conditionalFormatting>
  <conditionalFormatting sqref="F236">
    <cfRule type="cellIs" dxfId="3857" priority="3895" stopIfTrue="1" operator="greaterThan">
      <formula>1.75</formula>
    </cfRule>
    <cfRule type="cellIs" dxfId="3856" priority="3896" stopIfTrue="1" operator="between">
      <formula>1.25</formula>
      <formula>1.75</formula>
    </cfRule>
  </conditionalFormatting>
  <conditionalFormatting sqref="F236">
    <cfRule type="cellIs" dxfId="3855" priority="3899" stopIfTrue="1" operator="greaterThan">
      <formula>1.75</formula>
    </cfRule>
    <cfRule type="cellIs" dxfId="3854" priority="3900" stopIfTrue="1" operator="between">
      <formula>1.25</formula>
      <formula>1.75</formula>
    </cfRule>
  </conditionalFormatting>
  <conditionalFormatting sqref="G236">
    <cfRule type="cellIs" dxfId="3853" priority="3891" stopIfTrue="1" operator="greaterThan">
      <formula>1.75</formula>
    </cfRule>
    <cfRule type="cellIs" dxfId="3852" priority="3892" stopIfTrue="1" operator="between">
      <formula>1.25</formula>
      <formula>1.75</formula>
    </cfRule>
  </conditionalFormatting>
  <conditionalFormatting sqref="G236">
    <cfRule type="cellIs" dxfId="3851" priority="3889" stopIfTrue="1" operator="greaterThan">
      <formula>1.75</formula>
    </cfRule>
    <cfRule type="cellIs" dxfId="3850" priority="3890" stopIfTrue="1" operator="between">
      <formula>1.25</formula>
      <formula>1.75</formula>
    </cfRule>
  </conditionalFormatting>
  <conditionalFormatting sqref="G236">
    <cfRule type="cellIs" dxfId="3849" priority="3893" stopIfTrue="1" operator="greaterThan">
      <formula>1.75</formula>
    </cfRule>
    <cfRule type="cellIs" dxfId="3848" priority="3894" stopIfTrue="1" operator="between">
      <formula>1.25</formula>
      <formula>1.75</formula>
    </cfRule>
  </conditionalFormatting>
  <conditionalFormatting sqref="H236">
    <cfRule type="cellIs" dxfId="3847" priority="3885" stopIfTrue="1" operator="greaterThan">
      <formula>1.75</formula>
    </cfRule>
    <cfRule type="cellIs" dxfId="3846" priority="3886" stopIfTrue="1" operator="between">
      <formula>1.25</formula>
      <formula>1.75</formula>
    </cfRule>
  </conditionalFormatting>
  <conditionalFormatting sqref="H236">
    <cfRule type="cellIs" dxfId="3845" priority="3883" stopIfTrue="1" operator="greaterThan">
      <formula>1.75</formula>
    </cfRule>
    <cfRule type="cellIs" dxfId="3844" priority="3884" stopIfTrue="1" operator="between">
      <formula>1.25</formula>
      <formula>1.75</formula>
    </cfRule>
  </conditionalFormatting>
  <conditionalFormatting sqref="H236">
    <cfRule type="cellIs" dxfId="3843" priority="3887" stopIfTrue="1" operator="greaterThan">
      <formula>1.75</formula>
    </cfRule>
    <cfRule type="cellIs" dxfId="3842" priority="3888" stopIfTrue="1" operator="between">
      <formula>1.25</formula>
      <formula>1.75</formula>
    </cfRule>
  </conditionalFormatting>
  <conditionalFormatting sqref="I236">
    <cfRule type="cellIs" dxfId="3841" priority="3879" stopIfTrue="1" operator="greaterThan">
      <formula>1.75</formula>
    </cfRule>
    <cfRule type="cellIs" dxfId="3840" priority="3880" stopIfTrue="1" operator="between">
      <formula>1.25</formula>
      <formula>1.75</formula>
    </cfRule>
  </conditionalFormatting>
  <conditionalFormatting sqref="I236">
    <cfRule type="cellIs" dxfId="3839" priority="3877" stopIfTrue="1" operator="greaterThan">
      <formula>1.75</formula>
    </cfRule>
    <cfRule type="cellIs" dxfId="3838" priority="3878" stopIfTrue="1" operator="between">
      <formula>1.25</formula>
      <formula>1.75</formula>
    </cfRule>
  </conditionalFormatting>
  <conditionalFormatting sqref="I236">
    <cfRule type="cellIs" dxfId="3837" priority="3881" stopIfTrue="1" operator="greaterThan">
      <formula>1.75</formula>
    </cfRule>
    <cfRule type="cellIs" dxfId="3836" priority="3882" stopIfTrue="1" operator="between">
      <formula>1.25</formula>
      <formula>1.75</formula>
    </cfRule>
  </conditionalFormatting>
  <conditionalFormatting sqref="J236">
    <cfRule type="cellIs" dxfId="3835" priority="3873" stopIfTrue="1" operator="greaterThan">
      <formula>1.75</formula>
    </cfRule>
    <cfRule type="cellIs" dxfId="3834" priority="3874" stopIfTrue="1" operator="between">
      <formula>1.25</formula>
      <formula>1.75</formula>
    </cfRule>
  </conditionalFormatting>
  <conditionalFormatting sqref="J236">
    <cfRule type="cellIs" dxfId="3833" priority="3871" stopIfTrue="1" operator="greaterThan">
      <formula>1.75</formula>
    </cfRule>
    <cfRule type="cellIs" dxfId="3832" priority="3872" stopIfTrue="1" operator="between">
      <formula>1.25</formula>
      <formula>1.75</formula>
    </cfRule>
  </conditionalFormatting>
  <conditionalFormatting sqref="J236">
    <cfRule type="cellIs" dxfId="3831" priority="3875" stopIfTrue="1" operator="greaterThan">
      <formula>1.75</formula>
    </cfRule>
    <cfRule type="cellIs" dxfId="3830" priority="3876" stopIfTrue="1" operator="between">
      <formula>1.25</formula>
      <formula>1.75</formula>
    </cfRule>
  </conditionalFormatting>
  <conditionalFormatting sqref="K236">
    <cfRule type="cellIs" dxfId="3829" priority="3867" stopIfTrue="1" operator="greaterThan">
      <formula>1.75</formula>
    </cfRule>
    <cfRule type="cellIs" dxfId="3828" priority="3868" stopIfTrue="1" operator="between">
      <formula>1.25</formula>
      <formula>1.75</formula>
    </cfRule>
  </conditionalFormatting>
  <conditionalFormatting sqref="K236">
    <cfRule type="cellIs" dxfId="3827" priority="3865" stopIfTrue="1" operator="greaterThan">
      <formula>1.75</formula>
    </cfRule>
    <cfRule type="cellIs" dxfId="3826" priority="3866" stopIfTrue="1" operator="between">
      <formula>1.25</formula>
      <formula>1.75</formula>
    </cfRule>
  </conditionalFormatting>
  <conditionalFormatting sqref="K236">
    <cfRule type="cellIs" dxfId="3825" priority="3869" stopIfTrue="1" operator="greaterThan">
      <formula>1.75</formula>
    </cfRule>
    <cfRule type="cellIs" dxfId="3824" priority="3870" stopIfTrue="1" operator="between">
      <formula>1.25</formula>
      <formula>1.75</formula>
    </cfRule>
  </conditionalFormatting>
  <conditionalFormatting sqref="L236">
    <cfRule type="cellIs" dxfId="3823" priority="3861" stopIfTrue="1" operator="greaterThan">
      <formula>1.75</formula>
    </cfRule>
    <cfRule type="cellIs" dxfId="3822" priority="3862" stopIfTrue="1" operator="between">
      <formula>1.25</formula>
      <formula>1.75</formula>
    </cfRule>
  </conditionalFormatting>
  <conditionalFormatting sqref="L236">
    <cfRule type="cellIs" dxfId="3821" priority="3859" stopIfTrue="1" operator="greaterThan">
      <formula>1.75</formula>
    </cfRule>
    <cfRule type="cellIs" dxfId="3820" priority="3860" stopIfTrue="1" operator="between">
      <formula>1.25</formula>
      <formula>1.75</formula>
    </cfRule>
  </conditionalFormatting>
  <conditionalFormatting sqref="L236">
    <cfRule type="cellIs" dxfId="3819" priority="3863" stopIfTrue="1" operator="greaterThan">
      <formula>1.75</formula>
    </cfRule>
    <cfRule type="cellIs" dxfId="3818" priority="3864" stopIfTrue="1" operator="between">
      <formula>1.25</formula>
      <formula>1.75</formula>
    </cfRule>
  </conditionalFormatting>
  <conditionalFormatting sqref="W236">
    <cfRule type="cellIs" dxfId="3817" priority="3857" stopIfTrue="1" operator="greaterThan">
      <formula>1.75</formula>
    </cfRule>
    <cfRule type="cellIs" dxfId="3816" priority="3858" stopIfTrue="1" operator="between">
      <formula>1.25</formula>
      <formula>1.75</formula>
    </cfRule>
  </conditionalFormatting>
  <conditionalFormatting sqref="W238">
    <cfRule type="cellIs" dxfId="3815" priority="3855" stopIfTrue="1" operator="greaterThan">
      <formula>1.75</formula>
    </cfRule>
    <cfRule type="cellIs" dxfId="3814" priority="3856" stopIfTrue="1" operator="between">
      <formula>1.25</formula>
      <formula>1.75</formula>
    </cfRule>
  </conditionalFormatting>
  <conditionalFormatting sqref="W238">
    <cfRule type="cellIs" dxfId="3813" priority="3853" stopIfTrue="1" operator="greaterThan">
      <formula>1.75</formula>
    </cfRule>
    <cfRule type="cellIs" dxfId="3812" priority="3854" stopIfTrue="1" operator="between">
      <formula>1.25</formula>
      <formula>1.75</formula>
    </cfRule>
  </conditionalFormatting>
  <conditionalFormatting sqref="W238">
    <cfRule type="cellIs" dxfId="3811" priority="3851" stopIfTrue="1" operator="greaterThan">
      <formula>1.75</formula>
    </cfRule>
    <cfRule type="cellIs" dxfId="3810" priority="3852" stopIfTrue="1" operator="between">
      <formula>1.25</formula>
      <formula>1.75</formula>
    </cfRule>
  </conditionalFormatting>
  <conditionalFormatting sqref="D222">
    <cfRule type="cellIs" dxfId="3809" priority="3793" stopIfTrue="1" operator="greaterThan">
      <formula>1.75</formula>
    </cfRule>
    <cfRule type="cellIs" dxfId="3808" priority="3794" stopIfTrue="1" operator="between">
      <formula>1.25</formula>
      <formula>1.75</formula>
    </cfRule>
  </conditionalFormatting>
  <conditionalFormatting sqref="Q222">
    <cfRule type="cellIs" dxfId="3807" priority="3831" stopIfTrue="1" operator="greaterThan">
      <formula>1.75</formula>
    </cfRule>
    <cfRule type="cellIs" dxfId="3806" priority="3832" stopIfTrue="1" operator="between">
      <formula>1.25</formula>
      <formula>1.75</formula>
    </cfRule>
  </conditionalFormatting>
  <conditionalFormatting sqref="X221">
    <cfRule type="cellIs" dxfId="3805" priority="3849" operator="lessThan">
      <formula>1000</formula>
    </cfRule>
    <cfRule type="cellIs" dxfId="3804" priority="3850" operator="lessThan">
      <formula>2000</formula>
    </cfRule>
  </conditionalFormatting>
  <conditionalFormatting sqref="M222:O222">
    <cfRule type="cellIs" dxfId="3803" priority="3845" stopIfTrue="1" operator="greaterThan">
      <formula>1.75</formula>
    </cfRule>
    <cfRule type="cellIs" dxfId="3802" priority="3846" stopIfTrue="1" operator="between">
      <formula>1.25</formula>
      <formula>1.75</formula>
    </cfRule>
  </conditionalFormatting>
  <conditionalFormatting sqref="M222:O222">
    <cfRule type="cellIs" dxfId="3801" priority="3843" stopIfTrue="1" operator="greaterThan">
      <formula>1.75</formula>
    </cfRule>
    <cfRule type="cellIs" dxfId="3800" priority="3844" stopIfTrue="1" operator="between">
      <formula>1.25</formula>
      <formula>1.75</formula>
    </cfRule>
  </conditionalFormatting>
  <conditionalFormatting sqref="P222">
    <cfRule type="cellIs" dxfId="3799" priority="3841" stopIfTrue="1" operator="greaterThan">
      <formula>1.75</formula>
    </cfRule>
    <cfRule type="cellIs" dxfId="3798" priority="3842" stopIfTrue="1" operator="between">
      <formula>1.25</formula>
      <formula>1.75</formula>
    </cfRule>
  </conditionalFormatting>
  <conditionalFormatting sqref="P222">
    <cfRule type="cellIs" dxfId="3797" priority="3839" stopIfTrue="1" operator="greaterThan">
      <formula>1.75</formula>
    </cfRule>
    <cfRule type="cellIs" dxfId="3796" priority="3840" stopIfTrue="1" operator="between">
      <formula>1.25</formula>
      <formula>1.75</formula>
    </cfRule>
  </conditionalFormatting>
  <conditionalFormatting sqref="P222">
    <cfRule type="cellIs" dxfId="3795" priority="3837" stopIfTrue="1" operator="greaterThan">
      <formula>1.75</formula>
    </cfRule>
    <cfRule type="cellIs" dxfId="3794" priority="3838" stopIfTrue="1" operator="between">
      <formula>1.25</formula>
      <formula>1.75</formula>
    </cfRule>
  </conditionalFormatting>
  <conditionalFormatting sqref="U222">
    <cfRule type="cellIs" dxfId="3793" priority="3835" stopIfTrue="1" operator="greaterThan">
      <formula>1.75</formula>
    </cfRule>
    <cfRule type="cellIs" dxfId="3792" priority="3836" stopIfTrue="1" operator="between">
      <formula>1.25</formula>
      <formula>1.75</formula>
    </cfRule>
  </conditionalFormatting>
  <conditionalFormatting sqref="T222">
    <cfRule type="cellIs" dxfId="3791" priority="3833" stopIfTrue="1" operator="greaterThan">
      <formula>1.75</formula>
    </cfRule>
    <cfRule type="cellIs" dxfId="3790" priority="3834" stopIfTrue="1" operator="between">
      <formula>1.25</formula>
      <formula>1.75</formula>
    </cfRule>
  </conditionalFormatting>
  <conditionalFormatting sqref="Q222">
    <cfRule type="cellIs" dxfId="3789" priority="3829" stopIfTrue="1" operator="greaterThan">
      <formula>1.75</formula>
    </cfRule>
    <cfRule type="cellIs" dxfId="3788" priority="3830" stopIfTrue="1" operator="between">
      <formula>1.25</formula>
      <formula>1.75</formula>
    </cfRule>
  </conditionalFormatting>
  <conditionalFormatting sqref="Q222">
    <cfRule type="cellIs" dxfId="3787" priority="3827" stopIfTrue="1" operator="greaterThan">
      <formula>1.75</formula>
    </cfRule>
    <cfRule type="cellIs" dxfId="3786" priority="3828" stopIfTrue="1" operator="between">
      <formula>1.25</formula>
      <formula>1.75</formula>
    </cfRule>
  </conditionalFormatting>
  <conditionalFormatting sqref="R222">
    <cfRule type="cellIs" dxfId="3785" priority="3825" stopIfTrue="1" operator="greaterThan">
      <formula>1.75</formula>
    </cfRule>
    <cfRule type="cellIs" dxfId="3784" priority="3826" stopIfTrue="1" operator="between">
      <formula>1.25</formula>
      <formula>1.75</formula>
    </cfRule>
  </conditionalFormatting>
  <conditionalFormatting sqref="R222">
    <cfRule type="cellIs" dxfId="3783" priority="3823" stopIfTrue="1" operator="greaterThan">
      <formula>1.75</formula>
    </cfRule>
    <cfRule type="cellIs" dxfId="3782" priority="3824" stopIfTrue="1" operator="between">
      <formula>1.25</formula>
      <formula>1.75</formula>
    </cfRule>
  </conditionalFormatting>
  <conditionalFormatting sqref="R222">
    <cfRule type="cellIs" dxfId="3781" priority="3821" stopIfTrue="1" operator="greaterThan">
      <formula>1.75</formula>
    </cfRule>
    <cfRule type="cellIs" dxfId="3780" priority="3822" stopIfTrue="1" operator="between">
      <formula>1.25</formula>
      <formula>1.75</formula>
    </cfRule>
  </conditionalFormatting>
  <conditionalFormatting sqref="S222">
    <cfRule type="cellIs" dxfId="3779" priority="3817" stopIfTrue="1" operator="greaterThan">
      <formula>1.75</formula>
    </cfRule>
    <cfRule type="cellIs" dxfId="3778" priority="3818" stopIfTrue="1" operator="between">
      <formula>1.25</formula>
      <formula>1.75</formula>
    </cfRule>
  </conditionalFormatting>
  <conditionalFormatting sqref="S222">
    <cfRule type="cellIs" dxfId="3777" priority="3815" stopIfTrue="1" operator="greaterThan">
      <formula>1.75</formula>
    </cfRule>
    <cfRule type="cellIs" dxfId="3776" priority="3816" stopIfTrue="1" operator="between">
      <formula>1.25</formula>
      <formula>1.75</formula>
    </cfRule>
  </conditionalFormatting>
  <conditionalFormatting sqref="S222">
    <cfRule type="cellIs" dxfId="3775" priority="3819" stopIfTrue="1" operator="greaterThan">
      <formula>1.75</formula>
    </cfRule>
    <cfRule type="cellIs" dxfId="3774" priority="3820" stopIfTrue="1" operator="between">
      <formula>1.25</formula>
      <formula>1.75</formula>
    </cfRule>
  </conditionalFormatting>
  <conditionalFormatting sqref="M222:O222">
    <cfRule type="cellIs" dxfId="3773" priority="3847" stopIfTrue="1" operator="greaterThan">
      <formula>1.75</formula>
    </cfRule>
    <cfRule type="cellIs" dxfId="3772" priority="3848" stopIfTrue="1" operator="between">
      <formula>1.25</formula>
      <formula>1.75</formula>
    </cfRule>
  </conditionalFormatting>
  <conditionalFormatting sqref="H224">
    <cfRule type="cellIs" dxfId="3771" priority="3749" stopIfTrue="1" operator="greaterThan">
      <formula>1.75</formula>
    </cfRule>
    <cfRule type="cellIs" dxfId="3770" priority="3750" stopIfTrue="1" operator="between">
      <formula>1.25</formula>
      <formula>1.75</formula>
    </cfRule>
  </conditionalFormatting>
  <conditionalFormatting sqref="H224">
    <cfRule type="cellIs" dxfId="3769" priority="3751" stopIfTrue="1" operator="greaterThan">
      <formula>1.75</formula>
    </cfRule>
    <cfRule type="cellIs" dxfId="3768" priority="3752" stopIfTrue="1" operator="between">
      <formula>1.25</formula>
      <formula>1.75</formula>
    </cfRule>
  </conditionalFormatting>
  <conditionalFormatting sqref="M224:U224">
    <cfRule type="cellIs" dxfId="3767" priority="3813" stopIfTrue="1" operator="greaterThan">
      <formula>1.75</formula>
    </cfRule>
    <cfRule type="cellIs" dxfId="3766" priority="3814" stopIfTrue="1" operator="between">
      <formula>1.25</formula>
      <formula>1.75</formula>
    </cfRule>
  </conditionalFormatting>
  <conditionalFormatting sqref="M224:U224">
    <cfRule type="cellIs" dxfId="3765" priority="3811" stopIfTrue="1" operator="greaterThan">
      <formula>1.75</formula>
    </cfRule>
    <cfRule type="cellIs" dxfId="3764" priority="3812" stopIfTrue="1" operator="between">
      <formula>1.25</formula>
      <formula>1.75</formula>
    </cfRule>
  </conditionalFormatting>
  <conditionalFormatting sqref="M224:U224">
    <cfRule type="cellIs" dxfId="3763" priority="3809" stopIfTrue="1" operator="greaterThan">
      <formula>1.75</formula>
    </cfRule>
    <cfRule type="cellIs" dxfId="3762" priority="3810" stopIfTrue="1" operator="between">
      <formula>1.25</formula>
      <formula>1.75</formula>
    </cfRule>
  </conditionalFormatting>
  <conditionalFormatting sqref="G224">
    <cfRule type="cellIs" dxfId="3761" priority="3753" stopIfTrue="1" operator="greaterThan">
      <formula>1.75</formula>
    </cfRule>
    <cfRule type="cellIs" dxfId="3760" priority="3754" stopIfTrue="1" operator="between">
      <formula>1.25</formula>
      <formula>1.75</formula>
    </cfRule>
  </conditionalFormatting>
  <conditionalFormatting sqref="V222">
    <cfRule type="cellIs" dxfId="3759" priority="3807" stopIfTrue="1" operator="greaterThan">
      <formula>1.75</formula>
    </cfRule>
    <cfRule type="cellIs" dxfId="3758" priority="3808" stopIfTrue="1" operator="between">
      <formula>1.25</formula>
      <formula>1.75</formula>
    </cfRule>
  </conditionalFormatting>
  <conditionalFormatting sqref="V224">
    <cfRule type="cellIs" dxfId="3757" priority="3805" stopIfTrue="1" operator="greaterThan">
      <formula>1.75</formula>
    </cfRule>
    <cfRule type="cellIs" dxfId="3756" priority="3806" stopIfTrue="1" operator="between">
      <formula>1.25</formula>
      <formula>1.75</formula>
    </cfRule>
  </conditionalFormatting>
  <conditionalFormatting sqref="V224">
    <cfRule type="cellIs" dxfId="3755" priority="3803" stopIfTrue="1" operator="greaterThan">
      <formula>1.75</formula>
    </cfRule>
    <cfRule type="cellIs" dxfId="3754" priority="3804" stopIfTrue="1" operator="between">
      <formula>1.25</formula>
      <formula>1.75</formula>
    </cfRule>
  </conditionalFormatting>
  <conditionalFormatting sqref="V224">
    <cfRule type="cellIs" dxfId="3753" priority="3801" stopIfTrue="1" operator="greaterThan">
      <formula>1.75</formula>
    </cfRule>
    <cfRule type="cellIs" dxfId="3752" priority="3802" stopIfTrue="1" operator="between">
      <formula>1.25</formula>
      <formula>1.75</formula>
    </cfRule>
  </conditionalFormatting>
  <conditionalFormatting sqref="C222">
    <cfRule type="cellIs" dxfId="3751" priority="3797" stopIfTrue="1" operator="greaterThan">
      <formula>1.75</formula>
    </cfRule>
    <cfRule type="cellIs" dxfId="3750" priority="3798" stopIfTrue="1" operator="between">
      <formula>1.25</formula>
      <formula>1.75</formula>
    </cfRule>
  </conditionalFormatting>
  <conditionalFormatting sqref="C222">
    <cfRule type="cellIs" dxfId="3749" priority="3795" stopIfTrue="1" operator="greaterThan">
      <formula>1.75</formula>
    </cfRule>
    <cfRule type="cellIs" dxfId="3748" priority="3796" stopIfTrue="1" operator="between">
      <formula>1.25</formula>
      <formula>1.75</formula>
    </cfRule>
  </conditionalFormatting>
  <conditionalFormatting sqref="C222">
    <cfRule type="cellIs" dxfId="3747" priority="3799" stopIfTrue="1" operator="greaterThan">
      <formula>1.75</formula>
    </cfRule>
    <cfRule type="cellIs" dxfId="3746" priority="3800" stopIfTrue="1" operator="between">
      <formula>1.25</formula>
      <formula>1.75</formula>
    </cfRule>
  </conditionalFormatting>
  <conditionalFormatting sqref="D222">
    <cfRule type="cellIs" dxfId="3745" priority="3791" stopIfTrue="1" operator="greaterThan">
      <formula>1.75</formula>
    </cfRule>
    <cfRule type="cellIs" dxfId="3744" priority="3792" stopIfTrue="1" operator="between">
      <formula>1.25</formula>
      <formula>1.75</formula>
    </cfRule>
  </conditionalFormatting>
  <conditionalFormatting sqref="D222">
    <cfRule type="cellIs" dxfId="3743" priority="3789" stopIfTrue="1" operator="greaterThan">
      <formula>1.75</formula>
    </cfRule>
    <cfRule type="cellIs" dxfId="3742" priority="3790" stopIfTrue="1" operator="between">
      <formula>1.25</formula>
      <formula>1.75</formula>
    </cfRule>
  </conditionalFormatting>
  <conditionalFormatting sqref="C224">
    <cfRule type="cellIs" dxfId="3741" priority="3783" stopIfTrue="1" operator="greaterThan">
      <formula>1.75</formula>
    </cfRule>
    <cfRule type="cellIs" dxfId="3740" priority="3784" stopIfTrue="1" operator="between">
      <formula>1.25</formula>
      <formula>1.75</formula>
    </cfRule>
  </conditionalFormatting>
  <conditionalFormatting sqref="C224">
    <cfRule type="cellIs" dxfId="3739" priority="3785" stopIfTrue="1" operator="greaterThan">
      <formula>1.75</formula>
    </cfRule>
    <cfRule type="cellIs" dxfId="3738" priority="3786" stopIfTrue="1" operator="between">
      <formula>1.25</formula>
      <formula>1.75</formula>
    </cfRule>
  </conditionalFormatting>
  <conditionalFormatting sqref="C224">
    <cfRule type="cellIs" dxfId="3737" priority="3787" stopIfTrue="1" operator="greaterThan">
      <formula>1.75</formula>
    </cfRule>
    <cfRule type="cellIs" dxfId="3736" priority="3788" stopIfTrue="1" operator="between">
      <formula>1.25</formula>
      <formula>1.75</formula>
    </cfRule>
  </conditionalFormatting>
  <conditionalFormatting sqref="D224">
    <cfRule type="cellIs" dxfId="3735" priority="3777" stopIfTrue="1" operator="greaterThan">
      <formula>1.75</formula>
    </cfRule>
    <cfRule type="cellIs" dxfId="3734" priority="3778" stopIfTrue="1" operator="between">
      <formula>1.25</formula>
      <formula>1.75</formula>
    </cfRule>
  </conditionalFormatting>
  <conditionalFormatting sqref="D224">
    <cfRule type="cellIs" dxfId="3733" priority="3779" stopIfTrue="1" operator="greaterThan">
      <formula>1.75</formula>
    </cfRule>
    <cfRule type="cellIs" dxfId="3732" priority="3780" stopIfTrue="1" operator="between">
      <formula>1.25</formula>
      <formula>1.75</formula>
    </cfRule>
  </conditionalFormatting>
  <conditionalFormatting sqref="D224">
    <cfRule type="cellIs" dxfId="3731" priority="3781" stopIfTrue="1" operator="greaterThan">
      <formula>1.75</formula>
    </cfRule>
    <cfRule type="cellIs" dxfId="3730" priority="3782" stopIfTrue="1" operator="between">
      <formula>1.25</formula>
      <formula>1.75</formula>
    </cfRule>
  </conditionalFormatting>
  <conditionalFormatting sqref="E224">
    <cfRule type="cellIs" dxfId="3729" priority="3771" stopIfTrue="1" operator="greaterThan">
      <formula>1.75</formula>
    </cfRule>
    <cfRule type="cellIs" dxfId="3728" priority="3772" stopIfTrue="1" operator="between">
      <formula>1.25</formula>
      <formula>1.75</formula>
    </cfRule>
  </conditionalFormatting>
  <conditionalFormatting sqref="E224">
    <cfRule type="cellIs" dxfId="3727" priority="3773" stopIfTrue="1" operator="greaterThan">
      <formula>1.75</formula>
    </cfRule>
    <cfRule type="cellIs" dxfId="3726" priority="3774" stopIfTrue="1" operator="between">
      <formula>1.25</formula>
      <formula>1.75</formula>
    </cfRule>
  </conditionalFormatting>
  <conditionalFormatting sqref="E224">
    <cfRule type="cellIs" dxfId="3725" priority="3775" stopIfTrue="1" operator="greaterThan">
      <formula>1.75</formula>
    </cfRule>
    <cfRule type="cellIs" dxfId="3724" priority="3776" stopIfTrue="1" operator="between">
      <formula>1.25</formula>
      <formula>1.75</formula>
    </cfRule>
  </conditionalFormatting>
  <conditionalFormatting sqref="E222">
    <cfRule type="cellIs" dxfId="3723" priority="3767" stopIfTrue="1" operator="greaterThan">
      <formula>1.75</formula>
    </cfRule>
    <cfRule type="cellIs" dxfId="3722" priority="3768" stopIfTrue="1" operator="between">
      <formula>1.25</formula>
      <formula>1.75</formula>
    </cfRule>
  </conditionalFormatting>
  <conditionalFormatting sqref="E222">
    <cfRule type="cellIs" dxfId="3721" priority="3765" stopIfTrue="1" operator="greaterThan">
      <formula>1.75</formula>
    </cfRule>
    <cfRule type="cellIs" dxfId="3720" priority="3766" stopIfTrue="1" operator="between">
      <formula>1.25</formula>
      <formula>1.75</formula>
    </cfRule>
  </conditionalFormatting>
  <conditionalFormatting sqref="E222">
    <cfRule type="cellIs" dxfId="3719" priority="3769" stopIfTrue="1" operator="greaterThan">
      <formula>1.75</formula>
    </cfRule>
    <cfRule type="cellIs" dxfId="3718" priority="3770" stopIfTrue="1" operator="between">
      <formula>1.25</formula>
      <formula>1.75</formula>
    </cfRule>
  </conditionalFormatting>
  <conditionalFormatting sqref="F224">
    <cfRule type="cellIs" dxfId="3717" priority="3759" stopIfTrue="1" operator="greaterThan">
      <formula>1.75</formula>
    </cfRule>
    <cfRule type="cellIs" dxfId="3716" priority="3760" stopIfTrue="1" operator="between">
      <formula>1.25</formula>
      <formula>1.75</formula>
    </cfRule>
  </conditionalFormatting>
  <conditionalFormatting sqref="F224">
    <cfRule type="cellIs" dxfId="3715" priority="3761" stopIfTrue="1" operator="greaterThan">
      <formula>1.75</formula>
    </cfRule>
    <cfRule type="cellIs" dxfId="3714" priority="3762" stopIfTrue="1" operator="between">
      <formula>1.25</formula>
      <formula>1.75</formula>
    </cfRule>
  </conditionalFormatting>
  <conditionalFormatting sqref="F224">
    <cfRule type="cellIs" dxfId="3713" priority="3763" stopIfTrue="1" operator="greaterThan">
      <formula>1.75</formula>
    </cfRule>
    <cfRule type="cellIs" dxfId="3712" priority="3764" stopIfTrue="1" operator="between">
      <formula>1.25</formula>
      <formula>1.75</formula>
    </cfRule>
  </conditionalFormatting>
  <conditionalFormatting sqref="G224">
    <cfRule type="cellIs" dxfId="3711" priority="3755" stopIfTrue="1" operator="greaterThan">
      <formula>1.75</formula>
    </cfRule>
    <cfRule type="cellIs" dxfId="3710" priority="3756" stopIfTrue="1" operator="between">
      <formula>1.25</formula>
      <formula>1.75</formula>
    </cfRule>
  </conditionalFormatting>
  <conditionalFormatting sqref="G224">
    <cfRule type="cellIs" dxfId="3709" priority="3757" stopIfTrue="1" operator="greaterThan">
      <formula>1.75</formula>
    </cfRule>
    <cfRule type="cellIs" dxfId="3708" priority="3758" stopIfTrue="1" operator="between">
      <formula>1.25</formula>
      <formula>1.75</formula>
    </cfRule>
  </conditionalFormatting>
  <conditionalFormatting sqref="H224">
    <cfRule type="cellIs" dxfId="3707" priority="3747" stopIfTrue="1" operator="greaterThan">
      <formula>1.75</formula>
    </cfRule>
    <cfRule type="cellIs" dxfId="3706" priority="3748" stopIfTrue="1" operator="between">
      <formula>1.25</formula>
      <formula>1.75</formula>
    </cfRule>
  </conditionalFormatting>
  <conditionalFormatting sqref="I224">
    <cfRule type="cellIs" dxfId="3705" priority="3741" stopIfTrue="1" operator="greaterThan">
      <formula>1.75</formula>
    </cfRule>
    <cfRule type="cellIs" dxfId="3704" priority="3742" stopIfTrue="1" operator="between">
      <formula>1.25</formula>
      <formula>1.75</formula>
    </cfRule>
  </conditionalFormatting>
  <conditionalFormatting sqref="I224">
    <cfRule type="cellIs" dxfId="3703" priority="3743" stopIfTrue="1" operator="greaterThan">
      <formula>1.75</formula>
    </cfRule>
    <cfRule type="cellIs" dxfId="3702" priority="3744" stopIfTrue="1" operator="between">
      <formula>1.25</formula>
      <formula>1.75</formula>
    </cfRule>
  </conditionalFormatting>
  <conditionalFormatting sqref="I224">
    <cfRule type="cellIs" dxfId="3701" priority="3745" stopIfTrue="1" operator="greaterThan">
      <formula>1.75</formula>
    </cfRule>
    <cfRule type="cellIs" dxfId="3700" priority="3746" stopIfTrue="1" operator="between">
      <formula>1.25</formula>
      <formula>1.75</formula>
    </cfRule>
  </conditionalFormatting>
  <conditionalFormatting sqref="J224">
    <cfRule type="cellIs" dxfId="3699" priority="3735" stopIfTrue="1" operator="greaterThan">
      <formula>1.75</formula>
    </cfRule>
    <cfRule type="cellIs" dxfId="3698" priority="3736" stopIfTrue="1" operator="between">
      <formula>1.25</formula>
      <formula>1.75</formula>
    </cfRule>
  </conditionalFormatting>
  <conditionalFormatting sqref="J224">
    <cfRule type="cellIs" dxfId="3697" priority="3737" stopIfTrue="1" operator="greaterThan">
      <formula>1.75</formula>
    </cfRule>
    <cfRule type="cellIs" dxfId="3696" priority="3738" stopIfTrue="1" operator="between">
      <formula>1.25</formula>
      <formula>1.75</formula>
    </cfRule>
  </conditionalFormatting>
  <conditionalFormatting sqref="J224">
    <cfRule type="cellIs" dxfId="3695" priority="3739" stopIfTrue="1" operator="greaterThan">
      <formula>1.75</formula>
    </cfRule>
    <cfRule type="cellIs" dxfId="3694" priority="3740" stopIfTrue="1" operator="between">
      <formula>1.25</formula>
      <formula>1.75</formula>
    </cfRule>
  </conditionalFormatting>
  <conditionalFormatting sqref="K224">
    <cfRule type="cellIs" dxfId="3693" priority="3729" stopIfTrue="1" operator="greaterThan">
      <formula>1.75</formula>
    </cfRule>
    <cfRule type="cellIs" dxfId="3692" priority="3730" stopIfTrue="1" operator="between">
      <formula>1.25</formula>
      <formula>1.75</formula>
    </cfRule>
  </conditionalFormatting>
  <conditionalFormatting sqref="K224">
    <cfRule type="cellIs" dxfId="3691" priority="3731" stopIfTrue="1" operator="greaterThan">
      <formula>1.75</formula>
    </cfRule>
    <cfRule type="cellIs" dxfId="3690" priority="3732" stopIfTrue="1" operator="between">
      <formula>1.25</formula>
      <formula>1.75</formula>
    </cfRule>
  </conditionalFormatting>
  <conditionalFormatting sqref="K224">
    <cfRule type="cellIs" dxfId="3689" priority="3733" stopIfTrue="1" operator="greaterThan">
      <formula>1.75</formula>
    </cfRule>
    <cfRule type="cellIs" dxfId="3688" priority="3734" stopIfTrue="1" operator="between">
      <formula>1.25</formula>
      <formula>1.75</formula>
    </cfRule>
  </conditionalFormatting>
  <conditionalFormatting sqref="L224">
    <cfRule type="cellIs" dxfId="3687" priority="3723" stopIfTrue="1" operator="greaterThan">
      <formula>1.75</formula>
    </cfRule>
    <cfRule type="cellIs" dxfId="3686" priority="3724" stopIfTrue="1" operator="between">
      <formula>1.25</formula>
      <formula>1.75</formula>
    </cfRule>
  </conditionalFormatting>
  <conditionalFormatting sqref="L224">
    <cfRule type="cellIs" dxfId="3685" priority="3725" stopIfTrue="1" operator="greaterThan">
      <formula>1.75</formula>
    </cfRule>
    <cfRule type="cellIs" dxfId="3684" priority="3726" stopIfTrue="1" operator="between">
      <formula>1.25</formula>
      <formula>1.75</formula>
    </cfRule>
  </conditionalFormatting>
  <conditionalFormatting sqref="L224">
    <cfRule type="cellIs" dxfId="3683" priority="3727" stopIfTrue="1" operator="greaterThan">
      <formula>1.75</formula>
    </cfRule>
    <cfRule type="cellIs" dxfId="3682" priority="3728" stopIfTrue="1" operator="between">
      <formula>1.25</formula>
      <formula>1.75</formula>
    </cfRule>
  </conditionalFormatting>
  <conditionalFormatting sqref="F222">
    <cfRule type="cellIs" dxfId="3681" priority="3719" stopIfTrue="1" operator="greaterThan">
      <formula>1.75</formula>
    </cfRule>
    <cfRule type="cellIs" dxfId="3680" priority="3720" stopIfTrue="1" operator="between">
      <formula>1.25</formula>
      <formula>1.75</formula>
    </cfRule>
  </conditionalFormatting>
  <conditionalFormatting sqref="F222">
    <cfRule type="cellIs" dxfId="3679" priority="3717" stopIfTrue="1" operator="greaterThan">
      <formula>1.75</formula>
    </cfRule>
    <cfRule type="cellIs" dxfId="3678" priority="3718" stopIfTrue="1" operator="between">
      <formula>1.25</formula>
      <formula>1.75</formula>
    </cfRule>
  </conditionalFormatting>
  <conditionalFormatting sqref="F222">
    <cfRule type="cellIs" dxfId="3677" priority="3721" stopIfTrue="1" operator="greaterThan">
      <formula>1.75</formula>
    </cfRule>
    <cfRule type="cellIs" dxfId="3676" priority="3722" stopIfTrue="1" operator="between">
      <formula>1.25</formula>
      <formula>1.75</formula>
    </cfRule>
  </conditionalFormatting>
  <conditionalFormatting sqref="G222">
    <cfRule type="cellIs" dxfId="3675" priority="3713" stopIfTrue="1" operator="greaterThan">
      <formula>1.75</formula>
    </cfRule>
    <cfRule type="cellIs" dxfId="3674" priority="3714" stopIfTrue="1" operator="between">
      <formula>1.25</formula>
      <formula>1.75</formula>
    </cfRule>
  </conditionalFormatting>
  <conditionalFormatting sqref="G222">
    <cfRule type="cellIs" dxfId="3673" priority="3711" stopIfTrue="1" operator="greaterThan">
      <formula>1.75</formula>
    </cfRule>
    <cfRule type="cellIs" dxfId="3672" priority="3712" stopIfTrue="1" operator="between">
      <formula>1.25</formula>
      <formula>1.75</formula>
    </cfRule>
  </conditionalFormatting>
  <conditionalFormatting sqref="G222">
    <cfRule type="cellIs" dxfId="3671" priority="3715" stopIfTrue="1" operator="greaterThan">
      <formula>1.75</formula>
    </cfRule>
    <cfRule type="cellIs" dxfId="3670" priority="3716" stopIfTrue="1" operator="between">
      <formula>1.25</formula>
      <formula>1.75</formula>
    </cfRule>
  </conditionalFormatting>
  <conditionalFormatting sqref="H222">
    <cfRule type="cellIs" dxfId="3669" priority="3707" stopIfTrue="1" operator="greaterThan">
      <formula>1.75</formula>
    </cfRule>
    <cfRule type="cellIs" dxfId="3668" priority="3708" stopIfTrue="1" operator="between">
      <formula>1.25</formula>
      <formula>1.75</formula>
    </cfRule>
  </conditionalFormatting>
  <conditionalFormatting sqref="H222">
    <cfRule type="cellIs" dxfId="3667" priority="3705" stopIfTrue="1" operator="greaterThan">
      <formula>1.75</formula>
    </cfRule>
    <cfRule type="cellIs" dxfId="3666" priority="3706" stopIfTrue="1" operator="between">
      <formula>1.25</formula>
      <formula>1.75</formula>
    </cfRule>
  </conditionalFormatting>
  <conditionalFormatting sqref="H222">
    <cfRule type="cellIs" dxfId="3665" priority="3709" stopIfTrue="1" operator="greaterThan">
      <formula>1.75</formula>
    </cfRule>
    <cfRule type="cellIs" dxfId="3664" priority="3710" stopIfTrue="1" operator="between">
      <formula>1.25</formula>
      <formula>1.75</formula>
    </cfRule>
  </conditionalFormatting>
  <conditionalFormatting sqref="I222">
    <cfRule type="cellIs" dxfId="3663" priority="3701" stopIfTrue="1" operator="greaterThan">
      <formula>1.75</formula>
    </cfRule>
    <cfRule type="cellIs" dxfId="3662" priority="3702" stopIfTrue="1" operator="between">
      <formula>1.25</formula>
      <formula>1.75</formula>
    </cfRule>
  </conditionalFormatting>
  <conditionalFormatting sqref="I222">
    <cfRule type="cellIs" dxfId="3661" priority="3699" stopIfTrue="1" operator="greaterThan">
      <formula>1.75</formula>
    </cfRule>
    <cfRule type="cellIs" dxfId="3660" priority="3700" stopIfTrue="1" operator="between">
      <formula>1.25</formula>
      <formula>1.75</formula>
    </cfRule>
  </conditionalFormatting>
  <conditionalFormatting sqref="I222">
    <cfRule type="cellIs" dxfId="3659" priority="3703" stopIfTrue="1" operator="greaterThan">
      <formula>1.75</formula>
    </cfRule>
    <cfRule type="cellIs" dxfId="3658" priority="3704" stopIfTrue="1" operator="between">
      <formula>1.25</formula>
      <formula>1.75</formula>
    </cfRule>
  </conditionalFormatting>
  <conditionalFormatting sqref="J222">
    <cfRule type="cellIs" dxfId="3657" priority="3695" stopIfTrue="1" operator="greaterThan">
      <formula>1.75</formula>
    </cfRule>
    <cfRule type="cellIs" dxfId="3656" priority="3696" stopIfTrue="1" operator="between">
      <formula>1.25</formula>
      <formula>1.75</formula>
    </cfRule>
  </conditionalFormatting>
  <conditionalFormatting sqref="J222">
    <cfRule type="cellIs" dxfId="3655" priority="3693" stopIfTrue="1" operator="greaterThan">
      <formula>1.75</formula>
    </cfRule>
    <cfRule type="cellIs" dxfId="3654" priority="3694" stopIfTrue="1" operator="between">
      <formula>1.25</formula>
      <formula>1.75</formula>
    </cfRule>
  </conditionalFormatting>
  <conditionalFormatting sqref="J222">
    <cfRule type="cellIs" dxfId="3653" priority="3697" stopIfTrue="1" operator="greaterThan">
      <formula>1.75</formula>
    </cfRule>
    <cfRule type="cellIs" dxfId="3652" priority="3698" stopIfTrue="1" operator="between">
      <formula>1.25</formula>
      <formula>1.75</formula>
    </cfRule>
  </conditionalFormatting>
  <conditionalFormatting sqref="K222">
    <cfRule type="cellIs" dxfId="3651" priority="3689" stopIfTrue="1" operator="greaterThan">
      <formula>1.75</formula>
    </cfRule>
    <cfRule type="cellIs" dxfId="3650" priority="3690" stopIfTrue="1" operator="between">
      <formula>1.25</formula>
      <formula>1.75</formula>
    </cfRule>
  </conditionalFormatting>
  <conditionalFormatting sqref="K222">
    <cfRule type="cellIs" dxfId="3649" priority="3687" stopIfTrue="1" operator="greaterThan">
      <formula>1.75</formula>
    </cfRule>
    <cfRule type="cellIs" dxfId="3648" priority="3688" stopIfTrue="1" operator="between">
      <formula>1.25</formula>
      <formula>1.75</formula>
    </cfRule>
  </conditionalFormatting>
  <conditionalFormatting sqref="K222">
    <cfRule type="cellIs" dxfId="3647" priority="3691" stopIfTrue="1" operator="greaterThan">
      <formula>1.75</formula>
    </cfRule>
    <cfRule type="cellIs" dxfId="3646" priority="3692" stopIfTrue="1" operator="between">
      <formula>1.25</formula>
      <formula>1.75</formula>
    </cfRule>
  </conditionalFormatting>
  <conditionalFormatting sqref="L222">
    <cfRule type="cellIs" dxfId="3645" priority="3683" stopIfTrue="1" operator="greaterThan">
      <formula>1.75</formula>
    </cfRule>
    <cfRule type="cellIs" dxfId="3644" priority="3684" stopIfTrue="1" operator="between">
      <formula>1.25</formula>
      <formula>1.75</formula>
    </cfRule>
  </conditionalFormatting>
  <conditionalFormatting sqref="L222">
    <cfRule type="cellIs" dxfId="3643" priority="3681" stopIfTrue="1" operator="greaterThan">
      <formula>1.75</formula>
    </cfRule>
    <cfRule type="cellIs" dxfId="3642" priority="3682" stopIfTrue="1" operator="between">
      <formula>1.25</formula>
      <formula>1.75</formula>
    </cfRule>
  </conditionalFormatting>
  <conditionalFormatting sqref="L222">
    <cfRule type="cellIs" dxfId="3641" priority="3685" stopIfTrue="1" operator="greaterThan">
      <formula>1.75</formula>
    </cfRule>
    <cfRule type="cellIs" dxfId="3640" priority="3686" stopIfTrue="1" operator="between">
      <formula>1.25</formula>
      <formula>1.75</formula>
    </cfRule>
  </conditionalFormatting>
  <conditionalFormatting sqref="W222">
    <cfRule type="cellIs" dxfId="3639" priority="3679" stopIfTrue="1" operator="greaterThan">
      <formula>1.75</formula>
    </cfRule>
    <cfRule type="cellIs" dxfId="3638" priority="3680" stopIfTrue="1" operator="between">
      <formula>1.25</formula>
      <formula>1.75</formula>
    </cfRule>
  </conditionalFormatting>
  <conditionalFormatting sqref="W224">
    <cfRule type="cellIs" dxfId="3637" priority="3677" stopIfTrue="1" operator="greaterThan">
      <formula>1.75</formula>
    </cfRule>
    <cfRule type="cellIs" dxfId="3636" priority="3678" stopIfTrue="1" operator="between">
      <formula>1.25</formula>
      <formula>1.75</formula>
    </cfRule>
  </conditionalFormatting>
  <conditionalFormatting sqref="W224">
    <cfRule type="cellIs" dxfId="3635" priority="3675" stopIfTrue="1" operator="greaterThan">
      <formula>1.75</formula>
    </cfRule>
    <cfRule type="cellIs" dxfId="3634" priority="3676" stopIfTrue="1" operator="between">
      <formula>1.25</formula>
      <formula>1.75</formula>
    </cfRule>
  </conditionalFormatting>
  <conditionalFormatting sqref="W224">
    <cfRule type="cellIs" dxfId="3633" priority="3673" stopIfTrue="1" operator="greaterThan">
      <formula>1.75</formula>
    </cfRule>
    <cfRule type="cellIs" dxfId="3632" priority="3674" stopIfTrue="1" operator="between">
      <formula>1.25</formula>
      <formula>1.75</formula>
    </cfRule>
  </conditionalFormatting>
  <conditionalFormatting sqref="D208">
    <cfRule type="cellIs" dxfId="3631" priority="3615" stopIfTrue="1" operator="greaterThan">
      <formula>1.75</formula>
    </cfRule>
    <cfRule type="cellIs" dxfId="3630" priority="3616" stopIfTrue="1" operator="between">
      <formula>1.25</formula>
      <formula>1.75</formula>
    </cfRule>
  </conditionalFormatting>
  <conditionalFormatting sqref="Q208">
    <cfRule type="cellIs" dxfId="3629" priority="3653" stopIfTrue="1" operator="greaterThan">
      <formula>1.75</formula>
    </cfRule>
    <cfRule type="cellIs" dxfId="3628" priority="3654" stopIfTrue="1" operator="between">
      <formula>1.25</formula>
      <formula>1.75</formula>
    </cfRule>
  </conditionalFormatting>
  <conditionalFormatting sqref="X207">
    <cfRule type="cellIs" dxfId="3627" priority="3671" operator="lessThan">
      <formula>1000</formula>
    </cfRule>
    <cfRule type="cellIs" dxfId="3626" priority="3672" operator="lessThan">
      <formula>2000</formula>
    </cfRule>
  </conditionalFormatting>
  <conditionalFormatting sqref="M208:O208">
    <cfRule type="cellIs" dxfId="3625" priority="3667" stopIfTrue="1" operator="greaterThan">
      <formula>1.75</formula>
    </cfRule>
    <cfRule type="cellIs" dxfId="3624" priority="3668" stopIfTrue="1" operator="between">
      <formula>1.25</formula>
      <formula>1.75</formula>
    </cfRule>
  </conditionalFormatting>
  <conditionalFormatting sqref="M208:O208">
    <cfRule type="cellIs" dxfId="3623" priority="3665" stopIfTrue="1" operator="greaterThan">
      <formula>1.75</formula>
    </cfRule>
    <cfRule type="cellIs" dxfId="3622" priority="3666" stopIfTrue="1" operator="between">
      <formula>1.25</formula>
      <formula>1.75</formula>
    </cfRule>
  </conditionalFormatting>
  <conditionalFormatting sqref="P208">
    <cfRule type="cellIs" dxfId="3621" priority="3663" stopIfTrue="1" operator="greaterThan">
      <formula>1.75</formula>
    </cfRule>
    <cfRule type="cellIs" dxfId="3620" priority="3664" stopIfTrue="1" operator="between">
      <formula>1.25</formula>
      <formula>1.75</formula>
    </cfRule>
  </conditionalFormatting>
  <conditionalFormatting sqref="P208">
    <cfRule type="cellIs" dxfId="3619" priority="3661" stopIfTrue="1" operator="greaterThan">
      <formula>1.75</formula>
    </cfRule>
    <cfRule type="cellIs" dxfId="3618" priority="3662" stopIfTrue="1" operator="between">
      <formula>1.25</formula>
      <formula>1.75</formula>
    </cfRule>
  </conditionalFormatting>
  <conditionalFormatting sqref="P208">
    <cfRule type="cellIs" dxfId="3617" priority="3659" stopIfTrue="1" operator="greaterThan">
      <formula>1.75</formula>
    </cfRule>
    <cfRule type="cellIs" dxfId="3616" priority="3660" stopIfTrue="1" operator="between">
      <formula>1.25</formula>
      <formula>1.75</formula>
    </cfRule>
  </conditionalFormatting>
  <conditionalFormatting sqref="U208">
    <cfRule type="cellIs" dxfId="3615" priority="3657" stopIfTrue="1" operator="greaterThan">
      <formula>1.75</formula>
    </cfRule>
    <cfRule type="cellIs" dxfId="3614" priority="3658" stopIfTrue="1" operator="between">
      <formula>1.25</formula>
      <formula>1.75</formula>
    </cfRule>
  </conditionalFormatting>
  <conditionalFormatting sqref="T208">
    <cfRule type="cellIs" dxfId="3613" priority="3655" stopIfTrue="1" operator="greaterThan">
      <formula>1.75</formula>
    </cfRule>
    <cfRule type="cellIs" dxfId="3612" priority="3656" stopIfTrue="1" operator="between">
      <formula>1.25</formula>
      <formula>1.75</formula>
    </cfRule>
  </conditionalFormatting>
  <conditionalFormatting sqref="Q208">
    <cfRule type="cellIs" dxfId="3611" priority="3651" stopIfTrue="1" operator="greaterThan">
      <formula>1.75</formula>
    </cfRule>
    <cfRule type="cellIs" dxfId="3610" priority="3652" stopIfTrue="1" operator="between">
      <formula>1.25</formula>
      <formula>1.75</formula>
    </cfRule>
  </conditionalFormatting>
  <conditionalFormatting sqref="Q208">
    <cfRule type="cellIs" dxfId="3609" priority="3649" stopIfTrue="1" operator="greaterThan">
      <formula>1.75</formula>
    </cfRule>
    <cfRule type="cellIs" dxfId="3608" priority="3650" stopIfTrue="1" operator="between">
      <formula>1.25</formula>
      <formula>1.75</formula>
    </cfRule>
  </conditionalFormatting>
  <conditionalFormatting sqref="R208">
    <cfRule type="cellIs" dxfId="3607" priority="3647" stopIfTrue="1" operator="greaterThan">
      <formula>1.75</formula>
    </cfRule>
    <cfRule type="cellIs" dxfId="3606" priority="3648" stopIfTrue="1" operator="between">
      <formula>1.25</formula>
      <formula>1.75</formula>
    </cfRule>
  </conditionalFormatting>
  <conditionalFormatting sqref="R208">
    <cfRule type="cellIs" dxfId="3605" priority="3645" stopIfTrue="1" operator="greaterThan">
      <formula>1.75</formula>
    </cfRule>
    <cfRule type="cellIs" dxfId="3604" priority="3646" stopIfTrue="1" operator="between">
      <formula>1.25</formula>
      <formula>1.75</formula>
    </cfRule>
  </conditionalFormatting>
  <conditionalFormatting sqref="R208">
    <cfRule type="cellIs" dxfId="3603" priority="3643" stopIfTrue="1" operator="greaterThan">
      <formula>1.75</formula>
    </cfRule>
    <cfRule type="cellIs" dxfId="3602" priority="3644" stopIfTrue="1" operator="between">
      <formula>1.25</formula>
      <formula>1.75</formula>
    </cfRule>
  </conditionalFormatting>
  <conditionalFormatting sqref="S208">
    <cfRule type="cellIs" dxfId="3601" priority="3639" stopIfTrue="1" operator="greaterThan">
      <formula>1.75</formula>
    </cfRule>
    <cfRule type="cellIs" dxfId="3600" priority="3640" stopIfTrue="1" operator="between">
      <formula>1.25</formula>
      <formula>1.75</formula>
    </cfRule>
  </conditionalFormatting>
  <conditionalFormatting sqref="S208">
    <cfRule type="cellIs" dxfId="3599" priority="3637" stopIfTrue="1" operator="greaterThan">
      <formula>1.75</formula>
    </cfRule>
    <cfRule type="cellIs" dxfId="3598" priority="3638" stopIfTrue="1" operator="between">
      <formula>1.25</formula>
      <formula>1.75</formula>
    </cfRule>
  </conditionalFormatting>
  <conditionalFormatting sqref="S208">
    <cfRule type="cellIs" dxfId="3597" priority="3641" stopIfTrue="1" operator="greaterThan">
      <formula>1.75</formula>
    </cfRule>
    <cfRule type="cellIs" dxfId="3596" priority="3642" stopIfTrue="1" operator="between">
      <formula>1.25</formula>
      <formula>1.75</formula>
    </cfRule>
  </conditionalFormatting>
  <conditionalFormatting sqref="M208:O208">
    <cfRule type="cellIs" dxfId="3595" priority="3669" stopIfTrue="1" operator="greaterThan">
      <formula>1.75</formula>
    </cfRule>
    <cfRule type="cellIs" dxfId="3594" priority="3670" stopIfTrue="1" operator="between">
      <formula>1.25</formula>
      <formula>1.75</formula>
    </cfRule>
  </conditionalFormatting>
  <conditionalFormatting sqref="H210">
    <cfRule type="cellIs" dxfId="3593" priority="3571" stopIfTrue="1" operator="greaterThan">
      <formula>1.75</formula>
    </cfRule>
    <cfRule type="cellIs" dxfId="3592" priority="3572" stopIfTrue="1" operator="between">
      <formula>1.25</formula>
      <formula>1.75</formula>
    </cfRule>
  </conditionalFormatting>
  <conditionalFormatting sqref="H210">
    <cfRule type="cellIs" dxfId="3591" priority="3573" stopIfTrue="1" operator="greaterThan">
      <formula>1.75</formula>
    </cfRule>
    <cfRule type="cellIs" dxfId="3590" priority="3574" stopIfTrue="1" operator="between">
      <formula>1.25</formula>
      <formula>1.75</formula>
    </cfRule>
  </conditionalFormatting>
  <conditionalFormatting sqref="M210:U210">
    <cfRule type="cellIs" dxfId="3589" priority="3635" stopIfTrue="1" operator="greaterThan">
      <formula>1.75</formula>
    </cfRule>
    <cfRule type="cellIs" dxfId="3588" priority="3636" stopIfTrue="1" operator="between">
      <formula>1.25</formula>
      <formula>1.75</formula>
    </cfRule>
  </conditionalFormatting>
  <conditionalFormatting sqref="M210:U210">
    <cfRule type="cellIs" dxfId="3587" priority="3633" stopIfTrue="1" operator="greaterThan">
      <formula>1.75</formula>
    </cfRule>
    <cfRule type="cellIs" dxfId="3586" priority="3634" stopIfTrue="1" operator="between">
      <formula>1.25</formula>
      <formula>1.75</formula>
    </cfRule>
  </conditionalFormatting>
  <conditionalFormatting sqref="M210:U210">
    <cfRule type="cellIs" dxfId="3585" priority="3631" stopIfTrue="1" operator="greaterThan">
      <formula>1.75</formula>
    </cfRule>
    <cfRule type="cellIs" dxfId="3584" priority="3632" stopIfTrue="1" operator="between">
      <formula>1.25</formula>
      <formula>1.75</formula>
    </cfRule>
  </conditionalFormatting>
  <conditionalFormatting sqref="G210">
    <cfRule type="cellIs" dxfId="3583" priority="3575" stopIfTrue="1" operator="greaterThan">
      <formula>1.75</formula>
    </cfRule>
    <cfRule type="cellIs" dxfId="3582" priority="3576" stopIfTrue="1" operator="between">
      <formula>1.25</formula>
      <formula>1.75</formula>
    </cfRule>
  </conditionalFormatting>
  <conditionalFormatting sqref="V208">
    <cfRule type="cellIs" dxfId="3581" priority="3629" stopIfTrue="1" operator="greaterThan">
      <formula>1.75</formula>
    </cfRule>
    <cfRule type="cellIs" dxfId="3580" priority="3630" stopIfTrue="1" operator="between">
      <formula>1.25</formula>
      <formula>1.75</formula>
    </cfRule>
  </conditionalFormatting>
  <conditionalFormatting sqref="V210">
    <cfRule type="cellIs" dxfId="3579" priority="3627" stopIfTrue="1" operator="greaterThan">
      <formula>1.75</formula>
    </cfRule>
    <cfRule type="cellIs" dxfId="3578" priority="3628" stopIfTrue="1" operator="between">
      <formula>1.25</formula>
      <formula>1.75</formula>
    </cfRule>
  </conditionalFormatting>
  <conditionalFormatting sqref="V210">
    <cfRule type="cellIs" dxfId="3577" priority="3625" stopIfTrue="1" operator="greaterThan">
      <formula>1.75</formula>
    </cfRule>
    <cfRule type="cellIs" dxfId="3576" priority="3626" stopIfTrue="1" operator="between">
      <formula>1.25</formula>
      <formula>1.75</formula>
    </cfRule>
  </conditionalFormatting>
  <conditionalFormatting sqref="V210">
    <cfRule type="cellIs" dxfId="3575" priority="3623" stopIfTrue="1" operator="greaterThan">
      <formula>1.75</formula>
    </cfRule>
    <cfRule type="cellIs" dxfId="3574" priority="3624" stopIfTrue="1" operator="between">
      <formula>1.25</formula>
      <formula>1.75</formula>
    </cfRule>
  </conditionalFormatting>
  <conditionalFormatting sqref="C208">
    <cfRule type="cellIs" dxfId="3573" priority="3619" stopIfTrue="1" operator="greaterThan">
      <formula>1.75</formula>
    </cfRule>
    <cfRule type="cellIs" dxfId="3572" priority="3620" stopIfTrue="1" operator="between">
      <formula>1.25</formula>
      <formula>1.75</formula>
    </cfRule>
  </conditionalFormatting>
  <conditionalFormatting sqref="C208">
    <cfRule type="cellIs" dxfId="3571" priority="3617" stopIfTrue="1" operator="greaterThan">
      <formula>1.75</formula>
    </cfRule>
    <cfRule type="cellIs" dxfId="3570" priority="3618" stopIfTrue="1" operator="between">
      <formula>1.25</formula>
      <formula>1.75</formula>
    </cfRule>
  </conditionalFormatting>
  <conditionalFormatting sqref="C208">
    <cfRule type="cellIs" dxfId="3569" priority="3621" stopIfTrue="1" operator="greaterThan">
      <formula>1.75</formula>
    </cfRule>
    <cfRule type="cellIs" dxfId="3568" priority="3622" stopIfTrue="1" operator="between">
      <formula>1.25</formula>
      <formula>1.75</formula>
    </cfRule>
  </conditionalFormatting>
  <conditionalFormatting sqref="D208">
    <cfRule type="cellIs" dxfId="3567" priority="3613" stopIfTrue="1" operator="greaterThan">
      <formula>1.75</formula>
    </cfRule>
    <cfRule type="cellIs" dxfId="3566" priority="3614" stopIfTrue="1" operator="between">
      <formula>1.25</formula>
      <formula>1.75</formula>
    </cfRule>
  </conditionalFormatting>
  <conditionalFormatting sqref="D208">
    <cfRule type="cellIs" dxfId="3565" priority="3611" stopIfTrue="1" operator="greaterThan">
      <formula>1.75</formula>
    </cfRule>
    <cfRule type="cellIs" dxfId="3564" priority="3612" stopIfTrue="1" operator="between">
      <formula>1.25</formula>
      <formula>1.75</formula>
    </cfRule>
  </conditionalFormatting>
  <conditionalFormatting sqref="C210">
    <cfRule type="cellIs" dxfId="3563" priority="3605" stopIfTrue="1" operator="greaterThan">
      <formula>1.75</formula>
    </cfRule>
    <cfRule type="cellIs" dxfId="3562" priority="3606" stopIfTrue="1" operator="between">
      <formula>1.25</formula>
      <formula>1.75</formula>
    </cfRule>
  </conditionalFormatting>
  <conditionalFormatting sqref="C210">
    <cfRule type="cellIs" dxfId="3561" priority="3607" stopIfTrue="1" operator="greaterThan">
      <formula>1.75</formula>
    </cfRule>
    <cfRule type="cellIs" dxfId="3560" priority="3608" stopIfTrue="1" operator="between">
      <formula>1.25</formula>
      <formula>1.75</formula>
    </cfRule>
  </conditionalFormatting>
  <conditionalFormatting sqref="C210">
    <cfRule type="cellIs" dxfId="3559" priority="3609" stopIfTrue="1" operator="greaterThan">
      <formula>1.75</formula>
    </cfRule>
    <cfRule type="cellIs" dxfId="3558" priority="3610" stopIfTrue="1" operator="between">
      <formula>1.25</formula>
      <formula>1.75</formula>
    </cfRule>
  </conditionalFormatting>
  <conditionalFormatting sqref="D210">
    <cfRule type="cellIs" dxfId="3557" priority="3599" stopIfTrue="1" operator="greaterThan">
      <formula>1.75</formula>
    </cfRule>
    <cfRule type="cellIs" dxfId="3556" priority="3600" stopIfTrue="1" operator="between">
      <formula>1.25</formula>
      <formula>1.75</formula>
    </cfRule>
  </conditionalFormatting>
  <conditionalFormatting sqref="D210">
    <cfRule type="cellIs" dxfId="3555" priority="3601" stopIfTrue="1" operator="greaterThan">
      <formula>1.75</formula>
    </cfRule>
    <cfRule type="cellIs" dxfId="3554" priority="3602" stopIfTrue="1" operator="between">
      <formula>1.25</formula>
      <formula>1.75</formula>
    </cfRule>
  </conditionalFormatting>
  <conditionalFormatting sqref="D210">
    <cfRule type="cellIs" dxfId="3553" priority="3603" stopIfTrue="1" operator="greaterThan">
      <formula>1.75</formula>
    </cfRule>
    <cfRule type="cellIs" dxfId="3552" priority="3604" stopIfTrue="1" operator="between">
      <formula>1.25</formula>
      <formula>1.75</formula>
    </cfRule>
  </conditionalFormatting>
  <conditionalFormatting sqref="E210">
    <cfRule type="cellIs" dxfId="3551" priority="3593" stopIfTrue="1" operator="greaterThan">
      <formula>1.75</formula>
    </cfRule>
    <cfRule type="cellIs" dxfId="3550" priority="3594" stopIfTrue="1" operator="between">
      <formula>1.25</formula>
      <formula>1.75</formula>
    </cfRule>
  </conditionalFormatting>
  <conditionalFormatting sqref="E210">
    <cfRule type="cellIs" dxfId="3549" priority="3595" stopIfTrue="1" operator="greaterThan">
      <formula>1.75</formula>
    </cfRule>
    <cfRule type="cellIs" dxfId="3548" priority="3596" stopIfTrue="1" operator="between">
      <formula>1.25</formula>
      <formula>1.75</formula>
    </cfRule>
  </conditionalFormatting>
  <conditionalFormatting sqref="E210">
    <cfRule type="cellIs" dxfId="3547" priority="3597" stopIfTrue="1" operator="greaterThan">
      <formula>1.75</formula>
    </cfRule>
    <cfRule type="cellIs" dxfId="3546" priority="3598" stopIfTrue="1" operator="between">
      <formula>1.25</formula>
      <formula>1.75</formula>
    </cfRule>
  </conditionalFormatting>
  <conditionalFormatting sqref="E208">
    <cfRule type="cellIs" dxfId="3545" priority="3589" stopIfTrue="1" operator="greaterThan">
      <formula>1.75</formula>
    </cfRule>
    <cfRule type="cellIs" dxfId="3544" priority="3590" stopIfTrue="1" operator="between">
      <formula>1.25</formula>
      <formula>1.75</formula>
    </cfRule>
  </conditionalFormatting>
  <conditionalFormatting sqref="E208">
    <cfRule type="cellIs" dxfId="3543" priority="3587" stopIfTrue="1" operator="greaterThan">
      <formula>1.75</formula>
    </cfRule>
    <cfRule type="cellIs" dxfId="3542" priority="3588" stopIfTrue="1" operator="between">
      <formula>1.25</formula>
      <formula>1.75</formula>
    </cfRule>
  </conditionalFormatting>
  <conditionalFormatting sqref="E208">
    <cfRule type="cellIs" dxfId="3541" priority="3591" stopIfTrue="1" operator="greaterThan">
      <formula>1.75</formula>
    </cfRule>
    <cfRule type="cellIs" dxfId="3540" priority="3592" stopIfTrue="1" operator="between">
      <formula>1.25</formula>
      <formula>1.75</formula>
    </cfRule>
  </conditionalFormatting>
  <conditionalFormatting sqref="F210">
    <cfRule type="cellIs" dxfId="3539" priority="3581" stopIfTrue="1" operator="greaterThan">
      <formula>1.75</formula>
    </cfRule>
    <cfRule type="cellIs" dxfId="3538" priority="3582" stopIfTrue="1" operator="between">
      <formula>1.25</formula>
      <formula>1.75</formula>
    </cfRule>
  </conditionalFormatting>
  <conditionalFormatting sqref="F210">
    <cfRule type="cellIs" dxfId="3537" priority="3583" stopIfTrue="1" operator="greaterThan">
      <formula>1.75</formula>
    </cfRule>
    <cfRule type="cellIs" dxfId="3536" priority="3584" stopIfTrue="1" operator="between">
      <formula>1.25</formula>
      <formula>1.75</formula>
    </cfRule>
  </conditionalFormatting>
  <conditionalFormatting sqref="F210">
    <cfRule type="cellIs" dxfId="3535" priority="3585" stopIfTrue="1" operator="greaterThan">
      <formula>1.75</formula>
    </cfRule>
    <cfRule type="cellIs" dxfId="3534" priority="3586" stopIfTrue="1" operator="between">
      <formula>1.25</formula>
      <formula>1.75</formula>
    </cfRule>
  </conditionalFormatting>
  <conditionalFormatting sqref="G210">
    <cfRule type="cellIs" dxfId="3533" priority="3577" stopIfTrue="1" operator="greaterThan">
      <formula>1.75</formula>
    </cfRule>
    <cfRule type="cellIs" dxfId="3532" priority="3578" stopIfTrue="1" operator="between">
      <formula>1.25</formula>
      <formula>1.75</formula>
    </cfRule>
  </conditionalFormatting>
  <conditionalFormatting sqref="G210">
    <cfRule type="cellIs" dxfId="3531" priority="3579" stopIfTrue="1" operator="greaterThan">
      <formula>1.75</formula>
    </cfRule>
    <cfRule type="cellIs" dxfId="3530" priority="3580" stopIfTrue="1" operator="between">
      <formula>1.25</formula>
      <formula>1.75</formula>
    </cfRule>
  </conditionalFormatting>
  <conditionalFormatting sqref="H210">
    <cfRule type="cellIs" dxfId="3529" priority="3569" stopIfTrue="1" operator="greaterThan">
      <formula>1.75</formula>
    </cfRule>
    <cfRule type="cellIs" dxfId="3528" priority="3570" stopIfTrue="1" operator="between">
      <formula>1.25</formula>
      <formula>1.75</formula>
    </cfRule>
  </conditionalFormatting>
  <conditionalFormatting sqref="I210">
    <cfRule type="cellIs" dxfId="3527" priority="3563" stopIfTrue="1" operator="greaterThan">
      <formula>1.75</formula>
    </cfRule>
    <cfRule type="cellIs" dxfId="3526" priority="3564" stopIfTrue="1" operator="between">
      <formula>1.25</formula>
      <formula>1.75</formula>
    </cfRule>
  </conditionalFormatting>
  <conditionalFormatting sqref="I210">
    <cfRule type="cellIs" dxfId="3525" priority="3565" stopIfTrue="1" operator="greaterThan">
      <formula>1.75</formula>
    </cfRule>
    <cfRule type="cellIs" dxfId="3524" priority="3566" stopIfTrue="1" operator="between">
      <formula>1.25</formula>
      <formula>1.75</formula>
    </cfRule>
  </conditionalFormatting>
  <conditionalFormatting sqref="I210">
    <cfRule type="cellIs" dxfId="3523" priority="3567" stopIfTrue="1" operator="greaterThan">
      <formula>1.75</formula>
    </cfRule>
    <cfRule type="cellIs" dxfId="3522" priority="3568" stopIfTrue="1" operator="between">
      <formula>1.25</formula>
      <formula>1.75</formula>
    </cfRule>
  </conditionalFormatting>
  <conditionalFormatting sqref="J210">
    <cfRule type="cellIs" dxfId="3521" priority="3557" stopIfTrue="1" operator="greaterThan">
      <formula>1.75</formula>
    </cfRule>
    <cfRule type="cellIs" dxfId="3520" priority="3558" stopIfTrue="1" operator="between">
      <formula>1.25</formula>
      <formula>1.75</formula>
    </cfRule>
  </conditionalFormatting>
  <conditionalFormatting sqref="J210">
    <cfRule type="cellIs" dxfId="3519" priority="3559" stopIfTrue="1" operator="greaterThan">
      <formula>1.75</formula>
    </cfRule>
    <cfRule type="cellIs" dxfId="3518" priority="3560" stopIfTrue="1" operator="between">
      <formula>1.25</formula>
      <formula>1.75</formula>
    </cfRule>
  </conditionalFormatting>
  <conditionalFormatting sqref="J210">
    <cfRule type="cellIs" dxfId="3517" priority="3561" stopIfTrue="1" operator="greaterThan">
      <formula>1.75</formula>
    </cfRule>
    <cfRule type="cellIs" dxfId="3516" priority="3562" stopIfTrue="1" operator="between">
      <formula>1.25</formula>
      <formula>1.75</formula>
    </cfRule>
  </conditionalFormatting>
  <conditionalFormatting sqref="K210">
    <cfRule type="cellIs" dxfId="3515" priority="3551" stopIfTrue="1" operator="greaterThan">
      <formula>1.75</formula>
    </cfRule>
    <cfRule type="cellIs" dxfId="3514" priority="3552" stopIfTrue="1" operator="between">
      <formula>1.25</formula>
      <formula>1.75</formula>
    </cfRule>
  </conditionalFormatting>
  <conditionalFormatting sqref="K210">
    <cfRule type="cellIs" dxfId="3513" priority="3553" stopIfTrue="1" operator="greaterThan">
      <formula>1.75</formula>
    </cfRule>
    <cfRule type="cellIs" dxfId="3512" priority="3554" stopIfTrue="1" operator="between">
      <formula>1.25</formula>
      <formula>1.75</formula>
    </cfRule>
  </conditionalFormatting>
  <conditionalFormatting sqref="K210">
    <cfRule type="cellIs" dxfId="3511" priority="3555" stopIfTrue="1" operator="greaterThan">
      <formula>1.75</formula>
    </cfRule>
    <cfRule type="cellIs" dxfId="3510" priority="3556" stopIfTrue="1" operator="between">
      <formula>1.25</formula>
      <formula>1.75</formula>
    </cfRule>
  </conditionalFormatting>
  <conditionalFormatting sqref="L210">
    <cfRule type="cellIs" dxfId="3509" priority="3545" stopIfTrue="1" operator="greaterThan">
      <formula>1.75</formula>
    </cfRule>
    <cfRule type="cellIs" dxfId="3508" priority="3546" stopIfTrue="1" operator="between">
      <formula>1.25</formula>
      <formula>1.75</formula>
    </cfRule>
  </conditionalFormatting>
  <conditionalFormatting sqref="L210">
    <cfRule type="cellIs" dxfId="3507" priority="3547" stopIfTrue="1" operator="greaterThan">
      <formula>1.75</formula>
    </cfRule>
    <cfRule type="cellIs" dxfId="3506" priority="3548" stopIfTrue="1" operator="between">
      <formula>1.25</formula>
      <formula>1.75</formula>
    </cfRule>
  </conditionalFormatting>
  <conditionalFormatting sqref="L210">
    <cfRule type="cellIs" dxfId="3505" priority="3549" stopIfTrue="1" operator="greaterThan">
      <formula>1.75</formula>
    </cfRule>
    <cfRule type="cellIs" dxfId="3504" priority="3550" stopIfTrue="1" operator="between">
      <formula>1.25</formula>
      <formula>1.75</formula>
    </cfRule>
  </conditionalFormatting>
  <conditionalFormatting sqref="F208">
    <cfRule type="cellIs" dxfId="3503" priority="3541" stopIfTrue="1" operator="greaterThan">
      <formula>1.75</formula>
    </cfRule>
    <cfRule type="cellIs" dxfId="3502" priority="3542" stopIfTrue="1" operator="between">
      <formula>1.25</formula>
      <formula>1.75</formula>
    </cfRule>
  </conditionalFormatting>
  <conditionalFormatting sqref="F208">
    <cfRule type="cellIs" dxfId="3501" priority="3539" stopIfTrue="1" operator="greaterThan">
      <formula>1.75</formula>
    </cfRule>
    <cfRule type="cellIs" dxfId="3500" priority="3540" stopIfTrue="1" operator="between">
      <formula>1.25</formula>
      <formula>1.75</formula>
    </cfRule>
  </conditionalFormatting>
  <conditionalFormatting sqref="F208">
    <cfRule type="cellIs" dxfId="3499" priority="3543" stopIfTrue="1" operator="greaterThan">
      <formula>1.75</formula>
    </cfRule>
    <cfRule type="cellIs" dxfId="3498" priority="3544" stopIfTrue="1" operator="between">
      <formula>1.25</formula>
      <formula>1.75</formula>
    </cfRule>
  </conditionalFormatting>
  <conditionalFormatting sqref="G208">
    <cfRule type="cellIs" dxfId="3497" priority="3535" stopIfTrue="1" operator="greaterThan">
      <formula>1.75</formula>
    </cfRule>
    <cfRule type="cellIs" dxfId="3496" priority="3536" stopIfTrue="1" operator="between">
      <formula>1.25</formula>
      <formula>1.75</formula>
    </cfRule>
  </conditionalFormatting>
  <conditionalFormatting sqref="G208">
    <cfRule type="cellIs" dxfId="3495" priority="3533" stopIfTrue="1" operator="greaterThan">
      <formula>1.75</formula>
    </cfRule>
    <cfRule type="cellIs" dxfId="3494" priority="3534" stopIfTrue="1" operator="between">
      <formula>1.25</formula>
      <formula>1.75</formula>
    </cfRule>
  </conditionalFormatting>
  <conditionalFormatting sqref="G208">
    <cfRule type="cellIs" dxfId="3493" priority="3537" stopIfTrue="1" operator="greaterThan">
      <formula>1.75</formula>
    </cfRule>
    <cfRule type="cellIs" dxfId="3492" priority="3538" stopIfTrue="1" operator="between">
      <formula>1.25</formula>
      <formula>1.75</formula>
    </cfRule>
  </conditionalFormatting>
  <conditionalFormatting sqref="H208">
    <cfRule type="cellIs" dxfId="3491" priority="3529" stopIfTrue="1" operator="greaterThan">
      <formula>1.75</formula>
    </cfRule>
    <cfRule type="cellIs" dxfId="3490" priority="3530" stopIfTrue="1" operator="between">
      <formula>1.25</formula>
      <formula>1.75</formula>
    </cfRule>
  </conditionalFormatting>
  <conditionalFormatting sqref="H208">
    <cfRule type="cellIs" dxfId="3489" priority="3527" stopIfTrue="1" operator="greaterThan">
      <formula>1.75</formula>
    </cfRule>
    <cfRule type="cellIs" dxfId="3488" priority="3528" stopIfTrue="1" operator="between">
      <formula>1.25</formula>
      <formula>1.75</formula>
    </cfRule>
  </conditionalFormatting>
  <conditionalFormatting sqref="H208">
    <cfRule type="cellIs" dxfId="3487" priority="3531" stopIfTrue="1" operator="greaterThan">
      <formula>1.75</formula>
    </cfRule>
    <cfRule type="cellIs" dxfId="3486" priority="3532" stopIfTrue="1" operator="between">
      <formula>1.25</formula>
      <formula>1.75</formula>
    </cfRule>
  </conditionalFormatting>
  <conditionalFormatting sqref="I208">
    <cfRule type="cellIs" dxfId="3485" priority="3523" stopIfTrue="1" operator="greaterThan">
      <formula>1.75</formula>
    </cfRule>
    <cfRule type="cellIs" dxfId="3484" priority="3524" stopIfTrue="1" operator="between">
      <formula>1.25</formula>
      <formula>1.75</formula>
    </cfRule>
  </conditionalFormatting>
  <conditionalFormatting sqref="I208">
    <cfRule type="cellIs" dxfId="3483" priority="3521" stopIfTrue="1" operator="greaterThan">
      <formula>1.75</formula>
    </cfRule>
    <cfRule type="cellIs" dxfId="3482" priority="3522" stopIfTrue="1" operator="between">
      <formula>1.25</formula>
      <formula>1.75</formula>
    </cfRule>
  </conditionalFormatting>
  <conditionalFormatting sqref="I208">
    <cfRule type="cellIs" dxfId="3481" priority="3525" stopIfTrue="1" operator="greaterThan">
      <formula>1.75</formula>
    </cfRule>
    <cfRule type="cellIs" dxfId="3480" priority="3526" stopIfTrue="1" operator="between">
      <formula>1.25</formula>
      <formula>1.75</formula>
    </cfRule>
  </conditionalFormatting>
  <conditionalFormatting sqref="J208">
    <cfRule type="cellIs" dxfId="3479" priority="3517" stopIfTrue="1" operator="greaterThan">
      <formula>1.75</formula>
    </cfRule>
    <cfRule type="cellIs" dxfId="3478" priority="3518" stopIfTrue="1" operator="between">
      <formula>1.25</formula>
      <formula>1.75</formula>
    </cfRule>
  </conditionalFormatting>
  <conditionalFormatting sqref="J208">
    <cfRule type="cellIs" dxfId="3477" priority="3515" stopIfTrue="1" operator="greaterThan">
      <formula>1.75</formula>
    </cfRule>
    <cfRule type="cellIs" dxfId="3476" priority="3516" stopIfTrue="1" operator="between">
      <formula>1.25</formula>
      <formula>1.75</formula>
    </cfRule>
  </conditionalFormatting>
  <conditionalFormatting sqref="J208">
    <cfRule type="cellIs" dxfId="3475" priority="3519" stopIfTrue="1" operator="greaterThan">
      <formula>1.75</formula>
    </cfRule>
    <cfRule type="cellIs" dxfId="3474" priority="3520" stopIfTrue="1" operator="between">
      <formula>1.25</formula>
      <formula>1.75</formula>
    </cfRule>
  </conditionalFormatting>
  <conditionalFormatting sqref="K208">
    <cfRule type="cellIs" dxfId="3473" priority="3511" stopIfTrue="1" operator="greaterThan">
      <formula>1.75</formula>
    </cfRule>
    <cfRule type="cellIs" dxfId="3472" priority="3512" stopIfTrue="1" operator="between">
      <formula>1.25</formula>
      <formula>1.75</formula>
    </cfRule>
  </conditionalFormatting>
  <conditionalFormatting sqref="K208">
    <cfRule type="cellIs" dxfId="3471" priority="3509" stopIfTrue="1" operator="greaterThan">
      <formula>1.75</formula>
    </cfRule>
    <cfRule type="cellIs" dxfId="3470" priority="3510" stopIfTrue="1" operator="between">
      <formula>1.25</formula>
      <formula>1.75</formula>
    </cfRule>
  </conditionalFormatting>
  <conditionalFormatting sqref="K208">
    <cfRule type="cellIs" dxfId="3469" priority="3513" stopIfTrue="1" operator="greaterThan">
      <formula>1.75</formula>
    </cfRule>
    <cfRule type="cellIs" dxfId="3468" priority="3514" stopIfTrue="1" operator="between">
      <formula>1.25</formula>
      <formula>1.75</formula>
    </cfRule>
  </conditionalFormatting>
  <conditionalFormatting sqref="L208">
    <cfRule type="cellIs" dxfId="3467" priority="3505" stopIfTrue="1" operator="greaterThan">
      <formula>1.75</formula>
    </cfRule>
    <cfRule type="cellIs" dxfId="3466" priority="3506" stopIfTrue="1" operator="between">
      <formula>1.25</formula>
      <formula>1.75</formula>
    </cfRule>
  </conditionalFormatting>
  <conditionalFormatting sqref="L208">
    <cfRule type="cellIs" dxfId="3465" priority="3503" stopIfTrue="1" operator="greaterThan">
      <formula>1.75</formula>
    </cfRule>
    <cfRule type="cellIs" dxfId="3464" priority="3504" stopIfTrue="1" operator="between">
      <formula>1.25</formula>
      <formula>1.75</formula>
    </cfRule>
  </conditionalFormatting>
  <conditionalFormatting sqref="L208">
    <cfRule type="cellIs" dxfId="3463" priority="3507" stopIfTrue="1" operator="greaterThan">
      <formula>1.75</formula>
    </cfRule>
    <cfRule type="cellIs" dxfId="3462" priority="3508" stopIfTrue="1" operator="between">
      <formula>1.25</formula>
      <formula>1.75</formula>
    </cfRule>
  </conditionalFormatting>
  <conditionalFormatting sqref="W208">
    <cfRule type="cellIs" dxfId="3461" priority="3501" stopIfTrue="1" operator="greaterThan">
      <formula>1.75</formula>
    </cfRule>
    <cfRule type="cellIs" dxfId="3460" priority="3502" stopIfTrue="1" operator="between">
      <formula>1.25</formula>
      <formula>1.75</formula>
    </cfRule>
  </conditionalFormatting>
  <conditionalFormatting sqref="W210">
    <cfRule type="cellIs" dxfId="3459" priority="3499" stopIfTrue="1" operator="greaterThan">
      <formula>1.75</formula>
    </cfRule>
    <cfRule type="cellIs" dxfId="3458" priority="3500" stopIfTrue="1" operator="between">
      <formula>1.25</formula>
      <formula>1.75</formula>
    </cfRule>
  </conditionalFormatting>
  <conditionalFormatting sqref="W210">
    <cfRule type="cellIs" dxfId="3457" priority="3497" stopIfTrue="1" operator="greaterThan">
      <formula>1.75</formula>
    </cfRule>
    <cfRule type="cellIs" dxfId="3456" priority="3498" stopIfTrue="1" operator="between">
      <formula>1.25</formula>
      <formula>1.75</formula>
    </cfRule>
  </conditionalFormatting>
  <conditionalFormatting sqref="W210">
    <cfRule type="cellIs" dxfId="3455" priority="3495" stopIfTrue="1" operator="greaterThan">
      <formula>1.75</formula>
    </cfRule>
    <cfRule type="cellIs" dxfId="3454" priority="3496" stopIfTrue="1" operator="between">
      <formula>1.25</formula>
      <formula>1.75</formula>
    </cfRule>
  </conditionalFormatting>
  <conditionalFormatting sqref="AD12">
    <cfRule type="cellIs" dxfId="3453" priority="3483" stopIfTrue="1" operator="greaterThan">
      <formula>1.75</formula>
    </cfRule>
    <cfRule type="cellIs" dxfId="3452" priority="3484" stopIfTrue="1" operator="between">
      <formula>1.25</formula>
      <formula>1.75</formula>
    </cfRule>
  </conditionalFormatting>
  <conditionalFormatting sqref="AD14">
    <cfRule type="cellIs" dxfId="3451" priority="3481" stopIfTrue="1" operator="greaterThan">
      <formula>1.75</formula>
    </cfRule>
    <cfRule type="cellIs" dxfId="3450" priority="3482" stopIfTrue="1" operator="between">
      <formula>1.25</formula>
      <formula>1.75</formula>
    </cfRule>
  </conditionalFormatting>
  <conditionalFormatting sqref="AD14">
    <cfRule type="cellIs" dxfId="3449" priority="3479" stopIfTrue="1" operator="greaterThan">
      <formula>1.75</formula>
    </cfRule>
    <cfRule type="cellIs" dxfId="3448" priority="3480" stopIfTrue="1" operator="between">
      <formula>1.25</formula>
      <formula>1.75</formula>
    </cfRule>
  </conditionalFormatting>
  <conditionalFormatting sqref="AD14">
    <cfRule type="cellIs" dxfId="3447" priority="3477" stopIfTrue="1" operator="greaterThan">
      <formula>1.75</formula>
    </cfRule>
    <cfRule type="cellIs" dxfId="3446" priority="3478" stopIfTrue="1" operator="between">
      <formula>1.25</formula>
      <formula>1.75</formula>
    </cfRule>
  </conditionalFormatting>
  <conditionalFormatting sqref="D194">
    <cfRule type="cellIs" dxfId="3445" priority="3421" stopIfTrue="1" operator="greaterThan">
      <formula>1.75</formula>
    </cfRule>
    <cfRule type="cellIs" dxfId="3444" priority="3422" stopIfTrue="1" operator="between">
      <formula>1.25</formula>
      <formula>1.75</formula>
    </cfRule>
  </conditionalFormatting>
  <conditionalFormatting sqref="Q194">
    <cfRule type="cellIs" dxfId="3443" priority="3459" stopIfTrue="1" operator="greaterThan">
      <formula>1.75</formula>
    </cfRule>
    <cfRule type="cellIs" dxfId="3442" priority="3460" stopIfTrue="1" operator="between">
      <formula>1.25</formula>
      <formula>1.75</formula>
    </cfRule>
  </conditionalFormatting>
  <conditionalFormatting sqref="M194:O194">
    <cfRule type="cellIs" dxfId="3441" priority="3473" stopIfTrue="1" operator="greaterThan">
      <formula>1.75</formula>
    </cfRule>
    <cfRule type="cellIs" dxfId="3440" priority="3474" stopIfTrue="1" operator="between">
      <formula>1.25</formula>
      <formula>1.75</formula>
    </cfRule>
  </conditionalFormatting>
  <conditionalFormatting sqref="M194:O194">
    <cfRule type="cellIs" dxfId="3439" priority="3471" stopIfTrue="1" operator="greaterThan">
      <formula>1.75</formula>
    </cfRule>
    <cfRule type="cellIs" dxfId="3438" priority="3472" stopIfTrue="1" operator="between">
      <formula>1.25</formula>
      <formula>1.75</formula>
    </cfRule>
  </conditionalFormatting>
  <conditionalFormatting sqref="P194">
    <cfRule type="cellIs" dxfId="3437" priority="3469" stopIfTrue="1" operator="greaterThan">
      <formula>1.75</formula>
    </cfRule>
    <cfRule type="cellIs" dxfId="3436" priority="3470" stopIfTrue="1" operator="between">
      <formula>1.25</formula>
      <formula>1.75</formula>
    </cfRule>
  </conditionalFormatting>
  <conditionalFormatting sqref="P194">
    <cfRule type="cellIs" dxfId="3435" priority="3467" stopIfTrue="1" operator="greaterThan">
      <formula>1.75</formula>
    </cfRule>
    <cfRule type="cellIs" dxfId="3434" priority="3468" stopIfTrue="1" operator="between">
      <formula>1.25</formula>
      <formula>1.75</formula>
    </cfRule>
  </conditionalFormatting>
  <conditionalFormatting sqref="P194">
    <cfRule type="cellIs" dxfId="3433" priority="3465" stopIfTrue="1" operator="greaterThan">
      <formula>1.75</formula>
    </cfRule>
    <cfRule type="cellIs" dxfId="3432" priority="3466" stopIfTrue="1" operator="between">
      <formula>1.25</formula>
      <formula>1.75</formula>
    </cfRule>
  </conditionalFormatting>
  <conditionalFormatting sqref="U194">
    <cfRule type="cellIs" dxfId="3431" priority="3463" stopIfTrue="1" operator="greaterThan">
      <formula>1.75</formula>
    </cfRule>
    <cfRule type="cellIs" dxfId="3430" priority="3464" stopIfTrue="1" operator="between">
      <formula>1.25</formula>
      <formula>1.75</formula>
    </cfRule>
  </conditionalFormatting>
  <conditionalFormatting sqref="T194">
    <cfRule type="cellIs" dxfId="3429" priority="3461" stopIfTrue="1" operator="greaterThan">
      <formula>1.75</formula>
    </cfRule>
    <cfRule type="cellIs" dxfId="3428" priority="3462" stopIfTrue="1" operator="between">
      <formula>1.25</formula>
      <formula>1.75</formula>
    </cfRule>
  </conditionalFormatting>
  <conditionalFormatting sqref="Q194">
    <cfRule type="cellIs" dxfId="3427" priority="3457" stopIfTrue="1" operator="greaterThan">
      <formula>1.75</formula>
    </cfRule>
    <cfRule type="cellIs" dxfId="3426" priority="3458" stopIfTrue="1" operator="between">
      <formula>1.25</formula>
      <formula>1.75</formula>
    </cfRule>
  </conditionalFormatting>
  <conditionalFormatting sqref="Q194">
    <cfRule type="cellIs" dxfId="3425" priority="3455" stopIfTrue="1" operator="greaterThan">
      <formula>1.75</formula>
    </cfRule>
    <cfRule type="cellIs" dxfId="3424" priority="3456" stopIfTrue="1" operator="between">
      <formula>1.25</formula>
      <formula>1.75</formula>
    </cfRule>
  </conditionalFormatting>
  <conditionalFormatting sqref="R194">
    <cfRule type="cellIs" dxfId="3423" priority="3453" stopIfTrue="1" operator="greaterThan">
      <formula>1.75</formula>
    </cfRule>
    <cfRule type="cellIs" dxfId="3422" priority="3454" stopIfTrue="1" operator="between">
      <formula>1.25</formula>
      <formula>1.75</formula>
    </cfRule>
  </conditionalFormatting>
  <conditionalFormatting sqref="R194">
    <cfRule type="cellIs" dxfId="3421" priority="3451" stopIfTrue="1" operator="greaterThan">
      <formula>1.75</formula>
    </cfRule>
    <cfRule type="cellIs" dxfId="3420" priority="3452" stopIfTrue="1" operator="between">
      <formula>1.25</formula>
      <formula>1.75</formula>
    </cfRule>
  </conditionalFormatting>
  <conditionalFormatting sqref="R194">
    <cfRule type="cellIs" dxfId="3419" priority="3449" stopIfTrue="1" operator="greaterThan">
      <formula>1.75</formula>
    </cfRule>
    <cfRule type="cellIs" dxfId="3418" priority="3450" stopIfTrue="1" operator="between">
      <formula>1.25</formula>
      <formula>1.75</formula>
    </cfRule>
  </conditionalFormatting>
  <conditionalFormatting sqref="S194">
    <cfRule type="cellIs" dxfId="3417" priority="3445" stopIfTrue="1" operator="greaterThan">
      <formula>1.75</formula>
    </cfRule>
    <cfRule type="cellIs" dxfId="3416" priority="3446" stopIfTrue="1" operator="between">
      <formula>1.25</formula>
      <formula>1.75</formula>
    </cfRule>
  </conditionalFormatting>
  <conditionalFormatting sqref="S194">
    <cfRule type="cellIs" dxfId="3415" priority="3443" stopIfTrue="1" operator="greaterThan">
      <formula>1.75</formula>
    </cfRule>
    <cfRule type="cellIs" dxfId="3414" priority="3444" stopIfTrue="1" operator="between">
      <formula>1.25</formula>
      <formula>1.75</formula>
    </cfRule>
  </conditionalFormatting>
  <conditionalFormatting sqref="S194">
    <cfRule type="cellIs" dxfId="3413" priority="3447" stopIfTrue="1" operator="greaterThan">
      <formula>1.75</formula>
    </cfRule>
    <cfRule type="cellIs" dxfId="3412" priority="3448" stopIfTrue="1" operator="between">
      <formula>1.25</formula>
      <formula>1.75</formula>
    </cfRule>
  </conditionalFormatting>
  <conditionalFormatting sqref="M194:O194">
    <cfRule type="cellIs" dxfId="3411" priority="3475" stopIfTrue="1" operator="greaterThan">
      <formula>1.75</formula>
    </cfRule>
    <cfRule type="cellIs" dxfId="3410" priority="3476" stopIfTrue="1" operator="between">
      <formula>1.25</formula>
      <formula>1.75</formula>
    </cfRule>
  </conditionalFormatting>
  <conditionalFormatting sqref="H196">
    <cfRule type="cellIs" dxfId="3409" priority="3377" stopIfTrue="1" operator="greaterThan">
      <formula>1.75</formula>
    </cfRule>
    <cfRule type="cellIs" dxfId="3408" priority="3378" stopIfTrue="1" operator="between">
      <formula>1.25</formula>
      <formula>1.75</formula>
    </cfRule>
  </conditionalFormatting>
  <conditionalFormatting sqref="H196">
    <cfRule type="cellIs" dxfId="3407" priority="3379" stopIfTrue="1" operator="greaterThan">
      <formula>1.75</formula>
    </cfRule>
    <cfRule type="cellIs" dxfId="3406" priority="3380" stopIfTrue="1" operator="between">
      <formula>1.25</formula>
      <formula>1.75</formula>
    </cfRule>
  </conditionalFormatting>
  <conditionalFormatting sqref="M196:U196">
    <cfRule type="cellIs" dxfId="3405" priority="3441" stopIfTrue="1" operator="greaterThan">
      <formula>1.75</formula>
    </cfRule>
    <cfRule type="cellIs" dxfId="3404" priority="3442" stopIfTrue="1" operator="between">
      <formula>1.25</formula>
      <formula>1.75</formula>
    </cfRule>
  </conditionalFormatting>
  <conditionalFormatting sqref="M196:U196">
    <cfRule type="cellIs" dxfId="3403" priority="3439" stopIfTrue="1" operator="greaterThan">
      <formula>1.75</formula>
    </cfRule>
    <cfRule type="cellIs" dxfId="3402" priority="3440" stopIfTrue="1" operator="between">
      <formula>1.25</formula>
      <formula>1.75</formula>
    </cfRule>
  </conditionalFormatting>
  <conditionalFormatting sqref="M196:U196">
    <cfRule type="cellIs" dxfId="3401" priority="3437" stopIfTrue="1" operator="greaterThan">
      <formula>1.75</formula>
    </cfRule>
    <cfRule type="cellIs" dxfId="3400" priority="3438" stopIfTrue="1" operator="between">
      <formula>1.25</formula>
      <formula>1.75</formula>
    </cfRule>
  </conditionalFormatting>
  <conditionalFormatting sqref="G196">
    <cfRule type="cellIs" dxfId="3399" priority="3381" stopIfTrue="1" operator="greaterThan">
      <formula>1.75</formula>
    </cfRule>
    <cfRule type="cellIs" dxfId="3398" priority="3382" stopIfTrue="1" operator="between">
      <formula>1.25</formula>
      <formula>1.75</formula>
    </cfRule>
  </conditionalFormatting>
  <conditionalFormatting sqref="V194">
    <cfRule type="cellIs" dxfId="3397" priority="3435" stopIfTrue="1" operator="greaterThan">
      <formula>1.75</formula>
    </cfRule>
    <cfRule type="cellIs" dxfId="3396" priority="3436" stopIfTrue="1" operator="between">
      <formula>1.25</formula>
      <formula>1.75</formula>
    </cfRule>
  </conditionalFormatting>
  <conditionalFormatting sqref="V196">
    <cfRule type="cellIs" dxfId="3395" priority="3433" stopIfTrue="1" operator="greaterThan">
      <formula>1.75</formula>
    </cfRule>
    <cfRule type="cellIs" dxfId="3394" priority="3434" stopIfTrue="1" operator="between">
      <formula>1.25</formula>
      <formula>1.75</formula>
    </cfRule>
  </conditionalFormatting>
  <conditionalFormatting sqref="V196">
    <cfRule type="cellIs" dxfId="3393" priority="3431" stopIfTrue="1" operator="greaterThan">
      <formula>1.75</formula>
    </cfRule>
    <cfRule type="cellIs" dxfId="3392" priority="3432" stopIfTrue="1" operator="between">
      <formula>1.25</formula>
      <formula>1.75</formula>
    </cfRule>
  </conditionalFormatting>
  <conditionalFormatting sqref="V196">
    <cfRule type="cellIs" dxfId="3391" priority="3429" stopIfTrue="1" operator="greaterThan">
      <formula>1.75</formula>
    </cfRule>
    <cfRule type="cellIs" dxfId="3390" priority="3430" stopIfTrue="1" operator="between">
      <formula>1.25</formula>
      <formula>1.75</formula>
    </cfRule>
  </conditionalFormatting>
  <conditionalFormatting sqref="C194">
    <cfRule type="cellIs" dxfId="3389" priority="3425" stopIfTrue="1" operator="greaterThan">
      <formula>1.75</formula>
    </cfRule>
    <cfRule type="cellIs" dxfId="3388" priority="3426" stopIfTrue="1" operator="between">
      <formula>1.25</formula>
      <formula>1.75</formula>
    </cfRule>
  </conditionalFormatting>
  <conditionalFormatting sqref="C194">
    <cfRule type="cellIs" dxfId="3387" priority="3423" stopIfTrue="1" operator="greaterThan">
      <formula>1.75</formula>
    </cfRule>
    <cfRule type="cellIs" dxfId="3386" priority="3424" stopIfTrue="1" operator="between">
      <formula>1.25</formula>
      <formula>1.75</formula>
    </cfRule>
  </conditionalFormatting>
  <conditionalFormatting sqref="C194">
    <cfRule type="cellIs" dxfId="3385" priority="3427" stopIfTrue="1" operator="greaterThan">
      <formula>1.75</formula>
    </cfRule>
    <cfRule type="cellIs" dxfId="3384" priority="3428" stopIfTrue="1" operator="between">
      <formula>1.25</formula>
      <formula>1.75</formula>
    </cfRule>
  </conditionalFormatting>
  <conditionalFormatting sqref="D194">
    <cfRule type="cellIs" dxfId="3383" priority="3419" stopIfTrue="1" operator="greaterThan">
      <formula>1.75</formula>
    </cfRule>
    <cfRule type="cellIs" dxfId="3382" priority="3420" stopIfTrue="1" operator="between">
      <formula>1.25</formula>
      <formula>1.75</formula>
    </cfRule>
  </conditionalFormatting>
  <conditionalFormatting sqref="D194">
    <cfRule type="cellIs" dxfId="3381" priority="3417" stopIfTrue="1" operator="greaterThan">
      <formula>1.75</formula>
    </cfRule>
    <cfRule type="cellIs" dxfId="3380" priority="3418" stopIfTrue="1" operator="between">
      <formula>1.25</formula>
      <formula>1.75</formula>
    </cfRule>
  </conditionalFormatting>
  <conditionalFormatting sqref="C196">
    <cfRule type="cellIs" dxfId="3379" priority="3411" stopIfTrue="1" operator="greaterThan">
      <formula>1.75</formula>
    </cfRule>
    <cfRule type="cellIs" dxfId="3378" priority="3412" stopIfTrue="1" operator="between">
      <formula>1.25</formula>
      <formula>1.75</formula>
    </cfRule>
  </conditionalFormatting>
  <conditionalFormatting sqref="C196">
    <cfRule type="cellIs" dxfId="3377" priority="3413" stopIfTrue="1" operator="greaterThan">
      <formula>1.75</formula>
    </cfRule>
    <cfRule type="cellIs" dxfId="3376" priority="3414" stopIfTrue="1" operator="between">
      <formula>1.25</formula>
      <formula>1.75</formula>
    </cfRule>
  </conditionalFormatting>
  <conditionalFormatting sqref="C196">
    <cfRule type="cellIs" dxfId="3375" priority="3415" stopIfTrue="1" operator="greaterThan">
      <formula>1.75</formula>
    </cfRule>
    <cfRule type="cellIs" dxfId="3374" priority="3416" stopIfTrue="1" operator="between">
      <formula>1.25</formula>
      <formula>1.75</formula>
    </cfRule>
  </conditionalFormatting>
  <conditionalFormatting sqref="D196">
    <cfRule type="cellIs" dxfId="3373" priority="3405" stopIfTrue="1" operator="greaterThan">
      <formula>1.75</formula>
    </cfRule>
    <cfRule type="cellIs" dxfId="3372" priority="3406" stopIfTrue="1" operator="between">
      <formula>1.25</formula>
      <formula>1.75</formula>
    </cfRule>
  </conditionalFormatting>
  <conditionalFormatting sqref="D196">
    <cfRule type="cellIs" dxfId="3371" priority="3407" stopIfTrue="1" operator="greaterThan">
      <formula>1.75</formula>
    </cfRule>
    <cfRule type="cellIs" dxfId="3370" priority="3408" stopIfTrue="1" operator="between">
      <formula>1.25</formula>
      <formula>1.75</formula>
    </cfRule>
  </conditionalFormatting>
  <conditionalFormatting sqref="D196">
    <cfRule type="cellIs" dxfId="3369" priority="3409" stopIfTrue="1" operator="greaterThan">
      <formula>1.75</formula>
    </cfRule>
    <cfRule type="cellIs" dxfId="3368" priority="3410" stopIfTrue="1" operator="between">
      <formula>1.25</formula>
      <formula>1.75</formula>
    </cfRule>
  </conditionalFormatting>
  <conditionalFormatting sqref="E196">
    <cfRule type="cellIs" dxfId="3367" priority="3399" stopIfTrue="1" operator="greaterThan">
      <formula>1.75</formula>
    </cfRule>
    <cfRule type="cellIs" dxfId="3366" priority="3400" stopIfTrue="1" operator="between">
      <formula>1.25</formula>
      <formula>1.75</formula>
    </cfRule>
  </conditionalFormatting>
  <conditionalFormatting sqref="E196">
    <cfRule type="cellIs" dxfId="3365" priority="3401" stopIfTrue="1" operator="greaterThan">
      <formula>1.75</formula>
    </cfRule>
    <cfRule type="cellIs" dxfId="3364" priority="3402" stopIfTrue="1" operator="between">
      <formula>1.25</formula>
      <formula>1.75</formula>
    </cfRule>
  </conditionalFormatting>
  <conditionalFormatting sqref="E196">
    <cfRule type="cellIs" dxfId="3363" priority="3403" stopIfTrue="1" operator="greaterThan">
      <formula>1.75</formula>
    </cfRule>
    <cfRule type="cellIs" dxfId="3362" priority="3404" stopIfTrue="1" operator="between">
      <formula>1.25</formula>
      <formula>1.75</formula>
    </cfRule>
  </conditionalFormatting>
  <conditionalFormatting sqref="E194">
    <cfRule type="cellIs" dxfId="3361" priority="3395" stopIfTrue="1" operator="greaterThan">
      <formula>1.75</formula>
    </cfRule>
    <cfRule type="cellIs" dxfId="3360" priority="3396" stopIfTrue="1" operator="between">
      <formula>1.25</formula>
      <formula>1.75</formula>
    </cfRule>
  </conditionalFormatting>
  <conditionalFormatting sqref="E194">
    <cfRule type="cellIs" dxfId="3359" priority="3393" stopIfTrue="1" operator="greaterThan">
      <formula>1.75</formula>
    </cfRule>
    <cfRule type="cellIs" dxfId="3358" priority="3394" stopIfTrue="1" operator="between">
      <formula>1.25</formula>
      <formula>1.75</formula>
    </cfRule>
  </conditionalFormatting>
  <conditionalFormatting sqref="E194">
    <cfRule type="cellIs" dxfId="3357" priority="3397" stopIfTrue="1" operator="greaterThan">
      <formula>1.75</formula>
    </cfRule>
    <cfRule type="cellIs" dxfId="3356" priority="3398" stopIfTrue="1" operator="between">
      <formula>1.25</formula>
      <formula>1.75</formula>
    </cfRule>
  </conditionalFormatting>
  <conditionalFormatting sqref="F196">
    <cfRule type="cellIs" dxfId="3355" priority="3387" stopIfTrue="1" operator="greaterThan">
      <formula>1.75</formula>
    </cfRule>
    <cfRule type="cellIs" dxfId="3354" priority="3388" stopIfTrue="1" operator="between">
      <formula>1.25</formula>
      <formula>1.75</formula>
    </cfRule>
  </conditionalFormatting>
  <conditionalFormatting sqref="F196">
    <cfRule type="cellIs" dxfId="3353" priority="3389" stopIfTrue="1" operator="greaterThan">
      <formula>1.75</formula>
    </cfRule>
    <cfRule type="cellIs" dxfId="3352" priority="3390" stopIfTrue="1" operator="between">
      <formula>1.25</formula>
      <formula>1.75</formula>
    </cfRule>
  </conditionalFormatting>
  <conditionalFormatting sqref="F196">
    <cfRule type="cellIs" dxfId="3351" priority="3391" stopIfTrue="1" operator="greaterThan">
      <formula>1.75</formula>
    </cfRule>
    <cfRule type="cellIs" dxfId="3350" priority="3392" stopIfTrue="1" operator="between">
      <formula>1.25</formula>
      <formula>1.75</formula>
    </cfRule>
  </conditionalFormatting>
  <conditionalFormatting sqref="G196">
    <cfRule type="cellIs" dxfId="3349" priority="3383" stopIfTrue="1" operator="greaterThan">
      <formula>1.75</formula>
    </cfRule>
    <cfRule type="cellIs" dxfId="3348" priority="3384" stopIfTrue="1" operator="between">
      <formula>1.25</formula>
      <formula>1.75</formula>
    </cfRule>
  </conditionalFormatting>
  <conditionalFormatting sqref="G196">
    <cfRule type="cellIs" dxfId="3347" priority="3385" stopIfTrue="1" operator="greaterThan">
      <formula>1.75</formula>
    </cfRule>
    <cfRule type="cellIs" dxfId="3346" priority="3386" stopIfTrue="1" operator="between">
      <formula>1.25</formula>
      <formula>1.75</formula>
    </cfRule>
  </conditionalFormatting>
  <conditionalFormatting sqref="H196">
    <cfRule type="cellIs" dxfId="3345" priority="3375" stopIfTrue="1" operator="greaterThan">
      <formula>1.75</formula>
    </cfRule>
    <cfRule type="cellIs" dxfId="3344" priority="3376" stopIfTrue="1" operator="between">
      <formula>1.25</formula>
      <formula>1.75</formula>
    </cfRule>
  </conditionalFormatting>
  <conditionalFormatting sqref="I196">
    <cfRule type="cellIs" dxfId="3343" priority="3369" stopIfTrue="1" operator="greaterThan">
      <formula>1.75</formula>
    </cfRule>
    <cfRule type="cellIs" dxfId="3342" priority="3370" stopIfTrue="1" operator="between">
      <formula>1.25</formula>
      <formula>1.75</formula>
    </cfRule>
  </conditionalFormatting>
  <conditionalFormatting sqref="I196">
    <cfRule type="cellIs" dxfId="3341" priority="3371" stopIfTrue="1" operator="greaterThan">
      <formula>1.75</formula>
    </cfRule>
    <cfRule type="cellIs" dxfId="3340" priority="3372" stopIfTrue="1" operator="between">
      <formula>1.25</formula>
      <formula>1.75</formula>
    </cfRule>
  </conditionalFormatting>
  <conditionalFormatting sqref="I196">
    <cfRule type="cellIs" dxfId="3339" priority="3373" stopIfTrue="1" operator="greaterThan">
      <formula>1.75</formula>
    </cfRule>
    <cfRule type="cellIs" dxfId="3338" priority="3374" stopIfTrue="1" operator="between">
      <formula>1.25</formula>
      <formula>1.75</formula>
    </cfRule>
  </conditionalFormatting>
  <conditionalFormatting sqref="J196">
    <cfRule type="cellIs" dxfId="3337" priority="3363" stopIfTrue="1" operator="greaterThan">
      <formula>1.75</formula>
    </cfRule>
    <cfRule type="cellIs" dxfId="3336" priority="3364" stopIfTrue="1" operator="between">
      <formula>1.25</formula>
      <formula>1.75</formula>
    </cfRule>
  </conditionalFormatting>
  <conditionalFormatting sqref="J196">
    <cfRule type="cellIs" dxfId="3335" priority="3365" stopIfTrue="1" operator="greaterThan">
      <formula>1.75</formula>
    </cfRule>
    <cfRule type="cellIs" dxfId="3334" priority="3366" stopIfTrue="1" operator="between">
      <formula>1.25</formula>
      <formula>1.75</formula>
    </cfRule>
  </conditionalFormatting>
  <conditionalFormatting sqref="J196">
    <cfRule type="cellIs" dxfId="3333" priority="3367" stopIfTrue="1" operator="greaterThan">
      <formula>1.75</formula>
    </cfRule>
    <cfRule type="cellIs" dxfId="3332" priority="3368" stopIfTrue="1" operator="between">
      <formula>1.25</formula>
      <formula>1.75</formula>
    </cfRule>
  </conditionalFormatting>
  <conditionalFormatting sqref="K196">
    <cfRule type="cellIs" dxfId="3331" priority="3357" stopIfTrue="1" operator="greaterThan">
      <formula>1.75</formula>
    </cfRule>
    <cfRule type="cellIs" dxfId="3330" priority="3358" stopIfTrue="1" operator="between">
      <formula>1.25</formula>
      <formula>1.75</formula>
    </cfRule>
  </conditionalFormatting>
  <conditionalFormatting sqref="K196">
    <cfRule type="cellIs" dxfId="3329" priority="3359" stopIfTrue="1" operator="greaterThan">
      <formula>1.75</formula>
    </cfRule>
    <cfRule type="cellIs" dxfId="3328" priority="3360" stopIfTrue="1" operator="between">
      <formula>1.25</formula>
      <formula>1.75</formula>
    </cfRule>
  </conditionalFormatting>
  <conditionalFormatting sqref="K196">
    <cfRule type="cellIs" dxfId="3327" priority="3361" stopIfTrue="1" operator="greaterThan">
      <formula>1.75</formula>
    </cfRule>
    <cfRule type="cellIs" dxfId="3326" priority="3362" stopIfTrue="1" operator="between">
      <formula>1.25</formula>
      <formula>1.75</formula>
    </cfRule>
  </conditionalFormatting>
  <conditionalFormatting sqref="L196">
    <cfRule type="cellIs" dxfId="3325" priority="3351" stopIfTrue="1" operator="greaterThan">
      <formula>1.75</formula>
    </cfRule>
    <cfRule type="cellIs" dxfId="3324" priority="3352" stopIfTrue="1" operator="between">
      <formula>1.25</formula>
      <formula>1.75</formula>
    </cfRule>
  </conditionalFormatting>
  <conditionalFormatting sqref="L196">
    <cfRule type="cellIs" dxfId="3323" priority="3353" stopIfTrue="1" operator="greaterThan">
      <formula>1.75</formula>
    </cfRule>
    <cfRule type="cellIs" dxfId="3322" priority="3354" stopIfTrue="1" operator="between">
      <formula>1.25</formula>
      <formula>1.75</formula>
    </cfRule>
  </conditionalFormatting>
  <conditionalFormatting sqref="L196">
    <cfRule type="cellIs" dxfId="3321" priority="3355" stopIfTrue="1" operator="greaterThan">
      <formula>1.75</formula>
    </cfRule>
    <cfRule type="cellIs" dxfId="3320" priority="3356" stopIfTrue="1" operator="between">
      <formula>1.25</formula>
      <formula>1.75</formula>
    </cfRule>
  </conditionalFormatting>
  <conditionalFormatting sqref="F194">
    <cfRule type="cellIs" dxfId="3319" priority="3347" stopIfTrue="1" operator="greaterThan">
      <formula>1.75</formula>
    </cfRule>
    <cfRule type="cellIs" dxfId="3318" priority="3348" stopIfTrue="1" operator="between">
      <formula>1.25</formula>
      <formula>1.75</formula>
    </cfRule>
  </conditionalFormatting>
  <conditionalFormatting sqref="F194">
    <cfRule type="cellIs" dxfId="3317" priority="3345" stopIfTrue="1" operator="greaterThan">
      <formula>1.75</formula>
    </cfRule>
    <cfRule type="cellIs" dxfId="3316" priority="3346" stopIfTrue="1" operator="between">
      <formula>1.25</formula>
      <formula>1.75</formula>
    </cfRule>
  </conditionalFormatting>
  <conditionalFormatting sqref="F194">
    <cfRule type="cellIs" dxfId="3315" priority="3349" stopIfTrue="1" operator="greaterThan">
      <formula>1.75</formula>
    </cfRule>
    <cfRule type="cellIs" dxfId="3314" priority="3350" stopIfTrue="1" operator="between">
      <formula>1.25</formula>
      <formula>1.75</formula>
    </cfRule>
  </conditionalFormatting>
  <conditionalFormatting sqref="G194">
    <cfRule type="cellIs" dxfId="3313" priority="3341" stopIfTrue="1" operator="greaterThan">
      <formula>1.75</formula>
    </cfRule>
    <cfRule type="cellIs" dxfId="3312" priority="3342" stopIfTrue="1" operator="between">
      <formula>1.25</formula>
      <formula>1.75</formula>
    </cfRule>
  </conditionalFormatting>
  <conditionalFormatting sqref="G194">
    <cfRule type="cellIs" dxfId="3311" priority="3339" stopIfTrue="1" operator="greaterThan">
      <formula>1.75</formula>
    </cfRule>
    <cfRule type="cellIs" dxfId="3310" priority="3340" stopIfTrue="1" operator="between">
      <formula>1.25</formula>
      <formula>1.75</formula>
    </cfRule>
  </conditionalFormatting>
  <conditionalFormatting sqref="G194">
    <cfRule type="cellIs" dxfId="3309" priority="3343" stopIfTrue="1" operator="greaterThan">
      <formula>1.75</formula>
    </cfRule>
    <cfRule type="cellIs" dxfId="3308" priority="3344" stopIfTrue="1" operator="between">
      <formula>1.25</formula>
      <formula>1.75</formula>
    </cfRule>
  </conditionalFormatting>
  <conditionalFormatting sqref="H194">
    <cfRule type="cellIs" dxfId="3307" priority="3335" stopIfTrue="1" operator="greaterThan">
      <formula>1.75</formula>
    </cfRule>
    <cfRule type="cellIs" dxfId="3306" priority="3336" stopIfTrue="1" operator="between">
      <formula>1.25</formula>
      <formula>1.75</formula>
    </cfRule>
  </conditionalFormatting>
  <conditionalFormatting sqref="H194">
    <cfRule type="cellIs" dxfId="3305" priority="3333" stopIfTrue="1" operator="greaterThan">
      <formula>1.75</formula>
    </cfRule>
    <cfRule type="cellIs" dxfId="3304" priority="3334" stopIfTrue="1" operator="between">
      <formula>1.25</formula>
      <formula>1.75</formula>
    </cfRule>
  </conditionalFormatting>
  <conditionalFormatting sqref="H194">
    <cfRule type="cellIs" dxfId="3303" priority="3337" stopIfTrue="1" operator="greaterThan">
      <formula>1.75</formula>
    </cfRule>
    <cfRule type="cellIs" dxfId="3302" priority="3338" stopIfTrue="1" operator="between">
      <formula>1.25</formula>
      <formula>1.75</formula>
    </cfRule>
  </conditionalFormatting>
  <conditionalFormatting sqref="I194">
    <cfRule type="cellIs" dxfId="3301" priority="3329" stopIfTrue="1" operator="greaterThan">
      <formula>1.75</formula>
    </cfRule>
    <cfRule type="cellIs" dxfId="3300" priority="3330" stopIfTrue="1" operator="between">
      <formula>1.25</formula>
      <formula>1.75</formula>
    </cfRule>
  </conditionalFormatting>
  <conditionalFormatting sqref="I194">
    <cfRule type="cellIs" dxfId="3299" priority="3327" stopIfTrue="1" operator="greaterThan">
      <formula>1.75</formula>
    </cfRule>
    <cfRule type="cellIs" dxfId="3298" priority="3328" stopIfTrue="1" operator="between">
      <formula>1.25</formula>
      <formula>1.75</formula>
    </cfRule>
  </conditionalFormatting>
  <conditionalFormatting sqref="I194">
    <cfRule type="cellIs" dxfId="3297" priority="3331" stopIfTrue="1" operator="greaterThan">
      <formula>1.75</formula>
    </cfRule>
    <cfRule type="cellIs" dxfId="3296" priority="3332" stopIfTrue="1" operator="between">
      <formula>1.25</formula>
      <formula>1.75</formula>
    </cfRule>
  </conditionalFormatting>
  <conditionalFormatting sqref="J194">
    <cfRule type="cellIs" dxfId="3295" priority="3323" stopIfTrue="1" operator="greaterThan">
      <formula>1.75</formula>
    </cfRule>
    <cfRule type="cellIs" dxfId="3294" priority="3324" stopIfTrue="1" operator="between">
      <formula>1.25</formula>
      <formula>1.75</formula>
    </cfRule>
  </conditionalFormatting>
  <conditionalFormatting sqref="J194">
    <cfRule type="cellIs" dxfId="3293" priority="3321" stopIfTrue="1" operator="greaterThan">
      <formula>1.75</formula>
    </cfRule>
    <cfRule type="cellIs" dxfId="3292" priority="3322" stopIfTrue="1" operator="between">
      <formula>1.25</formula>
      <formula>1.75</formula>
    </cfRule>
  </conditionalFormatting>
  <conditionalFormatting sqref="J194">
    <cfRule type="cellIs" dxfId="3291" priority="3325" stopIfTrue="1" operator="greaterThan">
      <formula>1.75</formula>
    </cfRule>
    <cfRule type="cellIs" dxfId="3290" priority="3326" stopIfTrue="1" operator="between">
      <formula>1.25</formula>
      <formula>1.75</formula>
    </cfRule>
  </conditionalFormatting>
  <conditionalFormatting sqref="K194">
    <cfRule type="cellIs" dxfId="3289" priority="3317" stopIfTrue="1" operator="greaterThan">
      <formula>1.75</formula>
    </cfRule>
    <cfRule type="cellIs" dxfId="3288" priority="3318" stopIfTrue="1" operator="between">
      <formula>1.25</formula>
      <formula>1.75</formula>
    </cfRule>
  </conditionalFormatting>
  <conditionalFormatting sqref="K194">
    <cfRule type="cellIs" dxfId="3287" priority="3315" stopIfTrue="1" operator="greaterThan">
      <formula>1.75</formula>
    </cfRule>
    <cfRule type="cellIs" dxfId="3286" priority="3316" stopIfTrue="1" operator="between">
      <formula>1.25</formula>
      <formula>1.75</formula>
    </cfRule>
  </conditionalFormatting>
  <conditionalFormatting sqref="K194">
    <cfRule type="cellIs" dxfId="3285" priority="3319" stopIfTrue="1" operator="greaterThan">
      <formula>1.75</formula>
    </cfRule>
    <cfRule type="cellIs" dxfId="3284" priority="3320" stopIfTrue="1" operator="between">
      <formula>1.25</formula>
      <formula>1.75</formula>
    </cfRule>
  </conditionalFormatting>
  <conditionalFormatting sqref="L194">
    <cfRule type="cellIs" dxfId="3283" priority="3311" stopIfTrue="1" operator="greaterThan">
      <formula>1.75</formula>
    </cfRule>
    <cfRule type="cellIs" dxfId="3282" priority="3312" stopIfTrue="1" operator="between">
      <formula>1.25</formula>
      <formula>1.75</formula>
    </cfRule>
  </conditionalFormatting>
  <conditionalFormatting sqref="L194">
    <cfRule type="cellIs" dxfId="3281" priority="3309" stopIfTrue="1" operator="greaterThan">
      <formula>1.75</formula>
    </cfRule>
    <cfRule type="cellIs" dxfId="3280" priority="3310" stopIfTrue="1" operator="between">
      <formula>1.25</formula>
      <formula>1.75</formula>
    </cfRule>
  </conditionalFormatting>
  <conditionalFormatting sqref="L194">
    <cfRule type="cellIs" dxfId="3279" priority="3313" stopIfTrue="1" operator="greaterThan">
      <formula>1.75</formula>
    </cfRule>
    <cfRule type="cellIs" dxfId="3278" priority="3314" stopIfTrue="1" operator="between">
      <formula>1.25</formula>
      <formula>1.75</formula>
    </cfRule>
  </conditionalFormatting>
  <conditionalFormatting sqref="W194">
    <cfRule type="cellIs" dxfId="3277" priority="3307" stopIfTrue="1" operator="greaterThan">
      <formula>1.75</formula>
    </cfRule>
    <cfRule type="cellIs" dxfId="3276" priority="3308" stopIfTrue="1" operator="between">
      <formula>1.25</formula>
      <formula>1.75</formula>
    </cfRule>
  </conditionalFormatting>
  <conditionalFormatting sqref="W196">
    <cfRule type="cellIs" dxfId="3275" priority="3305" stopIfTrue="1" operator="greaterThan">
      <formula>1.75</formula>
    </cfRule>
    <cfRule type="cellIs" dxfId="3274" priority="3306" stopIfTrue="1" operator="between">
      <formula>1.25</formula>
      <formula>1.75</formula>
    </cfRule>
  </conditionalFormatting>
  <conditionalFormatting sqref="W196">
    <cfRule type="cellIs" dxfId="3273" priority="3303" stopIfTrue="1" operator="greaterThan">
      <formula>1.75</formula>
    </cfRule>
    <cfRule type="cellIs" dxfId="3272" priority="3304" stopIfTrue="1" operator="between">
      <formula>1.25</formula>
      <formula>1.75</formula>
    </cfRule>
  </conditionalFormatting>
  <conditionalFormatting sqref="W196">
    <cfRule type="cellIs" dxfId="3271" priority="3301" stopIfTrue="1" operator="greaterThan">
      <formula>1.75</formula>
    </cfRule>
    <cfRule type="cellIs" dxfId="3270" priority="3302" stopIfTrue="1" operator="between">
      <formula>1.25</formula>
      <formula>1.75</formula>
    </cfRule>
  </conditionalFormatting>
  <conditionalFormatting sqref="X194">
    <cfRule type="cellIs" dxfId="3269" priority="3299" stopIfTrue="1" operator="greaterThan">
      <formula>1.75</formula>
    </cfRule>
    <cfRule type="cellIs" dxfId="3268" priority="3300" stopIfTrue="1" operator="between">
      <formula>1.25</formula>
      <formula>1.75</formula>
    </cfRule>
  </conditionalFormatting>
  <conditionalFormatting sqref="X196">
    <cfRule type="cellIs" dxfId="3267" priority="3297" stopIfTrue="1" operator="greaterThan">
      <formula>1.75</formula>
    </cfRule>
    <cfRule type="cellIs" dxfId="3266" priority="3298" stopIfTrue="1" operator="between">
      <formula>1.25</formula>
      <formula>1.75</formula>
    </cfRule>
  </conditionalFormatting>
  <conditionalFormatting sqref="X196">
    <cfRule type="cellIs" dxfId="3265" priority="3295" stopIfTrue="1" operator="greaterThan">
      <formula>1.75</formula>
    </cfRule>
    <cfRule type="cellIs" dxfId="3264" priority="3296" stopIfTrue="1" operator="between">
      <formula>1.25</formula>
      <formula>1.75</formula>
    </cfRule>
  </conditionalFormatting>
  <conditionalFormatting sqref="X196">
    <cfRule type="cellIs" dxfId="3263" priority="3293" stopIfTrue="1" operator="greaterThan">
      <formula>1.75</formula>
    </cfRule>
    <cfRule type="cellIs" dxfId="3262" priority="3294" stopIfTrue="1" operator="between">
      <formula>1.25</formula>
      <formula>1.75</formula>
    </cfRule>
  </conditionalFormatting>
  <conditionalFormatting sqref="D180">
    <cfRule type="cellIs" dxfId="3261" priority="3237" stopIfTrue="1" operator="greaterThan">
      <formula>1.75</formula>
    </cfRule>
    <cfRule type="cellIs" dxfId="3260" priority="3238" stopIfTrue="1" operator="between">
      <formula>1.25</formula>
      <formula>1.75</formula>
    </cfRule>
  </conditionalFormatting>
  <conditionalFormatting sqref="Q180">
    <cfRule type="cellIs" dxfId="3259" priority="3275" stopIfTrue="1" operator="greaterThan">
      <formula>1.75</formula>
    </cfRule>
    <cfRule type="cellIs" dxfId="3258" priority="3276" stopIfTrue="1" operator="between">
      <formula>1.25</formula>
      <formula>1.75</formula>
    </cfRule>
  </conditionalFormatting>
  <conditionalFormatting sqref="M180:O180">
    <cfRule type="cellIs" dxfId="3257" priority="3289" stopIfTrue="1" operator="greaterThan">
      <formula>1.75</formula>
    </cfRule>
    <cfRule type="cellIs" dxfId="3256" priority="3290" stopIfTrue="1" operator="between">
      <formula>1.25</formula>
      <formula>1.75</formula>
    </cfRule>
  </conditionalFormatting>
  <conditionalFormatting sqref="M180:O180">
    <cfRule type="cellIs" dxfId="3255" priority="3287" stopIfTrue="1" operator="greaterThan">
      <formula>1.75</formula>
    </cfRule>
    <cfRule type="cellIs" dxfId="3254" priority="3288" stopIfTrue="1" operator="between">
      <formula>1.25</formula>
      <formula>1.75</formula>
    </cfRule>
  </conditionalFormatting>
  <conditionalFormatting sqref="P180">
    <cfRule type="cellIs" dxfId="3253" priority="3285" stopIfTrue="1" operator="greaterThan">
      <formula>1.75</formula>
    </cfRule>
    <cfRule type="cellIs" dxfId="3252" priority="3286" stopIfTrue="1" operator="between">
      <formula>1.25</formula>
      <formula>1.75</formula>
    </cfRule>
  </conditionalFormatting>
  <conditionalFormatting sqref="P180">
    <cfRule type="cellIs" dxfId="3251" priority="3283" stopIfTrue="1" operator="greaterThan">
      <formula>1.75</formula>
    </cfRule>
    <cfRule type="cellIs" dxfId="3250" priority="3284" stopIfTrue="1" operator="between">
      <formula>1.25</formula>
      <formula>1.75</formula>
    </cfRule>
  </conditionalFormatting>
  <conditionalFormatting sqref="P180">
    <cfRule type="cellIs" dxfId="3249" priority="3281" stopIfTrue="1" operator="greaterThan">
      <formula>1.75</formula>
    </cfRule>
    <cfRule type="cellIs" dxfId="3248" priority="3282" stopIfTrue="1" operator="between">
      <formula>1.25</formula>
      <formula>1.75</formula>
    </cfRule>
  </conditionalFormatting>
  <conditionalFormatting sqref="U180">
    <cfRule type="cellIs" dxfId="3247" priority="3279" stopIfTrue="1" operator="greaterThan">
      <formula>1.75</formula>
    </cfRule>
    <cfRule type="cellIs" dxfId="3246" priority="3280" stopIfTrue="1" operator="between">
      <formula>1.25</formula>
      <formula>1.75</formula>
    </cfRule>
  </conditionalFormatting>
  <conditionalFormatting sqref="T180">
    <cfRule type="cellIs" dxfId="3245" priority="3277" stopIfTrue="1" operator="greaterThan">
      <formula>1.75</formula>
    </cfRule>
    <cfRule type="cellIs" dxfId="3244" priority="3278" stopIfTrue="1" operator="between">
      <formula>1.25</formula>
      <formula>1.75</formula>
    </cfRule>
  </conditionalFormatting>
  <conditionalFormatting sqref="Q180">
    <cfRule type="cellIs" dxfId="3243" priority="3273" stopIfTrue="1" operator="greaterThan">
      <formula>1.75</formula>
    </cfRule>
    <cfRule type="cellIs" dxfId="3242" priority="3274" stopIfTrue="1" operator="between">
      <formula>1.25</formula>
      <formula>1.75</formula>
    </cfRule>
  </conditionalFormatting>
  <conditionalFormatting sqref="Q180">
    <cfRule type="cellIs" dxfId="3241" priority="3271" stopIfTrue="1" operator="greaterThan">
      <formula>1.75</formula>
    </cfRule>
    <cfRule type="cellIs" dxfId="3240" priority="3272" stopIfTrue="1" operator="between">
      <formula>1.25</formula>
      <formula>1.75</formula>
    </cfRule>
  </conditionalFormatting>
  <conditionalFormatting sqref="R180">
    <cfRule type="cellIs" dxfId="3239" priority="3269" stopIfTrue="1" operator="greaterThan">
      <formula>1.75</formula>
    </cfRule>
    <cfRule type="cellIs" dxfId="3238" priority="3270" stopIfTrue="1" operator="between">
      <formula>1.25</formula>
      <formula>1.75</formula>
    </cfRule>
  </conditionalFormatting>
  <conditionalFormatting sqref="R180">
    <cfRule type="cellIs" dxfId="3237" priority="3267" stopIfTrue="1" operator="greaterThan">
      <formula>1.75</formula>
    </cfRule>
    <cfRule type="cellIs" dxfId="3236" priority="3268" stopIfTrue="1" operator="between">
      <formula>1.25</formula>
      <formula>1.75</formula>
    </cfRule>
  </conditionalFormatting>
  <conditionalFormatting sqref="R180">
    <cfRule type="cellIs" dxfId="3235" priority="3265" stopIfTrue="1" operator="greaterThan">
      <formula>1.75</formula>
    </cfRule>
    <cfRule type="cellIs" dxfId="3234" priority="3266" stopIfTrue="1" operator="between">
      <formula>1.25</formula>
      <formula>1.75</formula>
    </cfRule>
  </conditionalFormatting>
  <conditionalFormatting sqref="S180">
    <cfRule type="cellIs" dxfId="3233" priority="3261" stopIfTrue="1" operator="greaterThan">
      <formula>1.75</formula>
    </cfRule>
    <cfRule type="cellIs" dxfId="3232" priority="3262" stopIfTrue="1" operator="between">
      <formula>1.25</formula>
      <formula>1.75</formula>
    </cfRule>
  </conditionalFormatting>
  <conditionalFormatting sqref="S180">
    <cfRule type="cellIs" dxfId="3231" priority="3259" stopIfTrue="1" operator="greaterThan">
      <formula>1.75</formula>
    </cfRule>
    <cfRule type="cellIs" dxfId="3230" priority="3260" stopIfTrue="1" operator="between">
      <formula>1.25</formula>
      <formula>1.75</formula>
    </cfRule>
  </conditionalFormatting>
  <conditionalFormatting sqref="S180">
    <cfRule type="cellIs" dxfId="3229" priority="3263" stopIfTrue="1" operator="greaterThan">
      <formula>1.75</formula>
    </cfRule>
    <cfRule type="cellIs" dxfId="3228" priority="3264" stopIfTrue="1" operator="between">
      <formula>1.25</formula>
      <formula>1.75</formula>
    </cfRule>
  </conditionalFormatting>
  <conditionalFormatting sqref="M180:O180">
    <cfRule type="cellIs" dxfId="3227" priority="3291" stopIfTrue="1" operator="greaterThan">
      <formula>1.75</formula>
    </cfRule>
    <cfRule type="cellIs" dxfId="3226" priority="3292" stopIfTrue="1" operator="between">
      <formula>1.25</formula>
      <formula>1.75</formula>
    </cfRule>
  </conditionalFormatting>
  <conditionalFormatting sqref="H182">
    <cfRule type="cellIs" dxfId="3225" priority="3193" stopIfTrue="1" operator="greaterThan">
      <formula>1.75</formula>
    </cfRule>
    <cfRule type="cellIs" dxfId="3224" priority="3194" stopIfTrue="1" operator="between">
      <formula>1.25</formula>
      <formula>1.75</formula>
    </cfRule>
  </conditionalFormatting>
  <conditionalFormatting sqref="H182">
    <cfRule type="cellIs" dxfId="3223" priority="3195" stopIfTrue="1" operator="greaterThan">
      <formula>1.75</formula>
    </cfRule>
    <cfRule type="cellIs" dxfId="3222" priority="3196" stopIfTrue="1" operator="between">
      <formula>1.25</formula>
      <formula>1.75</formula>
    </cfRule>
  </conditionalFormatting>
  <conditionalFormatting sqref="M182:U182">
    <cfRule type="cellIs" dxfId="3221" priority="3257" stopIfTrue="1" operator="greaterThan">
      <formula>1.75</formula>
    </cfRule>
    <cfRule type="cellIs" dxfId="3220" priority="3258" stopIfTrue="1" operator="between">
      <formula>1.25</formula>
      <formula>1.75</formula>
    </cfRule>
  </conditionalFormatting>
  <conditionalFormatting sqref="M182:U182">
    <cfRule type="cellIs" dxfId="3219" priority="3255" stopIfTrue="1" operator="greaterThan">
      <formula>1.75</formula>
    </cfRule>
    <cfRule type="cellIs" dxfId="3218" priority="3256" stopIfTrue="1" operator="between">
      <formula>1.25</formula>
      <formula>1.75</formula>
    </cfRule>
  </conditionalFormatting>
  <conditionalFormatting sqref="M182:U182">
    <cfRule type="cellIs" dxfId="3217" priority="3253" stopIfTrue="1" operator="greaterThan">
      <formula>1.75</formula>
    </cfRule>
    <cfRule type="cellIs" dxfId="3216" priority="3254" stopIfTrue="1" operator="between">
      <formula>1.25</formula>
      <formula>1.75</formula>
    </cfRule>
  </conditionalFormatting>
  <conditionalFormatting sqref="G182">
    <cfRule type="cellIs" dxfId="3215" priority="3197" stopIfTrue="1" operator="greaterThan">
      <formula>1.75</formula>
    </cfRule>
    <cfRule type="cellIs" dxfId="3214" priority="3198" stopIfTrue="1" operator="between">
      <formula>1.25</formula>
      <formula>1.75</formula>
    </cfRule>
  </conditionalFormatting>
  <conditionalFormatting sqref="V180">
    <cfRule type="cellIs" dxfId="3213" priority="3251" stopIfTrue="1" operator="greaterThan">
      <formula>1.75</formula>
    </cfRule>
    <cfRule type="cellIs" dxfId="3212" priority="3252" stopIfTrue="1" operator="between">
      <formula>1.25</formula>
      <formula>1.75</formula>
    </cfRule>
  </conditionalFormatting>
  <conditionalFormatting sqref="V182">
    <cfRule type="cellIs" dxfId="3211" priority="3249" stopIfTrue="1" operator="greaterThan">
      <formula>1.75</formula>
    </cfRule>
    <cfRule type="cellIs" dxfId="3210" priority="3250" stopIfTrue="1" operator="between">
      <formula>1.25</formula>
      <formula>1.75</formula>
    </cfRule>
  </conditionalFormatting>
  <conditionalFormatting sqref="V182">
    <cfRule type="cellIs" dxfId="3209" priority="3247" stopIfTrue="1" operator="greaterThan">
      <formula>1.75</formula>
    </cfRule>
    <cfRule type="cellIs" dxfId="3208" priority="3248" stopIfTrue="1" operator="between">
      <formula>1.25</formula>
      <formula>1.75</formula>
    </cfRule>
  </conditionalFormatting>
  <conditionalFormatting sqref="V182">
    <cfRule type="cellIs" dxfId="3207" priority="3245" stopIfTrue="1" operator="greaterThan">
      <formula>1.75</formula>
    </cfRule>
    <cfRule type="cellIs" dxfId="3206" priority="3246" stopIfTrue="1" operator="between">
      <formula>1.25</formula>
      <formula>1.75</formula>
    </cfRule>
  </conditionalFormatting>
  <conditionalFormatting sqref="C180">
    <cfRule type="cellIs" dxfId="3205" priority="3241" stopIfTrue="1" operator="greaterThan">
      <formula>1.75</formula>
    </cfRule>
    <cfRule type="cellIs" dxfId="3204" priority="3242" stopIfTrue="1" operator="between">
      <formula>1.25</formula>
      <formula>1.75</formula>
    </cfRule>
  </conditionalFormatting>
  <conditionalFormatting sqref="C180">
    <cfRule type="cellIs" dxfId="3203" priority="3239" stopIfTrue="1" operator="greaterThan">
      <formula>1.75</formula>
    </cfRule>
    <cfRule type="cellIs" dxfId="3202" priority="3240" stopIfTrue="1" operator="between">
      <formula>1.25</formula>
      <formula>1.75</formula>
    </cfRule>
  </conditionalFormatting>
  <conditionalFormatting sqref="C180">
    <cfRule type="cellIs" dxfId="3201" priority="3243" stopIfTrue="1" operator="greaterThan">
      <formula>1.75</formula>
    </cfRule>
    <cfRule type="cellIs" dxfId="3200" priority="3244" stopIfTrue="1" operator="between">
      <formula>1.25</formula>
      <formula>1.75</formula>
    </cfRule>
  </conditionalFormatting>
  <conditionalFormatting sqref="D180">
    <cfRule type="cellIs" dxfId="3199" priority="3235" stopIfTrue="1" operator="greaterThan">
      <formula>1.75</formula>
    </cfRule>
    <cfRule type="cellIs" dxfId="3198" priority="3236" stopIfTrue="1" operator="between">
      <formula>1.25</formula>
      <formula>1.75</formula>
    </cfRule>
  </conditionalFormatting>
  <conditionalFormatting sqref="D180">
    <cfRule type="cellIs" dxfId="3197" priority="3233" stopIfTrue="1" operator="greaterThan">
      <formula>1.75</formula>
    </cfRule>
    <cfRule type="cellIs" dxfId="3196" priority="3234" stopIfTrue="1" operator="between">
      <formula>1.25</formula>
      <formula>1.75</formula>
    </cfRule>
  </conditionalFormatting>
  <conditionalFormatting sqref="C182">
    <cfRule type="cellIs" dxfId="3195" priority="3227" stopIfTrue="1" operator="greaterThan">
      <formula>1.75</formula>
    </cfRule>
    <cfRule type="cellIs" dxfId="3194" priority="3228" stopIfTrue="1" operator="between">
      <formula>1.25</formula>
      <formula>1.75</formula>
    </cfRule>
  </conditionalFormatting>
  <conditionalFormatting sqref="C182">
    <cfRule type="cellIs" dxfId="3193" priority="3229" stopIfTrue="1" operator="greaterThan">
      <formula>1.75</formula>
    </cfRule>
    <cfRule type="cellIs" dxfId="3192" priority="3230" stopIfTrue="1" operator="between">
      <formula>1.25</formula>
      <formula>1.75</formula>
    </cfRule>
  </conditionalFormatting>
  <conditionalFormatting sqref="C182">
    <cfRule type="cellIs" dxfId="3191" priority="3231" stopIfTrue="1" operator="greaterThan">
      <formula>1.75</formula>
    </cfRule>
    <cfRule type="cellIs" dxfId="3190" priority="3232" stopIfTrue="1" operator="between">
      <formula>1.25</formula>
      <formula>1.75</formula>
    </cfRule>
  </conditionalFormatting>
  <conditionalFormatting sqref="D182">
    <cfRule type="cellIs" dxfId="3189" priority="3221" stopIfTrue="1" operator="greaterThan">
      <formula>1.75</formula>
    </cfRule>
    <cfRule type="cellIs" dxfId="3188" priority="3222" stopIfTrue="1" operator="between">
      <formula>1.25</formula>
      <formula>1.75</formula>
    </cfRule>
  </conditionalFormatting>
  <conditionalFormatting sqref="D182">
    <cfRule type="cellIs" dxfId="3187" priority="3223" stopIfTrue="1" operator="greaterThan">
      <formula>1.75</formula>
    </cfRule>
    <cfRule type="cellIs" dxfId="3186" priority="3224" stopIfTrue="1" operator="between">
      <formula>1.25</formula>
      <formula>1.75</formula>
    </cfRule>
  </conditionalFormatting>
  <conditionalFormatting sqref="D182">
    <cfRule type="cellIs" dxfId="3185" priority="3225" stopIfTrue="1" operator="greaterThan">
      <formula>1.75</formula>
    </cfRule>
    <cfRule type="cellIs" dxfId="3184" priority="3226" stopIfTrue="1" operator="between">
      <formula>1.25</formula>
      <formula>1.75</formula>
    </cfRule>
  </conditionalFormatting>
  <conditionalFormatting sqref="E182">
    <cfRule type="cellIs" dxfId="3183" priority="3215" stopIfTrue="1" operator="greaterThan">
      <formula>1.75</formula>
    </cfRule>
    <cfRule type="cellIs" dxfId="3182" priority="3216" stopIfTrue="1" operator="between">
      <formula>1.25</formula>
      <formula>1.75</formula>
    </cfRule>
  </conditionalFormatting>
  <conditionalFormatting sqref="E182">
    <cfRule type="cellIs" dxfId="3181" priority="3217" stopIfTrue="1" operator="greaterThan">
      <formula>1.75</formula>
    </cfRule>
    <cfRule type="cellIs" dxfId="3180" priority="3218" stopIfTrue="1" operator="between">
      <formula>1.25</formula>
      <formula>1.75</formula>
    </cfRule>
  </conditionalFormatting>
  <conditionalFormatting sqref="E182">
    <cfRule type="cellIs" dxfId="3179" priority="3219" stopIfTrue="1" operator="greaterThan">
      <formula>1.75</formula>
    </cfRule>
    <cfRule type="cellIs" dxfId="3178" priority="3220" stopIfTrue="1" operator="between">
      <formula>1.25</formula>
      <formula>1.75</formula>
    </cfRule>
  </conditionalFormatting>
  <conditionalFormatting sqref="E180">
    <cfRule type="cellIs" dxfId="3177" priority="3211" stopIfTrue="1" operator="greaterThan">
      <formula>1.75</formula>
    </cfRule>
    <cfRule type="cellIs" dxfId="3176" priority="3212" stopIfTrue="1" operator="between">
      <formula>1.25</formula>
      <formula>1.75</formula>
    </cfRule>
  </conditionalFormatting>
  <conditionalFormatting sqref="E180">
    <cfRule type="cellIs" dxfId="3175" priority="3209" stopIfTrue="1" operator="greaterThan">
      <formula>1.75</formula>
    </cfRule>
    <cfRule type="cellIs" dxfId="3174" priority="3210" stopIfTrue="1" operator="between">
      <formula>1.25</formula>
      <formula>1.75</formula>
    </cfRule>
  </conditionalFormatting>
  <conditionalFormatting sqref="E180">
    <cfRule type="cellIs" dxfId="3173" priority="3213" stopIfTrue="1" operator="greaterThan">
      <formula>1.75</formula>
    </cfRule>
    <cfRule type="cellIs" dxfId="3172" priority="3214" stopIfTrue="1" operator="between">
      <formula>1.25</formula>
      <formula>1.75</formula>
    </cfRule>
  </conditionalFormatting>
  <conditionalFormatting sqref="F182">
    <cfRule type="cellIs" dxfId="3171" priority="3203" stopIfTrue="1" operator="greaterThan">
      <formula>1.75</formula>
    </cfRule>
    <cfRule type="cellIs" dxfId="3170" priority="3204" stopIfTrue="1" operator="between">
      <formula>1.25</formula>
      <formula>1.75</formula>
    </cfRule>
  </conditionalFormatting>
  <conditionalFormatting sqref="F182">
    <cfRule type="cellIs" dxfId="3169" priority="3205" stopIfTrue="1" operator="greaterThan">
      <formula>1.75</formula>
    </cfRule>
    <cfRule type="cellIs" dxfId="3168" priority="3206" stopIfTrue="1" operator="between">
      <formula>1.25</formula>
      <formula>1.75</formula>
    </cfRule>
  </conditionalFormatting>
  <conditionalFormatting sqref="F182">
    <cfRule type="cellIs" dxfId="3167" priority="3207" stopIfTrue="1" operator="greaterThan">
      <formula>1.75</formula>
    </cfRule>
    <cfRule type="cellIs" dxfId="3166" priority="3208" stopIfTrue="1" operator="between">
      <formula>1.25</formula>
      <formula>1.75</formula>
    </cfRule>
  </conditionalFormatting>
  <conditionalFormatting sqref="G182">
    <cfRule type="cellIs" dxfId="3165" priority="3199" stopIfTrue="1" operator="greaterThan">
      <formula>1.75</formula>
    </cfRule>
    <cfRule type="cellIs" dxfId="3164" priority="3200" stopIfTrue="1" operator="between">
      <formula>1.25</formula>
      <formula>1.75</formula>
    </cfRule>
  </conditionalFormatting>
  <conditionalFormatting sqref="G182">
    <cfRule type="cellIs" dxfId="3163" priority="3201" stopIfTrue="1" operator="greaterThan">
      <formula>1.75</formula>
    </cfRule>
    <cfRule type="cellIs" dxfId="3162" priority="3202" stopIfTrue="1" operator="between">
      <formula>1.25</formula>
      <formula>1.75</formula>
    </cfRule>
  </conditionalFormatting>
  <conditionalFormatting sqref="H182">
    <cfRule type="cellIs" dxfId="3161" priority="3191" stopIfTrue="1" operator="greaterThan">
      <formula>1.75</formula>
    </cfRule>
    <cfRule type="cellIs" dxfId="3160" priority="3192" stopIfTrue="1" operator="between">
      <formula>1.25</formula>
      <formula>1.75</formula>
    </cfRule>
  </conditionalFormatting>
  <conditionalFormatting sqref="I182">
    <cfRule type="cellIs" dxfId="3159" priority="3185" stopIfTrue="1" operator="greaterThan">
      <formula>1.75</formula>
    </cfRule>
    <cfRule type="cellIs" dxfId="3158" priority="3186" stopIfTrue="1" operator="between">
      <formula>1.25</formula>
      <formula>1.75</formula>
    </cfRule>
  </conditionalFormatting>
  <conditionalFormatting sqref="I182">
    <cfRule type="cellIs" dxfId="3157" priority="3187" stopIfTrue="1" operator="greaterThan">
      <formula>1.75</formula>
    </cfRule>
    <cfRule type="cellIs" dxfId="3156" priority="3188" stopIfTrue="1" operator="between">
      <formula>1.25</formula>
      <formula>1.75</formula>
    </cfRule>
  </conditionalFormatting>
  <conditionalFormatting sqref="I182">
    <cfRule type="cellIs" dxfId="3155" priority="3189" stopIfTrue="1" operator="greaterThan">
      <formula>1.75</formula>
    </cfRule>
    <cfRule type="cellIs" dxfId="3154" priority="3190" stopIfTrue="1" operator="between">
      <formula>1.25</formula>
      <formula>1.75</formula>
    </cfRule>
  </conditionalFormatting>
  <conditionalFormatting sqref="J182">
    <cfRule type="cellIs" dxfId="3153" priority="3179" stopIfTrue="1" operator="greaterThan">
      <formula>1.75</formula>
    </cfRule>
    <cfRule type="cellIs" dxfId="3152" priority="3180" stopIfTrue="1" operator="between">
      <formula>1.25</formula>
      <formula>1.75</formula>
    </cfRule>
  </conditionalFormatting>
  <conditionalFormatting sqref="J182">
    <cfRule type="cellIs" dxfId="3151" priority="3181" stopIfTrue="1" operator="greaterThan">
      <formula>1.75</formula>
    </cfRule>
    <cfRule type="cellIs" dxfId="3150" priority="3182" stopIfTrue="1" operator="between">
      <formula>1.25</formula>
      <formula>1.75</formula>
    </cfRule>
  </conditionalFormatting>
  <conditionalFormatting sqref="J182">
    <cfRule type="cellIs" dxfId="3149" priority="3183" stopIfTrue="1" operator="greaterThan">
      <formula>1.75</formula>
    </cfRule>
    <cfRule type="cellIs" dxfId="3148" priority="3184" stopIfTrue="1" operator="between">
      <formula>1.25</formula>
      <formula>1.75</formula>
    </cfRule>
  </conditionalFormatting>
  <conditionalFormatting sqref="K182">
    <cfRule type="cellIs" dxfId="3147" priority="3173" stopIfTrue="1" operator="greaterThan">
      <formula>1.75</formula>
    </cfRule>
    <cfRule type="cellIs" dxfId="3146" priority="3174" stopIfTrue="1" operator="between">
      <formula>1.25</formula>
      <formula>1.75</formula>
    </cfRule>
  </conditionalFormatting>
  <conditionalFormatting sqref="K182">
    <cfRule type="cellIs" dxfId="3145" priority="3175" stopIfTrue="1" operator="greaterThan">
      <formula>1.75</formula>
    </cfRule>
    <cfRule type="cellIs" dxfId="3144" priority="3176" stopIfTrue="1" operator="between">
      <formula>1.25</formula>
      <formula>1.75</formula>
    </cfRule>
  </conditionalFormatting>
  <conditionalFormatting sqref="K182">
    <cfRule type="cellIs" dxfId="3143" priority="3177" stopIfTrue="1" operator="greaterThan">
      <formula>1.75</formula>
    </cfRule>
    <cfRule type="cellIs" dxfId="3142" priority="3178" stopIfTrue="1" operator="between">
      <formula>1.25</formula>
      <formula>1.75</formula>
    </cfRule>
  </conditionalFormatting>
  <conditionalFormatting sqref="L182">
    <cfRule type="cellIs" dxfId="3141" priority="3167" stopIfTrue="1" operator="greaterThan">
      <formula>1.75</formula>
    </cfRule>
    <cfRule type="cellIs" dxfId="3140" priority="3168" stopIfTrue="1" operator="between">
      <formula>1.25</formula>
      <formula>1.75</formula>
    </cfRule>
  </conditionalFormatting>
  <conditionalFormatting sqref="L182">
    <cfRule type="cellIs" dxfId="3139" priority="3169" stopIfTrue="1" operator="greaterThan">
      <formula>1.75</formula>
    </cfRule>
    <cfRule type="cellIs" dxfId="3138" priority="3170" stopIfTrue="1" operator="between">
      <formula>1.25</formula>
      <formula>1.75</formula>
    </cfRule>
  </conditionalFormatting>
  <conditionalFormatting sqref="L182">
    <cfRule type="cellIs" dxfId="3137" priority="3171" stopIfTrue="1" operator="greaterThan">
      <formula>1.75</formula>
    </cfRule>
    <cfRule type="cellIs" dxfId="3136" priority="3172" stopIfTrue="1" operator="between">
      <formula>1.25</formula>
      <formula>1.75</formula>
    </cfRule>
  </conditionalFormatting>
  <conditionalFormatting sqref="F180">
    <cfRule type="cellIs" dxfId="3135" priority="3163" stopIfTrue="1" operator="greaterThan">
      <formula>1.75</formula>
    </cfRule>
    <cfRule type="cellIs" dxfId="3134" priority="3164" stopIfTrue="1" operator="between">
      <formula>1.25</formula>
      <formula>1.75</formula>
    </cfRule>
  </conditionalFormatting>
  <conditionalFormatting sqref="F180">
    <cfRule type="cellIs" dxfId="3133" priority="3161" stopIfTrue="1" operator="greaterThan">
      <formula>1.75</formula>
    </cfRule>
    <cfRule type="cellIs" dxfId="3132" priority="3162" stopIfTrue="1" operator="between">
      <formula>1.25</formula>
      <formula>1.75</formula>
    </cfRule>
  </conditionalFormatting>
  <conditionalFormatting sqref="F180">
    <cfRule type="cellIs" dxfId="3131" priority="3165" stopIfTrue="1" operator="greaterThan">
      <formula>1.75</formula>
    </cfRule>
    <cfRule type="cellIs" dxfId="3130" priority="3166" stopIfTrue="1" operator="between">
      <formula>1.25</formula>
      <formula>1.75</formula>
    </cfRule>
  </conditionalFormatting>
  <conditionalFormatting sqref="G180">
    <cfRule type="cellIs" dxfId="3129" priority="3157" stopIfTrue="1" operator="greaterThan">
      <formula>1.75</formula>
    </cfRule>
    <cfRule type="cellIs" dxfId="3128" priority="3158" stopIfTrue="1" operator="between">
      <formula>1.25</formula>
      <formula>1.75</formula>
    </cfRule>
  </conditionalFormatting>
  <conditionalFormatting sqref="G180">
    <cfRule type="cellIs" dxfId="3127" priority="3155" stopIfTrue="1" operator="greaterThan">
      <formula>1.75</formula>
    </cfRule>
    <cfRule type="cellIs" dxfId="3126" priority="3156" stopIfTrue="1" operator="between">
      <formula>1.25</formula>
      <formula>1.75</formula>
    </cfRule>
  </conditionalFormatting>
  <conditionalFormatting sqref="G180">
    <cfRule type="cellIs" dxfId="3125" priority="3159" stopIfTrue="1" operator="greaterThan">
      <formula>1.75</formula>
    </cfRule>
    <cfRule type="cellIs" dxfId="3124" priority="3160" stopIfTrue="1" operator="between">
      <formula>1.25</formula>
      <formula>1.75</formula>
    </cfRule>
  </conditionalFormatting>
  <conditionalFormatting sqref="H180">
    <cfRule type="cellIs" dxfId="3123" priority="3151" stopIfTrue="1" operator="greaterThan">
      <formula>1.75</formula>
    </cfRule>
    <cfRule type="cellIs" dxfId="3122" priority="3152" stopIfTrue="1" operator="between">
      <formula>1.25</formula>
      <formula>1.75</formula>
    </cfRule>
  </conditionalFormatting>
  <conditionalFormatting sqref="H180">
    <cfRule type="cellIs" dxfId="3121" priority="3149" stopIfTrue="1" operator="greaterThan">
      <formula>1.75</formula>
    </cfRule>
    <cfRule type="cellIs" dxfId="3120" priority="3150" stopIfTrue="1" operator="between">
      <formula>1.25</formula>
      <formula>1.75</formula>
    </cfRule>
  </conditionalFormatting>
  <conditionalFormatting sqref="H180">
    <cfRule type="cellIs" dxfId="3119" priority="3153" stopIfTrue="1" operator="greaterThan">
      <formula>1.75</formula>
    </cfRule>
    <cfRule type="cellIs" dxfId="3118" priority="3154" stopIfTrue="1" operator="between">
      <formula>1.25</formula>
      <formula>1.75</formula>
    </cfRule>
  </conditionalFormatting>
  <conditionalFormatting sqref="I180">
    <cfRule type="cellIs" dxfId="3117" priority="3145" stopIfTrue="1" operator="greaterThan">
      <formula>1.75</formula>
    </cfRule>
    <cfRule type="cellIs" dxfId="3116" priority="3146" stopIfTrue="1" operator="between">
      <formula>1.25</formula>
      <formula>1.75</formula>
    </cfRule>
  </conditionalFormatting>
  <conditionalFormatting sqref="I180">
    <cfRule type="cellIs" dxfId="3115" priority="3143" stopIfTrue="1" operator="greaterThan">
      <formula>1.75</formula>
    </cfRule>
    <cfRule type="cellIs" dxfId="3114" priority="3144" stopIfTrue="1" operator="between">
      <formula>1.25</formula>
      <formula>1.75</formula>
    </cfRule>
  </conditionalFormatting>
  <conditionalFormatting sqref="I180">
    <cfRule type="cellIs" dxfId="3113" priority="3147" stopIfTrue="1" operator="greaterThan">
      <formula>1.75</formula>
    </cfRule>
    <cfRule type="cellIs" dxfId="3112" priority="3148" stopIfTrue="1" operator="between">
      <formula>1.25</formula>
      <formula>1.75</formula>
    </cfRule>
  </conditionalFormatting>
  <conditionalFormatting sqref="J180">
    <cfRule type="cellIs" dxfId="3111" priority="3139" stopIfTrue="1" operator="greaterThan">
      <formula>1.75</formula>
    </cfRule>
    <cfRule type="cellIs" dxfId="3110" priority="3140" stopIfTrue="1" operator="between">
      <formula>1.25</formula>
      <formula>1.75</formula>
    </cfRule>
  </conditionalFormatting>
  <conditionalFormatting sqref="J180">
    <cfRule type="cellIs" dxfId="3109" priority="3137" stopIfTrue="1" operator="greaterThan">
      <formula>1.75</formula>
    </cfRule>
    <cfRule type="cellIs" dxfId="3108" priority="3138" stopIfTrue="1" operator="between">
      <formula>1.25</formula>
      <formula>1.75</formula>
    </cfRule>
  </conditionalFormatting>
  <conditionalFormatting sqref="J180">
    <cfRule type="cellIs" dxfId="3107" priority="3141" stopIfTrue="1" operator="greaterThan">
      <formula>1.75</formula>
    </cfRule>
    <cfRule type="cellIs" dxfId="3106" priority="3142" stopIfTrue="1" operator="between">
      <formula>1.25</formula>
      <formula>1.75</formula>
    </cfRule>
  </conditionalFormatting>
  <conditionalFormatting sqref="K180">
    <cfRule type="cellIs" dxfId="3105" priority="3133" stopIfTrue="1" operator="greaterThan">
      <formula>1.75</formula>
    </cfRule>
    <cfRule type="cellIs" dxfId="3104" priority="3134" stopIfTrue="1" operator="between">
      <formula>1.25</formula>
      <formula>1.75</formula>
    </cfRule>
  </conditionalFormatting>
  <conditionalFormatting sqref="K180">
    <cfRule type="cellIs" dxfId="3103" priority="3131" stopIfTrue="1" operator="greaterThan">
      <formula>1.75</formula>
    </cfRule>
    <cfRule type="cellIs" dxfId="3102" priority="3132" stopIfTrue="1" operator="between">
      <formula>1.25</formula>
      <formula>1.75</formula>
    </cfRule>
  </conditionalFormatting>
  <conditionalFormatting sqref="K180">
    <cfRule type="cellIs" dxfId="3101" priority="3135" stopIfTrue="1" operator="greaterThan">
      <formula>1.75</formula>
    </cfRule>
    <cfRule type="cellIs" dxfId="3100" priority="3136" stopIfTrue="1" operator="between">
      <formula>1.25</formula>
      <formula>1.75</formula>
    </cfRule>
  </conditionalFormatting>
  <conditionalFormatting sqref="L180">
    <cfRule type="cellIs" dxfId="3099" priority="3127" stopIfTrue="1" operator="greaterThan">
      <formula>1.75</formula>
    </cfRule>
    <cfRule type="cellIs" dxfId="3098" priority="3128" stopIfTrue="1" operator="between">
      <formula>1.25</formula>
      <formula>1.75</formula>
    </cfRule>
  </conditionalFormatting>
  <conditionalFormatting sqref="L180">
    <cfRule type="cellIs" dxfId="3097" priority="3125" stopIfTrue="1" operator="greaterThan">
      <formula>1.75</formula>
    </cfRule>
    <cfRule type="cellIs" dxfId="3096" priority="3126" stopIfTrue="1" operator="between">
      <formula>1.25</formula>
      <formula>1.75</formula>
    </cfRule>
  </conditionalFormatting>
  <conditionalFormatting sqref="L180">
    <cfRule type="cellIs" dxfId="3095" priority="3129" stopIfTrue="1" operator="greaterThan">
      <formula>1.75</formula>
    </cfRule>
    <cfRule type="cellIs" dxfId="3094" priority="3130" stopIfTrue="1" operator="between">
      <formula>1.25</formula>
      <formula>1.75</formula>
    </cfRule>
  </conditionalFormatting>
  <conditionalFormatting sqref="W180">
    <cfRule type="cellIs" dxfId="3093" priority="3123" stopIfTrue="1" operator="greaterThan">
      <formula>1.75</formula>
    </cfRule>
    <cfRule type="cellIs" dxfId="3092" priority="3124" stopIfTrue="1" operator="between">
      <formula>1.25</formula>
      <formula>1.75</formula>
    </cfRule>
  </conditionalFormatting>
  <conditionalFormatting sqref="W182">
    <cfRule type="cellIs" dxfId="3091" priority="3121" stopIfTrue="1" operator="greaterThan">
      <formula>1.75</formula>
    </cfRule>
    <cfRule type="cellIs" dxfId="3090" priority="3122" stopIfTrue="1" operator="between">
      <formula>1.25</formula>
      <formula>1.75</formula>
    </cfRule>
  </conditionalFormatting>
  <conditionalFormatting sqref="W182">
    <cfRule type="cellIs" dxfId="3089" priority="3119" stopIfTrue="1" operator="greaterThan">
      <formula>1.75</formula>
    </cfRule>
    <cfRule type="cellIs" dxfId="3088" priority="3120" stopIfTrue="1" operator="between">
      <formula>1.25</formula>
      <formula>1.75</formula>
    </cfRule>
  </conditionalFormatting>
  <conditionalFormatting sqref="W182">
    <cfRule type="cellIs" dxfId="3087" priority="3117" stopIfTrue="1" operator="greaterThan">
      <formula>1.75</formula>
    </cfRule>
    <cfRule type="cellIs" dxfId="3086" priority="3118" stopIfTrue="1" operator="between">
      <formula>1.25</formula>
      <formula>1.75</formula>
    </cfRule>
  </conditionalFormatting>
  <conditionalFormatting sqref="X180">
    <cfRule type="cellIs" dxfId="3085" priority="3115" stopIfTrue="1" operator="greaterThan">
      <formula>1.75</formula>
    </cfRule>
    <cfRule type="cellIs" dxfId="3084" priority="3116" stopIfTrue="1" operator="between">
      <formula>1.25</formula>
      <formula>1.75</formula>
    </cfRule>
  </conditionalFormatting>
  <conditionalFormatting sqref="X182">
    <cfRule type="cellIs" dxfId="3083" priority="3113" stopIfTrue="1" operator="greaterThan">
      <formula>1.75</formula>
    </cfRule>
    <cfRule type="cellIs" dxfId="3082" priority="3114" stopIfTrue="1" operator="between">
      <formula>1.25</formula>
      <formula>1.75</formula>
    </cfRule>
  </conditionalFormatting>
  <conditionalFormatting sqref="X182">
    <cfRule type="cellIs" dxfId="3081" priority="3111" stopIfTrue="1" operator="greaterThan">
      <formula>1.75</formula>
    </cfRule>
    <cfRule type="cellIs" dxfId="3080" priority="3112" stopIfTrue="1" operator="between">
      <formula>1.25</formula>
      <formula>1.75</formula>
    </cfRule>
  </conditionalFormatting>
  <conditionalFormatting sqref="X182">
    <cfRule type="cellIs" dxfId="3079" priority="3109" stopIfTrue="1" operator="greaterThan">
      <formula>1.75</formula>
    </cfRule>
    <cfRule type="cellIs" dxfId="3078" priority="3110" stopIfTrue="1" operator="between">
      <formula>1.25</formula>
      <formula>1.75</formula>
    </cfRule>
  </conditionalFormatting>
  <conditionalFormatting sqref="D166">
    <cfRule type="cellIs" dxfId="3077" priority="3053" stopIfTrue="1" operator="greaterThan">
      <formula>1.75</formula>
    </cfRule>
    <cfRule type="cellIs" dxfId="3076" priority="3054" stopIfTrue="1" operator="between">
      <formula>1.25</formula>
      <formula>1.75</formula>
    </cfRule>
  </conditionalFormatting>
  <conditionalFormatting sqref="Q166">
    <cfRule type="cellIs" dxfId="3075" priority="3091" stopIfTrue="1" operator="greaterThan">
      <formula>1.75</formula>
    </cfRule>
    <cfRule type="cellIs" dxfId="3074" priority="3092" stopIfTrue="1" operator="between">
      <formula>1.25</formula>
      <formula>1.75</formula>
    </cfRule>
  </conditionalFormatting>
  <conditionalFormatting sqref="M166:O166">
    <cfRule type="cellIs" dxfId="3073" priority="3105" stopIfTrue="1" operator="greaterThan">
      <formula>1.75</formula>
    </cfRule>
    <cfRule type="cellIs" dxfId="3072" priority="3106" stopIfTrue="1" operator="between">
      <formula>1.25</formula>
      <formula>1.75</formula>
    </cfRule>
  </conditionalFormatting>
  <conditionalFormatting sqref="M166:O166">
    <cfRule type="cellIs" dxfId="3071" priority="3103" stopIfTrue="1" operator="greaterThan">
      <formula>1.75</formula>
    </cfRule>
    <cfRule type="cellIs" dxfId="3070" priority="3104" stopIfTrue="1" operator="between">
      <formula>1.25</formula>
      <formula>1.75</formula>
    </cfRule>
  </conditionalFormatting>
  <conditionalFormatting sqref="P166">
    <cfRule type="cellIs" dxfId="3069" priority="3101" stopIfTrue="1" operator="greaterThan">
      <formula>1.75</formula>
    </cfRule>
    <cfRule type="cellIs" dxfId="3068" priority="3102" stopIfTrue="1" operator="between">
      <formula>1.25</formula>
      <formula>1.75</formula>
    </cfRule>
  </conditionalFormatting>
  <conditionalFormatting sqref="P166">
    <cfRule type="cellIs" dxfId="3067" priority="3099" stopIfTrue="1" operator="greaterThan">
      <formula>1.75</formula>
    </cfRule>
    <cfRule type="cellIs" dxfId="3066" priority="3100" stopIfTrue="1" operator="between">
      <formula>1.25</formula>
      <formula>1.75</formula>
    </cfRule>
  </conditionalFormatting>
  <conditionalFormatting sqref="P166">
    <cfRule type="cellIs" dxfId="3065" priority="3097" stopIfTrue="1" operator="greaterThan">
      <formula>1.75</formula>
    </cfRule>
    <cfRule type="cellIs" dxfId="3064" priority="3098" stopIfTrue="1" operator="between">
      <formula>1.25</formula>
      <formula>1.75</formula>
    </cfRule>
  </conditionalFormatting>
  <conditionalFormatting sqref="U166">
    <cfRule type="cellIs" dxfId="3063" priority="3095" stopIfTrue="1" operator="greaterThan">
      <formula>1.75</formula>
    </cfRule>
    <cfRule type="cellIs" dxfId="3062" priority="3096" stopIfTrue="1" operator="between">
      <formula>1.25</formula>
      <formula>1.75</formula>
    </cfRule>
  </conditionalFormatting>
  <conditionalFormatting sqref="T166">
    <cfRule type="cellIs" dxfId="3061" priority="3093" stopIfTrue="1" operator="greaterThan">
      <formula>1.75</formula>
    </cfRule>
    <cfRule type="cellIs" dxfId="3060" priority="3094" stopIfTrue="1" operator="between">
      <formula>1.25</formula>
      <formula>1.75</formula>
    </cfRule>
  </conditionalFormatting>
  <conditionalFormatting sqref="Q166">
    <cfRule type="cellIs" dxfId="3059" priority="3089" stopIfTrue="1" operator="greaterThan">
      <formula>1.75</formula>
    </cfRule>
    <cfRule type="cellIs" dxfId="3058" priority="3090" stopIfTrue="1" operator="between">
      <formula>1.25</formula>
      <formula>1.75</formula>
    </cfRule>
  </conditionalFormatting>
  <conditionalFormatting sqref="Q166">
    <cfRule type="cellIs" dxfId="3057" priority="3087" stopIfTrue="1" operator="greaterThan">
      <formula>1.75</formula>
    </cfRule>
    <cfRule type="cellIs" dxfId="3056" priority="3088" stopIfTrue="1" operator="between">
      <formula>1.25</formula>
      <formula>1.75</formula>
    </cfRule>
  </conditionalFormatting>
  <conditionalFormatting sqref="R166">
    <cfRule type="cellIs" dxfId="3055" priority="3085" stopIfTrue="1" operator="greaterThan">
      <formula>1.75</formula>
    </cfRule>
    <cfRule type="cellIs" dxfId="3054" priority="3086" stopIfTrue="1" operator="between">
      <formula>1.25</formula>
      <formula>1.75</formula>
    </cfRule>
  </conditionalFormatting>
  <conditionalFormatting sqref="R166">
    <cfRule type="cellIs" dxfId="3053" priority="3083" stopIfTrue="1" operator="greaterThan">
      <formula>1.75</formula>
    </cfRule>
    <cfRule type="cellIs" dxfId="3052" priority="3084" stopIfTrue="1" operator="between">
      <formula>1.25</formula>
      <formula>1.75</formula>
    </cfRule>
  </conditionalFormatting>
  <conditionalFormatting sqref="R166">
    <cfRule type="cellIs" dxfId="3051" priority="3081" stopIfTrue="1" operator="greaterThan">
      <formula>1.75</formula>
    </cfRule>
    <cfRule type="cellIs" dxfId="3050" priority="3082" stopIfTrue="1" operator="between">
      <formula>1.25</formula>
      <formula>1.75</formula>
    </cfRule>
  </conditionalFormatting>
  <conditionalFormatting sqref="S166">
    <cfRule type="cellIs" dxfId="3049" priority="3077" stopIfTrue="1" operator="greaterThan">
      <formula>1.75</formula>
    </cfRule>
    <cfRule type="cellIs" dxfId="3048" priority="3078" stopIfTrue="1" operator="between">
      <formula>1.25</formula>
      <formula>1.75</formula>
    </cfRule>
  </conditionalFormatting>
  <conditionalFormatting sqref="S166">
    <cfRule type="cellIs" dxfId="3047" priority="3075" stopIfTrue="1" operator="greaterThan">
      <formula>1.75</formula>
    </cfRule>
    <cfRule type="cellIs" dxfId="3046" priority="3076" stopIfTrue="1" operator="between">
      <formula>1.25</formula>
      <formula>1.75</formula>
    </cfRule>
  </conditionalFormatting>
  <conditionalFormatting sqref="S166">
    <cfRule type="cellIs" dxfId="3045" priority="3079" stopIfTrue="1" operator="greaterThan">
      <formula>1.75</formula>
    </cfRule>
    <cfRule type="cellIs" dxfId="3044" priority="3080" stopIfTrue="1" operator="between">
      <formula>1.25</formula>
      <formula>1.75</formula>
    </cfRule>
  </conditionalFormatting>
  <conditionalFormatting sqref="M166:O166">
    <cfRule type="cellIs" dxfId="3043" priority="3107" stopIfTrue="1" operator="greaterThan">
      <formula>1.75</formula>
    </cfRule>
    <cfRule type="cellIs" dxfId="3042" priority="3108" stopIfTrue="1" operator="between">
      <formula>1.25</formula>
      <formula>1.75</formula>
    </cfRule>
  </conditionalFormatting>
  <conditionalFormatting sqref="H168">
    <cfRule type="cellIs" dxfId="3041" priority="3009" stopIfTrue="1" operator="greaterThan">
      <formula>1.75</formula>
    </cfRule>
    <cfRule type="cellIs" dxfId="3040" priority="3010" stopIfTrue="1" operator="between">
      <formula>1.25</formula>
      <formula>1.75</formula>
    </cfRule>
  </conditionalFormatting>
  <conditionalFormatting sqref="H168">
    <cfRule type="cellIs" dxfId="3039" priority="3011" stopIfTrue="1" operator="greaterThan">
      <formula>1.75</formula>
    </cfRule>
    <cfRule type="cellIs" dxfId="3038" priority="3012" stopIfTrue="1" operator="between">
      <formula>1.25</formula>
      <formula>1.75</formula>
    </cfRule>
  </conditionalFormatting>
  <conditionalFormatting sqref="M168:U168">
    <cfRule type="cellIs" dxfId="3037" priority="3073" stopIfTrue="1" operator="greaterThan">
      <formula>1.75</formula>
    </cfRule>
    <cfRule type="cellIs" dxfId="3036" priority="3074" stopIfTrue="1" operator="between">
      <formula>1.25</formula>
      <formula>1.75</formula>
    </cfRule>
  </conditionalFormatting>
  <conditionalFormatting sqref="M168:U168">
    <cfRule type="cellIs" dxfId="3035" priority="3071" stopIfTrue="1" operator="greaterThan">
      <formula>1.75</formula>
    </cfRule>
    <cfRule type="cellIs" dxfId="3034" priority="3072" stopIfTrue="1" operator="between">
      <formula>1.25</formula>
      <formula>1.75</formula>
    </cfRule>
  </conditionalFormatting>
  <conditionalFormatting sqref="M168:U168">
    <cfRule type="cellIs" dxfId="3033" priority="3069" stopIfTrue="1" operator="greaterThan">
      <formula>1.75</formula>
    </cfRule>
    <cfRule type="cellIs" dxfId="3032" priority="3070" stopIfTrue="1" operator="between">
      <formula>1.25</formula>
      <formula>1.75</formula>
    </cfRule>
  </conditionalFormatting>
  <conditionalFormatting sqref="G168">
    <cfRule type="cellIs" dxfId="3031" priority="3013" stopIfTrue="1" operator="greaterThan">
      <formula>1.75</formula>
    </cfRule>
    <cfRule type="cellIs" dxfId="3030" priority="3014" stopIfTrue="1" operator="between">
      <formula>1.25</formula>
      <formula>1.75</formula>
    </cfRule>
  </conditionalFormatting>
  <conditionalFormatting sqref="V166">
    <cfRule type="cellIs" dxfId="3029" priority="3067" stopIfTrue="1" operator="greaterThan">
      <formula>1.75</formula>
    </cfRule>
    <cfRule type="cellIs" dxfId="3028" priority="3068" stopIfTrue="1" operator="between">
      <formula>1.25</formula>
      <formula>1.75</formula>
    </cfRule>
  </conditionalFormatting>
  <conditionalFormatting sqref="V168">
    <cfRule type="cellIs" dxfId="3027" priority="3065" stopIfTrue="1" operator="greaterThan">
      <formula>1.75</formula>
    </cfRule>
    <cfRule type="cellIs" dxfId="3026" priority="3066" stopIfTrue="1" operator="between">
      <formula>1.25</formula>
      <formula>1.75</formula>
    </cfRule>
  </conditionalFormatting>
  <conditionalFormatting sqref="V168">
    <cfRule type="cellIs" dxfId="3025" priority="3063" stopIfTrue="1" operator="greaterThan">
      <formula>1.75</formula>
    </cfRule>
    <cfRule type="cellIs" dxfId="3024" priority="3064" stopIfTrue="1" operator="between">
      <formula>1.25</formula>
      <formula>1.75</formula>
    </cfRule>
  </conditionalFormatting>
  <conditionalFormatting sqref="V168">
    <cfRule type="cellIs" dxfId="3023" priority="3061" stopIfTrue="1" operator="greaterThan">
      <formula>1.75</formula>
    </cfRule>
    <cfRule type="cellIs" dxfId="3022" priority="3062" stopIfTrue="1" operator="between">
      <formula>1.25</formula>
      <formula>1.75</formula>
    </cfRule>
  </conditionalFormatting>
  <conditionalFormatting sqref="C166">
    <cfRule type="cellIs" dxfId="3021" priority="3057" stopIfTrue="1" operator="greaterThan">
      <formula>1.75</formula>
    </cfRule>
    <cfRule type="cellIs" dxfId="3020" priority="3058" stopIfTrue="1" operator="between">
      <formula>1.25</formula>
      <formula>1.75</formula>
    </cfRule>
  </conditionalFormatting>
  <conditionalFormatting sqref="C166">
    <cfRule type="cellIs" dxfId="3019" priority="3055" stopIfTrue="1" operator="greaterThan">
      <formula>1.75</formula>
    </cfRule>
    <cfRule type="cellIs" dxfId="3018" priority="3056" stopIfTrue="1" operator="between">
      <formula>1.25</formula>
      <formula>1.75</formula>
    </cfRule>
  </conditionalFormatting>
  <conditionalFormatting sqref="C166">
    <cfRule type="cellIs" dxfId="3017" priority="3059" stopIfTrue="1" operator="greaterThan">
      <formula>1.75</formula>
    </cfRule>
    <cfRule type="cellIs" dxfId="3016" priority="3060" stopIfTrue="1" operator="between">
      <formula>1.25</formula>
      <formula>1.75</formula>
    </cfRule>
  </conditionalFormatting>
  <conditionalFormatting sqref="D166">
    <cfRule type="cellIs" dxfId="3015" priority="3051" stopIfTrue="1" operator="greaterThan">
      <formula>1.75</formula>
    </cfRule>
    <cfRule type="cellIs" dxfId="3014" priority="3052" stopIfTrue="1" operator="between">
      <formula>1.25</formula>
      <formula>1.75</formula>
    </cfRule>
  </conditionalFormatting>
  <conditionalFormatting sqref="D166">
    <cfRule type="cellIs" dxfId="3013" priority="3049" stopIfTrue="1" operator="greaterThan">
      <formula>1.75</formula>
    </cfRule>
    <cfRule type="cellIs" dxfId="3012" priority="3050" stopIfTrue="1" operator="between">
      <formula>1.25</formula>
      <formula>1.75</formula>
    </cfRule>
  </conditionalFormatting>
  <conditionalFormatting sqref="C168">
    <cfRule type="cellIs" dxfId="3011" priority="3043" stopIfTrue="1" operator="greaterThan">
      <formula>1.75</formula>
    </cfRule>
    <cfRule type="cellIs" dxfId="3010" priority="3044" stopIfTrue="1" operator="between">
      <formula>1.25</formula>
      <formula>1.75</formula>
    </cfRule>
  </conditionalFormatting>
  <conditionalFormatting sqref="C168">
    <cfRule type="cellIs" dxfId="3009" priority="3045" stopIfTrue="1" operator="greaterThan">
      <formula>1.75</formula>
    </cfRule>
    <cfRule type="cellIs" dxfId="3008" priority="3046" stopIfTrue="1" operator="between">
      <formula>1.25</formula>
      <formula>1.75</formula>
    </cfRule>
  </conditionalFormatting>
  <conditionalFormatting sqref="C168">
    <cfRule type="cellIs" dxfId="3007" priority="3047" stopIfTrue="1" operator="greaterThan">
      <formula>1.75</formula>
    </cfRule>
    <cfRule type="cellIs" dxfId="3006" priority="3048" stopIfTrue="1" operator="between">
      <formula>1.25</formula>
      <formula>1.75</formula>
    </cfRule>
  </conditionalFormatting>
  <conditionalFormatting sqref="D168">
    <cfRule type="cellIs" dxfId="3005" priority="3037" stopIfTrue="1" operator="greaterThan">
      <formula>1.75</formula>
    </cfRule>
    <cfRule type="cellIs" dxfId="3004" priority="3038" stopIfTrue="1" operator="between">
      <formula>1.25</formula>
      <formula>1.75</formula>
    </cfRule>
  </conditionalFormatting>
  <conditionalFormatting sqref="D168">
    <cfRule type="cellIs" dxfId="3003" priority="3039" stopIfTrue="1" operator="greaterThan">
      <formula>1.75</formula>
    </cfRule>
    <cfRule type="cellIs" dxfId="3002" priority="3040" stopIfTrue="1" operator="between">
      <formula>1.25</formula>
      <formula>1.75</formula>
    </cfRule>
  </conditionalFormatting>
  <conditionalFormatting sqref="D168">
    <cfRule type="cellIs" dxfId="3001" priority="3041" stopIfTrue="1" operator="greaterThan">
      <formula>1.75</formula>
    </cfRule>
    <cfRule type="cellIs" dxfId="3000" priority="3042" stopIfTrue="1" operator="between">
      <formula>1.25</formula>
      <formula>1.75</formula>
    </cfRule>
  </conditionalFormatting>
  <conditionalFormatting sqref="E168">
    <cfRule type="cellIs" dxfId="2999" priority="3031" stopIfTrue="1" operator="greaterThan">
      <formula>1.75</formula>
    </cfRule>
    <cfRule type="cellIs" dxfId="2998" priority="3032" stopIfTrue="1" operator="between">
      <formula>1.25</formula>
      <formula>1.75</formula>
    </cfRule>
  </conditionalFormatting>
  <conditionalFormatting sqref="E168">
    <cfRule type="cellIs" dxfId="2997" priority="3033" stopIfTrue="1" operator="greaterThan">
      <formula>1.75</formula>
    </cfRule>
    <cfRule type="cellIs" dxfId="2996" priority="3034" stopIfTrue="1" operator="between">
      <formula>1.25</formula>
      <formula>1.75</formula>
    </cfRule>
  </conditionalFormatting>
  <conditionalFormatting sqref="E168">
    <cfRule type="cellIs" dxfId="2995" priority="3035" stopIfTrue="1" operator="greaterThan">
      <formula>1.75</formula>
    </cfRule>
    <cfRule type="cellIs" dxfId="2994" priority="3036" stopIfTrue="1" operator="between">
      <formula>1.25</formula>
      <formula>1.75</formula>
    </cfRule>
  </conditionalFormatting>
  <conditionalFormatting sqref="E166">
    <cfRule type="cellIs" dxfId="2993" priority="3027" stopIfTrue="1" operator="greaterThan">
      <formula>1.75</formula>
    </cfRule>
    <cfRule type="cellIs" dxfId="2992" priority="3028" stopIfTrue="1" operator="between">
      <formula>1.25</formula>
      <formula>1.75</formula>
    </cfRule>
  </conditionalFormatting>
  <conditionalFormatting sqref="E166">
    <cfRule type="cellIs" dxfId="2991" priority="3025" stopIfTrue="1" operator="greaterThan">
      <formula>1.75</formula>
    </cfRule>
    <cfRule type="cellIs" dxfId="2990" priority="3026" stopIfTrue="1" operator="between">
      <formula>1.25</formula>
      <formula>1.75</formula>
    </cfRule>
  </conditionalFormatting>
  <conditionalFormatting sqref="E166">
    <cfRule type="cellIs" dxfId="2989" priority="3029" stopIfTrue="1" operator="greaterThan">
      <formula>1.75</formula>
    </cfRule>
    <cfRule type="cellIs" dxfId="2988" priority="3030" stopIfTrue="1" operator="between">
      <formula>1.25</formula>
      <formula>1.75</formula>
    </cfRule>
  </conditionalFormatting>
  <conditionalFormatting sqref="F168">
    <cfRule type="cellIs" dxfId="2987" priority="3019" stopIfTrue="1" operator="greaterThan">
      <formula>1.75</formula>
    </cfRule>
    <cfRule type="cellIs" dxfId="2986" priority="3020" stopIfTrue="1" operator="between">
      <formula>1.25</formula>
      <formula>1.75</formula>
    </cfRule>
  </conditionalFormatting>
  <conditionalFormatting sqref="F168">
    <cfRule type="cellIs" dxfId="2985" priority="3021" stopIfTrue="1" operator="greaterThan">
      <formula>1.75</formula>
    </cfRule>
    <cfRule type="cellIs" dxfId="2984" priority="3022" stopIfTrue="1" operator="between">
      <formula>1.25</formula>
      <formula>1.75</formula>
    </cfRule>
  </conditionalFormatting>
  <conditionalFormatting sqref="F168">
    <cfRule type="cellIs" dxfId="2983" priority="3023" stopIfTrue="1" operator="greaterThan">
      <formula>1.75</formula>
    </cfRule>
    <cfRule type="cellIs" dxfId="2982" priority="3024" stopIfTrue="1" operator="between">
      <formula>1.25</formula>
      <formula>1.75</formula>
    </cfRule>
  </conditionalFormatting>
  <conditionalFormatting sqref="G168">
    <cfRule type="cellIs" dxfId="2981" priority="3015" stopIfTrue="1" operator="greaterThan">
      <formula>1.75</formula>
    </cfRule>
    <cfRule type="cellIs" dxfId="2980" priority="3016" stopIfTrue="1" operator="between">
      <formula>1.25</formula>
      <formula>1.75</formula>
    </cfRule>
  </conditionalFormatting>
  <conditionalFormatting sqref="G168">
    <cfRule type="cellIs" dxfId="2979" priority="3017" stopIfTrue="1" operator="greaterThan">
      <formula>1.75</formula>
    </cfRule>
    <cfRule type="cellIs" dxfId="2978" priority="3018" stopIfTrue="1" operator="between">
      <formula>1.25</formula>
      <formula>1.75</formula>
    </cfRule>
  </conditionalFormatting>
  <conditionalFormatting sqref="H168">
    <cfRule type="cellIs" dxfId="2977" priority="3007" stopIfTrue="1" operator="greaterThan">
      <formula>1.75</formula>
    </cfRule>
    <cfRule type="cellIs" dxfId="2976" priority="3008" stopIfTrue="1" operator="between">
      <formula>1.25</formula>
      <formula>1.75</formula>
    </cfRule>
  </conditionalFormatting>
  <conditionalFormatting sqref="I168">
    <cfRule type="cellIs" dxfId="2975" priority="3001" stopIfTrue="1" operator="greaterThan">
      <formula>1.75</formula>
    </cfRule>
    <cfRule type="cellIs" dxfId="2974" priority="3002" stopIfTrue="1" operator="between">
      <formula>1.25</formula>
      <formula>1.75</formula>
    </cfRule>
  </conditionalFormatting>
  <conditionalFormatting sqref="I168">
    <cfRule type="cellIs" dxfId="2973" priority="3003" stopIfTrue="1" operator="greaterThan">
      <formula>1.75</formula>
    </cfRule>
    <cfRule type="cellIs" dxfId="2972" priority="3004" stopIfTrue="1" operator="between">
      <formula>1.25</formula>
      <formula>1.75</formula>
    </cfRule>
  </conditionalFormatting>
  <conditionalFormatting sqref="I168">
    <cfRule type="cellIs" dxfId="2971" priority="3005" stopIfTrue="1" operator="greaterThan">
      <formula>1.75</formula>
    </cfRule>
    <cfRule type="cellIs" dxfId="2970" priority="3006" stopIfTrue="1" operator="between">
      <formula>1.25</formula>
      <formula>1.75</formula>
    </cfRule>
  </conditionalFormatting>
  <conditionalFormatting sqref="J168">
    <cfRule type="cellIs" dxfId="2969" priority="2995" stopIfTrue="1" operator="greaterThan">
      <formula>1.75</formula>
    </cfRule>
    <cfRule type="cellIs" dxfId="2968" priority="2996" stopIfTrue="1" operator="between">
      <formula>1.25</formula>
      <formula>1.75</formula>
    </cfRule>
  </conditionalFormatting>
  <conditionalFormatting sqref="J168">
    <cfRule type="cellIs" dxfId="2967" priority="2997" stopIfTrue="1" operator="greaterThan">
      <formula>1.75</formula>
    </cfRule>
    <cfRule type="cellIs" dxfId="2966" priority="2998" stopIfTrue="1" operator="between">
      <formula>1.25</formula>
      <formula>1.75</formula>
    </cfRule>
  </conditionalFormatting>
  <conditionalFormatting sqref="J168">
    <cfRule type="cellIs" dxfId="2965" priority="2999" stopIfTrue="1" operator="greaterThan">
      <formula>1.75</formula>
    </cfRule>
    <cfRule type="cellIs" dxfId="2964" priority="3000" stopIfTrue="1" operator="between">
      <formula>1.25</formula>
      <formula>1.75</formula>
    </cfRule>
  </conditionalFormatting>
  <conditionalFormatting sqref="K168">
    <cfRule type="cellIs" dxfId="2963" priority="2989" stopIfTrue="1" operator="greaterThan">
      <formula>1.75</formula>
    </cfRule>
    <cfRule type="cellIs" dxfId="2962" priority="2990" stopIfTrue="1" operator="between">
      <formula>1.25</formula>
      <formula>1.75</formula>
    </cfRule>
  </conditionalFormatting>
  <conditionalFormatting sqref="K168">
    <cfRule type="cellIs" dxfId="2961" priority="2991" stopIfTrue="1" operator="greaterThan">
      <formula>1.75</formula>
    </cfRule>
    <cfRule type="cellIs" dxfId="2960" priority="2992" stopIfTrue="1" operator="between">
      <formula>1.25</formula>
      <formula>1.75</formula>
    </cfRule>
  </conditionalFormatting>
  <conditionalFormatting sqref="K168">
    <cfRule type="cellIs" dxfId="2959" priority="2993" stopIfTrue="1" operator="greaterThan">
      <formula>1.75</formula>
    </cfRule>
    <cfRule type="cellIs" dxfId="2958" priority="2994" stopIfTrue="1" operator="between">
      <formula>1.25</formula>
      <formula>1.75</formula>
    </cfRule>
  </conditionalFormatting>
  <conditionalFormatting sqref="L168">
    <cfRule type="cellIs" dxfId="2957" priority="2983" stopIfTrue="1" operator="greaterThan">
      <formula>1.75</formula>
    </cfRule>
    <cfRule type="cellIs" dxfId="2956" priority="2984" stopIfTrue="1" operator="between">
      <formula>1.25</formula>
      <formula>1.75</formula>
    </cfRule>
  </conditionalFormatting>
  <conditionalFormatting sqref="L168">
    <cfRule type="cellIs" dxfId="2955" priority="2985" stopIfTrue="1" operator="greaterThan">
      <formula>1.75</formula>
    </cfRule>
    <cfRule type="cellIs" dxfId="2954" priority="2986" stopIfTrue="1" operator="between">
      <formula>1.25</formula>
      <formula>1.75</formula>
    </cfRule>
  </conditionalFormatting>
  <conditionalFormatting sqref="L168">
    <cfRule type="cellIs" dxfId="2953" priority="2987" stopIfTrue="1" operator="greaterThan">
      <formula>1.75</formula>
    </cfRule>
    <cfRule type="cellIs" dxfId="2952" priority="2988" stopIfTrue="1" operator="between">
      <formula>1.25</formula>
      <formula>1.75</formula>
    </cfRule>
  </conditionalFormatting>
  <conditionalFormatting sqref="F166">
    <cfRule type="cellIs" dxfId="2951" priority="2979" stopIfTrue="1" operator="greaterThan">
      <formula>1.75</formula>
    </cfRule>
    <cfRule type="cellIs" dxfId="2950" priority="2980" stopIfTrue="1" operator="between">
      <formula>1.25</formula>
      <formula>1.75</formula>
    </cfRule>
  </conditionalFormatting>
  <conditionalFormatting sqref="F166">
    <cfRule type="cellIs" dxfId="2949" priority="2977" stopIfTrue="1" operator="greaterThan">
      <formula>1.75</formula>
    </cfRule>
    <cfRule type="cellIs" dxfId="2948" priority="2978" stopIfTrue="1" operator="between">
      <formula>1.25</formula>
      <formula>1.75</formula>
    </cfRule>
  </conditionalFormatting>
  <conditionalFormatting sqref="F166">
    <cfRule type="cellIs" dxfId="2947" priority="2981" stopIfTrue="1" operator="greaterThan">
      <formula>1.75</formula>
    </cfRule>
    <cfRule type="cellIs" dxfId="2946" priority="2982" stopIfTrue="1" operator="between">
      <formula>1.25</formula>
      <formula>1.75</formula>
    </cfRule>
  </conditionalFormatting>
  <conditionalFormatting sqref="G166">
    <cfRule type="cellIs" dxfId="2945" priority="2973" stopIfTrue="1" operator="greaterThan">
      <formula>1.75</formula>
    </cfRule>
    <cfRule type="cellIs" dxfId="2944" priority="2974" stopIfTrue="1" operator="between">
      <formula>1.25</formula>
      <formula>1.75</formula>
    </cfRule>
  </conditionalFormatting>
  <conditionalFormatting sqref="G166">
    <cfRule type="cellIs" dxfId="2943" priority="2971" stopIfTrue="1" operator="greaterThan">
      <formula>1.75</formula>
    </cfRule>
    <cfRule type="cellIs" dxfId="2942" priority="2972" stopIfTrue="1" operator="between">
      <formula>1.25</formula>
      <formula>1.75</formula>
    </cfRule>
  </conditionalFormatting>
  <conditionalFormatting sqref="G166">
    <cfRule type="cellIs" dxfId="2941" priority="2975" stopIfTrue="1" operator="greaterThan">
      <formula>1.75</formula>
    </cfRule>
    <cfRule type="cellIs" dxfId="2940" priority="2976" stopIfTrue="1" operator="between">
      <formula>1.25</formula>
      <formula>1.75</formula>
    </cfRule>
  </conditionalFormatting>
  <conditionalFormatting sqref="H166">
    <cfRule type="cellIs" dxfId="2939" priority="2967" stopIfTrue="1" operator="greaterThan">
      <formula>1.75</formula>
    </cfRule>
    <cfRule type="cellIs" dxfId="2938" priority="2968" stopIfTrue="1" operator="between">
      <formula>1.25</formula>
      <formula>1.75</formula>
    </cfRule>
  </conditionalFormatting>
  <conditionalFormatting sqref="H166">
    <cfRule type="cellIs" dxfId="2937" priority="2965" stopIfTrue="1" operator="greaterThan">
      <formula>1.75</formula>
    </cfRule>
    <cfRule type="cellIs" dxfId="2936" priority="2966" stopIfTrue="1" operator="between">
      <formula>1.25</formula>
      <formula>1.75</formula>
    </cfRule>
  </conditionalFormatting>
  <conditionalFormatting sqref="H166">
    <cfRule type="cellIs" dxfId="2935" priority="2969" stopIfTrue="1" operator="greaterThan">
      <formula>1.75</formula>
    </cfRule>
    <cfRule type="cellIs" dxfId="2934" priority="2970" stopIfTrue="1" operator="between">
      <formula>1.25</formula>
      <formula>1.75</formula>
    </cfRule>
  </conditionalFormatting>
  <conditionalFormatting sqref="I166">
    <cfRule type="cellIs" dxfId="2933" priority="2961" stopIfTrue="1" operator="greaterThan">
      <formula>1.75</formula>
    </cfRule>
    <cfRule type="cellIs" dxfId="2932" priority="2962" stopIfTrue="1" operator="between">
      <formula>1.25</formula>
      <formula>1.75</formula>
    </cfRule>
  </conditionalFormatting>
  <conditionalFormatting sqref="I166">
    <cfRule type="cellIs" dxfId="2931" priority="2959" stopIfTrue="1" operator="greaterThan">
      <formula>1.75</formula>
    </cfRule>
    <cfRule type="cellIs" dxfId="2930" priority="2960" stopIfTrue="1" operator="between">
      <formula>1.25</formula>
      <formula>1.75</formula>
    </cfRule>
  </conditionalFormatting>
  <conditionalFormatting sqref="I166">
    <cfRule type="cellIs" dxfId="2929" priority="2963" stopIfTrue="1" operator="greaterThan">
      <formula>1.75</formula>
    </cfRule>
    <cfRule type="cellIs" dxfId="2928" priority="2964" stopIfTrue="1" operator="between">
      <formula>1.25</formula>
      <formula>1.75</formula>
    </cfRule>
  </conditionalFormatting>
  <conditionalFormatting sqref="J166">
    <cfRule type="cellIs" dxfId="2927" priority="2955" stopIfTrue="1" operator="greaterThan">
      <formula>1.75</formula>
    </cfRule>
    <cfRule type="cellIs" dxfId="2926" priority="2956" stopIfTrue="1" operator="between">
      <formula>1.25</formula>
      <formula>1.75</formula>
    </cfRule>
  </conditionalFormatting>
  <conditionalFormatting sqref="J166">
    <cfRule type="cellIs" dxfId="2925" priority="2953" stopIfTrue="1" operator="greaterThan">
      <formula>1.75</formula>
    </cfRule>
    <cfRule type="cellIs" dxfId="2924" priority="2954" stopIfTrue="1" operator="between">
      <formula>1.25</formula>
      <formula>1.75</formula>
    </cfRule>
  </conditionalFormatting>
  <conditionalFormatting sqref="J166">
    <cfRule type="cellIs" dxfId="2923" priority="2957" stopIfTrue="1" operator="greaterThan">
      <formula>1.75</formula>
    </cfRule>
    <cfRule type="cellIs" dxfId="2922" priority="2958" stopIfTrue="1" operator="between">
      <formula>1.25</formula>
      <formula>1.75</formula>
    </cfRule>
  </conditionalFormatting>
  <conditionalFormatting sqref="K166">
    <cfRule type="cellIs" dxfId="2921" priority="2949" stopIfTrue="1" operator="greaterThan">
      <formula>1.75</formula>
    </cfRule>
    <cfRule type="cellIs" dxfId="2920" priority="2950" stopIfTrue="1" operator="between">
      <formula>1.25</formula>
      <formula>1.75</formula>
    </cfRule>
  </conditionalFormatting>
  <conditionalFormatting sqref="K166">
    <cfRule type="cellIs" dxfId="2919" priority="2947" stopIfTrue="1" operator="greaterThan">
      <formula>1.75</formula>
    </cfRule>
    <cfRule type="cellIs" dxfId="2918" priority="2948" stopIfTrue="1" operator="between">
      <formula>1.25</formula>
      <formula>1.75</formula>
    </cfRule>
  </conditionalFormatting>
  <conditionalFormatting sqref="K166">
    <cfRule type="cellIs" dxfId="2917" priority="2951" stopIfTrue="1" operator="greaterThan">
      <formula>1.75</formula>
    </cfRule>
    <cfRule type="cellIs" dxfId="2916" priority="2952" stopIfTrue="1" operator="between">
      <formula>1.25</formula>
      <formula>1.75</formula>
    </cfRule>
  </conditionalFormatting>
  <conditionalFormatting sqref="L166">
    <cfRule type="cellIs" dxfId="2915" priority="2943" stopIfTrue="1" operator="greaterThan">
      <formula>1.75</formula>
    </cfRule>
    <cfRule type="cellIs" dxfId="2914" priority="2944" stopIfTrue="1" operator="between">
      <formula>1.25</formula>
      <formula>1.75</formula>
    </cfRule>
  </conditionalFormatting>
  <conditionalFormatting sqref="L166">
    <cfRule type="cellIs" dxfId="2913" priority="2941" stopIfTrue="1" operator="greaterThan">
      <formula>1.75</formula>
    </cfRule>
    <cfRule type="cellIs" dxfId="2912" priority="2942" stopIfTrue="1" operator="between">
      <formula>1.25</formula>
      <formula>1.75</formula>
    </cfRule>
  </conditionalFormatting>
  <conditionalFormatting sqref="L166">
    <cfRule type="cellIs" dxfId="2911" priority="2945" stopIfTrue="1" operator="greaterThan">
      <formula>1.75</formula>
    </cfRule>
    <cfRule type="cellIs" dxfId="2910" priority="2946" stopIfTrue="1" operator="between">
      <formula>1.25</formula>
      <formula>1.75</formula>
    </cfRule>
  </conditionalFormatting>
  <conditionalFormatting sqref="W166">
    <cfRule type="cellIs" dxfId="2909" priority="2939" stopIfTrue="1" operator="greaterThan">
      <formula>1.75</formula>
    </cfRule>
    <cfRule type="cellIs" dxfId="2908" priority="2940" stopIfTrue="1" operator="between">
      <formula>1.25</formula>
      <formula>1.75</formula>
    </cfRule>
  </conditionalFormatting>
  <conditionalFormatting sqref="W168">
    <cfRule type="cellIs" dxfId="2907" priority="2937" stopIfTrue="1" operator="greaterThan">
      <formula>1.75</formula>
    </cfRule>
    <cfRule type="cellIs" dxfId="2906" priority="2938" stopIfTrue="1" operator="between">
      <formula>1.25</formula>
      <formula>1.75</formula>
    </cfRule>
  </conditionalFormatting>
  <conditionalFormatting sqref="W168">
    <cfRule type="cellIs" dxfId="2905" priority="2935" stopIfTrue="1" operator="greaterThan">
      <formula>1.75</formula>
    </cfRule>
    <cfRule type="cellIs" dxfId="2904" priority="2936" stopIfTrue="1" operator="between">
      <formula>1.25</formula>
      <formula>1.75</formula>
    </cfRule>
  </conditionalFormatting>
  <conditionalFormatting sqref="W168">
    <cfRule type="cellIs" dxfId="2903" priority="2933" stopIfTrue="1" operator="greaterThan">
      <formula>1.75</formula>
    </cfRule>
    <cfRule type="cellIs" dxfId="2902" priority="2934" stopIfTrue="1" operator="between">
      <formula>1.25</formula>
      <formula>1.75</formula>
    </cfRule>
  </conditionalFormatting>
  <conditionalFormatting sqref="X166">
    <cfRule type="cellIs" dxfId="2901" priority="2931" stopIfTrue="1" operator="greaterThan">
      <formula>1.75</formula>
    </cfRule>
    <cfRule type="cellIs" dxfId="2900" priority="2932" stopIfTrue="1" operator="between">
      <formula>1.25</formula>
      <formula>1.75</formula>
    </cfRule>
  </conditionalFormatting>
  <conditionalFormatting sqref="X168">
    <cfRule type="cellIs" dxfId="2899" priority="2929" stopIfTrue="1" operator="greaterThan">
      <formula>1.75</formula>
    </cfRule>
    <cfRule type="cellIs" dxfId="2898" priority="2930" stopIfTrue="1" operator="between">
      <formula>1.25</formula>
      <formula>1.75</formula>
    </cfRule>
  </conditionalFormatting>
  <conditionalFormatting sqref="X168">
    <cfRule type="cellIs" dxfId="2897" priority="2927" stopIfTrue="1" operator="greaterThan">
      <formula>1.75</formula>
    </cfRule>
    <cfRule type="cellIs" dxfId="2896" priority="2928" stopIfTrue="1" operator="between">
      <formula>1.25</formula>
      <formula>1.75</formula>
    </cfRule>
  </conditionalFormatting>
  <conditionalFormatting sqref="X168">
    <cfRule type="cellIs" dxfId="2895" priority="2925" stopIfTrue="1" operator="greaterThan">
      <formula>1.75</formula>
    </cfRule>
    <cfRule type="cellIs" dxfId="2894" priority="2926" stopIfTrue="1" operator="between">
      <formula>1.25</formula>
      <formula>1.75</formula>
    </cfRule>
  </conditionalFormatting>
  <conditionalFormatting sqref="X12">
    <cfRule type="cellIs" dxfId="2893" priority="2923" stopIfTrue="1" operator="greaterThan">
      <formula>1.75</formula>
    </cfRule>
    <cfRule type="cellIs" dxfId="2892" priority="2924" stopIfTrue="1" operator="between">
      <formula>1.25</formula>
      <formula>1.75</formula>
    </cfRule>
  </conditionalFormatting>
  <conditionalFormatting sqref="X14">
    <cfRule type="cellIs" dxfId="2891" priority="2921" stopIfTrue="1" operator="greaterThan">
      <formula>1.75</formula>
    </cfRule>
    <cfRule type="cellIs" dxfId="2890" priority="2922" stopIfTrue="1" operator="between">
      <formula>1.25</formula>
      <formula>1.75</formula>
    </cfRule>
  </conditionalFormatting>
  <conditionalFormatting sqref="X14">
    <cfRule type="cellIs" dxfId="2889" priority="2919" stopIfTrue="1" operator="greaterThan">
      <formula>1.75</formula>
    </cfRule>
    <cfRule type="cellIs" dxfId="2888" priority="2920" stopIfTrue="1" operator="between">
      <formula>1.25</formula>
      <formula>1.75</formula>
    </cfRule>
  </conditionalFormatting>
  <conditionalFormatting sqref="X14">
    <cfRule type="cellIs" dxfId="2887" priority="2917" stopIfTrue="1" operator="greaterThan">
      <formula>1.75</formula>
    </cfRule>
    <cfRule type="cellIs" dxfId="2886" priority="2918" stopIfTrue="1" operator="between">
      <formula>1.25</formula>
      <formula>1.75</formula>
    </cfRule>
  </conditionalFormatting>
  <conditionalFormatting sqref="Y12">
    <cfRule type="cellIs" dxfId="2885" priority="2915" stopIfTrue="1" operator="greaterThan">
      <formula>1.75</formula>
    </cfRule>
    <cfRule type="cellIs" dxfId="2884" priority="2916" stopIfTrue="1" operator="between">
      <formula>1.25</formula>
      <formula>1.75</formula>
    </cfRule>
  </conditionalFormatting>
  <conditionalFormatting sqref="Y14">
    <cfRule type="cellIs" dxfId="2883" priority="2913" stopIfTrue="1" operator="greaterThan">
      <formula>1.75</formula>
    </cfRule>
    <cfRule type="cellIs" dxfId="2882" priority="2914" stopIfTrue="1" operator="between">
      <formula>1.25</formula>
      <formula>1.75</formula>
    </cfRule>
  </conditionalFormatting>
  <conditionalFormatting sqref="Y14">
    <cfRule type="cellIs" dxfId="2881" priority="2911" stopIfTrue="1" operator="greaterThan">
      <formula>1.75</formula>
    </cfRule>
    <cfRule type="cellIs" dxfId="2880" priority="2912" stopIfTrue="1" operator="between">
      <formula>1.25</formula>
      <formula>1.75</formula>
    </cfRule>
  </conditionalFormatting>
  <conditionalFormatting sqref="Y14">
    <cfRule type="cellIs" dxfId="2879" priority="2909" stopIfTrue="1" operator="greaterThan">
      <formula>1.75</formula>
    </cfRule>
    <cfRule type="cellIs" dxfId="2878" priority="2910" stopIfTrue="1" operator="between">
      <formula>1.25</formula>
      <formula>1.75</formula>
    </cfRule>
  </conditionalFormatting>
  <conditionalFormatting sqref="D152">
    <cfRule type="cellIs" dxfId="2877" priority="2853" stopIfTrue="1" operator="greaterThan">
      <formula>1.75</formula>
    </cfRule>
    <cfRule type="cellIs" dxfId="2876" priority="2854" stopIfTrue="1" operator="between">
      <formula>1.25</formula>
      <formula>1.75</formula>
    </cfRule>
  </conditionalFormatting>
  <conditionalFormatting sqref="Q152">
    <cfRule type="cellIs" dxfId="2875" priority="2891" stopIfTrue="1" operator="greaterThan">
      <formula>1.75</formula>
    </cfRule>
    <cfRule type="cellIs" dxfId="2874" priority="2892" stopIfTrue="1" operator="between">
      <formula>1.25</formula>
      <formula>1.75</formula>
    </cfRule>
  </conditionalFormatting>
  <conditionalFormatting sqref="M152:O152">
    <cfRule type="cellIs" dxfId="2873" priority="2905" stopIfTrue="1" operator="greaterThan">
      <formula>1.75</formula>
    </cfRule>
    <cfRule type="cellIs" dxfId="2872" priority="2906" stopIfTrue="1" operator="between">
      <formula>1.25</formula>
      <formula>1.75</formula>
    </cfRule>
  </conditionalFormatting>
  <conditionalFormatting sqref="M152:O152">
    <cfRule type="cellIs" dxfId="2871" priority="2903" stopIfTrue="1" operator="greaterThan">
      <formula>1.75</formula>
    </cfRule>
    <cfRule type="cellIs" dxfId="2870" priority="2904" stopIfTrue="1" operator="between">
      <formula>1.25</formula>
      <formula>1.75</formula>
    </cfRule>
  </conditionalFormatting>
  <conditionalFormatting sqref="P152">
    <cfRule type="cellIs" dxfId="2869" priority="2901" stopIfTrue="1" operator="greaterThan">
      <formula>1.75</formula>
    </cfRule>
    <cfRule type="cellIs" dxfId="2868" priority="2902" stopIfTrue="1" operator="between">
      <formula>1.25</formula>
      <formula>1.75</formula>
    </cfRule>
  </conditionalFormatting>
  <conditionalFormatting sqref="P152">
    <cfRule type="cellIs" dxfId="2867" priority="2899" stopIfTrue="1" operator="greaterThan">
      <formula>1.75</formula>
    </cfRule>
    <cfRule type="cellIs" dxfId="2866" priority="2900" stopIfTrue="1" operator="between">
      <formula>1.25</formula>
      <formula>1.75</formula>
    </cfRule>
  </conditionalFormatting>
  <conditionalFormatting sqref="P152">
    <cfRule type="cellIs" dxfId="2865" priority="2897" stopIfTrue="1" operator="greaterThan">
      <formula>1.75</formula>
    </cfRule>
    <cfRule type="cellIs" dxfId="2864" priority="2898" stopIfTrue="1" operator="between">
      <formula>1.25</formula>
      <formula>1.75</formula>
    </cfRule>
  </conditionalFormatting>
  <conditionalFormatting sqref="U152">
    <cfRule type="cellIs" dxfId="2863" priority="2895" stopIfTrue="1" operator="greaterThan">
      <formula>1.75</formula>
    </cfRule>
    <cfRule type="cellIs" dxfId="2862" priority="2896" stopIfTrue="1" operator="between">
      <formula>1.25</formula>
      <formula>1.75</formula>
    </cfRule>
  </conditionalFormatting>
  <conditionalFormatting sqref="T152">
    <cfRule type="cellIs" dxfId="2861" priority="2893" stopIfTrue="1" operator="greaterThan">
      <formula>1.75</formula>
    </cfRule>
    <cfRule type="cellIs" dxfId="2860" priority="2894" stopIfTrue="1" operator="between">
      <formula>1.25</formula>
      <formula>1.75</formula>
    </cfRule>
  </conditionalFormatting>
  <conditionalFormatting sqref="Q152">
    <cfRule type="cellIs" dxfId="2859" priority="2889" stopIfTrue="1" operator="greaterThan">
      <formula>1.75</formula>
    </cfRule>
    <cfRule type="cellIs" dxfId="2858" priority="2890" stopIfTrue="1" operator="between">
      <formula>1.25</formula>
      <formula>1.75</formula>
    </cfRule>
  </conditionalFormatting>
  <conditionalFormatting sqref="Q152">
    <cfRule type="cellIs" dxfId="2857" priority="2887" stopIfTrue="1" operator="greaterThan">
      <formula>1.75</formula>
    </cfRule>
    <cfRule type="cellIs" dxfId="2856" priority="2888" stopIfTrue="1" operator="between">
      <formula>1.25</formula>
      <formula>1.75</formula>
    </cfRule>
  </conditionalFormatting>
  <conditionalFormatting sqref="R152">
    <cfRule type="cellIs" dxfId="2855" priority="2885" stopIfTrue="1" operator="greaterThan">
      <formula>1.75</formula>
    </cfRule>
    <cfRule type="cellIs" dxfId="2854" priority="2886" stopIfTrue="1" operator="between">
      <formula>1.25</formula>
      <formula>1.75</formula>
    </cfRule>
  </conditionalFormatting>
  <conditionalFormatting sqref="R152">
    <cfRule type="cellIs" dxfId="2853" priority="2883" stopIfTrue="1" operator="greaterThan">
      <formula>1.75</formula>
    </cfRule>
    <cfRule type="cellIs" dxfId="2852" priority="2884" stopIfTrue="1" operator="between">
      <formula>1.25</formula>
      <formula>1.75</formula>
    </cfRule>
  </conditionalFormatting>
  <conditionalFormatting sqref="R152">
    <cfRule type="cellIs" dxfId="2851" priority="2881" stopIfTrue="1" operator="greaterThan">
      <formula>1.75</formula>
    </cfRule>
    <cfRule type="cellIs" dxfId="2850" priority="2882" stopIfTrue="1" operator="between">
      <formula>1.25</formula>
      <formula>1.75</formula>
    </cfRule>
  </conditionalFormatting>
  <conditionalFormatting sqref="S152">
    <cfRule type="cellIs" dxfId="2849" priority="2877" stopIfTrue="1" operator="greaterThan">
      <formula>1.75</formula>
    </cfRule>
    <cfRule type="cellIs" dxfId="2848" priority="2878" stopIfTrue="1" operator="between">
      <formula>1.25</formula>
      <formula>1.75</formula>
    </cfRule>
  </conditionalFormatting>
  <conditionalFormatting sqref="S152">
    <cfRule type="cellIs" dxfId="2847" priority="2875" stopIfTrue="1" operator="greaterThan">
      <formula>1.75</formula>
    </cfRule>
    <cfRule type="cellIs" dxfId="2846" priority="2876" stopIfTrue="1" operator="between">
      <formula>1.25</formula>
      <formula>1.75</formula>
    </cfRule>
  </conditionalFormatting>
  <conditionalFormatting sqref="S152">
    <cfRule type="cellIs" dxfId="2845" priority="2879" stopIfTrue="1" operator="greaterThan">
      <formula>1.75</formula>
    </cfRule>
    <cfRule type="cellIs" dxfId="2844" priority="2880" stopIfTrue="1" operator="between">
      <formula>1.25</formula>
      <formula>1.75</formula>
    </cfRule>
  </conditionalFormatting>
  <conditionalFormatting sqref="M152:O152">
    <cfRule type="cellIs" dxfId="2843" priority="2907" stopIfTrue="1" operator="greaterThan">
      <formula>1.75</formula>
    </cfRule>
    <cfRule type="cellIs" dxfId="2842" priority="2908" stopIfTrue="1" operator="between">
      <formula>1.25</formula>
      <formula>1.75</formula>
    </cfRule>
  </conditionalFormatting>
  <conditionalFormatting sqref="H154">
    <cfRule type="cellIs" dxfId="2841" priority="2809" stopIfTrue="1" operator="greaterThan">
      <formula>1.75</formula>
    </cfRule>
    <cfRule type="cellIs" dxfId="2840" priority="2810" stopIfTrue="1" operator="between">
      <formula>1.25</formula>
      <formula>1.75</formula>
    </cfRule>
  </conditionalFormatting>
  <conditionalFormatting sqref="H154">
    <cfRule type="cellIs" dxfId="2839" priority="2811" stopIfTrue="1" operator="greaterThan">
      <formula>1.75</formula>
    </cfRule>
    <cfRule type="cellIs" dxfId="2838" priority="2812" stopIfTrue="1" operator="between">
      <formula>1.25</formula>
      <formula>1.75</formula>
    </cfRule>
  </conditionalFormatting>
  <conditionalFormatting sqref="M154:U154">
    <cfRule type="cellIs" dxfId="2837" priority="2873" stopIfTrue="1" operator="greaterThan">
      <formula>1.75</formula>
    </cfRule>
    <cfRule type="cellIs" dxfId="2836" priority="2874" stopIfTrue="1" operator="between">
      <formula>1.25</formula>
      <formula>1.75</formula>
    </cfRule>
  </conditionalFormatting>
  <conditionalFormatting sqref="M154:U154">
    <cfRule type="cellIs" dxfId="2835" priority="2871" stopIfTrue="1" operator="greaterThan">
      <formula>1.75</formula>
    </cfRule>
    <cfRule type="cellIs" dxfId="2834" priority="2872" stopIfTrue="1" operator="between">
      <formula>1.25</formula>
      <formula>1.75</formula>
    </cfRule>
  </conditionalFormatting>
  <conditionalFormatting sqref="M154:U154">
    <cfRule type="cellIs" dxfId="2833" priority="2869" stopIfTrue="1" operator="greaterThan">
      <formula>1.75</formula>
    </cfRule>
    <cfRule type="cellIs" dxfId="2832" priority="2870" stopIfTrue="1" operator="between">
      <formula>1.25</formula>
      <formula>1.75</formula>
    </cfRule>
  </conditionalFormatting>
  <conditionalFormatting sqref="G154">
    <cfRule type="cellIs" dxfId="2831" priority="2813" stopIfTrue="1" operator="greaterThan">
      <formula>1.75</formula>
    </cfRule>
    <cfRule type="cellIs" dxfId="2830" priority="2814" stopIfTrue="1" operator="between">
      <formula>1.25</formula>
      <formula>1.75</formula>
    </cfRule>
  </conditionalFormatting>
  <conditionalFormatting sqref="V152">
    <cfRule type="cellIs" dxfId="2829" priority="2867" stopIfTrue="1" operator="greaterThan">
      <formula>1.75</formula>
    </cfRule>
    <cfRule type="cellIs" dxfId="2828" priority="2868" stopIfTrue="1" operator="between">
      <formula>1.25</formula>
      <formula>1.75</formula>
    </cfRule>
  </conditionalFormatting>
  <conditionalFormatting sqref="V154">
    <cfRule type="cellIs" dxfId="2827" priority="2865" stopIfTrue="1" operator="greaterThan">
      <formula>1.75</formula>
    </cfRule>
    <cfRule type="cellIs" dxfId="2826" priority="2866" stopIfTrue="1" operator="between">
      <formula>1.25</formula>
      <formula>1.75</formula>
    </cfRule>
  </conditionalFormatting>
  <conditionalFormatting sqref="V154">
    <cfRule type="cellIs" dxfId="2825" priority="2863" stopIfTrue="1" operator="greaterThan">
      <formula>1.75</formula>
    </cfRule>
    <cfRule type="cellIs" dxfId="2824" priority="2864" stopIfTrue="1" operator="between">
      <formula>1.25</formula>
      <formula>1.75</formula>
    </cfRule>
  </conditionalFormatting>
  <conditionalFormatting sqref="V154">
    <cfRule type="cellIs" dxfId="2823" priority="2861" stopIfTrue="1" operator="greaterThan">
      <formula>1.75</formula>
    </cfRule>
    <cfRule type="cellIs" dxfId="2822" priority="2862" stopIfTrue="1" operator="between">
      <formula>1.25</formula>
      <formula>1.75</formula>
    </cfRule>
  </conditionalFormatting>
  <conditionalFormatting sqref="C152">
    <cfRule type="cellIs" dxfId="2821" priority="2857" stopIfTrue="1" operator="greaterThan">
      <formula>1.75</formula>
    </cfRule>
    <cfRule type="cellIs" dxfId="2820" priority="2858" stopIfTrue="1" operator="between">
      <formula>1.25</formula>
      <formula>1.75</formula>
    </cfRule>
  </conditionalFormatting>
  <conditionalFormatting sqref="C152">
    <cfRule type="cellIs" dxfId="2819" priority="2855" stopIfTrue="1" operator="greaterThan">
      <formula>1.75</formula>
    </cfRule>
    <cfRule type="cellIs" dxfId="2818" priority="2856" stopIfTrue="1" operator="between">
      <formula>1.25</formula>
      <formula>1.75</formula>
    </cfRule>
  </conditionalFormatting>
  <conditionalFormatting sqref="C152">
    <cfRule type="cellIs" dxfId="2817" priority="2859" stopIfTrue="1" operator="greaterThan">
      <formula>1.75</formula>
    </cfRule>
    <cfRule type="cellIs" dxfId="2816" priority="2860" stopIfTrue="1" operator="between">
      <formula>1.25</formula>
      <formula>1.75</formula>
    </cfRule>
  </conditionalFormatting>
  <conditionalFormatting sqref="D152">
    <cfRule type="cellIs" dxfId="2815" priority="2851" stopIfTrue="1" operator="greaterThan">
      <formula>1.75</formula>
    </cfRule>
    <cfRule type="cellIs" dxfId="2814" priority="2852" stopIfTrue="1" operator="between">
      <formula>1.25</formula>
      <formula>1.75</formula>
    </cfRule>
  </conditionalFormatting>
  <conditionalFormatting sqref="D152">
    <cfRule type="cellIs" dxfId="2813" priority="2849" stopIfTrue="1" operator="greaterThan">
      <formula>1.75</formula>
    </cfRule>
    <cfRule type="cellIs" dxfId="2812" priority="2850" stopIfTrue="1" operator="between">
      <formula>1.25</formula>
      <formula>1.75</formula>
    </cfRule>
  </conditionalFormatting>
  <conditionalFormatting sqref="C154">
    <cfRule type="cellIs" dxfId="2811" priority="2843" stopIfTrue="1" operator="greaterThan">
      <formula>1.75</formula>
    </cfRule>
    <cfRule type="cellIs" dxfId="2810" priority="2844" stopIfTrue="1" operator="between">
      <formula>1.25</formula>
      <formula>1.75</formula>
    </cfRule>
  </conditionalFormatting>
  <conditionalFormatting sqref="C154">
    <cfRule type="cellIs" dxfId="2809" priority="2845" stopIfTrue="1" operator="greaterThan">
      <formula>1.75</formula>
    </cfRule>
    <cfRule type="cellIs" dxfId="2808" priority="2846" stopIfTrue="1" operator="between">
      <formula>1.25</formula>
      <formula>1.75</formula>
    </cfRule>
  </conditionalFormatting>
  <conditionalFormatting sqref="C154">
    <cfRule type="cellIs" dxfId="2807" priority="2847" stopIfTrue="1" operator="greaterThan">
      <formula>1.75</formula>
    </cfRule>
    <cfRule type="cellIs" dxfId="2806" priority="2848" stopIfTrue="1" operator="between">
      <formula>1.25</formula>
      <formula>1.75</formula>
    </cfRule>
  </conditionalFormatting>
  <conditionalFormatting sqref="D154">
    <cfRule type="cellIs" dxfId="2805" priority="2837" stopIfTrue="1" operator="greaterThan">
      <formula>1.75</formula>
    </cfRule>
    <cfRule type="cellIs" dxfId="2804" priority="2838" stopIfTrue="1" operator="between">
      <formula>1.25</formula>
      <formula>1.75</formula>
    </cfRule>
  </conditionalFormatting>
  <conditionalFormatting sqref="D154">
    <cfRule type="cellIs" dxfId="2803" priority="2839" stopIfTrue="1" operator="greaterThan">
      <formula>1.75</formula>
    </cfRule>
    <cfRule type="cellIs" dxfId="2802" priority="2840" stopIfTrue="1" operator="between">
      <formula>1.25</formula>
      <formula>1.75</formula>
    </cfRule>
  </conditionalFormatting>
  <conditionalFormatting sqref="D154">
    <cfRule type="cellIs" dxfId="2801" priority="2841" stopIfTrue="1" operator="greaterThan">
      <formula>1.75</formula>
    </cfRule>
    <cfRule type="cellIs" dxfId="2800" priority="2842" stopIfTrue="1" operator="between">
      <formula>1.25</formula>
      <formula>1.75</formula>
    </cfRule>
  </conditionalFormatting>
  <conditionalFormatting sqref="E154">
    <cfRule type="cellIs" dxfId="2799" priority="2831" stopIfTrue="1" operator="greaterThan">
      <formula>1.75</formula>
    </cfRule>
    <cfRule type="cellIs" dxfId="2798" priority="2832" stopIfTrue="1" operator="between">
      <formula>1.25</formula>
      <formula>1.75</formula>
    </cfRule>
  </conditionalFormatting>
  <conditionalFormatting sqref="E154">
    <cfRule type="cellIs" dxfId="2797" priority="2833" stopIfTrue="1" operator="greaterThan">
      <formula>1.75</formula>
    </cfRule>
    <cfRule type="cellIs" dxfId="2796" priority="2834" stopIfTrue="1" operator="between">
      <formula>1.25</formula>
      <formula>1.75</formula>
    </cfRule>
  </conditionalFormatting>
  <conditionalFormatting sqref="E154">
    <cfRule type="cellIs" dxfId="2795" priority="2835" stopIfTrue="1" operator="greaterThan">
      <formula>1.75</formula>
    </cfRule>
    <cfRule type="cellIs" dxfId="2794" priority="2836" stopIfTrue="1" operator="between">
      <formula>1.25</formula>
      <formula>1.75</formula>
    </cfRule>
  </conditionalFormatting>
  <conditionalFormatting sqref="E152">
    <cfRule type="cellIs" dxfId="2793" priority="2827" stopIfTrue="1" operator="greaterThan">
      <formula>1.75</formula>
    </cfRule>
    <cfRule type="cellIs" dxfId="2792" priority="2828" stopIfTrue="1" operator="between">
      <formula>1.25</formula>
      <formula>1.75</formula>
    </cfRule>
  </conditionalFormatting>
  <conditionalFormatting sqref="E152">
    <cfRule type="cellIs" dxfId="2791" priority="2825" stopIfTrue="1" operator="greaterThan">
      <formula>1.75</formula>
    </cfRule>
    <cfRule type="cellIs" dxfId="2790" priority="2826" stopIfTrue="1" operator="between">
      <formula>1.25</formula>
      <formula>1.75</formula>
    </cfRule>
  </conditionalFormatting>
  <conditionalFormatting sqref="E152">
    <cfRule type="cellIs" dxfId="2789" priority="2829" stopIfTrue="1" operator="greaterThan">
      <formula>1.75</formula>
    </cfRule>
    <cfRule type="cellIs" dxfId="2788" priority="2830" stopIfTrue="1" operator="between">
      <formula>1.25</formula>
      <formula>1.75</formula>
    </cfRule>
  </conditionalFormatting>
  <conditionalFormatting sqref="F154">
    <cfRule type="cellIs" dxfId="2787" priority="2819" stopIfTrue="1" operator="greaterThan">
      <formula>1.75</formula>
    </cfRule>
    <cfRule type="cellIs" dxfId="2786" priority="2820" stopIfTrue="1" operator="between">
      <formula>1.25</formula>
      <formula>1.75</formula>
    </cfRule>
  </conditionalFormatting>
  <conditionalFormatting sqref="F154">
    <cfRule type="cellIs" dxfId="2785" priority="2821" stopIfTrue="1" operator="greaterThan">
      <formula>1.75</formula>
    </cfRule>
    <cfRule type="cellIs" dxfId="2784" priority="2822" stopIfTrue="1" operator="between">
      <formula>1.25</formula>
      <formula>1.75</formula>
    </cfRule>
  </conditionalFormatting>
  <conditionalFormatting sqref="F154">
    <cfRule type="cellIs" dxfId="2783" priority="2823" stopIfTrue="1" operator="greaterThan">
      <formula>1.75</formula>
    </cfRule>
    <cfRule type="cellIs" dxfId="2782" priority="2824" stopIfTrue="1" operator="between">
      <formula>1.25</formula>
      <formula>1.75</formula>
    </cfRule>
  </conditionalFormatting>
  <conditionalFormatting sqref="G154">
    <cfRule type="cellIs" dxfId="2781" priority="2815" stopIfTrue="1" operator="greaterThan">
      <formula>1.75</formula>
    </cfRule>
    <cfRule type="cellIs" dxfId="2780" priority="2816" stopIfTrue="1" operator="between">
      <formula>1.25</formula>
      <formula>1.75</formula>
    </cfRule>
  </conditionalFormatting>
  <conditionalFormatting sqref="G154">
    <cfRule type="cellIs" dxfId="2779" priority="2817" stopIfTrue="1" operator="greaterThan">
      <formula>1.75</formula>
    </cfRule>
    <cfRule type="cellIs" dxfId="2778" priority="2818" stopIfTrue="1" operator="between">
      <formula>1.25</formula>
      <formula>1.75</formula>
    </cfRule>
  </conditionalFormatting>
  <conditionalFormatting sqref="H154">
    <cfRule type="cellIs" dxfId="2777" priority="2807" stopIfTrue="1" operator="greaterThan">
      <formula>1.75</formula>
    </cfRule>
    <cfRule type="cellIs" dxfId="2776" priority="2808" stopIfTrue="1" operator="between">
      <formula>1.25</formula>
      <formula>1.75</formula>
    </cfRule>
  </conditionalFormatting>
  <conditionalFormatting sqref="I154">
    <cfRule type="cellIs" dxfId="2775" priority="2801" stopIfTrue="1" operator="greaterThan">
      <formula>1.75</formula>
    </cfRule>
    <cfRule type="cellIs" dxfId="2774" priority="2802" stopIfTrue="1" operator="between">
      <formula>1.25</formula>
      <formula>1.75</formula>
    </cfRule>
  </conditionalFormatting>
  <conditionalFormatting sqref="I154">
    <cfRule type="cellIs" dxfId="2773" priority="2803" stopIfTrue="1" operator="greaterThan">
      <formula>1.75</formula>
    </cfRule>
    <cfRule type="cellIs" dxfId="2772" priority="2804" stopIfTrue="1" operator="between">
      <formula>1.25</formula>
      <formula>1.75</formula>
    </cfRule>
  </conditionalFormatting>
  <conditionalFormatting sqref="I154">
    <cfRule type="cellIs" dxfId="2771" priority="2805" stopIfTrue="1" operator="greaterThan">
      <formula>1.75</formula>
    </cfRule>
    <cfRule type="cellIs" dxfId="2770" priority="2806" stopIfTrue="1" operator="between">
      <formula>1.25</formula>
      <formula>1.75</formula>
    </cfRule>
  </conditionalFormatting>
  <conditionalFormatting sqref="J154">
    <cfRule type="cellIs" dxfId="2769" priority="2795" stopIfTrue="1" operator="greaterThan">
      <formula>1.75</formula>
    </cfRule>
    <cfRule type="cellIs" dxfId="2768" priority="2796" stopIfTrue="1" operator="between">
      <formula>1.25</formula>
      <formula>1.75</formula>
    </cfRule>
  </conditionalFormatting>
  <conditionalFormatting sqref="J154">
    <cfRule type="cellIs" dxfId="2767" priority="2797" stopIfTrue="1" operator="greaterThan">
      <formula>1.75</formula>
    </cfRule>
    <cfRule type="cellIs" dxfId="2766" priority="2798" stopIfTrue="1" operator="between">
      <formula>1.25</formula>
      <formula>1.75</formula>
    </cfRule>
  </conditionalFormatting>
  <conditionalFormatting sqref="J154">
    <cfRule type="cellIs" dxfId="2765" priority="2799" stopIfTrue="1" operator="greaterThan">
      <formula>1.75</formula>
    </cfRule>
    <cfRule type="cellIs" dxfId="2764" priority="2800" stopIfTrue="1" operator="between">
      <formula>1.25</formula>
      <formula>1.75</formula>
    </cfRule>
  </conditionalFormatting>
  <conditionalFormatting sqref="K154">
    <cfRule type="cellIs" dxfId="2763" priority="2789" stopIfTrue="1" operator="greaterThan">
      <formula>1.75</formula>
    </cfRule>
    <cfRule type="cellIs" dxfId="2762" priority="2790" stopIfTrue="1" operator="between">
      <formula>1.25</formula>
      <formula>1.75</formula>
    </cfRule>
  </conditionalFormatting>
  <conditionalFormatting sqref="K154">
    <cfRule type="cellIs" dxfId="2761" priority="2791" stopIfTrue="1" operator="greaterThan">
      <formula>1.75</formula>
    </cfRule>
    <cfRule type="cellIs" dxfId="2760" priority="2792" stopIfTrue="1" operator="between">
      <formula>1.25</formula>
      <formula>1.75</formula>
    </cfRule>
  </conditionalFormatting>
  <conditionalFormatting sqref="K154">
    <cfRule type="cellIs" dxfId="2759" priority="2793" stopIfTrue="1" operator="greaterThan">
      <formula>1.75</formula>
    </cfRule>
    <cfRule type="cellIs" dxfId="2758" priority="2794" stopIfTrue="1" operator="between">
      <formula>1.25</formula>
      <formula>1.75</formula>
    </cfRule>
  </conditionalFormatting>
  <conditionalFormatting sqref="L154">
    <cfRule type="cellIs" dxfId="2757" priority="2783" stopIfTrue="1" operator="greaterThan">
      <formula>1.75</formula>
    </cfRule>
    <cfRule type="cellIs" dxfId="2756" priority="2784" stopIfTrue="1" operator="between">
      <formula>1.25</formula>
      <formula>1.75</formula>
    </cfRule>
  </conditionalFormatting>
  <conditionalFormatting sqref="L154">
    <cfRule type="cellIs" dxfId="2755" priority="2785" stopIfTrue="1" operator="greaterThan">
      <formula>1.75</formula>
    </cfRule>
    <cfRule type="cellIs" dxfId="2754" priority="2786" stopIfTrue="1" operator="between">
      <formula>1.25</formula>
      <formula>1.75</formula>
    </cfRule>
  </conditionalFormatting>
  <conditionalFormatting sqref="L154">
    <cfRule type="cellIs" dxfId="2753" priority="2787" stopIfTrue="1" operator="greaterThan">
      <formula>1.75</formula>
    </cfRule>
    <cfRule type="cellIs" dxfId="2752" priority="2788" stopIfTrue="1" operator="between">
      <formula>1.25</formula>
      <formula>1.75</formula>
    </cfRule>
  </conditionalFormatting>
  <conditionalFormatting sqref="F152">
    <cfRule type="cellIs" dxfId="2751" priority="2779" stopIfTrue="1" operator="greaterThan">
      <formula>1.75</formula>
    </cfRule>
    <cfRule type="cellIs" dxfId="2750" priority="2780" stopIfTrue="1" operator="between">
      <formula>1.25</formula>
      <formula>1.75</formula>
    </cfRule>
  </conditionalFormatting>
  <conditionalFormatting sqref="F152">
    <cfRule type="cellIs" dxfId="2749" priority="2777" stopIfTrue="1" operator="greaterThan">
      <formula>1.75</formula>
    </cfRule>
    <cfRule type="cellIs" dxfId="2748" priority="2778" stopIfTrue="1" operator="between">
      <formula>1.25</formula>
      <formula>1.75</formula>
    </cfRule>
  </conditionalFormatting>
  <conditionalFormatting sqref="F152">
    <cfRule type="cellIs" dxfId="2747" priority="2781" stopIfTrue="1" operator="greaterThan">
      <formula>1.75</formula>
    </cfRule>
    <cfRule type="cellIs" dxfId="2746" priority="2782" stopIfTrue="1" operator="between">
      <formula>1.25</formula>
      <formula>1.75</formula>
    </cfRule>
  </conditionalFormatting>
  <conditionalFormatting sqref="G152">
    <cfRule type="cellIs" dxfId="2745" priority="2773" stopIfTrue="1" operator="greaterThan">
      <formula>1.75</formula>
    </cfRule>
    <cfRule type="cellIs" dxfId="2744" priority="2774" stopIfTrue="1" operator="between">
      <formula>1.25</formula>
      <formula>1.75</formula>
    </cfRule>
  </conditionalFormatting>
  <conditionalFormatting sqref="G152">
    <cfRule type="cellIs" dxfId="2743" priority="2771" stopIfTrue="1" operator="greaterThan">
      <formula>1.75</formula>
    </cfRule>
    <cfRule type="cellIs" dxfId="2742" priority="2772" stopIfTrue="1" operator="between">
      <formula>1.25</formula>
      <formula>1.75</formula>
    </cfRule>
  </conditionalFormatting>
  <conditionalFormatting sqref="G152">
    <cfRule type="cellIs" dxfId="2741" priority="2775" stopIfTrue="1" operator="greaterThan">
      <formula>1.75</formula>
    </cfRule>
    <cfRule type="cellIs" dxfId="2740" priority="2776" stopIfTrue="1" operator="between">
      <formula>1.25</formula>
      <formula>1.75</formula>
    </cfRule>
  </conditionalFormatting>
  <conditionalFormatting sqref="H152">
    <cfRule type="cellIs" dxfId="2739" priority="2767" stopIfTrue="1" operator="greaterThan">
      <formula>1.75</formula>
    </cfRule>
    <cfRule type="cellIs" dxfId="2738" priority="2768" stopIfTrue="1" operator="between">
      <formula>1.25</formula>
      <formula>1.75</formula>
    </cfRule>
  </conditionalFormatting>
  <conditionalFormatting sqref="H152">
    <cfRule type="cellIs" dxfId="2737" priority="2765" stopIfTrue="1" operator="greaterThan">
      <formula>1.75</formula>
    </cfRule>
    <cfRule type="cellIs" dxfId="2736" priority="2766" stopIfTrue="1" operator="between">
      <formula>1.25</formula>
      <formula>1.75</formula>
    </cfRule>
  </conditionalFormatting>
  <conditionalFormatting sqref="H152">
    <cfRule type="cellIs" dxfId="2735" priority="2769" stopIfTrue="1" operator="greaterThan">
      <formula>1.75</formula>
    </cfRule>
    <cfRule type="cellIs" dxfId="2734" priority="2770" stopIfTrue="1" operator="between">
      <formula>1.25</formula>
      <formula>1.75</formula>
    </cfRule>
  </conditionalFormatting>
  <conditionalFormatting sqref="I152">
    <cfRule type="cellIs" dxfId="2733" priority="2761" stopIfTrue="1" operator="greaterThan">
      <formula>1.75</formula>
    </cfRule>
    <cfRule type="cellIs" dxfId="2732" priority="2762" stopIfTrue="1" operator="between">
      <formula>1.25</formula>
      <formula>1.75</formula>
    </cfRule>
  </conditionalFormatting>
  <conditionalFormatting sqref="I152">
    <cfRule type="cellIs" dxfId="2731" priority="2759" stopIfTrue="1" operator="greaterThan">
      <formula>1.75</formula>
    </cfRule>
    <cfRule type="cellIs" dxfId="2730" priority="2760" stopIfTrue="1" operator="between">
      <formula>1.25</formula>
      <formula>1.75</formula>
    </cfRule>
  </conditionalFormatting>
  <conditionalFormatting sqref="I152">
    <cfRule type="cellIs" dxfId="2729" priority="2763" stopIfTrue="1" operator="greaterThan">
      <formula>1.75</formula>
    </cfRule>
    <cfRule type="cellIs" dxfId="2728" priority="2764" stopIfTrue="1" operator="between">
      <formula>1.25</formula>
      <formula>1.75</formula>
    </cfRule>
  </conditionalFormatting>
  <conditionalFormatting sqref="J152">
    <cfRule type="cellIs" dxfId="2727" priority="2755" stopIfTrue="1" operator="greaterThan">
      <formula>1.75</formula>
    </cfRule>
    <cfRule type="cellIs" dxfId="2726" priority="2756" stopIfTrue="1" operator="between">
      <formula>1.25</formula>
      <formula>1.75</formula>
    </cfRule>
  </conditionalFormatting>
  <conditionalFormatting sqref="J152">
    <cfRule type="cellIs" dxfId="2725" priority="2753" stopIfTrue="1" operator="greaterThan">
      <formula>1.75</formula>
    </cfRule>
    <cfRule type="cellIs" dxfId="2724" priority="2754" stopIfTrue="1" operator="between">
      <formula>1.25</formula>
      <formula>1.75</formula>
    </cfRule>
  </conditionalFormatting>
  <conditionalFormatting sqref="J152">
    <cfRule type="cellIs" dxfId="2723" priority="2757" stopIfTrue="1" operator="greaterThan">
      <formula>1.75</formula>
    </cfRule>
    <cfRule type="cellIs" dxfId="2722" priority="2758" stopIfTrue="1" operator="between">
      <formula>1.25</formula>
      <formula>1.75</formula>
    </cfRule>
  </conditionalFormatting>
  <conditionalFormatting sqref="K152">
    <cfRule type="cellIs" dxfId="2721" priority="2749" stopIfTrue="1" operator="greaterThan">
      <formula>1.75</formula>
    </cfRule>
    <cfRule type="cellIs" dxfId="2720" priority="2750" stopIfTrue="1" operator="between">
      <formula>1.25</formula>
      <formula>1.75</formula>
    </cfRule>
  </conditionalFormatting>
  <conditionalFormatting sqref="K152">
    <cfRule type="cellIs" dxfId="2719" priority="2747" stopIfTrue="1" operator="greaterThan">
      <formula>1.75</formula>
    </cfRule>
    <cfRule type="cellIs" dxfId="2718" priority="2748" stopIfTrue="1" operator="between">
      <formula>1.25</formula>
      <formula>1.75</formula>
    </cfRule>
  </conditionalFormatting>
  <conditionalFormatting sqref="K152">
    <cfRule type="cellIs" dxfId="2717" priority="2751" stopIfTrue="1" operator="greaterThan">
      <formula>1.75</formula>
    </cfRule>
    <cfRule type="cellIs" dxfId="2716" priority="2752" stopIfTrue="1" operator="between">
      <formula>1.25</formula>
      <formula>1.75</formula>
    </cfRule>
  </conditionalFormatting>
  <conditionalFormatting sqref="L152">
    <cfRule type="cellIs" dxfId="2715" priority="2743" stopIfTrue="1" operator="greaterThan">
      <formula>1.75</formula>
    </cfRule>
    <cfRule type="cellIs" dxfId="2714" priority="2744" stopIfTrue="1" operator="between">
      <formula>1.25</formula>
      <formula>1.75</formula>
    </cfRule>
  </conditionalFormatting>
  <conditionalFormatting sqref="L152">
    <cfRule type="cellIs" dxfId="2713" priority="2741" stopIfTrue="1" operator="greaterThan">
      <formula>1.75</formula>
    </cfRule>
    <cfRule type="cellIs" dxfId="2712" priority="2742" stopIfTrue="1" operator="between">
      <formula>1.25</formula>
      <formula>1.75</formula>
    </cfRule>
  </conditionalFormatting>
  <conditionalFormatting sqref="L152">
    <cfRule type="cellIs" dxfId="2711" priority="2745" stopIfTrue="1" operator="greaterThan">
      <formula>1.75</formula>
    </cfRule>
    <cfRule type="cellIs" dxfId="2710" priority="2746" stopIfTrue="1" operator="between">
      <formula>1.25</formula>
      <formula>1.75</formula>
    </cfRule>
  </conditionalFormatting>
  <conditionalFormatting sqref="W152">
    <cfRule type="cellIs" dxfId="2709" priority="2739" stopIfTrue="1" operator="greaterThan">
      <formula>1.75</formula>
    </cfRule>
    <cfRule type="cellIs" dxfId="2708" priority="2740" stopIfTrue="1" operator="between">
      <formula>1.25</formula>
      <formula>1.75</formula>
    </cfRule>
  </conditionalFormatting>
  <conditionalFormatting sqref="W154">
    <cfRule type="cellIs" dxfId="2707" priority="2737" stopIfTrue="1" operator="greaterThan">
      <formula>1.75</formula>
    </cfRule>
    <cfRule type="cellIs" dxfId="2706" priority="2738" stopIfTrue="1" operator="between">
      <formula>1.25</formula>
      <formula>1.75</formula>
    </cfRule>
  </conditionalFormatting>
  <conditionalFormatting sqref="W154">
    <cfRule type="cellIs" dxfId="2705" priority="2735" stopIfTrue="1" operator="greaterThan">
      <formula>1.75</formula>
    </cfRule>
    <cfRule type="cellIs" dxfId="2704" priority="2736" stopIfTrue="1" operator="between">
      <formula>1.25</formula>
      <formula>1.75</formula>
    </cfRule>
  </conditionalFormatting>
  <conditionalFormatting sqref="W154">
    <cfRule type="cellIs" dxfId="2703" priority="2733" stopIfTrue="1" operator="greaterThan">
      <formula>1.75</formula>
    </cfRule>
    <cfRule type="cellIs" dxfId="2702" priority="2734" stopIfTrue="1" operator="between">
      <formula>1.25</formula>
      <formula>1.75</formula>
    </cfRule>
  </conditionalFormatting>
  <conditionalFormatting sqref="Z152">
    <cfRule type="cellIs" dxfId="2701" priority="2731" stopIfTrue="1" operator="greaterThan">
      <formula>1.75</formula>
    </cfRule>
    <cfRule type="cellIs" dxfId="2700" priority="2732" stopIfTrue="1" operator="between">
      <formula>1.25</formula>
      <formula>1.75</formula>
    </cfRule>
  </conditionalFormatting>
  <conditionalFormatting sqref="Z154">
    <cfRule type="cellIs" dxfId="2699" priority="2729" stopIfTrue="1" operator="greaterThan">
      <formula>1.75</formula>
    </cfRule>
    <cfRule type="cellIs" dxfId="2698" priority="2730" stopIfTrue="1" operator="between">
      <formula>1.25</formula>
      <formula>1.75</formula>
    </cfRule>
  </conditionalFormatting>
  <conditionalFormatting sqref="Z154">
    <cfRule type="cellIs" dxfId="2697" priority="2727" stopIfTrue="1" operator="greaterThan">
      <formula>1.75</formula>
    </cfRule>
    <cfRule type="cellIs" dxfId="2696" priority="2728" stopIfTrue="1" operator="between">
      <formula>1.25</formula>
      <formula>1.75</formula>
    </cfRule>
  </conditionalFormatting>
  <conditionalFormatting sqref="Z154">
    <cfRule type="cellIs" dxfId="2695" priority="2725" stopIfTrue="1" operator="greaterThan">
      <formula>1.75</formula>
    </cfRule>
    <cfRule type="cellIs" dxfId="2694" priority="2726" stopIfTrue="1" operator="between">
      <formula>1.25</formula>
      <formula>1.75</formula>
    </cfRule>
  </conditionalFormatting>
  <conditionalFormatting sqref="X152">
    <cfRule type="cellIs" dxfId="2693" priority="2723" stopIfTrue="1" operator="greaterThan">
      <formula>1.75</formula>
    </cfRule>
    <cfRule type="cellIs" dxfId="2692" priority="2724" stopIfTrue="1" operator="between">
      <formula>1.25</formula>
      <formula>1.75</formula>
    </cfRule>
  </conditionalFormatting>
  <conditionalFormatting sqref="X154">
    <cfRule type="cellIs" dxfId="2691" priority="2721" stopIfTrue="1" operator="greaterThan">
      <formula>1.75</formula>
    </cfRule>
    <cfRule type="cellIs" dxfId="2690" priority="2722" stopIfTrue="1" operator="between">
      <formula>1.25</formula>
      <formula>1.75</formula>
    </cfRule>
  </conditionalFormatting>
  <conditionalFormatting sqref="X154">
    <cfRule type="cellIs" dxfId="2689" priority="2719" stopIfTrue="1" operator="greaterThan">
      <formula>1.75</formula>
    </cfRule>
    <cfRule type="cellIs" dxfId="2688" priority="2720" stopIfTrue="1" operator="between">
      <formula>1.25</formula>
      <formula>1.75</formula>
    </cfRule>
  </conditionalFormatting>
  <conditionalFormatting sqref="X154">
    <cfRule type="cellIs" dxfId="2687" priority="2717" stopIfTrue="1" operator="greaterThan">
      <formula>1.75</formula>
    </cfRule>
    <cfRule type="cellIs" dxfId="2686" priority="2718" stopIfTrue="1" operator="between">
      <formula>1.25</formula>
      <formula>1.75</formula>
    </cfRule>
  </conditionalFormatting>
  <conditionalFormatting sqref="Y152">
    <cfRule type="cellIs" dxfId="2685" priority="2715" stopIfTrue="1" operator="greaterThan">
      <formula>1.75</formula>
    </cfRule>
    <cfRule type="cellIs" dxfId="2684" priority="2716" stopIfTrue="1" operator="between">
      <formula>1.25</formula>
      <formula>1.75</formula>
    </cfRule>
  </conditionalFormatting>
  <conditionalFormatting sqref="Y154">
    <cfRule type="cellIs" dxfId="2683" priority="2713" stopIfTrue="1" operator="greaterThan">
      <formula>1.75</formula>
    </cfRule>
    <cfRule type="cellIs" dxfId="2682" priority="2714" stopIfTrue="1" operator="between">
      <formula>1.25</formula>
      <formula>1.75</formula>
    </cfRule>
  </conditionalFormatting>
  <conditionalFormatting sqref="Y154">
    <cfRule type="cellIs" dxfId="2681" priority="2711" stopIfTrue="1" operator="greaterThan">
      <formula>1.75</formula>
    </cfRule>
    <cfRule type="cellIs" dxfId="2680" priority="2712" stopIfTrue="1" operator="between">
      <formula>1.25</formula>
      <formula>1.75</formula>
    </cfRule>
  </conditionalFormatting>
  <conditionalFormatting sqref="Y154">
    <cfRule type="cellIs" dxfId="2679" priority="2709" stopIfTrue="1" operator="greaterThan">
      <formula>1.75</formula>
    </cfRule>
    <cfRule type="cellIs" dxfId="2678" priority="2710" stopIfTrue="1" operator="between">
      <formula>1.25</formula>
      <formula>1.75</formula>
    </cfRule>
  </conditionalFormatting>
  <conditionalFormatting sqref="AA152">
    <cfRule type="cellIs" dxfId="2677" priority="2611" stopIfTrue="1" operator="greaterThan">
      <formula>1.75</formula>
    </cfRule>
    <cfRule type="cellIs" dxfId="2676" priority="2612" stopIfTrue="1" operator="between">
      <formula>1.25</formula>
      <formula>1.75</formula>
    </cfRule>
  </conditionalFormatting>
  <conditionalFormatting sqref="AA154">
    <cfRule type="cellIs" dxfId="2675" priority="2609" stopIfTrue="1" operator="greaterThan">
      <formula>1.75</formula>
    </cfRule>
    <cfRule type="cellIs" dxfId="2674" priority="2610" stopIfTrue="1" operator="between">
      <formula>1.25</formula>
      <formula>1.75</formula>
    </cfRule>
  </conditionalFormatting>
  <conditionalFormatting sqref="AA154">
    <cfRule type="cellIs" dxfId="2673" priority="2607" stopIfTrue="1" operator="greaterThan">
      <formula>1.75</formula>
    </cfRule>
    <cfRule type="cellIs" dxfId="2672" priority="2608" stopIfTrue="1" operator="between">
      <formula>1.25</formula>
      <formula>1.75</formula>
    </cfRule>
  </conditionalFormatting>
  <conditionalFormatting sqref="AA154">
    <cfRule type="cellIs" dxfId="2671" priority="2605" stopIfTrue="1" operator="greaterThan">
      <formula>1.75</formula>
    </cfRule>
    <cfRule type="cellIs" dxfId="2670" priority="2606" stopIfTrue="1" operator="between">
      <formula>1.25</formula>
      <formula>1.75</formula>
    </cfRule>
  </conditionalFormatting>
  <conditionalFormatting sqref="AB152">
    <cfRule type="cellIs" dxfId="2669" priority="2603" stopIfTrue="1" operator="greaterThan">
      <formula>1.75</formula>
    </cfRule>
    <cfRule type="cellIs" dxfId="2668" priority="2604" stopIfTrue="1" operator="between">
      <formula>1.25</formula>
      <formula>1.75</formula>
    </cfRule>
  </conditionalFormatting>
  <conditionalFormatting sqref="AB154">
    <cfRule type="cellIs" dxfId="2667" priority="2601" stopIfTrue="1" operator="greaterThan">
      <formula>1.75</formula>
    </cfRule>
    <cfRule type="cellIs" dxfId="2666" priority="2602" stopIfTrue="1" operator="between">
      <formula>1.25</formula>
      <formula>1.75</formula>
    </cfRule>
  </conditionalFormatting>
  <conditionalFormatting sqref="AB154">
    <cfRule type="cellIs" dxfId="2665" priority="2599" stopIfTrue="1" operator="greaterThan">
      <formula>1.75</formula>
    </cfRule>
    <cfRule type="cellIs" dxfId="2664" priority="2600" stopIfTrue="1" operator="between">
      <formula>1.25</formula>
      <formula>1.75</formula>
    </cfRule>
  </conditionalFormatting>
  <conditionalFormatting sqref="AB154">
    <cfRule type="cellIs" dxfId="2663" priority="2597" stopIfTrue="1" operator="greaterThan">
      <formula>1.75</formula>
    </cfRule>
    <cfRule type="cellIs" dxfId="2662" priority="2598" stopIfTrue="1" operator="between">
      <formula>1.25</formula>
      <formula>1.75</formula>
    </cfRule>
  </conditionalFormatting>
  <conditionalFormatting sqref="AC152">
    <cfRule type="cellIs" dxfId="2661" priority="2595" stopIfTrue="1" operator="greaterThan">
      <formula>1.75</formula>
    </cfRule>
    <cfRule type="cellIs" dxfId="2660" priority="2596" stopIfTrue="1" operator="between">
      <formula>1.25</formula>
      <formula>1.75</formula>
    </cfRule>
  </conditionalFormatting>
  <conditionalFormatting sqref="AC154">
    <cfRule type="cellIs" dxfId="2659" priority="2593" stopIfTrue="1" operator="greaterThan">
      <formula>1.75</formula>
    </cfRule>
    <cfRule type="cellIs" dxfId="2658" priority="2594" stopIfTrue="1" operator="between">
      <formula>1.25</formula>
      <formula>1.75</formula>
    </cfRule>
  </conditionalFormatting>
  <conditionalFormatting sqref="AC154">
    <cfRule type="cellIs" dxfId="2657" priority="2591" stopIfTrue="1" operator="greaterThan">
      <formula>1.75</formula>
    </cfRule>
    <cfRule type="cellIs" dxfId="2656" priority="2592" stopIfTrue="1" operator="between">
      <formula>1.25</formula>
      <formula>1.75</formula>
    </cfRule>
  </conditionalFormatting>
  <conditionalFormatting sqref="AC154">
    <cfRule type="cellIs" dxfId="2655" priority="2589" stopIfTrue="1" operator="greaterThan">
      <formula>1.75</formula>
    </cfRule>
    <cfRule type="cellIs" dxfId="2654" priority="2590" stopIfTrue="1" operator="between">
      <formula>1.25</formula>
      <formula>1.75</formula>
    </cfRule>
  </conditionalFormatting>
  <conditionalFormatting sqref="AD152">
    <cfRule type="cellIs" dxfId="2653" priority="2587" stopIfTrue="1" operator="greaterThan">
      <formula>1.75</formula>
    </cfRule>
    <cfRule type="cellIs" dxfId="2652" priority="2588" stopIfTrue="1" operator="between">
      <formula>1.25</formula>
      <formula>1.75</formula>
    </cfRule>
  </conditionalFormatting>
  <conditionalFormatting sqref="AD154">
    <cfRule type="cellIs" dxfId="2651" priority="2585" stopIfTrue="1" operator="greaterThan">
      <formula>1.75</formula>
    </cfRule>
    <cfRule type="cellIs" dxfId="2650" priority="2586" stopIfTrue="1" operator="between">
      <formula>1.25</formula>
      <formula>1.75</formula>
    </cfRule>
  </conditionalFormatting>
  <conditionalFormatting sqref="AD154">
    <cfRule type="cellIs" dxfId="2649" priority="2583" stopIfTrue="1" operator="greaterThan">
      <formula>1.75</formula>
    </cfRule>
    <cfRule type="cellIs" dxfId="2648" priority="2584" stopIfTrue="1" operator="between">
      <formula>1.25</formula>
      <formula>1.75</formula>
    </cfRule>
  </conditionalFormatting>
  <conditionalFormatting sqref="AD154">
    <cfRule type="cellIs" dxfId="2647" priority="2581" stopIfTrue="1" operator="greaterThan">
      <formula>1.75</formula>
    </cfRule>
    <cfRule type="cellIs" dxfId="2646" priority="2582" stopIfTrue="1" operator="between">
      <formula>1.25</formula>
      <formula>1.75</formula>
    </cfRule>
  </conditionalFormatting>
  <conditionalFormatting sqref="AE152">
    <cfRule type="cellIs" dxfId="2645" priority="2579" stopIfTrue="1" operator="greaterThan">
      <formula>1.75</formula>
    </cfRule>
    <cfRule type="cellIs" dxfId="2644" priority="2580" stopIfTrue="1" operator="between">
      <formula>1.25</formula>
      <formula>1.75</formula>
    </cfRule>
  </conditionalFormatting>
  <conditionalFormatting sqref="AE154">
    <cfRule type="cellIs" dxfId="2643" priority="2577" stopIfTrue="1" operator="greaterThan">
      <formula>1.75</formula>
    </cfRule>
    <cfRule type="cellIs" dxfId="2642" priority="2578" stopIfTrue="1" operator="between">
      <formula>1.25</formula>
      <formula>1.75</formula>
    </cfRule>
  </conditionalFormatting>
  <conditionalFormatting sqref="AE154">
    <cfRule type="cellIs" dxfId="2641" priority="2575" stopIfTrue="1" operator="greaterThan">
      <formula>1.75</formula>
    </cfRule>
    <cfRule type="cellIs" dxfId="2640" priority="2576" stopIfTrue="1" operator="between">
      <formula>1.25</formula>
      <formula>1.75</formula>
    </cfRule>
  </conditionalFormatting>
  <conditionalFormatting sqref="AE154">
    <cfRule type="cellIs" dxfId="2639" priority="2573" stopIfTrue="1" operator="greaterThan">
      <formula>1.75</formula>
    </cfRule>
    <cfRule type="cellIs" dxfId="2638" priority="2574" stopIfTrue="1" operator="between">
      <formula>1.25</formula>
      <formula>1.75</formula>
    </cfRule>
  </conditionalFormatting>
  <conditionalFormatting sqref="AF152">
    <cfRule type="cellIs" dxfId="2637" priority="2571" stopIfTrue="1" operator="greaterThan">
      <formula>1.75</formula>
    </cfRule>
    <cfRule type="cellIs" dxfId="2636" priority="2572" stopIfTrue="1" operator="between">
      <formula>1.25</formula>
      <formula>1.75</formula>
    </cfRule>
  </conditionalFormatting>
  <conditionalFormatting sqref="AF154">
    <cfRule type="cellIs" dxfId="2635" priority="2569" stopIfTrue="1" operator="greaterThan">
      <formula>1.75</formula>
    </cfRule>
    <cfRule type="cellIs" dxfId="2634" priority="2570" stopIfTrue="1" operator="between">
      <formula>1.25</formula>
      <formula>1.75</formula>
    </cfRule>
  </conditionalFormatting>
  <conditionalFormatting sqref="AF154">
    <cfRule type="cellIs" dxfId="2633" priority="2567" stopIfTrue="1" operator="greaterThan">
      <formula>1.75</formula>
    </cfRule>
    <cfRule type="cellIs" dxfId="2632" priority="2568" stopIfTrue="1" operator="between">
      <formula>1.25</formula>
      <formula>1.75</formula>
    </cfRule>
  </conditionalFormatting>
  <conditionalFormatting sqref="AF154">
    <cfRule type="cellIs" dxfId="2631" priority="2565" stopIfTrue="1" operator="greaterThan">
      <formula>1.75</formula>
    </cfRule>
    <cfRule type="cellIs" dxfId="2630" priority="2566" stopIfTrue="1" operator="between">
      <formula>1.25</formula>
      <formula>1.75</formula>
    </cfRule>
  </conditionalFormatting>
  <conditionalFormatting sqref="AG152">
    <cfRule type="cellIs" dxfId="2629" priority="2563" stopIfTrue="1" operator="greaterThan">
      <formula>1.75</formula>
    </cfRule>
    <cfRule type="cellIs" dxfId="2628" priority="2564" stopIfTrue="1" operator="between">
      <formula>1.25</formula>
      <formula>1.75</formula>
    </cfRule>
  </conditionalFormatting>
  <conditionalFormatting sqref="AG154">
    <cfRule type="cellIs" dxfId="2627" priority="2561" stopIfTrue="1" operator="greaterThan">
      <formula>1.75</formula>
    </cfRule>
    <cfRule type="cellIs" dxfId="2626" priority="2562" stopIfTrue="1" operator="between">
      <formula>1.25</formula>
      <formula>1.75</formula>
    </cfRule>
  </conditionalFormatting>
  <conditionalFormatting sqref="AG154">
    <cfRule type="cellIs" dxfId="2625" priority="2559" stopIfTrue="1" operator="greaterThan">
      <formula>1.75</formula>
    </cfRule>
    <cfRule type="cellIs" dxfId="2624" priority="2560" stopIfTrue="1" operator="between">
      <formula>1.25</formula>
      <formula>1.75</formula>
    </cfRule>
  </conditionalFormatting>
  <conditionalFormatting sqref="AG154">
    <cfRule type="cellIs" dxfId="2623" priority="2557" stopIfTrue="1" operator="greaterThan">
      <formula>1.75</formula>
    </cfRule>
    <cfRule type="cellIs" dxfId="2622" priority="2558" stopIfTrue="1" operator="between">
      <formula>1.25</formula>
      <formula>1.75</formula>
    </cfRule>
  </conditionalFormatting>
  <conditionalFormatting sqref="AH152">
    <cfRule type="cellIs" dxfId="2621" priority="2555" stopIfTrue="1" operator="greaterThan">
      <formula>1.75</formula>
    </cfRule>
    <cfRule type="cellIs" dxfId="2620" priority="2556" stopIfTrue="1" operator="between">
      <formula>1.25</formula>
      <formula>1.75</formula>
    </cfRule>
  </conditionalFormatting>
  <conditionalFormatting sqref="AH154">
    <cfRule type="cellIs" dxfId="2619" priority="2553" stopIfTrue="1" operator="greaterThan">
      <formula>1.75</formula>
    </cfRule>
    <cfRule type="cellIs" dxfId="2618" priority="2554" stopIfTrue="1" operator="between">
      <formula>1.25</formula>
      <formula>1.75</formula>
    </cfRule>
  </conditionalFormatting>
  <conditionalFormatting sqref="AH154">
    <cfRule type="cellIs" dxfId="2617" priority="2551" stopIfTrue="1" operator="greaterThan">
      <formula>1.75</formula>
    </cfRule>
    <cfRule type="cellIs" dxfId="2616" priority="2552" stopIfTrue="1" operator="between">
      <formula>1.25</formula>
      <formula>1.75</formula>
    </cfRule>
  </conditionalFormatting>
  <conditionalFormatting sqref="AH154">
    <cfRule type="cellIs" dxfId="2615" priority="2549" stopIfTrue="1" operator="greaterThan">
      <formula>1.75</formula>
    </cfRule>
    <cfRule type="cellIs" dxfId="2614" priority="2550" stopIfTrue="1" operator="between">
      <formula>1.25</formula>
      <formula>1.75</formula>
    </cfRule>
  </conditionalFormatting>
  <conditionalFormatting sqref="AI152">
    <cfRule type="cellIs" dxfId="2613" priority="2547" stopIfTrue="1" operator="greaterThan">
      <formula>1.75</formula>
    </cfRule>
    <cfRule type="cellIs" dxfId="2612" priority="2548" stopIfTrue="1" operator="between">
      <formula>1.25</formula>
      <formula>1.75</formula>
    </cfRule>
  </conditionalFormatting>
  <conditionalFormatting sqref="AI154">
    <cfRule type="cellIs" dxfId="2611" priority="2545" stopIfTrue="1" operator="greaterThan">
      <formula>1.75</formula>
    </cfRule>
    <cfRule type="cellIs" dxfId="2610" priority="2546" stopIfTrue="1" operator="between">
      <formula>1.25</formula>
      <formula>1.75</formula>
    </cfRule>
  </conditionalFormatting>
  <conditionalFormatting sqref="AI154">
    <cfRule type="cellIs" dxfId="2609" priority="2543" stopIfTrue="1" operator="greaterThan">
      <formula>1.75</formula>
    </cfRule>
    <cfRule type="cellIs" dxfId="2608" priority="2544" stopIfTrue="1" operator="between">
      <formula>1.25</formula>
      <formula>1.75</formula>
    </cfRule>
  </conditionalFormatting>
  <conditionalFormatting sqref="AI154">
    <cfRule type="cellIs" dxfId="2607" priority="2541" stopIfTrue="1" operator="greaterThan">
      <formula>1.75</formula>
    </cfRule>
    <cfRule type="cellIs" dxfId="2606" priority="2542" stopIfTrue="1" operator="between">
      <formula>1.25</formula>
      <formula>1.75</formula>
    </cfRule>
  </conditionalFormatting>
  <conditionalFormatting sqref="D138">
    <cfRule type="cellIs" dxfId="2605" priority="2485" stopIfTrue="1" operator="greaterThan">
      <formula>1.75</formula>
    </cfRule>
    <cfRule type="cellIs" dxfId="2604" priority="2486" stopIfTrue="1" operator="between">
      <formula>1.25</formula>
      <formula>1.75</formula>
    </cfRule>
  </conditionalFormatting>
  <conditionalFormatting sqref="Q138">
    <cfRule type="cellIs" dxfId="2603" priority="2523" stopIfTrue="1" operator="greaterThan">
      <formula>1.75</formula>
    </cfRule>
    <cfRule type="cellIs" dxfId="2602" priority="2524" stopIfTrue="1" operator="between">
      <formula>1.25</formula>
      <formula>1.75</formula>
    </cfRule>
  </conditionalFormatting>
  <conditionalFormatting sqref="M138:O138">
    <cfRule type="cellIs" dxfId="2601" priority="2537" stopIfTrue="1" operator="greaterThan">
      <formula>1.75</formula>
    </cfRule>
    <cfRule type="cellIs" dxfId="2600" priority="2538" stopIfTrue="1" operator="between">
      <formula>1.25</formula>
      <formula>1.75</formula>
    </cfRule>
  </conditionalFormatting>
  <conditionalFormatting sqref="M138:O138">
    <cfRule type="cellIs" dxfId="2599" priority="2535" stopIfTrue="1" operator="greaterThan">
      <formula>1.75</formula>
    </cfRule>
    <cfRule type="cellIs" dxfId="2598" priority="2536" stopIfTrue="1" operator="between">
      <formula>1.25</formula>
      <formula>1.75</formula>
    </cfRule>
  </conditionalFormatting>
  <conditionalFormatting sqref="P138">
    <cfRule type="cellIs" dxfId="2597" priority="2533" stopIfTrue="1" operator="greaterThan">
      <formula>1.75</formula>
    </cfRule>
    <cfRule type="cellIs" dxfId="2596" priority="2534" stopIfTrue="1" operator="between">
      <formula>1.25</formula>
      <formula>1.75</formula>
    </cfRule>
  </conditionalFormatting>
  <conditionalFormatting sqref="P138">
    <cfRule type="cellIs" dxfId="2595" priority="2531" stopIfTrue="1" operator="greaterThan">
      <formula>1.75</formula>
    </cfRule>
    <cfRule type="cellIs" dxfId="2594" priority="2532" stopIfTrue="1" operator="between">
      <formula>1.25</formula>
      <formula>1.75</formula>
    </cfRule>
  </conditionalFormatting>
  <conditionalFormatting sqref="P138">
    <cfRule type="cellIs" dxfId="2593" priority="2529" stopIfTrue="1" operator="greaterThan">
      <formula>1.75</formula>
    </cfRule>
    <cfRule type="cellIs" dxfId="2592" priority="2530" stopIfTrue="1" operator="between">
      <formula>1.25</formula>
      <formula>1.75</formula>
    </cfRule>
  </conditionalFormatting>
  <conditionalFormatting sqref="U138">
    <cfRule type="cellIs" dxfId="2591" priority="2527" stopIfTrue="1" operator="greaterThan">
      <formula>1.75</formula>
    </cfRule>
    <cfRule type="cellIs" dxfId="2590" priority="2528" stopIfTrue="1" operator="between">
      <formula>1.25</formula>
      <formula>1.75</formula>
    </cfRule>
  </conditionalFormatting>
  <conditionalFormatting sqref="T138">
    <cfRule type="cellIs" dxfId="2589" priority="2525" stopIfTrue="1" operator="greaterThan">
      <formula>1.75</formula>
    </cfRule>
    <cfRule type="cellIs" dxfId="2588" priority="2526" stopIfTrue="1" operator="between">
      <formula>1.25</formula>
      <formula>1.75</formula>
    </cfRule>
  </conditionalFormatting>
  <conditionalFormatting sqref="Q138">
    <cfRule type="cellIs" dxfId="2587" priority="2521" stopIfTrue="1" operator="greaterThan">
      <formula>1.75</formula>
    </cfRule>
    <cfRule type="cellIs" dxfId="2586" priority="2522" stopIfTrue="1" operator="between">
      <formula>1.25</formula>
      <formula>1.75</formula>
    </cfRule>
  </conditionalFormatting>
  <conditionalFormatting sqref="Q138">
    <cfRule type="cellIs" dxfId="2585" priority="2519" stopIfTrue="1" operator="greaterThan">
      <formula>1.75</formula>
    </cfRule>
    <cfRule type="cellIs" dxfId="2584" priority="2520" stopIfTrue="1" operator="between">
      <formula>1.25</formula>
      <formula>1.75</formula>
    </cfRule>
  </conditionalFormatting>
  <conditionalFormatting sqref="R138">
    <cfRule type="cellIs" dxfId="2583" priority="2517" stopIfTrue="1" operator="greaterThan">
      <formula>1.75</formula>
    </cfRule>
    <cfRule type="cellIs" dxfId="2582" priority="2518" stopIfTrue="1" operator="between">
      <formula>1.25</formula>
      <formula>1.75</formula>
    </cfRule>
  </conditionalFormatting>
  <conditionalFormatting sqref="R138">
    <cfRule type="cellIs" dxfId="2581" priority="2515" stopIfTrue="1" operator="greaterThan">
      <formula>1.75</formula>
    </cfRule>
    <cfRule type="cellIs" dxfId="2580" priority="2516" stopIfTrue="1" operator="between">
      <formula>1.25</formula>
      <formula>1.75</formula>
    </cfRule>
  </conditionalFormatting>
  <conditionalFormatting sqref="R138">
    <cfRule type="cellIs" dxfId="2579" priority="2513" stopIfTrue="1" operator="greaterThan">
      <formula>1.75</formula>
    </cfRule>
    <cfRule type="cellIs" dxfId="2578" priority="2514" stopIfTrue="1" operator="between">
      <formula>1.25</formula>
      <formula>1.75</formula>
    </cfRule>
  </conditionalFormatting>
  <conditionalFormatting sqref="S138">
    <cfRule type="cellIs" dxfId="2577" priority="2509" stopIfTrue="1" operator="greaterThan">
      <formula>1.75</formula>
    </cfRule>
    <cfRule type="cellIs" dxfId="2576" priority="2510" stopIfTrue="1" operator="between">
      <formula>1.25</formula>
      <formula>1.75</formula>
    </cfRule>
  </conditionalFormatting>
  <conditionalFormatting sqref="S138">
    <cfRule type="cellIs" dxfId="2575" priority="2507" stopIfTrue="1" operator="greaterThan">
      <formula>1.75</formula>
    </cfRule>
    <cfRule type="cellIs" dxfId="2574" priority="2508" stopIfTrue="1" operator="between">
      <formula>1.25</formula>
      <formula>1.75</formula>
    </cfRule>
  </conditionalFormatting>
  <conditionalFormatting sqref="S138">
    <cfRule type="cellIs" dxfId="2573" priority="2511" stopIfTrue="1" operator="greaterThan">
      <formula>1.75</formula>
    </cfRule>
    <cfRule type="cellIs" dxfId="2572" priority="2512" stopIfTrue="1" operator="between">
      <formula>1.25</formula>
      <formula>1.75</formula>
    </cfRule>
  </conditionalFormatting>
  <conditionalFormatting sqref="M138:O138">
    <cfRule type="cellIs" dxfId="2571" priority="2539" stopIfTrue="1" operator="greaterThan">
      <formula>1.75</formula>
    </cfRule>
    <cfRule type="cellIs" dxfId="2570" priority="2540" stopIfTrue="1" operator="between">
      <formula>1.25</formula>
      <formula>1.75</formula>
    </cfRule>
  </conditionalFormatting>
  <conditionalFormatting sqref="H140">
    <cfRule type="cellIs" dxfId="2569" priority="2441" stopIfTrue="1" operator="greaterThan">
      <formula>1.75</formula>
    </cfRule>
    <cfRule type="cellIs" dxfId="2568" priority="2442" stopIfTrue="1" operator="between">
      <formula>1.25</formula>
      <formula>1.75</formula>
    </cfRule>
  </conditionalFormatting>
  <conditionalFormatting sqref="H140">
    <cfRule type="cellIs" dxfId="2567" priority="2443" stopIfTrue="1" operator="greaterThan">
      <formula>1.75</formula>
    </cfRule>
    <cfRule type="cellIs" dxfId="2566" priority="2444" stopIfTrue="1" operator="between">
      <formula>1.25</formula>
      <formula>1.75</formula>
    </cfRule>
  </conditionalFormatting>
  <conditionalFormatting sqref="M140:U140">
    <cfRule type="cellIs" dxfId="2565" priority="2505" stopIfTrue="1" operator="greaterThan">
      <formula>1.75</formula>
    </cfRule>
    <cfRule type="cellIs" dxfId="2564" priority="2506" stopIfTrue="1" operator="between">
      <formula>1.25</formula>
      <formula>1.75</formula>
    </cfRule>
  </conditionalFormatting>
  <conditionalFormatting sqref="M140:U140">
    <cfRule type="cellIs" dxfId="2563" priority="2503" stopIfTrue="1" operator="greaterThan">
      <formula>1.75</formula>
    </cfRule>
    <cfRule type="cellIs" dxfId="2562" priority="2504" stopIfTrue="1" operator="between">
      <formula>1.25</formula>
      <formula>1.75</formula>
    </cfRule>
  </conditionalFormatting>
  <conditionalFormatting sqref="M140:U140">
    <cfRule type="cellIs" dxfId="2561" priority="2501" stopIfTrue="1" operator="greaterThan">
      <formula>1.75</formula>
    </cfRule>
    <cfRule type="cellIs" dxfId="2560" priority="2502" stopIfTrue="1" operator="between">
      <formula>1.25</formula>
      <formula>1.75</formula>
    </cfRule>
  </conditionalFormatting>
  <conditionalFormatting sqref="G140">
    <cfRule type="cellIs" dxfId="2559" priority="2445" stopIfTrue="1" operator="greaterThan">
      <formula>1.75</formula>
    </cfRule>
    <cfRule type="cellIs" dxfId="2558" priority="2446" stopIfTrue="1" operator="between">
      <formula>1.25</formula>
      <formula>1.75</formula>
    </cfRule>
  </conditionalFormatting>
  <conditionalFormatting sqref="V138">
    <cfRule type="cellIs" dxfId="2557" priority="2499" stopIfTrue="1" operator="greaterThan">
      <formula>1.75</formula>
    </cfRule>
    <cfRule type="cellIs" dxfId="2556" priority="2500" stopIfTrue="1" operator="between">
      <formula>1.25</formula>
      <formula>1.75</formula>
    </cfRule>
  </conditionalFormatting>
  <conditionalFormatting sqref="V140">
    <cfRule type="cellIs" dxfId="2555" priority="2497" stopIfTrue="1" operator="greaterThan">
      <formula>1.75</formula>
    </cfRule>
    <cfRule type="cellIs" dxfId="2554" priority="2498" stopIfTrue="1" operator="between">
      <formula>1.25</formula>
      <formula>1.75</formula>
    </cfRule>
  </conditionalFormatting>
  <conditionalFormatting sqref="V140">
    <cfRule type="cellIs" dxfId="2553" priority="2495" stopIfTrue="1" operator="greaterThan">
      <formula>1.75</formula>
    </cfRule>
    <cfRule type="cellIs" dxfId="2552" priority="2496" stopIfTrue="1" operator="between">
      <formula>1.25</formula>
      <formula>1.75</formula>
    </cfRule>
  </conditionalFormatting>
  <conditionalFormatting sqref="V140">
    <cfRule type="cellIs" dxfId="2551" priority="2493" stopIfTrue="1" operator="greaterThan">
      <formula>1.75</formula>
    </cfRule>
    <cfRule type="cellIs" dxfId="2550" priority="2494" stopIfTrue="1" operator="between">
      <formula>1.25</formula>
      <formula>1.75</formula>
    </cfRule>
  </conditionalFormatting>
  <conditionalFormatting sqref="C138">
    <cfRule type="cellIs" dxfId="2549" priority="2489" stopIfTrue="1" operator="greaterThan">
      <formula>1.75</formula>
    </cfRule>
    <cfRule type="cellIs" dxfId="2548" priority="2490" stopIfTrue="1" operator="between">
      <formula>1.25</formula>
      <formula>1.75</formula>
    </cfRule>
  </conditionalFormatting>
  <conditionalFormatting sqref="C138">
    <cfRule type="cellIs" dxfId="2547" priority="2487" stopIfTrue="1" operator="greaterThan">
      <formula>1.75</formula>
    </cfRule>
    <cfRule type="cellIs" dxfId="2546" priority="2488" stopIfTrue="1" operator="between">
      <formula>1.25</formula>
      <formula>1.75</formula>
    </cfRule>
  </conditionalFormatting>
  <conditionalFormatting sqref="C138">
    <cfRule type="cellIs" dxfId="2545" priority="2491" stopIfTrue="1" operator="greaterThan">
      <formula>1.75</formula>
    </cfRule>
    <cfRule type="cellIs" dxfId="2544" priority="2492" stopIfTrue="1" operator="between">
      <formula>1.25</formula>
      <formula>1.75</formula>
    </cfRule>
  </conditionalFormatting>
  <conditionalFormatting sqref="D138">
    <cfRule type="cellIs" dxfId="2543" priority="2483" stopIfTrue="1" operator="greaterThan">
      <formula>1.75</formula>
    </cfRule>
    <cfRule type="cellIs" dxfId="2542" priority="2484" stopIfTrue="1" operator="between">
      <formula>1.25</formula>
      <formula>1.75</formula>
    </cfRule>
  </conditionalFormatting>
  <conditionalFormatting sqref="D138">
    <cfRule type="cellIs" dxfId="2541" priority="2481" stopIfTrue="1" operator="greaterThan">
      <formula>1.75</formula>
    </cfRule>
    <cfRule type="cellIs" dxfId="2540" priority="2482" stopIfTrue="1" operator="between">
      <formula>1.25</formula>
      <formula>1.75</formula>
    </cfRule>
  </conditionalFormatting>
  <conditionalFormatting sqref="C140">
    <cfRule type="cellIs" dxfId="2539" priority="2475" stopIfTrue="1" operator="greaterThan">
      <formula>1.75</formula>
    </cfRule>
    <cfRule type="cellIs" dxfId="2538" priority="2476" stopIfTrue="1" operator="between">
      <formula>1.25</formula>
      <formula>1.75</formula>
    </cfRule>
  </conditionalFormatting>
  <conditionalFormatting sqref="C140">
    <cfRule type="cellIs" dxfId="2537" priority="2477" stopIfTrue="1" operator="greaterThan">
      <formula>1.75</formula>
    </cfRule>
    <cfRule type="cellIs" dxfId="2536" priority="2478" stopIfTrue="1" operator="between">
      <formula>1.25</formula>
      <formula>1.75</formula>
    </cfRule>
  </conditionalFormatting>
  <conditionalFormatting sqref="C140">
    <cfRule type="cellIs" dxfId="2535" priority="2479" stopIfTrue="1" operator="greaterThan">
      <formula>1.75</formula>
    </cfRule>
    <cfRule type="cellIs" dxfId="2534" priority="2480" stopIfTrue="1" operator="between">
      <formula>1.25</formula>
      <formula>1.75</formula>
    </cfRule>
  </conditionalFormatting>
  <conditionalFormatting sqref="D140">
    <cfRule type="cellIs" dxfId="2533" priority="2469" stopIfTrue="1" operator="greaterThan">
      <formula>1.75</formula>
    </cfRule>
    <cfRule type="cellIs" dxfId="2532" priority="2470" stopIfTrue="1" operator="between">
      <formula>1.25</formula>
      <formula>1.75</formula>
    </cfRule>
  </conditionalFormatting>
  <conditionalFormatting sqref="D140">
    <cfRule type="cellIs" dxfId="2531" priority="2471" stopIfTrue="1" operator="greaterThan">
      <formula>1.75</formula>
    </cfRule>
    <cfRule type="cellIs" dxfId="2530" priority="2472" stopIfTrue="1" operator="between">
      <formula>1.25</formula>
      <formula>1.75</formula>
    </cfRule>
  </conditionalFormatting>
  <conditionalFormatting sqref="D140">
    <cfRule type="cellIs" dxfId="2529" priority="2473" stopIfTrue="1" operator="greaterThan">
      <formula>1.75</formula>
    </cfRule>
    <cfRule type="cellIs" dxfId="2528" priority="2474" stopIfTrue="1" operator="between">
      <formula>1.25</formula>
      <formula>1.75</formula>
    </cfRule>
  </conditionalFormatting>
  <conditionalFormatting sqref="E140">
    <cfRule type="cellIs" dxfId="2527" priority="2463" stopIfTrue="1" operator="greaterThan">
      <formula>1.75</formula>
    </cfRule>
    <cfRule type="cellIs" dxfId="2526" priority="2464" stopIfTrue="1" operator="between">
      <formula>1.25</formula>
      <formula>1.75</formula>
    </cfRule>
  </conditionalFormatting>
  <conditionalFormatting sqref="E140">
    <cfRule type="cellIs" dxfId="2525" priority="2465" stopIfTrue="1" operator="greaterThan">
      <formula>1.75</formula>
    </cfRule>
    <cfRule type="cellIs" dxfId="2524" priority="2466" stopIfTrue="1" operator="between">
      <formula>1.25</formula>
      <formula>1.75</formula>
    </cfRule>
  </conditionalFormatting>
  <conditionalFormatting sqref="E140">
    <cfRule type="cellIs" dxfId="2523" priority="2467" stopIfTrue="1" operator="greaterThan">
      <formula>1.75</formula>
    </cfRule>
    <cfRule type="cellIs" dxfId="2522" priority="2468" stopIfTrue="1" operator="between">
      <formula>1.25</formula>
      <formula>1.75</formula>
    </cfRule>
  </conditionalFormatting>
  <conditionalFormatting sqref="E138">
    <cfRule type="cellIs" dxfId="2521" priority="2459" stopIfTrue="1" operator="greaterThan">
      <formula>1.75</formula>
    </cfRule>
    <cfRule type="cellIs" dxfId="2520" priority="2460" stopIfTrue="1" operator="between">
      <formula>1.25</formula>
      <formula>1.75</formula>
    </cfRule>
  </conditionalFormatting>
  <conditionalFormatting sqref="E138">
    <cfRule type="cellIs" dxfId="2519" priority="2457" stopIfTrue="1" operator="greaterThan">
      <formula>1.75</formula>
    </cfRule>
    <cfRule type="cellIs" dxfId="2518" priority="2458" stopIfTrue="1" operator="between">
      <formula>1.25</formula>
      <formula>1.75</formula>
    </cfRule>
  </conditionalFormatting>
  <conditionalFormatting sqref="E138">
    <cfRule type="cellIs" dxfId="2517" priority="2461" stopIfTrue="1" operator="greaterThan">
      <formula>1.75</formula>
    </cfRule>
    <cfRule type="cellIs" dxfId="2516" priority="2462" stopIfTrue="1" operator="between">
      <formula>1.25</formula>
      <formula>1.75</formula>
    </cfRule>
  </conditionalFormatting>
  <conditionalFormatting sqref="F140">
    <cfRule type="cellIs" dxfId="2515" priority="2451" stopIfTrue="1" operator="greaterThan">
      <formula>1.75</formula>
    </cfRule>
    <cfRule type="cellIs" dxfId="2514" priority="2452" stopIfTrue="1" operator="between">
      <formula>1.25</formula>
      <formula>1.75</formula>
    </cfRule>
  </conditionalFormatting>
  <conditionalFormatting sqref="F140">
    <cfRule type="cellIs" dxfId="2513" priority="2453" stopIfTrue="1" operator="greaterThan">
      <formula>1.75</formula>
    </cfRule>
    <cfRule type="cellIs" dxfId="2512" priority="2454" stopIfTrue="1" operator="between">
      <formula>1.25</formula>
      <formula>1.75</formula>
    </cfRule>
  </conditionalFormatting>
  <conditionalFormatting sqref="F140">
    <cfRule type="cellIs" dxfId="2511" priority="2455" stopIfTrue="1" operator="greaterThan">
      <formula>1.75</formula>
    </cfRule>
    <cfRule type="cellIs" dxfId="2510" priority="2456" stopIfTrue="1" operator="between">
      <formula>1.25</formula>
      <formula>1.75</formula>
    </cfRule>
  </conditionalFormatting>
  <conditionalFormatting sqref="G140">
    <cfRule type="cellIs" dxfId="2509" priority="2447" stopIfTrue="1" operator="greaterThan">
      <formula>1.75</formula>
    </cfRule>
    <cfRule type="cellIs" dxfId="2508" priority="2448" stopIfTrue="1" operator="between">
      <formula>1.25</formula>
      <formula>1.75</formula>
    </cfRule>
  </conditionalFormatting>
  <conditionalFormatting sqref="G140">
    <cfRule type="cellIs" dxfId="2507" priority="2449" stopIfTrue="1" operator="greaterThan">
      <formula>1.75</formula>
    </cfRule>
    <cfRule type="cellIs" dxfId="2506" priority="2450" stopIfTrue="1" operator="between">
      <formula>1.25</formula>
      <formula>1.75</formula>
    </cfRule>
  </conditionalFormatting>
  <conditionalFormatting sqref="H140">
    <cfRule type="cellIs" dxfId="2505" priority="2439" stopIfTrue="1" operator="greaterThan">
      <formula>1.75</formula>
    </cfRule>
    <cfRule type="cellIs" dxfId="2504" priority="2440" stopIfTrue="1" operator="between">
      <formula>1.25</formula>
      <formula>1.75</formula>
    </cfRule>
  </conditionalFormatting>
  <conditionalFormatting sqref="I140">
    <cfRule type="cellIs" dxfId="2503" priority="2433" stopIfTrue="1" operator="greaterThan">
      <formula>1.75</formula>
    </cfRule>
    <cfRule type="cellIs" dxfId="2502" priority="2434" stopIfTrue="1" operator="between">
      <formula>1.25</formula>
      <formula>1.75</formula>
    </cfRule>
  </conditionalFormatting>
  <conditionalFormatting sqref="I140">
    <cfRule type="cellIs" dxfId="2501" priority="2435" stopIfTrue="1" operator="greaterThan">
      <formula>1.75</formula>
    </cfRule>
    <cfRule type="cellIs" dxfId="2500" priority="2436" stopIfTrue="1" operator="between">
      <formula>1.25</formula>
      <formula>1.75</formula>
    </cfRule>
  </conditionalFormatting>
  <conditionalFormatting sqref="I140">
    <cfRule type="cellIs" dxfId="2499" priority="2437" stopIfTrue="1" operator="greaterThan">
      <formula>1.75</formula>
    </cfRule>
    <cfRule type="cellIs" dxfId="2498" priority="2438" stopIfTrue="1" operator="between">
      <formula>1.25</formula>
      <formula>1.75</formula>
    </cfRule>
  </conditionalFormatting>
  <conditionalFormatting sqref="J140">
    <cfRule type="cellIs" dxfId="2497" priority="2427" stopIfTrue="1" operator="greaterThan">
      <formula>1.75</formula>
    </cfRule>
    <cfRule type="cellIs" dxfId="2496" priority="2428" stopIfTrue="1" operator="between">
      <formula>1.25</formula>
      <formula>1.75</formula>
    </cfRule>
  </conditionalFormatting>
  <conditionalFormatting sqref="J140">
    <cfRule type="cellIs" dxfId="2495" priority="2429" stopIfTrue="1" operator="greaterThan">
      <formula>1.75</formula>
    </cfRule>
    <cfRule type="cellIs" dxfId="2494" priority="2430" stopIfTrue="1" operator="between">
      <formula>1.25</formula>
      <formula>1.75</formula>
    </cfRule>
  </conditionalFormatting>
  <conditionalFormatting sqref="J140">
    <cfRule type="cellIs" dxfId="2493" priority="2431" stopIfTrue="1" operator="greaterThan">
      <formula>1.75</formula>
    </cfRule>
    <cfRule type="cellIs" dxfId="2492" priority="2432" stopIfTrue="1" operator="between">
      <formula>1.25</formula>
      <formula>1.75</formula>
    </cfRule>
  </conditionalFormatting>
  <conditionalFormatting sqref="K140">
    <cfRule type="cellIs" dxfId="2491" priority="2421" stopIfTrue="1" operator="greaterThan">
      <formula>1.75</formula>
    </cfRule>
    <cfRule type="cellIs" dxfId="2490" priority="2422" stopIfTrue="1" operator="between">
      <formula>1.25</formula>
      <formula>1.75</formula>
    </cfRule>
  </conditionalFormatting>
  <conditionalFormatting sqref="K140">
    <cfRule type="cellIs" dxfId="2489" priority="2423" stopIfTrue="1" operator="greaterThan">
      <formula>1.75</formula>
    </cfRule>
    <cfRule type="cellIs" dxfId="2488" priority="2424" stopIfTrue="1" operator="between">
      <formula>1.25</formula>
      <formula>1.75</formula>
    </cfRule>
  </conditionalFormatting>
  <conditionalFormatting sqref="K140">
    <cfRule type="cellIs" dxfId="2487" priority="2425" stopIfTrue="1" operator="greaterThan">
      <formula>1.75</formula>
    </cfRule>
    <cfRule type="cellIs" dxfId="2486" priority="2426" stopIfTrue="1" operator="between">
      <formula>1.25</formula>
      <formula>1.75</formula>
    </cfRule>
  </conditionalFormatting>
  <conditionalFormatting sqref="L140">
    <cfRule type="cellIs" dxfId="2485" priority="2415" stopIfTrue="1" operator="greaterThan">
      <formula>1.75</formula>
    </cfRule>
    <cfRule type="cellIs" dxfId="2484" priority="2416" stopIfTrue="1" operator="between">
      <formula>1.25</formula>
      <formula>1.75</formula>
    </cfRule>
  </conditionalFormatting>
  <conditionalFormatting sqref="L140">
    <cfRule type="cellIs" dxfId="2483" priority="2417" stopIfTrue="1" operator="greaterThan">
      <formula>1.75</formula>
    </cfRule>
    <cfRule type="cellIs" dxfId="2482" priority="2418" stopIfTrue="1" operator="between">
      <formula>1.25</formula>
      <formula>1.75</formula>
    </cfRule>
  </conditionalFormatting>
  <conditionalFormatting sqref="L140">
    <cfRule type="cellIs" dxfId="2481" priority="2419" stopIfTrue="1" operator="greaterThan">
      <formula>1.75</formula>
    </cfRule>
    <cfRule type="cellIs" dxfId="2480" priority="2420" stopIfTrue="1" operator="between">
      <formula>1.25</formula>
      <formula>1.75</formula>
    </cfRule>
  </conditionalFormatting>
  <conditionalFormatting sqref="F138">
    <cfRule type="cellIs" dxfId="2479" priority="2411" stopIfTrue="1" operator="greaterThan">
      <formula>1.75</formula>
    </cfRule>
    <cfRule type="cellIs" dxfId="2478" priority="2412" stopIfTrue="1" operator="between">
      <formula>1.25</formula>
      <formula>1.75</formula>
    </cfRule>
  </conditionalFormatting>
  <conditionalFormatting sqref="F138">
    <cfRule type="cellIs" dxfId="2477" priority="2409" stopIfTrue="1" operator="greaterThan">
      <formula>1.75</formula>
    </cfRule>
    <cfRule type="cellIs" dxfId="2476" priority="2410" stopIfTrue="1" operator="between">
      <formula>1.25</formula>
      <formula>1.75</formula>
    </cfRule>
  </conditionalFormatting>
  <conditionalFormatting sqref="F138">
    <cfRule type="cellIs" dxfId="2475" priority="2413" stopIfTrue="1" operator="greaterThan">
      <formula>1.75</formula>
    </cfRule>
    <cfRule type="cellIs" dxfId="2474" priority="2414" stopIfTrue="1" operator="between">
      <formula>1.25</formula>
      <formula>1.75</formula>
    </cfRule>
  </conditionalFormatting>
  <conditionalFormatting sqref="G138">
    <cfRule type="cellIs" dxfId="2473" priority="2405" stopIfTrue="1" operator="greaterThan">
      <formula>1.75</formula>
    </cfRule>
    <cfRule type="cellIs" dxfId="2472" priority="2406" stopIfTrue="1" operator="between">
      <formula>1.25</formula>
      <formula>1.75</formula>
    </cfRule>
  </conditionalFormatting>
  <conditionalFormatting sqref="G138">
    <cfRule type="cellIs" dxfId="2471" priority="2403" stopIfTrue="1" operator="greaterThan">
      <formula>1.75</formula>
    </cfRule>
    <cfRule type="cellIs" dxfId="2470" priority="2404" stopIfTrue="1" operator="between">
      <formula>1.25</formula>
      <formula>1.75</formula>
    </cfRule>
  </conditionalFormatting>
  <conditionalFormatting sqref="G138">
    <cfRule type="cellIs" dxfId="2469" priority="2407" stopIfTrue="1" operator="greaterThan">
      <formula>1.75</formula>
    </cfRule>
    <cfRule type="cellIs" dxfId="2468" priority="2408" stopIfTrue="1" operator="between">
      <formula>1.25</formula>
      <formula>1.75</formula>
    </cfRule>
  </conditionalFormatting>
  <conditionalFormatting sqref="H138">
    <cfRule type="cellIs" dxfId="2467" priority="2399" stopIfTrue="1" operator="greaterThan">
      <formula>1.75</formula>
    </cfRule>
    <cfRule type="cellIs" dxfId="2466" priority="2400" stopIfTrue="1" operator="between">
      <formula>1.25</formula>
      <formula>1.75</formula>
    </cfRule>
  </conditionalFormatting>
  <conditionalFormatting sqref="H138">
    <cfRule type="cellIs" dxfId="2465" priority="2397" stopIfTrue="1" operator="greaterThan">
      <formula>1.75</formula>
    </cfRule>
    <cfRule type="cellIs" dxfId="2464" priority="2398" stopIfTrue="1" operator="between">
      <formula>1.25</formula>
      <formula>1.75</formula>
    </cfRule>
  </conditionalFormatting>
  <conditionalFormatting sqref="H138">
    <cfRule type="cellIs" dxfId="2463" priority="2401" stopIfTrue="1" operator="greaterThan">
      <formula>1.75</formula>
    </cfRule>
    <cfRule type="cellIs" dxfId="2462" priority="2402" stopIfTrue="1" operator="between">
      <formula>1.25</formula>
      <formula>1.75</formula>
    </cfRule>
  </conditionalFormatting>
  <conditionalFormatting sqref="I138">
    <cfRule type="cellIs" dxfId="2461" priority="2393" stopIfTrue="1" operator="greaterThan">
      <formula>1.75</formula>
    </cfRule>
    <cfRule type="cellIs" dxfId="2460" priority="2394" stopIfTrue="1" operator="between">
      <formula>1.25</formula>
      <formula>1.75</formula>
    </cfRule>
  </conditionalFormatting>
  <conditionalFormatting sqref="I138">
    <cfRule type="cellIs" dxfId="2459" priority="2391" stopIfTrue="1" operator="greaterThan">
      <formula>1.75</formula>
    </cfRule>
    <cfRule type="cellIs" dxfId="2458" priority="2392" stopIfTrue="1" operator="between">
      <formula>1.25</formula>
      <formula>1.75</formula>
    </cfRule>
  </conditionalFormatting>
  <conditionalFormatting sqref="I138">
    <cfRule type="cellIs" dxfId="2457" priority="2395" stopIfTrue="1" operator="greaterThan">
      <formula>1.75</formula>
    </cfRule>
    <cfRule type="cellIs" dxfId="2456" priority="2396" stopIfTrue="1" operator="between">
      <formula>1.25</formula>
      <formula>1.75</formula>
    </cfRule>
  </conditionalFormatting>
  <conditionalFormatting sqref="J138">
    <cfRule type="cellIs" dxfId="2455" priority="2387" stopIfTrue="1" operator="greaterThan">
      <formula>1.75</formula>
    </cfRule>
    <cfRule type="cellIs" dxfId="2454" priority="2388" stopIfTrue="1" operator="between">
      <formula>1.25</formula>
      <formula>1.75</formula>
    </cfRule>
  </conditionalFormatting>
  <conditionalFormatting sqref="J138">
    <cfRule type="cellIs" dxfId="2453" priority="2385" stopIfTrue="1" operator="greaterThan">
      <formula>1.75</formula>
    </cfRule>
    <cfRule type="cellIs" dxfId="2452" priority="2386" stopIfTrue="1" operator="between">
      <formula>1.25</formula>
      <formula>1.75</formula>
    </cfRule>
  </conditionalFormatting>
  <conditionalFormatting sqref="J138">
    <cfRule type="cellIs" dxfId="2451" priority="2389" stopIfTrue="1" operator="greaterThan">
      <formula>1.75</formula>
    </cfRule>
    <cfRule type="cellIs" dxfId="2450" priority="2390" stopIfTrue="1" operator="between">
      <formula>1.25</formula>
      <formula>1.75</formula>
    </cfRule>
  </conditionalFormatting>
  <conditionalFormatting sqref="K138">
    <cfRule type="cellIs" dxfId="2449" priority="2381" stopIfTrue="1" operator="greaterThan">
      <formula>1.75</formula>
    </cfRule>
    <cfRule type="cellIs" dxfId="2448" priority="2382" stopIfTrue="1" operator="between">
      <formula>1.25</formula>
      <formula>1.75</formula>
    </cfRule>
  </conditionalFormatting>
  <conditionalFormatting sqref="K138">
    <cfRule type="cellIs" dxfId="2447" priority="2379" stopIfTrue="1" operator="greaterThan">
      <formula>1.75</formula>
    </cfRule>
    <cfRule type="cellIs" dxfId="2446" priority="2380" stopIfTrue="1" operator="between">
      <formula>1.25</formula>
      <formula>1.75</formula>
    </cfRule>
  </conditionalFormatting>
  <conditionalFormatting sqref="K138">
    <cfRule type="cellIs" dxfId="2445" priority="2383" stopIfTrue="1" operator="greaterThan">
      <formula>1.75</formula>
    </cfRule>
    <cfRule type="cellIs" dxfId="2444" priority="2384" stopIfTrue="1" operator="between">
      <formula>1.25</formula>
      <formula>1.75</formula>
    </cfRule>
  </conditionalFormatting>
  <conditionalFormatting sqref="L138">
    <cfRule type="cellIs" dxfId="2443" priority="2375" stopIfTrue="1" operator="greaterThan">
      <formula>1.75</formula>
    </cfRule>
    <cfRule type="cellIs" dxfId="2442" priority="2376" stopIfTrue="1" operator="between">
      <formula>1.25</formula>
      <formula>1.75</formula>
    </cfRule>
  </conditionalFormatting>
  <conditionalFormatting sqref="L138">
    <cfRule type="cellIs" dxfId="2441" priority="2373" stopIfTrue="1" operator="greaterThan">
      <formula>1.75</formula>
    </cfRule>
    <cfRule type="cellIs" dxfId="2440" priority="2374" stopIfTrue="1" operator="between">
      <formula>1.25</formula>
      <formula>1.75</formula>
    </cfRule>
  </conditionalFormatting>
  <conditionalFormatting sqref="L138">
    <cfRule type="cellIs" dxfId="2439" priority="2377" stopIfTrue="1" operator="greaterThan">
      <formula>1.75</formula>
    </cfRule>
    <cfRule type="cellIs" dxfId="2438" priority="2378" stopIfTrue="1" operator="between">
      <formula>1.25</formula>
      <formula>1.75</formula>
    </cfRule>
  </conditionalFormatting>
  <conditionalFormatting sqref="W138">
    <cfRule type="cellIs" dxfId="2437" priority="2371" stopIfTrue="1" operator="greaterThan">
      <formula>1.75</formula>
    </cfRule>
    <cfRule type="cellIs" dxfId="2436" priority="2372" stopIfTrue="1" operator="between">
      <formula>1.25</formula>
      <formula>1.75</formula>
    </cfRule>
  </conditionalFormatting>
  <conditionalFormatting sqref="W140">
    <cfRule type="cellIs" dxfId="2435" priority="2369" stopIfTrue="1" operator="greaterThan">
      <formula>1.75</formula>
    </cfRule>
    <cfRule type="cellIs" dxfId="2434" priority="2370" stopIfTrue="1" operator="between">
      <formula>1.25</formula>
      <formula>1.75</formula>
    </cfRule>
  </conditionalFormatting>
  <conditionalFormatting sqref="W140">
    <cfRule type="cellIs" dxfId="2433" priority="2367" stopIfTrue="1" operator="greaterThan">
      <formula>1.75</formula>
    </cfRule>
    <cfRule type="cellIs" dxfId="2432" priority="2368" stopIfTrue="1" operator="between">
      <formula>1.25</formula>
      <formula>1.75</formula>
    </cfRule>
  </conditionalFormatting>
  <conditionalFormatting sqref="W140">
    <cfRule type="cellIs" dxfId="2431" priority="2365" stopIfTrue="1" operator="greaterThan">
      <formula>1.75</formula>
    </cfRule>
    <cfRule type="cellIs" dxfId="2430" priority="2366" stopIfTrue="1" operator="between">
      <formula>1.25</formula>
      <formula>1.75</formula>
    </cfRule>
  </conditionalFormatting>
  <conditionalFormatting sqref="Z138">
    <cfRule type="cellIs" dxfId="2429" priority="2363" stopIfTrue="1" operator="greaterThan">
      <formula>1.75</formula>
    </cfRule>
    <cfRule type="cellIs" dxfId="2428" priority="2364" stopIfTrue="1" operator="between">
      <formula>1.25</formula>
      <formula>1.75</formula>
    </cfRule>
  </conditionalFormatting>
  <conditionalFormatting sqref="Z140">
    <cfRule type="cellIs" dxfId="2427" priority="2361" stopIfTrue="1" operator="greaterThan">
      <formula>1.75</formula>
    </cfRule>
    <cfRule type="cellIs" dxfId="2426" priority="2362" stopIfTrue="1" operator="between">
      <formula>1.25</formula>
      <formula>1.75</formula>
    </cfRule>
  </conditionalFormatting>
  <conditionalFormatting sqref="Z140">
    <cfRule type="cellIs" dxfId="2425" priority="2359" stopIfTrue="1" operator="greaterThan">
      <formula>1.75</formula>
    </cfRule>
    <cfRule type="cellIs" dxfId="2424" priority="2360" stopIfTrue="1" operator="between">
      <formula>1.25</formula>
      <formula>1.75</formula>
    </cfRule>
  </conditionalFormatting>
  <conditionalFormatting sqref="Z140">
    <cfRule type="cellIs" dxfId="2423" priority="2357" stopIfTrue="1" operator="greaterThan">
      <formula>1.75</formula>
    </cfRule>
    <cfRule type="cellIs" dxfId="2422" priority="2358" stopIfTrue="1" operator="between">
      <formula>1.25</formula>
      <formula>1.75</formula>
    </cfRule>
  </conditionalFormatting>
  <conditionalFormatting sqref="X138">
    <cfRule type="cellIs" dxfId="2421" priority="2355" stopIfTrue="1" operator="greaterThan">
      <formula>1.75</formula>
    </cfRule>
    <cfRule type="cellIs" dxfId="2420" priority="2356" stopIfTrue="1" operator="between">
      <formula>1.25</formula>
      <formula>1.75</formula>
    </cfRule>
  </conditionalFormatting>
  <conditionalFormatting sqref="X140">
    <cfRule type="cellIs" dxfId="2419" priority="2353" stopIfTrue="1" operator="greaterThan">
      <formula>1.75</formula>
    </cfRule>
    <cfRule type="cellIs" dxfId="2418" priority="2354" stopIfTrue="1" operator="between">
      <formula>1.25</formula>
      <formula>1.75</formula>
    </cfRule>
  </conditionalFormatting>
  <conditionalFormatting sqref="X140">
    <cfRule type="cellIs" dxfId="2417" priority="2351" stopIfTrue="1" operator="greaterThan">
      <formula>1.75</formula>
    </cfRule>
    <cfRule type="cellIs" dxfId="2416" priority="2352" stopIfTrue="1" operator="between">
      <formula>1.25</formula>
      <formula>1.75</formula>
    </cfRule>
  </conditionalFormatting>
  <conditionalFormatting sqref="X140">
    <cfRule type="cellIs" dxfId="2415" priority="2349" stopIfTrue="1" operator="greaterThan">
      <formula>1.75</formula>
    </cfRule>
    <cfRule type="cellIs" dxfId="2414" priority="2350" stopIfTrue="1" operator="between">
      <formula>1.25</formula>
      <formula>1.75</formula>
    </cfRule>
  </conditionalFormatting>
  <conditionalFormatting sqref="Y138">
    <cfRule type="cellIs" dxfId="2413" priority="2347" stopIfTrue="1" operator="greaterThan">
      <formula>1.75</formula>
    </cfRule>
    <cfRule type="cellIs" dxfId="2412" priority="2348" stopIfTrue="1" operator="between">
      <formula>1.25</formula>
      <formula>1.75</formula>
    </cfRule>
  </conditionalFormatting>
  <conditionalFormatting sqref="Y140">
    <cfRule type="cellIs" dxfId="2411" priority="2345" stopIfTrue="1" operator="greaterThan">
      <formula>1.75</formula>
    </cfRule>
    <cfRule type="cellIs" dxfId="2410" priority="2346" stopIfTrue="1" operator="between">
      <formula>1.25</formula>
      <formula>1.75</formula>
    </cfRule>
  </conditionalFormatting>
  <conditionalFormatting sqref="Y140">
    <cfRule type="cellIs" dxfId="2409" priority="2343" stopIfTrue="1" operator="greaterThan">
      <formula>1.75</formula>
    </cfRule>
    <cfRule type="cellIs" dxfId="2408" priority="2344" stopIfTrue="1" operator="between">
      <formula>1.25</formula>
      <formula>1.75</formula>
    </cfRule>
  </conditionalFormatting>
  <conditionalFormatting sqref="Y140">
    <cfRule type="cellIs" dxfId="2407" priority="2341" stopIfTrue="1" operator="greaterThan">
      <formula>1.75</formula>
    </cfRule>
    <cfRule type="cellIs" dxfId="2406" priority="2342" stopIfTrue="1" operator="between">
      <formula>1.25</formula>
      <formula>1.75</formula>
    </cfRule>
  </conditionalFormatting>
  <conditionalFormatting sqref="AB138">
    <cfRule type="cellIs" dxfId="2405" priority="2339" stopIfTrue="1" operator="greaterThan">
      <formula>1.75</formula>
    </cfRule>
    <cfRule type="cellIs" dxfId="2404" priority="2340" stopIfTrue="1" operator="between">
      <formula>1.25</formula>
      <formula>1.75</formula>
    </cfRule>
  </conditionalFormatting>
  <conditionalFormatting sqref="AB140">
    <cfRule type="cellIs" dxfId="2403" priority="2337" stopIfTrue="1" operator="greaterThan">
      <formula>1.75</formula>
    </cfRule>
    <cfRule type="cellIs" dxfId="2402" priority="2338" stopIfTrue="1" operator="between">
      <formula>1.25</formula>
      <formula>1.75</formula>
    </cfRule>
  </conditionalFormatting>
  <conditionalFormatting sqref="AB140">
    <cfRule type="cellIs" dxfId="2401" priority="2335" stopIfTrue="1" operator="greaterThan">
      <formula>1.75</formula>
    </cfRule>
    <cfRule type="cellIs" dxfId="2400" priority="2336" stopIfTrue="1" operator="between">
      <formula>1.25</formula>
      <formula>1.75</formula>
    </cfRule>
  </conditionalFormatting>
  <conditionalFormatting sqref="AB140">
    <cfRule type="cellIs" dxfId="2399" priority="2333" stopIfTrue="1" operator="greaterThan">
      <formula>1.75</formula>
    </cfRule>
    <cfRule type="cellIs" dxfId="2398" priority="2334" stopIfTrue="1" operator="between">
      <formula>1.25</formula>
      <formula>1.75</formula>
    </cfRule>
  </conditionalFormatting>
  <conditionalFormatting sqref="AC138">
    <cfRule type="cellIs" dxfId="2397" priority="2331" stopIfTrue="1" operator="greaterThan">
      <formula>1.75</formula>
    </cfRule>
    <cfRule type="cellIs" dxfId="2396" priority="2332" stopIfTrue="1" operator="between">
      <formula>1.25</formula>
      <formula>1.75</formula>
    </cfRule>
  </conditionalFormatting>
  <conditionalFormatting sqref="AC140">
    <cfRule type="cellIs" dxfId="2395" priority="2329" stopIfTrue="1" operator="greaterThan">
      <formula>1.75</formula>
    </cfRule>
    <cfRule type="cellIs" dxfId="2394" priority="2330" stopIfTrue="1" operator="between">
      <formula>1.25</formula>
      <formula>1.75</formula>
    </cfRule>
  </conditionalFormatting>
  <conditionalFormatting sqref="AC140">
    <cfRule type="cellIs" dxfId="2393" priority="2327" stopIfTrue="1" operator="greaterThan">
      <formula>1.75</formula>
    </cfRule>
    <cfRule type="cellIs" dxfId="2392" priority="2328" stopIfTrue="1" operator="between">
      <formula>1.25</formula>
      <formula>1.75</formula>
    </cfRule>
  </conditionalFormatting>
  <conditionalFormatting sqref="AC140">
    <cfRule type="cellIs" dxfId="2391" priority="2325" stopIfTrue="1" operator="greaterThan">
      <formula>1.75</formula>
    </cfRule>
    <cfRule type="cellIs" dxfId="2390" priority="2326" stopIfTrue="1" operator="between">
      <formula>1.25</formula>
      <formula>1.75</formula>
    </cfRule>
  </conditionalFormatting>
  <conditionalFormatting sqref="AD138">
    <cfRule type="cellIs" dxfId="2389" priority="2323" stopIfTrue="1" operator="greaterThan">
      <formula>1.75</formula>
    </cfRule>
    <cfRule type="cellIs" dxfId="2388" priority="2324" stopIfTrue="1" operator="between">
      <formula>1.25</formula>
      <formula>1.75</formula>
    </cfRule>
  </conditionalFormatting>
  <conditionalFormatting sqref="AD140">
    <cfRule type="cellIs" dxfId="2387" priority="2321" stopIfTrue="1" operator="greaterThan">
      <formula>1.75</formula>
    </cfRule>
    <cfRule type="cellIs" dxfId="2386" priority="2322" stopIfTrue="1" operator="between">
      <formula>1.25</formula>
      <formula>1.75</formula>
    </cfRule>
  </conditionalFormatting>
  <conditionalFormatting sqref="AD140">
    <cfRule type="cellIs" dxfId="2385" priority="2319" stopIfTrue="1" operator="greaterThan">
      <formula>1.75</formula>
    </cfRule>
    <cfRule type="cellIs" dxfId="2384" priority="2320" stopIfTrue="1" operator="between">
      <formula>1.25</formula>
      <formula>1.75</formula>
    </cfRule>
  </conditionalFormatting>
  <conditionalFormatting sqref="AD140">
    <cfRule type="cellIs" dxfId="2383" priority="2317" stopIfTrue="1" operator="greaterThan">
      <formula>1.75</formula>
    </cfRule>
    <cfRule type="cellIs" dxfId="2382" priority="2318" stopIfTrue="1" operator="between">
      <formula>1.25</formula>
      <formula>1.75</formula>
    </cfRule>
  </conditionalFormatting>
  <conditionalFormatting sqref="AE138">
    <cfRule type="cellIs" dxfId="2381" priority="2315" stopIfTrue="1" operator="greaterThan">
      <formula>1.75</formula>
    </cfRule>
    <cfRule type="cellIs" dxfId="2380" priority="2316" stopIfTrue="1" operator="between">
      <formula>1.25</formula>
      <formula>1.75</formula>
    </cfRule>
  </conditionalFormatting>
  <conditionalFormatting sqref="AE140">
    <cfRule type="cellIs" dxfId="2379" priority="2313" stopIfTrue="1" operator="greaterThan">
      <formula>1.75</formula>
    </cfRule>
    <cfRule type="cellIs" dxfId="2378" priority="2314" stopIfTrue="1" operator="between">
      <formula>1.25</formula>
      <formula>1.75</formula>
    </cfRule>
  </conditionalFormatting>
  <conditionalFormatting sqref="AE140">
    <cfRule type="cellIs" dxfId="2377" priority="2311" stopIfTrue="1" operator="greaterThan">
      <formula>1.75</formula>
    </cfRule>
    <cfRule type="cellIs" dxfId="2376" priority="2312" stopIfTrue="1" operator="between">
      <formula>1.25</formula>
      <formula>1.75</formula>
    </cfRule>
  </conditionalFormatting>
  <conditionalFormatting sqref="AE140">
    <cfRule type="cellIs" dxfId="2375" priority="2309" stopIfTrue="1" operator="greaterThan">
      <formula>1.75</formula>
    </cfRule>
    <cfRule type="cellIs" dxfId="2374" priority="2310" stopIfTrue="1" operator="between">
      <formula>1.25</formula>
      <formula>1.75</formula>
    </cfRule>
  </conditionalFormatting>
  <conditionalFormatting sqref="AF138">
    <cfRule type="cellIs" dxfId="2373" priority="2307" stopIfTrue="1" operator="greaterThan">
      <formula>1.75</formula>
    </cfRule>
    <cfRule type="cellIs" dxfId="2372" priority="2308" stopIfTrue="1" operator="between">
      <formula>1.25</formula>
      <formula>1.75</formula>
    </cfRule>
  </conditionalFormatting>
  <conditionalFormatting sqref="AF140">
    <cfRule type="cellIs" dxfId="2371" priority="2305" stopIfTrue="1" operator="greaterThan">
      <formula>1.75</formula>
    </cfRule>
    <cfRule type="cellIs" dxfId="2370" priority="2306" stopIfTrue="1" operator="between">
      <formula>1.25</formula>
      <formula>1.75</formula>
    </cfRule>
  </conditionalFormatting>
  <conditionalFormatting sqref="AF140">
    <cfRule type="cellIs" dxfId="2369" priority="2303" stopIfTrue="1" operator="greaterThan">
      <formula>1.75</formula>
    </cfRule>
    <cfRule type="cellIs" dxfId="2368" priority="2304" stopIfTrue="1" operator="between">
      <formula>1.25</formula>
      <formula>1.75</formula>
    </cfRule>
  </conditionalFormatting>
  <conditionalFormatting sqref="AF140">
    <cfRule type="cellIs" dxfId="2367" priority="2301" stopIfTrue="1" operator="greaterThan">
      <formula>1.75</formula>
    </cfRule>
    <cfRule type="cellIs" dxfId="2366" priority="2302" stopIfTrue="1" operator="between">
      <formula>1.25</formula>
      <formula>1.75</formula>
    </cfRule>
  </conditionalFormatting>
  <conditionalFormatting sqref="AG138">
    <cfRule type="cellIs" dxfId="2365" priority="2299" stopIfTrue="1" operator="greaterThan">
      <formula>1.75</formula>
    </cfRule>
    <cfRule type="cellIs" dxfId="2364" priority="2300" stopIfTrue="1" operator="between">
      <formula>1.25</formula>
      <formula>1.75</formula>
    </cfRule>
  </conditionalFormatting>
  <conditionalFormatting sqref="AG140">
    <cfRule type="cellIs" dxfId="2363" priority="2297" stopIfTrue="1" operator="greaterThan">
      <formula>1.75</formula>
    </cfRule>
    <cfRule type="cellIs" dxfId="2362" priority="2298" stopIfTrue="1" operator="between">
      <formula>1.25</formula>
      <formula>1.75</formula>
    </cfRule>
  </conditionalFormatting>
  <conditionalFormatting sqref="AG140">
    <cfRule type="cellIs" dxfId="2361" priority="2295" stopIfTrue="1" operator="greaterThan">
      <formula>1.75</formula>
    </cfRule>
    <cfRule type="cellIs" dxfId="2360" priority="2296" stopIfTrue="1" operator="between">
      <formula>1.25</formula>
      <formula>1.75</formula>
    </cfRule>
  </conditionalFormatting>
  <conditionalFormatting sqref="AG140">
    <cfRule type="cellIs" dxfId="2359" priority="2293" stopIfTrue="1" operator="greaterThan">
      <formula>1.75</formula>
    </cfRule>
    <cfRule type="cellIs" dxfId="2358" priority="2294" stopIfTrue="1" operator="between">
      <formula>1.25</formula>
      <formula>1.75</formula>
    </cfRule>
  </conditionalFormatting>
  <conditionalFormatting sqref="AH138">
    <cfRule type="cellIs" dxfId="2357" priority="2291" stopIfTrue="1" operator="greaterThan">
      <formula>1.75</formula>
    </cfRule>
    <cfRule type="cellIs" dxfId="2356" priority="2292" stopIfTrue="1" operator="between">
      <formula>1.25</formula>
      <formula>1.75</formula>
    </cfRule>
  </conditionalFormatting>
  <conditionalFormatting sqref="AH140">
    <cfRule type="cellIs" dxfId="2355" priority="2289" stopIfTrue="1" operator="greaterThan">
      <formula>1.75</formula>
    </cfRule>
    <cfRule type="cellIs" dxfId="2354" priority="2290" stopIfTrue="1" operator="between">
      <formula>1.25</formula>
      <formula>1.75</formula>
    </cfRule>
  </conditionalFormatting>
  <conditionalFormatting sqref="AH140">
    <cfRule type="cellIs" dxfId="2353" priority="2287" stopIfTrue="1" operator="greaterThan">
      <formula>1.75</formula>
    </cfRule>
    <cfRule type="cellIs" dxfId="2352" priority="2288" stopIfTrue="1" operator="between">
      <formula>1.25</formula>
      <formula>1.75</formula>
    </cfRule>
  </conditionalFormatting>
  <conditionalFormatting sqref="AH140">
    <cfRule type="cellIs" dxfId="2351" priority="2285" stopIfTrue="1" operator="greaterThan">
      <formula>1.75</formula>
    </cfRule>
    <cfRule type="cellIs" dxfId="2350" priority="2286" stopIfTrue="1" operator="between">
      <formula>1.25</formula>
      <formula>1.75</formula>
    </cfRule>
  </conditionalFormatting>
  <conditionalFormatting sqref="AI138">
    <cfRule type="cellIs" dxfId="2349" priority="2283" stopIfTrue="1" operator="greaterThan">
      <formula>1.75</formula>
    </cfRule>
    <cfRule type="cellIs" dxfId="2348" priority="2284" stopIfTrue="1" operator="between">
      <formula>1.25</formula>
      <formula>1.75</formula>
    </cfRule>
  </conditionalFormatting>
  <conditionalFormatting sqref="AI140">
    <cfRule type="cellIs" dxfId="2347" priority="2281" stopIfTrue="1" operator="greaterThan">
      <formula>1.75</formula>
    </cfRule>
    <cfRule type="cellIs" dxfId="2346" priority="2282" stopIfTrue="1" operator="between">
      <formula>1.25</formula>
      <formula>1.75</formula>
    </cfRule>
  </conditionalFormatting>
  <conditionalFormatting sqref="AI140">
    <cfRule type="cellIs" dxfId="2345" priority="2279" stopIfTrue="1" operator="greaterThan">
      <formula>1.75</formula>
    </cfRule>
    <cfRule type="cellIs" dxfId="2344" priority="2280" stopIfTrue="1" operator="between">
      <formula>1.25</formula>
      <formula>1.75</formula>
    </cfRule>
  </conditionalFormatting>
  <conditionalFormatting sqref="AI140">
    <cfRule type="cellIs" dxfId="2343" priority="2277" stopIfTrue="1" operator="greaterThan">
      <formula>1.75</formula>
    </cfRule>
    <cfRule type="cellIs" dxfId="2342" priority="2278" stopIfTrue="1" operator="between">
      <formula>1.25</formula>
      <formula>1.75</formula>
    </cfRule>
  </conditionalFormatting>
  <conditionalFormatting sqref="AJ138">
    <cfRule type="cellIs" dxfId="2341" priority="2275" stopIfTrue="1" operator="greaterThan">
      <formula>1.75</formula>
    </cfRule>
    <cfRule type="cellIs" dxfId="2340" priority="2276" stopIfTrue="1" operator="between">
      <formula>1.25</formula>
      <formula>1.75</formula>
    </cfRule>
  </conditionalFormatting>
  <conditionalFormatting sqref="AJ140">
    <cfRule type="cellIs" dxfId="2339" priority="2273" stopIfTrue="1" operator="greaterThan">
      <formula>1.75</formula>
    </cfRule>
    <cfRule type="cellIs" dxfId="2338" priority="2274" stopIfTrue="1" operator="between">
      <formula>1.25</formula>
      <formula>1.75</formula>
    </cfRule>
  </conditionalFormatting>
  <conditionalFormatting sqref="AJ140">
    <cfRule type="cellIs" dxfId="2337" priority="2271" stopIfTrue="1" operator="greaterThan">
      <formula>1.75</formula>
    </cfRule>
    <cfRule type="cellIs" dxfId="2336" priority="2272" stopIfTrue="1" operator="between">
      <formula>1.25</formula>
      <formula>1.75</formula>
    </cfRule>
  </conditionalFormatting>
  <conditionalFormatting sqref="AJ140">
    <cfRule type="cellIs" dxfId="2335" priority="2269" stopIfTrue="1" operator="greaterThan">
      <formula>1.75</formula>
    </cfRule>
    <cfRule type="cellIs" dxfId="2334" priority="2270" stopIfTrue="1" operator="between">
      <formula>1.25</formula>
      <formula>1.75</formula>
    </cfRule>
  </conditionalFormatting>
  <conditionalFormatting sqref="Z12">
    <cfRule type="cellIs" dxfId="2333" priority="2267" stopIfTrue="1" operator="greaterThan">
      <formula>1.75</formula>
    </cfRule>
    <cfRule type="cellIs" dxfId="2332" priority="2268" stopIfTrue="1" operator="between">
      <formula>1.25</formula>
      <formula>1.75</formula>
    </cfRule>
  </conditionalFormatting>
  <conditionalFormatting sqref="Z14">
    <cfRule type="cellIs" dxfId="2331" priority="2265" stopIfTrue="1" operator="greaterThan">
      <formula>1.75</formula>
    </cfRule>
    <cfRule type="cellIs" dxfId="2330" priority="2266" stopIfTrue="1" operator="between">
      <formula>1.25</formula>
      <formula>1.75</formula>
    </cfRule>
  </conditionalFormatting>
  <conditionalFormatting sqref="Z14">
    <cfRule type="cellIs" dxfId="2329" priority="2263" stopIfTrue="1" operator="greaterThan">
      <formula>1.75</formula>
    </cfRule>
    <cfRule type="cellIs" dxfId="2328" priority="2264" stopIfTrue="1" operator="between">
      <formula>1.25</formula>
      <formula>1.75</formula>
    </cfRule>
  </conditionalFormatting>
  <conditionalFormatting sqref="Z14">
    <cfRule type="cellIs" dxfId="2327" priority="2261" stopIfTrue="1" operator="greaterThan">
      <formula>1.75</formula>
    </cfRule>
    <cfRule type="cellIs" dxfId="2326" priority="2262" stopIfTrue="1" operator="between">
      <formula>1.25</formula>
      <formula>1.75</formula>
    </cfRule>
  </conditionalFormatting>
  <conditionalFormatting sqref="AA12">
    <cfRule type="cellIs" dxfId="2325" priority="2259" stopIfTrue="1" operator="greaterThan">
      <formula>1.75</formula>
    </cfRule>
    <cfRule type="cellIs" dxfId="2324" priority="2260" stopIfTrue="1" operator="between">
      <formula>1.25</formula>
      <formula>1.75</formula>
    </cfRule>
  </conditionalFormatting>
  <conditionalFormatting sqref="AA14">
    <cfRule type="cellIs" dxfId="2323" priority="2257" stopIfTrue="1" operator="greaterThan">
      <formula>1.75</formula>
    </cfRule>
    <cfRule type="cellIs" dxfId="2322" priority="2258" stopIfTrue="1" operator="between">
      <formula>1.25</formula>
      <formula>1.75</formula>
    </cfRule>
  </conditionalFormatting>
  <conditionalFormatting sqref="AA14">
    <cfRule type="cellIs" dxfId="2321" priority="2255" stopIfTrue="1" operator="greaterThan">
      <formula>1.75</formula>
    </cfRule>
    <cfRule type="cellIs" dxfId="2320" priority="2256" stopIfTrue="1" operator="between">
      <formula>1.25</formula>
      <formula>1.75</formula>
    </cfRule>
  </conditionalFormatting>
  <conditionalFormatting sqref="AA14">
    <cfRule type="cellIs" dxfId="2319" priority="2253" stopIfTrue="1" operator="greaterThan">
      <formula>1.75</formula>
    </cfRule>
    <cfRule type="cellIs" dxfId="2318" priority="2254" stopIfTrue="1" operator="between">
      <formula>1.25</formula>
      <formula>1.75</formula>
    </cfRule>
  </conditionalFormatting>
  <conditionalFormatting sqref="D124">
    <cfRule type="cellIs" dxfId="2317" priority="2197" stopIfTrue="1" operator="greaterThan">
      <formula>1.75</formula>
    </cfRule>
    <cfRule type="cellIs" dxfId="2316" priority="2198" stopIfTrue="1" operator="between">
      <formula>1.25</formula>
      <formula>1.75</formula>
    </cfRule>
  </conditionalFormatting>
  <conditionalFormatting sqref="Q124">
    <cfRule type="cellIs" dxfId="2315" priority="2235" stopIfTrue="1" operator="greaterThan">
      <formula>1.75</formula>
    </cfRule>
    <cfRule type="cellIs" dxfId="2314" priority="2236" stopIfTrue="1" operator="between">
      <formula>1.25</formula>
      <formula>1.75</formula>
    </cfRule>
  </conditionalFormatting>
  <conditionalFormatting sqref="M124:O124">
    <cfRule type="cellIs" dxfId="2313" priority="2249" stopIfTrue="1" operator="greaterThan">
      <formula>1.75</formula>
    </cfRule>
    <cfRule type="cellIs" dxfId="2312" priority="2250" stopIfTrue="1" operator="between">
      <formula>1.25</formula>
      <formula>1.75</formula>
    </cfRule>
  </conditionalFormatting>
  <conditionalFormatting sqref="M124:O124">
    <cfRule type="cellIs" dxfId="2311" priority="2247" stopIfTrue="1" operator="greaterThan">
      <formula>1.75</formula>
    </cfRule>
    <cfRule type="cellIs" dxfId="2310" priority="2248" stopIfTrue="1" operator="between">
      <formula>1.25</formula>
      <formula>1.75</formula>
    </cfRule>
  </conditionalFormatting>
  <conditionalFormatting sqref="P124">
    <cfRule type="cellIs" dxfId="2309" priority="2245" stopIfTrue="1" operator="greaterThan">
      <formula>1.75</formula>
    </cfRule>
    <cfRule type="cellIs" dxfId="2308" priority="2246" stopIfTrue="1" operator="between">
      <formula>1.25</formula>
      <formula>1.75</formula>
    </cfRule>
  </conditionalFormatting>
  <conditionalFormatting sqref="P124">
    <cfRule type="cellIs" dxfId="2307" priority="2243" stopIfTrue="1" operator="greaterThan">
      <formula>1.75</formula>
    </cfRule>
    <cfRule type="cellIs" dxfId="2306" priority="2244" stopIfTrue="1" operator="between">
      <formula>1.25</formula>
      <formula>1.75</formula>
    </cfRule>
  </conditionalFormatting>
  <conditionalFormatting sqref="P124">
    <cfRule type="cellIs" dxfId="2305" priority="2241" stopIfTrue="1" operator="greaterThan">
      <formula>1.75</formula>
    </cfRule>
    <cfRule type="cellIs" dxfId="2304" priority="2242" stopIfTrue="1" operator="between">
      <formula>1.25</formula>
      <formula>1.75</formula>
    </cfRule>
  </conditionalFormatting>
  <conditionalFormatting sqref="U124">
    <cfRule type="cellIs" dxfId="2303" priority="2239" stopIfTrue="1" operator="greaterThan">
      <formula>1.75</formula>
    </cfRule>
    <cfRule type="cellIs" dxfId="2302" priority="2240" stopIfTrue="1" operator="between">
      <formula>1.25</formula>
      <formula>1.75</formula>
    </cfRule>
  </conditionalFormatting>
  <conditionalFormatting sqref="T124">
    <cfRule type="cellIs" dxfId="2301" priority="2237" stopIfTrue="1" operator="greaterThan">
      <formula>1.75</formula>
    </cfRule>
    <cfRule type="cellIs" dxfId="2300" priority="2238" stopIfTrue="1" operator="between">
      <formula>1.25</formula>
      <formula>1.75</formula>
    </cfRule>
  </conditionalFormatting>
  <conditionalFormatting sqref="Q124">
    <cfRule type="cellIs" dxfId="2299" priority="2233" stopIfTrue="1" operator="greaterThan">
      <formula>1.75</formula>
    </cfRule>
    <cfRule type="cellIs" dxfId="2298" priority="2234" stopIfTrue="1" operator="between">
      <formula>1.25</formula>
      <formula>1.75</formula>
    </cfRule>
  </conditionalFormatting>
  <conditionalFormatting sqref="Q124">
    <cfRule type="cellIs" dxfId="2297" priority="2231" stopIfTrue="1" operator="greaterThan">
      <formula>1.75</formula>
    </cfRule>
    <cfRule type="cellIs" dxfId="2296" priority="2232" stopIfTrue="1" operator="between">
      <formula>1.25</formula>
      <formula>1.75</formula>
    </cfRule>
  </conditionalFormatting>
  <conditionalFormatting sqref="R124">
    <cfRule type="cellIs" dxfId="2295" priority="2229" stopIfTrue="1" operator="greaterThan">
      <formula>1.75</formula>
    </cfRule>
    <cfRule type="cellIs" dxfId="2294" priority="2230" stopIfTrue="1" operator="between">
      <formula>1.25</formula>
      <formula>1.75</formula>
    </cfRule>
  </conditionalFormatting>
  <conditionalFormatting sqref="R124">
    <cfRule type="cellIs" dxfId="2293" priority="2227" stopIfTrue="1" operator="greaterThan">
      <formula>1.75</formula>
    </cfRule>
    <cfRule type="cellIs" dxfId="2292" priority="2228" stopIfTrue="1" operator="between">
      <formula>1.25</formula>
      <formula>1.75</formula>
    </cfRule>
  </conditionalFormatting>
  <conditionalFormatting sqref="R124">
    <cfRule type="cellIs" dxfId="2291" priority="2225" stopIfTrue="1" operator="greaterThan">
      <formula>1.75</formula>
    </cfRule>
    <cfRule type="cellIs" dxfId="2290" priority="2226" stopIfTrue="1" operator="between">
      <formula>1.25</formula>
      <formula>1.75</formula>
    </cfRule>
  </conditionalFormatting>
  <conditionalFormatting sqref="S124">
    <cfRule type="cellIs" dxfId="2289" priority="2221" stopIfTrue="1" operator="greaterThan">
      <formula>1.75</formula>
    </cfRule>
    <cfRule type="cellIs" dxfId="2288" priority="2222" stopIfTrue="1" operator="between">
      <formula>1.25</formula>
      <formula>1.75</formula>
    </cfRule>
  </conditionalFormatting>
  <conditionalFormatting sqref="S124">
    <cfRule type="cellIs" dxfId="2287" priority="2219" stopIfTrue="1" operator="greaterThan">
      <formula>1.75</formula>
    </cfRule>
    <cfRule type="cellIs" dxfId="2286" priority="2220" stopIfTrue="1" operator="between">
      <formula>1.25</formula>
      <formula>1.75</formula>
    </cfRule>
  </conditionalFormatting>
  <conditionalFormatting sqref="S124">
    <cfRule type="cellIs" dxfId="2285" priority="2223" stopIfTrue="1" operator="greaterThan">
      <formula>1.75</formula>
    </cfRule>
    <cfRule type="cellIs" dxfId="2284" priority="2224" stopIfTrue="1" operator="between">
      <formula>1.25</formula>
      <formula>1.75</formula>
    </cfRule>
  </conditionalFormatting>
  <conditionalFormatting sqref="M124:O124">
    <cfRule type="cellIs" dxfId="2283" priority="2251" stopIfTrue="1" operator="greaterThan">
      <formula>1.75</formula>
    </cfRule>
    <cfRule type="cellIs" dxfId="2282" priority="2252" stopIfTrue="1" operator="between">
      <formula>1.25</formula>
      <formula>1.75</formula>
    </cfRule>
  </conditionalFormatting>
  <conditionalFormatting sqref="H126">
    <cfRule type="cellIs" dxfId="2281" priority="2153" stopIfTrue="1" operator="greaterThan">
      <formula>1.75</formula>
    </cfRule>
    <cfRule type="cellIs" dxfId="2280" priority="2154" stopIfTrue="1" operator="between">
      <formula>1.25</formula>
      <formula>1.75</formula>
    </cfRule>
  </conditionalFormatting>
  <conditionalFormatting sqref="H126">
    <cfRule type="cellIs" dxfId="2279" priority="2155" stopIfTrue="1" operator="greaterThan">
      <formula>1.75</formula>
    </cfRule>
    <cfRule type="cellIs" dxfId="2278" priority="2156" stopIfTrue="1" operator="between">
      <formula>1.25</formula>
      <formula>1.75</formula>
    </cfRule>
  </conditionalFormatting>
  <conditionalFormatting sqref="M126:U126">
    <cfRule type="cellIs" dxfId="2277" priority="2217" stopIfTrue="1" operator="greaterThan">
      <formula>1.75</formula>
    </cfRule>
    <cfRule type="cellIs" dxfId="2276" priority="2218" stopIfTrue="1" operator="between">
      <formula>1.25</formula>
      <formula>1.75</formula>
    </cfRule>
  </conditionalFormatting>
  <conditionalFormatting sqref="M126:U126">
    <cfRule type="cellIs" dxfId="2275" priority="2215" stopIfTrue="1" operator="greaterThan">
      <formula>1.75</formula>
    </cfRule>
    <cfRule type="cellIs" dxfId="2274" priority="2216" stopIfTrue="1" operator="between">
      <formula>1.25</formula>
      <formula>1.75</formula>
    </cfRule>
  </conditionalFormatting>
  <conditionalFormatting sqref="M126:U126">
    <cfRule type="cellIs" dxfId="2273" priority="2213" stopIfTrue="1" operator="greaterThan">
      <formula>1.75</formula>
    </cfRule>
    <cfRule type="cellIs" dxfId="2272" priority="2214" stopIfTrue="1" operator="between">
      <formula>1.25</formula>
      <formula>1.75</formula>
    </cfRule>
  </conditionalFormatting>
  <conditionalFormatting sqref="G126">
    <cfRule type="cellIs" dxfId="2271" priority="2157" stopIfTrue="1" operator="greaterThan">
      <formula>1.75</formula>
    </cfRule>
    <cfRule type="cellIs" dxfId="2270" priority="2158" stopIfTrue="1" operator="between">
      <formula>1.25</formula>
      <formula>1.75</formula>
    </cfRule>
  </conditionalFormatting>
  <conditionalFormatting sqref="V124">
    <cfRule type="cellIs" dxfId="2269" priority="2211" stopIfTrue="1" operator="greaterThan">
      <formula>1.75</formula>
    </cfRule>
    <cfRule type="cellIs" dxfId="2268" priority="2212" stopIfTrue="1" operator="between">
      <formula>1.25</formula>
      <formula>1.75</formula>
    </cfRule>
  </conditionalFormatting>
  <conditionalFormatting sqref="V126">
    <cfRule type="cellIs" dxfId="2267" priority="2209" stopIfTrue="1" operator="greaterThan">
      <formula>1.75</formula>
    </cfRule>
    <cfRule type="cellIs" dxfId="2266" priority="2210" stopIfTrue="1" operator="between">
      <formula>1.25</formula>
      <formula>1.75</formula>
    </cfRule>
  </conditionalFormatting>
  <conditionalFormatting sqref="V126">
    <cfRule type="cellIs" dxfId="2265" priority="2207" stopIfTrue="1" operator="greaterThan">
      <formula>1.75</formula>
    </cfRule>
    <cfRule type="cellIs" dxfId="2264" priority="2208" stopIfTrue="1" operator="between">
      <formula>1.25</formula>
      <formula>1.75</formula>
    </cfRule>
  </conditionalFormatting>
  <conditionalFormatting sqref="V126">
    <cfRule type="cellIs" dxfId="2263" priority="2205" stopIfTrue="1" operator="greaterThan">
      <formula>1.75</formula>
    </cfRule>
    <cfRule type="cellIs" dxfId="2262" priority="2206" stopIfTrue="1" operator="between">
      <formula>1.25</formula>
      <formula>1.75</formula>
    </cfRule>
  </conditionalFormatting>
  <conditionalFormatting sqref="C124">
    <cfRule type="cellIs" dxfId="2261" priority="2201" stopIfTrue="1" operator="greaterThan">
      <formula>1.75</formula>
    </cfRule>
    <cfRule type="cellIs" dxfId="2260" priority="2202" stopIfTrue="1" operator="between">
      <formula>1.25</formula>
      <formula>1.75</formula>
    </cfRule>
  </conditionalFormatting>
  <conditionalFormatting sqref="C124">
    <cfRule type="cellIs" dxfId="2259" priority="2199" stopIfTrue="1" operator="greaterThan">
      <formula>1.75</formula>
    </cfRule>
    <cfRule type="cellIs" dxfId="2258" priority="2200" stopIfTrue="1" operator="between">
      <formula>1.25</formula>
      <formula>1.75</formula>
    </cfRule>
  </conditionalFormatting>
  <conditionalFormatting sqref="C124">
    <cfRule type="cellIs" dxfId="2257" priority="2203" stopIfTrue="1" operator="greaterThan">
      <formula>1.75</formula>
    </cfRule>
    <cfRule type="cellIs" dxfId="2256" priority="2204" stopIfTrue="1" operator="between">
      <formula>1.25</formula>
      <formula>1.75</formula>
    </cfRule>
  </conditionalFormatting>
  <conditionalFormatting sqref="D124">
    <cfRule type="cellIs" dxfId="2255" priority="2195" stopIfTrue="1" operator="greaterThan">
      <formula>1.75</formula>
    </cfRule>
    <cfRule type="cellIs" dxfId="2254" priority="2196" stopIfTrue="1" operator="between">
      <formula>1.25</formula>
      <formula>1.75</formula>
    </cfRule>
  </conditionalFormatting>
  <conditionalFormatting sqref="D124">
    <cfRule type="cellIs" dxfId="2253" priority="2193" stopIfTrue="1" operator="greaterThan">
      <formula>1.75</formula>
    </cfRule>
    <cfRule type="cellIs" dxfId="2252" priority="2194" stopIfTrue="1" operator="between">
      <formula>1.25</formula>
      <formula>1.75</formula>
    </cfRule>
  </conditionalFormatting>
  <conditionalFormatting sqref="C126">
    <cfRule type="cellIs" dxfId="2251" priority="2187" stopIfTrue="1" operator="greaterThan">
      <formula>1.75</formula>
    </cfRule>
    <cfRule type="cellIs" dxfId="2250" priority="2188" stopIfTrue="1" operator="between">
      <formula>1.25</formula>
      <formula>1.75</formula>
    </cfRule>
  </conditionalFormatting>
  <conditionalFormatting sqref="C126">
    <cfRule type="cellIs" dxfId="2249" priority="2189" stopIfTrue="1" operator="greaterThan">
      <formula>1.75</formula>
    </cfRule>
    <cfRule type="cellIs" dxfId="2248" priority="2190" stopIfTrue="1" operator="between">
      <formula>1.25</formula>
      <formula>1.75</formula>
    </cfRule>
  </conditionalFormatting>
  <conditionalFormatting sqref="C126">
    <cfRule type="cellIs" dxfId="2247" priority="2191" stopIfTrue="1" operator="greaterThan">
      <formula>1.75</formula>
    </cfRule>
    <cfRule type="cellIs" dxfId="2246" priority="2192" stopIfTrue="1" operator="between">
      <formula>1.25</formula>
      <formula>1.75</formula>
    </cfRule>
  </conditionalFormatting>
  <conditionalFormatting sqref="D126">
    <cfRule type="cellIs" dxfId="2245" priority="2181" stopIfTrue="1" operator="greaterThan">
      <formula>1.75</formula>
    </cfRule>
    <cfRule type="cellIs" dxfId="2244" priority="2182" stopIfTrue="1" operator="between">
      <formula>1.25</formula>
      <formula>1.75</formula>
    </cfRule>
  </conditionalFormatting>
  <conditionalFormatting sqref="D126">
    <cfRule type="cellIs" dxfId="2243" priority="2183" stopIfTrue="1" operator="greaterThan">
      <formula>1.75</formula>
    </cfRule>
    <cfRule type="cellIs" dxfId="2242" priority="2184" stopIfTrue="1" operator="between">
      <formula>1.25</formula>
      <formula>1.75</formula>
    </cfRule>
  </conditionalFormatting>
  <conditionalFormatting sqref="D126">
    <cfRule type="cellIs" dxfId="2241" priority="2185" stopIfTrue="1" operator="greaterThan">
      <formula>1.75</formula>
    </cfRule>
    <cfRule type="cellIs" dxfId="2240" priority="2186" stopIfTrue="1" operator="between">
      <formula>1.25</formula>
      <formula>1.75</formula>
    </cfRule>
  </conditionalFormatting>
  <conditionalFormatting sqref="E126">
    <cfRule type="cellIs" dxfId="2239" priority="2175" stopIfTrue="1" operator="greaterThan">
      <formula>1.75</formula>
    </cfRule>
    <cfRule type="cellIs" dxfId="2238" priority="2176" stopIfTrue="1" operator="between">
      <formula>1.25</formula>
      <formula>1.75</formula>
    </cfRule>
  </conditionalFormatting>
  <conditionalFormatting sqref="E126">
    <cfRule type="cellIs" dxfId="2237" priority="2177" stopIfTrue="1" operator="greaterThan">
      <formula>1.75</formula>
    </cfRule>
    <cfRule type="cellIs" dxfId="2236" priority="2178" stopIfTrue="1" operator="between">
      <formula>1.25</formula>
      <formula>1.75</formula>
    </cfRule>
  </conditionalFormatting>
  <conditionalFormatting sqref="E126">
    <cfRule type="cellIs" dxfId="2235" priority="2179" stopIfTrue="1" operator="greaterThan">
      <formula>1.75</formula>
    </cfRule>
    <cfRule type="cellIs" dxfId="2234" priority="2180" stopIfTrue="1" operator="between">
      <formula>1.25</formula>
      <formula>1.75</formula>
    </cfRule>
  </conditionalFormatting>
  <conditionalFormatting sqref="E124">
    <cfRule type="cellIs" dxfId="2233" priority="2171" stopIfTrue="1" operator="greaterThan">
      <formula>1.75</formula>
    </cfRule>
    <cfRule type="cellIs" dxfId="2232" priority="2172" stopIfTrue="1" operator="between">
      <formula>1.25</formula>
      <formula>1.75</formula>
    </cfRule>
  </conditionalFormatting>
  <conditionalFormatting sqref="E124">
    <cfRule type="cellIs" dxfId="2231" priority="2169" stopIfTrue="1" operator="greaterThan">
      <formula>1.75</formula>
    </cfRule>
    <cfRule type="cellIs" dxfId="2230" priority="2170" stopIfTrue="1" operator="between">
      <formula>1.25</formula>
      <formula>1.75</formula>
    </cfRule>
  </conditionalFormatting>
  <conditionalFormatting sqref="E124">
    <cfRule type="cellIs" dxfId="2229" priority="2173" stopIfTrue="1" operator="greaterThan">
      <formula>1.75</formula>
    </cfRule>
    <cfRule type="cellIs" dxfId="2228" priority="2174" stopIfTrue="1" operator="between">
      <formula>1.25</formula>
      <formula>1.75</formula>
    </cfRule>
  </conditionalFormatting>
  <conditionalFormatting sqref="F126">
    <cfRule type="cellIs" dxfId="2227" priority="2163" stopIfTrue="1" operator="greaterThan">
      <formula>1.75</formula>
    </cfRule>
    <cfRule type="cellIs" dxfId="2226" priority="2164" stopIfTrue="1" operator="between">
      <formula>1.25</formula>
      <formula>1.75</formula>
    </cfRule>
  </conditionalFormatting>
  <conditionalFormatting sqref="F126">
    <cfRule type="cellIs" dxfId="2225" priority="2165" stopIfTrue="1" operator="greaterThan">
      <formula>1.75</formula>
    </cfRule>
    <cfRule type="cellIs" dxfId="2224" priority="2166" stopIfTrue="1" operator="between">
      <formula>1.25</formula>
      <formula>1.75</formula>
    </cfRule>
  </conditionalFormatting>
  <conditionalFormatting sqref="F126">
    <cfRule type="cellIs" dxfId="2223" priority="2167" stopIfTrue="1" operator="greaterThan">
      <formula>1.75</formula>
    </cfRule>
    <cfRule type="cellIs" dxfId="2222" priority="2168" stopIfTrue="1" operator="between">
      <formula>1.25</formula>
      <formula>1.75</formula>
    </cfRule>
  </conditionalFormatting>
  <conditionalFormatting sqref="G126">
    <cfRule type="cellIs" dxfId="2221" priority="2159" stopIfTrue="1" operator="greaterThan">
      <formula>1.75</formula>
    </cfRule>
    <cfRule type="cellIs" dxfId="2220" priority="2160" stopIfTrue="1" operator="between">
      <formula>1.25</formula>
      <formula>1.75</formula>
    </cfRule>
  </conditionalFormatting>
  <conditionalFormatting sqref="G126">
    <cfRule type="cellIs" dxfId="2219" priority="2161" stopIfTrue="1" operator="greaterThan">
      <formula>1.75</formula>
    </cfRule>
    <cfRule type="cellIs" dxfId="2218" priority="2162" stopIfTrue="1" operator="between">
      <formula>1.25</formula>
      <formula>1.75</formula>
    </cfRule>
  </conditionalFormatting>
  <conditionalFormatting sqref="H126">
    <cfRule type="cellIs" dxfId="2217" priority="2151" stopIfTrue="1" operator="greaterThan">
      <formula>1.75</formula>
    </cfRule>
    <cfRule type="cellIs" dxfId="2216" priority="2152" stopIfTrue="1" operator="between">
      <formula>1.25</formula>
      <formula>1.75</formula>
    </cfRule>
  </conditionalFormatting>
  <conditionalFormatting sqref="I126">
    <cfRule type="cellIs" dxfId="2215" priority="2145" stopIfTrue="1" operator="greaterThan">
      <formula>1.75</formula>
    </cfRule>
    <cfRule type="cellIs" dxfId="2214" priority="2146" stopIfTrue="1" operator="between">
      <formula>1.25</formula>
      <formula>1.75</formula>
    </cfRule>
  </conditionalFormatting>
  <conditionalFormatting sqref="I126">
    <cfRule type="cellIs" dxfId="2213" priority="2147" stopIfTrue="1" operator="greaterThan">
      <formula>1.75</formula>
    </cfRule>
    <cfRule type="cellIs" dxfId="2212" priority="2148" stopIfTrue="1" operator="between">
      <formula>1.25</formula>
      <formula>1.75</formula>
    </cfRule>
  </conditionalFormatting>
  <conditionalFormatting sqref="I126">
    <cfRule type="cellIs" dxfId="2211" priority="2149" stopIfTrue="1" operator="greaterThan">
      <formula>1.75</formula>
    </cfRule>
    <cfRule type="cellIs" dxfId="2210" priority="2150" stopIfTrue="1" operator="between">
      <formula>1.25</formula>
      <formula>1.75</formula>
    </cfRule>
  </conditionalFormatting>
  <conditionalFormatting sqref="J126">
    <cfRule type="cellIs" dxfId="2209" priority="2139" stopIfTrue="1" operator="greaterThan">
      <formula>1.75</formula>
    </cfRule>
    <cfRule type="cellIs" dxfId="2208" priority="2140" stopIfTrue="1" operator="between">
      <formula>1.25</formula>
      <formula>1.75</formula>
    </cfRule>
  </conditionalFormatting>
  <conditionalFormatting sqref="J126">
    <cfRule type="cellIs" dxfId="2207" priority="2141" stopIfTrue="1" operator="greaterThan">
      <formula>1.75</formula>
    </cfRule>
    <cfRule type="cellIs" dxfId="2206" priority="2142" stopIfTrue="1" operator="between">
      <formula>1.25</formula>
      <formula>1.75</formula>
    </cfRule>
  </conditionalFormatting>
  <conditionalFormatting sqref="J126">
    <cfRule type="cellIs" dxfId="2205" priority="2143" stopIfTrue="1" operator="greaterThan">
      <formula>1.75</formula>
    </cfRule>
    <cfRule type="cellIs" dxfId="2204" priority="2144" stopIfTrue="1" operator="between">
      <formula>1.25</formula>
      <formula>1.75</formula>
    </cfRule>
  </conditionalFormatting>
  <conditionalFormatting sqref="K126">
    <cfRule type="cellIs" dxfId="2203" priority="2133" stopIfTrue="1" operator="greaterThan">
      <formula>1.75</formula>
    </cfRule>
    <cfRule type="cellIs" dxfId="2202" priority="2134" stopIfTrue="1" operator="between">
      <formula>1.25</formula>
      <formula>1.75</formula>
    </cfRule>
  </conditionalFormatting>
  <conditionalFormatting sqref="K126">
    <cfRule type="cellIs" dxfId="2201" priority="2135" stopIfTrue="1" operator="greaterThan">
      <formula>1.75</formula>
    </cfRule>
    <cfRule type="cellIs" dxfId="2200" priority="2136" stopIfTrue="1" operator="between">
      <formula>1.25</formula>
      <formula>1.75</formula>
    </cfRule>
  </conditionalFormatting>
  <conditionalFormatting sqref="K126">
    <cfRule type="cellIs" dxfId="2199" priority="2137" stopIfTrue="1" operator="greaterThan">
      <formula>1.75</formula>
    </cfRule>
    <cfRule type="cellIs" dxfId="2198" priority="2138" stopIfTrue="1" operator="between">
      <formula>1.25</formula>
      <formula>1.75</formula>
    </cfRule>
  </conditionalFormatting>
  <conditionalFormatting sqref="L126">
    <cfRule type="cellIs" dxfId="2197" priority="2127" stopIfTrue="1" operator="greaterThan">
      <formula>1.75</formula>
    </cfRule>
    <cfRule type="cellIs" dxfId="2196" priority="2128" stopIfTrue="1" operator="between">
      <formula>1.25</formula>
      <formula>1.75</formula>
    </cfRule>
  </conditionalFormatting>
  <conditionalFormatting sqref="L126">
    <cfRule type="cellIs" dxfId="2195" priority="2129" stopIfTrue="1" operator="greaterThan">
      <formula>1.75</formula>
    </cfRule>
    <cfRule type="cellIs" dxfId="2194" priority="2130" stopIfTrue="1" operator="between">
      <formula>1.25</formula>
      <formula>1.75</formula>
    </cfRule>
  </conditionalFormatting>
  <conditionalFormatting sqref="L126">
    <cfRule type="cellIs" dxfId="2193" priority="2131" stopIfTrue="1" operator="greaterThan">
      <formula>1.75</formula>
    </cfRule>
    <cfRule type="cellIs" dxfId="2192" priority="2132" stopIfTrue="1" operator="between">
      <formula>1.25</formula>
      <formula>1.75</formula>
    </cfRule>
  </conditionalFormatting>
  <conditionalFormatting sqref="F124">
    <cfRule type="cellIs" dxfId="2191" priority="2123" stopIfTrue="1" operator="greaterThan">
      <formula>1.75</formula>
    </cfRule>
    <cfRule type="cellIs" dxfId="2190" priority="2124" stopIfTrue="1" operator="between">
      <formula>1.25</formula>
      <formula>1.75</formula>
    </cfRule>
  </conditionalFormatting>
  <conditionalFormatting sqref="F124">
    <cfRule type="cellIs" dxfId="2189" priority="2121" stopIfTrue="1" operator="greaterThan">
      <formula>1.75</formula>
    </cfRule>
    <cfRule type="cellIs" dxfId="2188" priority="2122" stopIfTrue="1" operator="between">
      <formula>1.25</formula>
      <formula>1.75</formula>
    </cfRule>
  </conditionalFormatting>
  <conditionalFormatting sqref="F124">
    <cfRule type="cellIs" dxfId="2187" priority="2125" stopIfTrue="1" operator="greaterThan">
      <formula>1.75</formula>
    </cfRule>
    <cfRule type="cellIs" dxfId="2186" priority="2126" stopIfTrue="1" operator="between">
      <formula>1.25</formula>
      <formula>1.75</formula>
    </cfRule>
  </conditionalFormatting>
  <conditionalFormatting sqref="G124">
    <cfRule type="cellIs" dxfId="2185" priority="2117" stopIfTrue="1" operator="greaterThan">
      <formula>1.75</formula>
    </cfRule>
    <cfRule type="cellIs" dxfId="2184" priority="2118" stopIfTrue="1" operator="between">
      <formula>1.25</formula>
      <formula>1.75</formula>
    </cfRule>
  </conditionalFormatting>
  <conditionalFormatting sqref="G124">
    <cfRule type="cellIs" dxfId="2183" priority="2115" stopIfTrue="1" operator="greaterThan">
      <formula>1.75</formula>
    </cfRule>
    <cfRule type="cellIs" dxfId="2182" priority="2116" stopIfTrue="1" operator="between">
      <formula>1.25</formula>
      <formula>1.75</formula>
    </cfRule>
  </conditionalFormatting>
  <conditionalFormatting sqref="G124">
    <cfRule type="cellIs" dxfId="2181" priority="2119" stopIfTrue="1" operator="greaterThan">
      <formula>1.75</formula>
    </cfRule>
    <cfRule type="cellIs" dxfId="2180" priority="2120" stopIfTrue="1" operator="between">
      <formula>1.25</formula>
      <formula>1.75</formula>
    </cfRule>
  </conditionalFormatting>
  <conditionalFormatting sqref="H124">
    <cfRule type="cellIs" dxfId="2179" priority="2111" stopIfTrue="1" operator="greaterThan">
      <formula>1.75</formula>
    </cfRule>
    <cfRule type="cellIs" dxfId="2178" priority="2112" stopIfTrue="1" operator="between">
      <formula>1.25</formula>
      <formula>1.75</formula>
    </cfRule>
  </conditionalFormatting>
  <conditionalFormatting sqref="H124">
    <cfRule type="cellIs" dxfId="2177" priority="2109" stopIfTrue="1" operator="greaterThan">
      <formula>1.75</formula>
    </cfRule>
    <cfRule type="cellIs" dxfId="2176" priority="2110" stopIfTrue="1" operator="between">
      <formula>1.25</formula>
      <formula>1.75</formula>
    </cfRule>
  </conditionalFormatting>
  <conditionalFormatting sqref="H124">
    <cfRule type="cellIs" dxfId="2175" priority="2113" stopIfTrue="1" operator="greaterThan">
      <formula>1.75</formula>
    </cfRule>
    <cfRule type="cellIs" dxfId="2174" priority="2114" stopIfTrue="1" operator="between">
      <formula>1.25</formula>
      <formula>1.75</formula>
    </cfRule>
  </conditionalFormatting>
  <conditionalFormatting sqref="I124">
    <cfRule type="cellIs" dxfId="2173" priority="2105" stopIfTrue="1" operator="greaterThan">
      <formula>1.75</formula>
    </cfRule>
    <cfRule type="cellIs" dxfId="2172" priority="2106" stopIfTrue="1" operator="between">
      <formula>1.25</formula>
      <formula>1.75</formula>
    </cfRule>
  </conditionalFormatting>
  <conditionalFormatting sqref="I124">
    <cfRule type="cellIs" dxfId="2171" priority="2103" stopIfTrue="1" operator="greaterThan">
      <formula>1.75</formula>
    </cfRule>
    <cfRule type="cellIs" dxfId="2170" priority="2104" stopIfTrue="1" operator="between">
      <formula>1.25</formula>
      <formula>1.75</formula>
    </cfRule>
  </conditionalFormatting>
  <conditionalFormatting sqref="I124">
    <cfRule type="cellIs" dxfId="2169" priority="2107" stopIfTrue="1" operator="greaterThan">
      <formula>1.75</formula>
    </cfRule>
    <cfRule type="cellIs" dxfId="2168" priority="2108" stopIfTrue="1" operator="between">
      <formula>1.25</formula>
      <formula>1.75</formula>
    </cfRule>
  </conditionalFormatting>
  <conditionalFormatting sqref="J124">
    <cfRule type="cellIs" dxfId="2167" priority="2099" stopIfTrue="1" operator="greaterThan">
      <formula>1.75</formula>
    </cfRule>
    <cfRule type="cellIs" dxfId="2166" priority="2100" stopIfTrue="1" operator="between">
      <formula>1.25</formula>
      <formula>1.75</formula>
    </cfRule>
  </conditionalFormatting>
  <conditionalFormatting sqref="J124">
    <cfRule type="cellIs" dxfId="2165" priority="2097" stopIfTrue="1" operator="greaterThan">
      <formula>1.75</formula>
    </cfRule>
    <cfRule type="cellIs" dxfId="2164" priority="2098" stopIfTrue="1" operator="between">
      <formula>1.25</formula>
      <formula>1.75</formula>
    </cfRule>
  </conditionalFormatting>
  <conditionalFormatting sqref="J124">
    <cfRule type="cellIs" dxfId="2163" priority="2101" stopIfTrue="1" operator="greaterThan">
      <formula>1.75</formula>
    </cfRule>
    <cfRule type="cellIs" dxfId="2162" priority="2102" stopIfTrue="1" operator="between">
      <formula>1.25</formula>
      <formula>1.75</formula>
    </cfRule>
  </conditionalFormatting>
  <conditionalFormatting sqref="K124">
    <cfRule type="cellIs" dxfId="2161" priority="2093" stopIfTrue="1" operator="greaterThan">
      <formula>1.75</formula>
    </cfRule>
    <cfRule type="cellIs" dxfId="2160" priority="2094" stopIfTrue="1" operator="between">
      <formula>1.25</formula>
      <formula>1.75</formula>
    </cfRule>
  </conditionalFormatting>
  <conditionalFormatting sqref="K124">
    <cfRule type="cellIs" dxfId="2159" priority="2091" stopIfTrue="1" operator="greaterThan">
      <formula>1.75</formula>
    </cfRule>
    <cfRule type="cellIs" dxfId="2158" priority="2092" stopIfTrue="1" operator="between">
      <formula>1.25</formula>
      <formula>1.75</formula>
    </cfRule>
  </conditionalFormatting>
  <conditionalFormatting sqref="K124">
    <cfRule type="cellIs" dxfId="2157" priority="2095" stopIfTrue="1" operator="greaterThan">
      <formula>1.75</formula>
    </cfRule>
    <cfRule type="cellIs" dxfId="2156" priority="2096" stopIfTrue="1" operator="between">
      <formula>1.25</formula>
      <formula>1.75</formula>
    </cfRule>
  </conditionalFormatting>
  <conditionalFormatting sqref="L124">
    <cfRule type="cellIs" dxfId="2155" priority="2087" stopIfTrue="1" operator="greaterThan">
      <formula>1.75</formula>
    </cfRule>
    <cfRule type="cellIs" dxfId="2154" priority="2088" stopIfTrue="1" operator="between">
      <formula>1.25</formula>
      <formula>1.75</formula>
    </cfRule>
  </conditionalFormatting>
  <conditionalFormatting sqref="L124">
    <cfRule type="cellIs" dxfId="2153" priority="2085" stopIfTrue="1" operator="greaterThan">
      <formula>1.75</formula>
    </cfRule>
    <cfRule type="cellIs" dxfId="2152" priority="2086" stopIfTrue="1" operator="between">
      <formula>1.25</formula>
      <formula>1.75</formula>
    </cfRule>
  </conditionalFormatting>
  <conditionalFormatting sqref="L124">
    <cfRule type="cellIs" dxfId="2151" priority="2089" stopIfTrue="1" operator="greaterThan">
      <formula>1.75</formula>
    </cfRule>
    <cfRule type="cellIs" dxfId="2150" priority="2090" stopIfTrue="1" operator="between">
      <formula>1.25</formula>
      <formula>1.75</formula>
    </cfRule>
  </conditionalFormatting>
  <conditionalFormatting sqref="W124">
    <cfRule type="cellIs" dxfId="2149" priority="2083" stopIfTrue="1" operator="greaterThan">
      <formula>1.75</formula>
    </cfRule>
    <cfRule type="cellIs" dxfId="2148" priority="2084" stopIfTrue="1" operator="between">
      <formula>1.25</formula>
      <formula>1.75</formula>
    </cfRule>
  </conditionalFormatting>
  <conditionalFormatting sqref="W126">
    <cfRule type="cellIs" dxfId="2147" priority="2081" stopIfTrue="1" operator="greaterThan">
      <formula>1.75</formula>
    </cfRule>
    <cfRule type="cellIs" dxfId="2146" priority="2082" stopIfTrue="1" operator="between">
      <formula>1.25</formula>
      <formula>1.75</formula>
    </cfRule>
  </conditionalFormatting>
  <conditionalFormatting sqref="W126">
    <cfRule type="cellIs" dxfId="2145" priority="2079" stopIfTrue="1" operator="greaterThan">
      <formula>1.75</formula>
    </cfRule>
    <cfRule type="cellIs" dxfId="2144" priority="2080" stopIfTrue="1" operator="between">
      <formula>1.25</formula>
      <formula>1.75</formula>
    </cfRule>
  </conditionalFormatting>
  <conditionalFormatting sqref="W126">
    <cfRule type="cellIs" dxfId="2143" priority="2077" stopIfTrue="1" operator="greaterThan">
      <formula>1.75</formula>
    </cfRule>
    <cfRule type="cellIs" dxfId="2142" priority="2078" stopIfTrue="1" operator="between">
      <formula>1.25</formula>
      <formula>1.75</formula>
    </cfRule>
  </conditionalFormatting>
  <conditionalFormatting sqref="AB124">
    <cfRule type="cellIs" dxfId="2141" priority="2075" stopIfTrue="1" operator="greaterThan">
      <formula>1.75</formula>
    </cfRule>
    <cfRule type="cellIs" dxfId="2140" priority="2076" stopIfTrue="1" operator="between">
      <formula>1.25</formula>
      <formula>1.75</formula>
    </cfRule>
  </conditionalFormatting>
  <conditionalFormatting sqref="AB126">
    <cfRule type="cellIs" dxfId="2139" priority="2073" stopIfTrue="1" operator="greaterThan">
      <formula>1.75</formula>
    </cfRule>
    <cfRule type="cellIs" dxfId="2138" priority="2074" stopIfTrue="1" operator="between">
      <formula>1.25</formula>
      <formula>1.75</formula>
    </cfRule>
  </conditionalFormatting>
  <conditionalFormatting sqref="AB126">
    <cfRule type="cellIs" dxfId="2137" priority="2071" stopIfTrue="1" operator="greaterThan">
      <formula>1.75</formula>
    </cfRule>
    <cfRule type="cellIs" dxfId="2136" priority="2072" stopIfTrue="1" operator="between">
      <formula>1.25</formula>
      <formula>1.75</formula>
    </cfRule>
  </conditionalFormatting>
  <conditionalFormatting sqref="AB126">
    <cfRule type="cellIs" dxfId="2135" priority="2069" stopIfTrue="1" operator="greaterThan">
      <formula>1.75</formula>
    </cfRule>
    <cfRule type="cellIs" dxfId="2134" priority="2070" stopIfTrue="1" operator="between">
      <formula>1.25</formula>
      <formula>1.75</formula>
    </cfRule>
  </conditionalFormatting>
  <conditionalFormatting sqref="X124">
    <cfRule type="cellIs" dxfId="2133" priority="2067" stopIfTrue="1" operator="greaterThan">
      <formula>1.75</formula>
    </cfRule>
    <cfRule type="cellIs" dxfId="2132" priority="2068" stopIfTrue="1" operator="between">
      <formula>1.25</formula>
      <formula>1.75</formula>
    </cfRule>
  </conditionalFormatting>
  <conditionalFormatting sqref="X126">
    <cfRule type="cellIs" dxfId="2131" priority="2065" stopIfTrue="1" operator="greaterThan">
      <formula>1.75</formula>
    </cfRule>
    <cfRule type="cellIs" dxfId="2130" priority="2066" stopIfTrue="1" operator="between">
      <formula>1.25</formula>
      <formula>1.75</formula>
    </cfRule>
  </conditionalFormatting>
  <conditionalFormatting sqref="X126">
    <cfRule type="cellIs" dxfId="2129" priority="2063" stopIfTrue="1" operator="greaterThan">
      <formula>1.75</formula>
    </cfRule>
    <cfRule type="cellIs" dxfId="2128" priority="2064" stopIfTrue="1" operator="between">
      <formula>1.25</formula>
      <formula>1.75</formula>
    </cfRule>
  </conditionalFormatting>
  <conditionalFormatting sqref="X126">
    <cfRule type="cellIs" dxfId="2127" priority="2061" stopIfTrue="1" operator="greaterThan">
      <formula>1.75</formula>
    </cfRule>
    <cfRule type="cellIs" dxfId="2126" priority="2062" stopIfTrue="1" operator="between">
      <formula>1.25</formula>
      <formula>1.75</formula>
    </cfRule>
  </conditionalFormatting>
  <conditionalFormatting sqref="Y124">
    <cfRule type="cellIs" dxfId="2125" priority="2059" stopIfTrue="1" operator="greaterThan">
      <formula>1.75</formula>
    </cfRule>
    <cfRule type="cellIs" dxfId="2124" priority="2060" stopIfTrue="1" operator="between">
      <formula>1.25</formula>
      <formula>1.75</formula>
    </cfRule>
  </conditionalFormatting>
  <conditionalFormatting sqref="Y126">
    <cfRule type="cellIs" dxfId="2123" priority="2057" stopIfTrue="1" operator="greaterThan">
      <formula>1.75</formula>
    </cfRule>
    <cfRule type="cellIs" dxfId="2122" priority="2058" stopIfTrue="1" operator="between">
      <formula>1.25</formula>
      <formula>1.75</formula>
    </cfRule>
  </conditionalFormatting>
  <conditionalFormatting sqref="Y126">
    <cfRule type="cellIs" dxfId="2121" priority="2055" stopIfTrue="1" operator="greaterThan">
      <formula>1.75</formula>
    </cfRule>
    <cfRule type="cellIs" dxfId="2120" priority="2056" stopIfTrue="1" operator="between">
      <formula>1.25</formula>
      <formula>1.75</formula>
    </cfRule>
  </conditionalFormatting>
  <conditionalFormatting sqref="Y126">
    <cfRule type="cellIs" dxfId="2119" priority="2053" stopIfTrue="1" operator="greaterThan">
      <formula>1.75</formula>
    </cfRule>
    <cfRule type="cellIs" dxfId="2118" priority="2054" stopIfTrue="1" operator="between">
      <formula>1.25</formula>
      <formula>1.75</formula>
    </cfRule>
  </conditionalFormatting>
  <conditionalFormatting sqref="AD124">
    <cfRule type="cellIs" dxfId="2117" priority="2051" stopIfTrue="1" operator="greaterThan">
      <formula>1.75</formula>
    </cfRule>
    <cfRule type="cellIs" dxfId="2116" priority="2052" stopIfTrue="1" operator="between">
      <formula>1.25</formula>
      <formula>1.75</formula>
    </cfRule>
  </conditionalFormatting>
  <conditionalFormatting sqref="AD126">
    <cfRule type="cellIs" dxfId="2115" priority="2049" stopIfTrue="1" operator="greaterThan">
      <formula>1.75</formula>
    </cfRule>
    <cfRule type="cellIs" dxfId="2114" priority="2050" stopIfTrue="1" operator="between">
      <formula>1.25</formula>
      <formula>1.75</formula>
    </cfRule>
  </conditionalFormatting>
  <conditionalFormatting sqref="AD126">
    <cfRule type="cellIs" dxfId="2113" priority="2047" stopIfTrue="1" operator="greaterThan">
      <formula>1.75</formula>
    </cfRule>
    <cfRule type="cellIs" dxfId="2112" priority="2048" stopIfTrue="1" operator="between">
      <formula>1.25</formula>
      <formula>1.75</formula>
    </cfRule>
  </conditionalFormatting>
  <conditionalFormatting sqref="AD126">
    <cfRule type="cellIs" dxfId="2111" priority="2045" stopIfTrue="1" operator="greaterThan">
      <formula>1.75</formula>
    </cfRule>
    <cfRule type="cellIs" dxfId="2110" priority="2046" stopIfTrue="1" operator="between">
      <formula>1.25</formula>
      <formula>1.75</formula>
    </cfRule>
  </conditionalFormatting>
  <conditionalFormatting sqref="AE124">
    <cfRule type="cellIs" dxfId="2109" priority="2043" stopIfTrue="1" operator="greaterThan">
      <formula>1.75</formula>
    </cfRule>
    <cfRule type="cellIs" dxfId="2108" priority="2044" stopIfTrue="1" operator="between">
      <formula>1.25</formula>
      <formula>1.75</formula>
    </cfRule>
  </conditionalFormatting>
  <conditionalFormatting sqref="AE126">
    <cfRule type="cellIs" dxfId="2107" priority="2041" stopIfTrue="1" operator="greaterThan">
      <formula>1.75</formula>
    </cfRule>
    <cfRule type="cellIs" dxfId="2106" priority="2042" stopIfTrue="1" operator="between">
      <formula>1.25</formula>
      <formula>1.75</formula>
    </cfRule>
  </conditionalFormatting>
  <conditionalFormatting sqref="AE126">
    <cfRule type="cellIs" dxfId="2105" priority="2039" stopIfTrue="1" operator="greaterThan">
      <formula>1.75</formula>
    </cfRule>
    <cfRule type="cellIs" dxfId="2104" priority="2040" stopIfTrue="1" operator="between">
      <formula>1.25</formula>
      <formula>1.75</formula>
    </cfRule>
  </conditionalFormatting>
  <conditionalFormatting sqref="AE126">
    <cfRule type="cellIs" dxfId="2103" priority="2037" stopIfTrue="1" operator="greaterThan">
      <formula>1.75</formula>
    </cfRule>
    <cfRule type="cellIs" dxfId="2102" priority="2038" stopIfTrue="1" operator="between">
      <formula>1.25</formula>
      <formula>1.75</formula>
    </cfRule>
  </conditionalFormatting>
  <conditionalFormatting sqref="AF124">
    <cfRule type="cellIs" dxfId="2101" priority="2035" stopIfTrue="1" operator="greaterThan">
      <formula>1.75</formula>
    </cfRule>
    <cfRule type="cellIs" dxfId="2100" priority="2036" stopIfTrue="1" operator="between">
      <formula>1.25</formula>
      <formula>1.75</formula>
    </cfRule>
  </conditionalFormatting>
  <conditionalFormatting sqref="AF126">
    <cfRule type="cellIs" dxfId="2099" priority="2033" stopIfTrue="1" operator="greaterThan">
      <formula>1.75</formula>
    </cfRule>
    <cfRule type="cellIs" dxfId="2098" priority="2034" stopIfTrue="1" operator="between">
      <formula>1.25</formula>
      <formula>1.75</formula>
    </cfRule>
  </conditionalFormatting>
  <conditionalFormatting sqref="AF126">
    <cfRule type="cellIs" dxfId="2097" priority="2031" stopIfTrue="1" operator="greaterThan">
      <formula>1.75</formula>
    </cfRule>
    <cfRule type="cellIs" dxfId="2096" priority="2032" stopIfTrue="1" operator="between">
      <formula>1.25</formula>
      <formula>1.75</formula>
    </cfRule>
  </conditionalFormatting>
  <conditionalFormatting sqref="AF126">
    <cfRule type="cellIs" dxfId="2095" priority="2029" stopIfTrue="1" operator="greaterThan">
      <formula>1.75</formula>
    </cfRule>
    <cfRule type="cellIs" dxfId="2094" priority="2030" stopIfTrue="1" operator="between">
      <formula>1.25</formula>
      <formula>1.75</formula>
    </cfRule>
  </conditionalFormatting>
  <conditionalFormatting sqref="AG124">
    <cfRule type="cellIs" dxfId="2093" priority="2027" stopIfTrue="1" operator="greaterThan">
      <formula>1.75</formula>
    </cfRule>
    <cfRule type="cellIs" dxfId="2092" priority="2028" stopIfTrue="1" operator="between">
      <formula>1.25</formula>
      <formula>1.75</formula>
    </cfRule>
  </conditionalFormatting>
  <conditionalFormatting sqref="AG126">
    <cfRule type="cellIs" dxfId="2091" priority="2025" stopIfTrue="1" operator="greaterThan">
      <formula>1.75</formula>
    </cfRule>
    <cfRule type="cellIs" dxfId="2090" priority="2026" stopIfTrue="1" operator="between">
      <formula>1.25</formula>
      <formula>1.75</formula>
    </cfRule>
  </conditionalFormatting>
  <conditionalFormatting sqref="AG126">
    <cfRule type="cellIs" dxfId="2089" priority="2023" stopIfTrue="1" operator="greaterThan">
      <formula>1.75</formula>
    </cfRule>
    <cfRule type="cellIs" dxfId="2088" priority="2024" stopIfTrue="1" operator="between">
      <formula>1.25</formula>
      <formula>1.75</formula>
    </cfRule>
  </conditionalFormatting>
  <conditionalFormatting sqref="AG126">
    <cfRule type="cellIs" dxfId="2087" priority="2021" stopIfTrue="1" operator="greaterThan">
      <formula>1.75</formula>
    </cfRule>
    <cfRule type="cellIs" dxfId="2086" priority="2022" stopIfTrue="1" operator="between">
      <formula>1.25</formula>
      <formula>1.75</formula>
    </cfRule>
  </conditionalFormatting>
  <conditionalFormatting sqref="AH124">
    <cfRule type="cellIs" dxfId="2085" priority="2019" stopIfTrue="1" operator="greaterThan">
      <formula>1.75</formula>
    </cfRule>
    <cfRule type="cellIs" dxfId="2084" priority="2020" stopIfTrue="1" operator="between">
      <formula>1.25</formula>
      <formula>1.75</formula>
    </cfRule>
  </conditionalFormatting>
  <conditionalFormatting sqref="AH126">
    <cfRule type="cellIs" dxfId="2083" priority="2017" stopIfTrue="1" operator="greaterThan">
      <formula>1.75</formula>
    </cfRule>
    <cfRule type="cellIs" dxfId="2082" priority="2018" stopIfTrue="1" operator="between">
      <formula>1.25</formula>
      <formula>1.75</formula>
    </cfRule>
  </conditionalFormatting>
  <conditionalFormatting sqref="AH126">
    <cfRule type="cellIs" dxfId="2081" priority="2015" stopIfTrue="1" operator="greaterThan">
      <formula>1.75</formula>
    </cfRule>
    <cfRule type="cellIs" dxfId="2080" priority="2016" stopIfTrue="1" operator="between">
      <formula>1.25</formula>
      <formula>1.75</formula>
    </cfRule>
  </conditionalFormatting>
  <conditionalFormatting sqref="AH126">
    <cfRule type="cellIs" dxfId="2079" priority="2013" stopIfTrue="1" operator="greaterThan">
      <formula>1.75</formula>
    </cfRule>
    <cfRule type="cellIs" dxfId="2078" priority="2014" stopIfTrue="1" operator="between">
      <formula>1.25</formula>
      <formula>1.75</formula>
    </cfRule>
  </conditionalFormatting>
  <conditionalFormatting sqref="AI124">
    <cfRule type="cellIs" dxfId="2077" priority="2011" stopIfTrue="1" operator="greaterThan">
      <formula>1.75</formula>
    </cfRule>
    <cfRule type="cellIs" dxfId="2076" priority="2012" stopIfTrue="1" operator="between">
      <formula>1.25</formula>
      <formula>1.75</formula>
    </cfRule>
  </conditionalFormatting>
  <conditionalFormatting sqref="AI126">
    <cfRule type="cellIs" dxfId="2075" priority="2009" stopIfTrue="1" operator="greaterThan">
      <formula>1.75</formula>
    </cfRule>
    <cfRule type="cellIs" dxfId="2074" priority="2010" stopIfTrue="1" operator="between">
      <formula>1.25</formula>
      <formula>1.75</formula>
    </cfRule>
  </conditionalFormatting>
  <conditionalFormatting sqref="AI126">
    <cfRule type="cellIs" dxfId="2073" priority="2007" stopIfTrue="1" operator="greaterThan">
      <formula>1.75</formula>
    </cfRule>
    <cfRule type="cellIs" dxfId="2072" priority="2008" stopIfTrue="1" operator="between">
      <formula>1.25</formula>
      <formula>1.75</formula>
    </cfRule>
  </conditionalFormatting>
  <conditionalFormatting sqref="AI126">
    <cfRule type="cellIs" dxfId="2071" priority="2005" stopIfTrue="1" operator="greaterThan">
      <formula>1.75</formula>
    </cfRule>
    <cfRule type="cellIs" dxfId="2070" priority="2006" stopIfTrue="1" operator="between">
      <formula>1.25</formula>
      <formula>1.75</formula>
    </cfRule>
  </conditionalFormatting>
  <conditionalFormatting sqref="AJ124">
    <cfRule type="cellIs" dxfId="2069" priority="2003" stopIfTrue="1" operator="greaterThan">
      <formula>1.75</formula>
    </cfRule>
    <cfRule type="cellIs" dxfId="2068" priority="2004" stopIfTrue="1" operator="between">
      <formula>1.25</formula>
      <formula>1.75</formula>
    </cfRule>
  </conditionalFormatting>
  <conditionalFormatting sqref="AJ126">
    <cfRule type="cellIs" dxfId="2067" priority="2001" stopIfTrue="1" operator="greaterThan">
      <formula>1.75</formula>
    </cfRule>
    <cfRule type="cellIs" dxfId="2066" priority="2002" stopIfTrue="1" operator="between">
      <formula>1.25</formula>
      <formula>1.75</formula>
    </cfRule>
  </conditionalFormatting>
  <conditionalFormatting sqref="AJ126">
    <cfRule type="cellIs" dxfId="2065" priority="1999" stopIfTrue="1" operator="greaterThan">
      <formula>1.75</formula>
    </cfRule>
    <cfRule type="cellIs" dxfId="2064" priority="2000" stopIfTrue="1" operator="between">
      <formula>1.25</formula>
      <formula>1.75</formula>
    </cfRule>
  </conditionalFormatting>
  <conditionalFormatting sqref="AJ126">
    <cfRule type="cellIs" dxfId="2063" priority="1997" stopIfTrue="1" operator="greaterThan">
      <formula>1.75</formula>
    </cfRule>
    <cfRule type="cellIs" dxfId="2062" priority="1998" stopIfTrue="1" operator="between">
      <formula>1.25</formula>
      <formula>1.75</formula>
    </cfRule>
  </conditionalFormatting>
  <conditionalFormatting sqref="AK124">
    <cfRule type="cellIs" dxfId="2061" priority="1995" stopIfTrue="1" operator="greaterThan">
      <formula>1.75</formula>
    </cfRule>
    <cfRule type="cellIs" dxfId="2060" priority="1996" stopIfTrue="1" operator="between">
      <formula>1.25</formula>
      <formula>1.75</formula>
    </cfRule>
  </conditionalFormatting>
  <conditionalFormatting sqref="AK126">
    <cfRule type="cellIs" dxfId="2059" priority="1993" stopIfTrue="1" operator="greaterThan">
      <formula>1.75</formula>
    </cfRule>
    <cfRule type="cellIs" dxfId="2058" priority="1994" stopIfTrue="1" operator="between">
      <formula>1.25</formula>
      <formula>1.75</formula>
    </cfRule>
  </conditionalFormatting>
  <conditionalFormatting sqref="AK126">
    <cfRule type="cellIs" dxfId="2057" priority="1991" stopIfTrue="1" operator="greaterThan">
      <formula>1.75</formula>
    </cfRule>
    <cfRule type="cellIs" dxfId="2056" priority="1992" stopIfTrue="1" operator="between">
      <formula>1.25</formula>
      <formula>1.75</formula>
    </cfRule>
  </conditionalFormatting>
  <conditionalFormatting sqref="AK126">
    <cfRule type="cellIs" dxfId="2055" priority="1989" stopIfTrue="1" operator="greaterThan">
      <formula>1.75</formula>
    </cfRule>
    <cfRule type="cellIs" dxfId="2054" priority="1990" stopIfTrue="1" operator="between">
      <formula>1.25</formula>
      <formula>1.75</formula>
    </cfRule>
  </conditionalFormatting>
  <conditionalFormatting sqref="AL124">
    <cfRule type="cellIs" dxfId="2053" priority="1987" stopIfTrue="1" operator="greaterThan">
      <formula>1.75</formula>
    </cfRule>
    <cfRule type="cellIs" dxfId="2052" priority="1988" stopIfTrue="1" operator="between">
      <formula>1.25</formula>
      <formula>1.75</formula>
    </cfRule>
  </conditionalFormatting>
  <conditionalFormatting sqref="AL126">
    <cfRule type="cellIs" dxfId="2051" priority="1985" stopIfTrue="1" operator="greaterThan">
      <formula>1.75</formula>
    </cfRule>
    <cfRule type="cellIs" dxfId="2050" priority="1986" stopIfTrue="1" operator="between">
      <formula>1.25</formula>
      <formula>1.75</formula>
    </cfRule>
  </conditionalFormatting>
  <conditionalFormatting sqref="AL126">
    <cfRule type="cellIs" dxfId="2049" priority="1983" stopIfTrue="1" operator="greaterThan">
      <formula>1.75</formula>
    </cfRule>
    <cfRule type="cellIs" dxfId="2048" priority="1984" stopIfTrue="1" operator="between">
      <formula>1.25</formula>
      <formula>1.75</formula>
    </cfRule>
  </conditionalFormatting>
  <conditionalFormatting sqref="AL126">
    <cfRule type="cellIs" dxfId="2047" priority="1981" stopIfTrue="1" operator="greaterThan">
      <formula>1.75</formula>
    </cfRule>
    <cfRule type="cellIs" dxfId="2046" priority="1982" stopIfTrue="1" operator="between">
      <formula>1.25</formula>
      <formula>1.75</formula>
    </cfRule>
  </conditionalFormatting>
  <conditionalFormatting sqref="Z124">
    <cfRule type="cellIs" dxfId="2045" priority="1979" stopIfTrue="1" operator="greaterThan">
      <formula>1.75</formula>
    </cfRule>
    <cfRule type="cellIs" dxfId="2044" priority="1980" stopIfTrue="1" operator="between">
      <formula>1.25</formula>
      <formula>1.75</formula>
    </cfRule>
  </conditionalFormatting>
  <conditionalFormatting sqref="Z126">
    <cfRule type="cellIs" dxfId="2043" priority="1977" stopIfTrue="1" operator="greaterThan">
      <formula>1.75</formula>
    </cfRule>
    <cfRule type="cellIs" dxfId="2042" priority="1978" stopIfTrue="1" operator="between">
      <formula>1.25</formula>
      <formula>1.75</formula>
    </cfRule>
  </conditionalFormatting>
  <conditionalFormatting sqref="Z126">
    <cfRule type="cellIs" dxfId="2041" priority="1975" stopIfTrue="1" operator="greaterThan">
      <formula>1.75</formula>
    </cfRule>
    <cfRule type="cellIs" dxfId="2040" priority="1976" stopIfTrue="1" operator="between">
      <formula>1.25</formula>
      <formula>1.75</formula>
    </cfRule>
  </conditionalFormatting>
  <conditionalFormatting sqref="Z126">
    <cfRule type="cellIs" dxfId="2039" priority="1973" stopIfTrue="1" operator="greaterThan">
      <formula>1.75</formula>
    </cfRule>
    <cfRule type="cellIs" dxfId="2038" priority="1974" stopIfTrue="1" operator="between">
      <formula>1.25</formula>
      <formula>1.75</formula>
    </cfRule>
  </conditionalFormatting>
  <conditionalFormatting sqref="AA124">
    <cfRule type="cellIs" dxfId="2037" priority="1971" stopIfTrue="1" operator="greaterThan">
      <formula>1.75</formula>
    </cfRule>
    <cfRule type="cellIs" dxfId="2036" priority="1972" stopIfTrue="1" operator="between">
      <formula>1.25</formula>
      <formula>1.75</formula>
    </cfRule>
  </conditionalFormatting>
  <conditionalFormatting sqref="AA126">
    <cfRule type="cellIs" dxfId="2035" priority="1969" stopIfTrue="1" operator="greaterThan">
      <formula>1.75</formula>
    </cfRule>
    <cfRule type="cellIs" dxfId="2034" priority="1970" stopIfTrue="1" operator="between">
      <formula>1.25</formula>
      <formula>1.75</formula>
    </cfRule>
  </conditionalFormatting>
  <conditionalFormatting sqref="AA126">
    <cfRule type="cellIs" dxfId="2033" priority="1967" stopIfTrue="1" operator="greaterThan">
      <formula>1.75</formula>
    </cfRule>
    <cfRule type="cellIs" dxfId="2032" priority="1968" stopIfTrue="1" operator="between">
      <formula>1.25</formula>
      <formula>1.75</formula>
    </cfRule>
  </conditionalFormatting>
  <conditionalFormatting sqref="AA126">
    <cfRule type="cellIs" dxfId="2031" priority="1965" stopIfTrue="1" operator="greaterThan">
      <formula>1.75</formula>
    </cfRule>
    <cfRule type="cellIs" dxfId="2030" priority="1966" stopIfTrue="1" operator="between">
      <formula>1.25</formula>
      <formula>1.75</formula>
    </cfRule>
  </conditionalFormatting>
  <conditionalFormatting sqref="D110">
    <cfRule type="cellIs" dxfId="2029" priority="1909" stopIfTrue="1" operator="greaterThan">
      <formula>1.75</formula>
    </cfRule>
    <cfRule type="cellIs" dxfId="2028" priority="1910" stopIfTrue="1" operator="between">
      <formula>1.25</formula>
      <formula>1.75</formula>
    </cfRule>
  </conditionalFormatting>
  <conditionalFormatting sqref="Q110">
    <cfRule type="cellIs" dxfId="2027" priority="1947" stopIfTrue="1" operator="greaterThan">
      <formula>1.75</formula>
    </cfRule>
    <cfRule type="cellIs" dxfId="2026" priority="1948" stopIfTrue="1" operator="between">
      <formula>1.25</formula>
      <formula>1.75</formula>
    </cfRule>
  </conditionalFormatting>
  <conditionalFormatting sqref="M110:O110">
    <cfRule type="cellIs" dxfId="2025" priority="1961" stopIfTrue="1" operator="greaterThan">
      <formula>1.75</formula>
    </cfRule>
    <cfRule type="cellIs" dxfId="2024" priority="1962" stopIfTrue="1" operator="between">
      <formula>1.25</formula>
      <formula>1.75</formula>
    </cfRule>
  </conditionalFormatting>
  <conditionalFormatting sqref="M110:O110">
    <cfRule type="cellIs" dxfId="2023" priority="1959" stopIfTrue="1" operator="greaterThan">
      <formula>1.75</formula>
    </cfRule>
    <cfRule type="cellIs" dxfId="2022" priority="1960" stopIfTrue="1" operator="between">
      <formula>1.25</formula>
      <formula>1.75</formula>
    </cfRule>
  </conditionalFormatting>
  <conditionalFormatting sqref="P110">
    <cfRule type="cellIs" dxfId="2021" priority="1957" stopIfTrue="1" operator="greaterThan">
      <formula>1.75</formula>
    </cfRule>
    <cfRule type="cellIs" dxfId="2020" priority="1958" stopIfTrue="1" operator="between">
      <formula>1.25</formula>
      <formula>1.75</formula>
    </cfRule>
  </conditionalFormatting>
  <conditionalFormatting sqref="P110">
    <cfRule type="cellIs" dxfId="2019" priority="1955" stopIfTrue="1" operator="greaterThan">
      <formula>1.75</formula>
    </cfRule>
    <cfRule type="cellIs" dxfId="2018" priority="1956" stopIfTrue="1" operator="between">
      <formula>1.25</formula>
      <formula>1.75</formula>
    </cfRule>
  </conditionalFormatting>
  <conditionalFormatting sqref="P110">
    <cfRule type="cellIs" dxfId="2017" priority="1953" stopIfTrue="1" operator="greaterThan">
      <formula>1.75</formula>
    </cfRule>
    <cfRule type="cellIs" dxfId="2016" priority="1954" stopIfTrue="1" operator="between">
      <formula>1.25</formula>
      <formula>1.75</formula>
    </cfRule>
  </conditionalFormatting>
  <conditionalFormatting sqref="U110">
    <cfRule type="cellIs" dxfId="2015" priority="1951" stopIfTrue="1" operator="greaterThan">
      <formula>1.75</formula>
    </cfRule>
    <cfRule type="cellIs" dxfId="2014" priority="1952" stopIfTrue="1" operator="between">
      <formula>1.25</formula>
      <formula>1.75</formula>
    </cfRule>
  </conditionalFormatting>
  <conditionalFormatting sqref="T110">
    <cfRule type="cellIs" dxfId="2013" priority="1949" stopIfTrue="1" operator="greaterThan">
      <formula>1.75</formula>
    </cfRule>
    <cfRule type="cellIs" dxfId="2012" priority="1950" stopIfTrue="1" operator="between">
      <formula>1.25</formula>
      <formula>1.75</formula>
    </cfRule>
  </conditionalFormatting>
  <conditionalFormatting sqref="Q110">
    <cfRule type="cellIs" dxfId="2011" priority="1945" stopIfTrue="1" operator="greaterThan">
      <formula>1.75</formula>
    </cfRule>
    <cfRule type="cellIs" dxfId="2010" priority="1946" stopIfTrue="1" operator="between">
      <formula>1.25</formula>
      <formula>1.75</formula>
    </cfRule>
  </conditionalFormatting>
  <conditionalFormatting sqref="Q110">
    <cfRule type="cellIs" dxfId="2009" priority="1943" stopIfTrue="1" operator="greaterThan">
      <formula>1.75</formula>
    </cfRule>
    <cfRule type="cellIs" dxfId="2008" priority="1944" stopIfTrue="1" operator="between">
      <formula>1.25</formula>
      <formula>1.75</formula>
    </cfRule>
  </conditionalFormatting>
  <conditionalFormatting sqref="R110">
    <cfRule type="cellIs" dxfId="2007" priority="1941" stopIfTrue="1" operator="greaterThan">
      <formula>1.75</formula>
    </cfRule>
    <cfRule type="cellIs" dxfId="2006" priority="1942" stopIfTrue="1" operator="between">
      <formula>1.25</formula>
      <formula>1.75</formula>
    </cfRule>
  </conditionalFormatting>
  <conditionalFormatting sqref="R110">
    <cfRule type="cellIs" dxfId="2005" priority="1939" stopIfTrue="1" operator="greaterThan">
      <formula>1.75</formula>
    </cfRule>
    <cfRule type="cellIs" dxfId="2004" priority="1940" stopIfTrue="1" operator="between">
      <formula>1.25</formula>
      <formula>1.75</formula>
    </cfRule>
  </conditionalFormatting>
  <conditionalFormatting sqref="R110">
    <cfRule type="cellIs" dxfId="2003" priority="1937" stopIfTrue="1" operator="greaterThan">
      <formula>1.75</formula>
    </cfRule>
    <cfRule type="cellIs" dxfId="2002" priority="1938" stopIfTrue="1" operator="between">
      <formula>1.25</formula>
      <formula>1.75</formula>
    </cfRule>
  </conditionalFormatting>
  <conditionalFormatting sqref="S110">
    <cfRule type="cellIs" dxfId="2001" priority="1933" stopIfTrue="1" operator="greaterThan">
      <formula>1.75</formula>
    </cfRule>
    <cfRule type="cellIs" dxfId="2000" priority="1934" stopIfTrue="1" operator="between">
      <formula>1.25</formula>
      <formula>1.75</formula>
    </cfRule>
  </conditionalFormatting>
  <conditionalFormatting sqref="S110">
    <cfRule type="cellIs" dxfId="1999" priority="1931" stopIfTrue="1" operator="greaterThan">
      <formula>1.75</formula>
    </cfRule>
    <cfRule type="cellIs" dxfId="1998" priority="1932" stopIfTrue="1" operator="between">
      <formula>1.25</formula>
      <formula>1.75</formula>
    </cfRule>
  </conditionalFormatting>
  <conditionalFormatting sqref="S110">
    <cfRule type="cellIs" dxfId="1997" priority="1935" stopIfTrue="1" operator="greaterThan">
      <formula>1.75</formula>
    </cfRule>
    <cfRule type="cellIs" dxfId="1996" priority="1936" stopIfTrue="1" operator="between">
      <formula>1.25</formula>
      <formula>1.75</formula>
    </cfRule>
  </conditionalFormatting>
  <conditionalFormatting sqref="M110:O110">
    <cfRule type="cellIs" dxfId="1995" priority="1963" stopIfTrue="1" operator="greaterThan">
      <formula>1.75</formula>
    </cfRule>
    <cfRule type="cellIs" dxfId="1994" priority="1964" stopIfTrue="1" operator="between">
      <formula>1.25</formula>
      <formula>1.75</formula>
    </cfRule>
  </conditionalFormatting>
  <conditionalFormatting sqref="H112">
    <cfRule type="cellIs" dxfId="1993" priority="1865" stopIfTrue="1" operator="greaterThan">
      <formula>1.75</formula>
    </cfRule>
    <cfRule type="cellIs" dxfId="1992" priority="1866" stopIfTrue="1" operator="between">
      <formula>1.25</formula>
      <formula>1.75</formula>
    </cfRule>
  </conditionalFormatting>
  <conditionalFormatting sqref="H112">
    <cfRule type="cellIs" dxfId="1991" priority="1867" stopIfTrue="1" operator="greaterThan">
      <formula>1.75</formula>
    </cfRule>
    <cfRule type="cellIs" dxfId="1990" priority="1868" stopIfTrue="1" operator="between">
      <formula>1.25</formula>
      <formula>1.75</formula>
    </cfRule>
  </conditionalFormatting>
  <conditionalFormatting sqref="M112:U112">
    <cfRule type="cellIs" dxfId="1989" priority="1929" stopIfTrue="1" operator="greaterThan">
      <formula>1.75</formula>
    </cfRule>
    <cfRule type="cellIs" dxfId="1988" priority="1930" stopIfTrue="1" operator="between">
      <formula>1.25</formula>
      <formula>1.75</formula>
    </cfRule>
  </conditionalFormatting>
  <conditionalFormatting sqref="M112:U112">
    <cfRule type="cellIs" dxfId="1987" priority="1927" stopIfTrue="1" operator="greaterThan">
      <formula>1.75</formula>
    </cfRule>
    <cfRule type="cellIs" dxfId="1986" priority="1928" stopIfTrue="1" operator="between">
      <formula>1.25</formula>
      <formula>1.75</formula>
    </cfRule>
  </conditionalFormatting>
  <conditionalFormatting sqref="M112:U112">
    <cfRule type="cellIs" dxfId="1985" priority="1925" stopIfTrue="1" operator="greaterThan">
      <formula>1.75</formula>
    </cfRule>
    <cfRule type="cellIs" dxfId="1984" priority="1926" stopIfTrue="1" operator="between">
      <formula>1.25</formula>
      <formula>1.75</formula>
    </cfRule>
  </conditionalFormatting>
  <conditionalFormatting sqref="G112">
    <cfRule type="cellIs" dxfId="1983" priority="1869" stopIfTrue="1" operator="greaterThan">
      <formula>1.75</formula>
    </cfRule>
    <cfRule type="cellIs" dxfId="1982" priority="1870" stopIfTrue="1" operator="between">
      <formula>1.25</formula>
      <formula>1.75</formula>
    </cfRule>
  </conditionalFormatting>
  <conditionalFormatting sqref="V110">
    <cfRule type="cellIs" dxfId="1981" priority="1923" stopIfTrue="1" operator="greaterThan">
      <formula>1.75</formula>
    </cfRule>
    <cfRule type="cellIs" dxfId="1980" priority="1924" stopIfTrue="1" operator="between">
      <formula>1.25</formula>
      <formula>1.75</formula>
    </cfRule>
  </conditionalFormatting>
  <conditionalFormatting sqref="V112">
    <cfRule type="cellIs" dxfId="1979" priority="1921" stopIfTrue="1" operator="greaterThan">
      <formula>1.75</formula>
    </cfRule>
    <cfRule type="cellIs" dxfId="1978" priority="1922" stopIfTrue="1" operator="between">
      <formula>1.25</formula>
      <formula>1.75</formula>
    </cfRule>
  </conditionalFormatting>
  <conditionalFormatting sqref="V112">
    <cfRule type="cellIs" dxfId="1977" priority="1919" stopIfTrue="1" operator="greaterThan">
      <formula>1.75</formula>
    </cfRule>
    <cfRule type="cellIs" dxfId="1976" priority="1920" stopIfTrue="1" operator="between">
      <formula>1.25</formula>
      <formula>1.75</formula>
    </cfRule>
  </conditionalFormatting>
  <conditionalFormatting sqref="V112">
    <cfRule type="cellIs" dxfId="1975" priority="1917" stopIfTrue="1" operator="greaterThan">
      <formula>1.75</formula>
    </cfRule>
    <cfRule type="cellIs" dxfId="1974" priority="1918" stopIfTrue="1" operator="between">
      <formula>1.25</formula>
      <formula>1.75</formula>
    </cfRule>
  </conditionalFormatting>
  <conditionalFormatting sqref="C110">
    <cfRule type="cellIs" dxfId="1973" priority="1913" stopIfTrue="1" operator="greaterThan">
      <formula>1.75</formula>
    </cfRule>
    <cfRule type="cellIs" dxfId="1972" priority="1914" stopIfTrue="1" operator="between">
      <formula>1.25</formula>
      <formula>1.75</formula>
    </cfRule>
  </conditionalFormatting>
  <conditionalFormatting sqref="C110">
    <cfRule type="cellIs" dxfId="1971" priority="1911" stopIfTrue="1" operator="greaterThan">
      <formula>1.75</formula>
    </cfRule>
    <cfRule type="cellIs" dxfId="1970" priority="1912" stopIfTrue="1" operator="between">
      <formula>1.25</formula>
      <formula>1.75</formula>
    </cfRule>
  </conditionalFormatting>
  <conditionalFormatting sqref="C110">
    <cfRule type="cellIs" dxfId="1969" priority="1915" stopIfTrue="1" operator="greaterThan">
      <formula>1.75</formula>
    </cfRule>
    <cfRule type="cellIs" dxfId="1968" priority="1916" stopIfTrue="1" operator="between">
      <formula>1.25</formula>
      <formula>1.75</formula>
    </cfRule>
  </conditionalFormatting>
  <conditionalFormatting sqref="D110">
    <cfRule type="cellIs" dxfId="1967" priority="1907" stopIfTrue="1" operator="greaterThan">
      <formula>1.75</formula>
    </cfRule>
    <cfRule type="cellIs" dxfId="1966" priority="1908" stopIfTrue="1" operator="between">
      <formula>1.25</formula>
      <formula>1.75</formula>
    </cfRule>
  </conditionalFormatting>
  <conditionalFormatting sqref="D110">
    <cfRule type="cellIs" dxfId="1965" priority="1905" stopIfTrue="1" operator="greaterThan">
      <formula>1.75</formula>
    </cfRule>
    <cfRule type="cellIs" dxfId="1964" priority="1906" stopIfTrue="1" operator="between">
      <formula>1.25</formula>
      <formula>1.75</formula>
    </cfRule>
  </conditionalFormatting>
  <conditionalFormatting sqref="C112">
    <cfRule type="cellIs" dxfId="1963" priority="1899" stopIfTrue="1" operator="greaterThan">
      <formula>1.75</formula>
    </cfRule>
    <cfRule type="cellIs" dxfId="1962" priority="1900" stopIfTrue="1" operator="between">
      <formula>1.25</formula>
      <formula>1.75</formula>
    </cfRule>
  </conditionalFormatting>
  <conditionalFormatting sqref="C112">
    <cfRule type="cellIs" dxfId="1961" priority="1901" stopIfTrue="1" operator="greaterThan">
      <formula>1.75</formula>
    </cfRule>
    <cfRule type="cellIs" dxfId="1960" priority="1902" stopIfTrue="1" operator="between">
      <formula>1.25</formula>
      <formula>1.75</formula>
    </cfRule>
  </conditionalFormatting>
  <conditionalFormatting sqref="C112">
    <cfRule type="cellIs" dxfId="1959" priority="1903" stopIfTrue="1" operator="greaterThan">
      <formula>1.75</formula>
    </cfRule>
    <cfRule type="cellIs" dxfId="1958" priority="1904" stopIfTrue="1" operator="between">
      <formula>1.25</formula>
      <formula>1.75</formula>
    </cfRule>
  </conditionalFormatting>
  <conditionalFormatting sqref="D112">
    <cfRule type="cellIs" dxfId="1957" priority="1893" stopIfTrue="1" operator="greaterThan">
      <formula>1.75</formula>
    </cfRule>
    <cfRule type="cellIs" dxfId="1956" priority="1894" stopIfTrue="1" operator="between">
      <formula>1.25</formula>
      <formula>1.75</formula>
    </cfRule>
  </conditionalFormatting>
  <conditionalFormatting sqref="D112">
    <cfRule type="cellIs" dxfId="1955" priority="1895" stopIfTrue="1" operator="greaterThan">
      <formula>1.75</formula>
    </cfRule>
    <cfRule type="cellIs" dxfId="1954" priority="1896" stopIfTrue="1" operator="between">
      <formula>1.25</formula>
      <formula>1.75</formula>
    </cfRule>
  </conditionalFormatting>
  <conditionalFormatting sqref="D112">
    <cfRule type="cellIs" dxfId="1953" priority="1897" stopIfTrue="1" operator="greaterThan">
      <formula>1.75</formula>
    </cfRule>
    <cfRule type="cellIs" dxfId="1952" priority="1898" stopIfTrue="1" operator="between">
      <formula>1.25</formula>
      <formula>1.75</formula>
    </cfRule>
  </conditionalFormatting>
  <conditionalFormatting sqref="E112">
    <cfRule type="cellIs" dxfId="1951" priority="1887" stopIfTrue="1" operator="greaterThan">
      <formula>1.75</formula>
    </cfRule>
    <cfRule type="cellIs" dxfId="1950" priority="1888" stopIfTrue="1" operator="between">
      <formula>1.25</formula>
      <formula>1.75</formula>
    </cfRule>
  </conditionalFormatting>
  <conditionalFormatting sqref="E112">
    <cfRule type="cellIs" dxfId="1949" priority="1889" stopIfTrue="1" operator="greaterThan">
      <formula>1.75</formula>
    </cfRule>
    <cfRule type="cellIs" dxfId="1948" priority="1890" stopIfTrue="1" operator="between">
      <formula>1.25</formula>
      <formula>1.75</formula>
    </cfRule>
  </conditionalFormatting>
  <conditionalFormatting sqref="E112">
    <cfRule type="cellIs" dxfId="1947" priority="1891" stopIfTrue="1" operator="greaterThan">
      <formula>1.75</formula>
    </cfRule>
    <cfRule type="cellIs" dxfId="1946" priority="1892" stopIfTrue="1" operator="between">
      <formula>1.25</formula>
      <formula>1.75</formula>
    </cfRule>
  </conditionalFormatting>
  <conditionalFormatting sqref="E110">
    <cfRule type="cellIs" dxfId="1945" priority="1883" stopIfTrue="1" operator="greaterThan">
      <formula>1.75</formula>
    </cfRule>
    <cfRule type="cellIs" dxfId="1944" priority="1884" stopIfTrue="1" operator="between">
      <formula>1.25</formula>
      <formula>1.75</formula>
    </cfRule>
  </conditionalFormatting>
  <conditionalFormatting sqref="E110">
    <cfRule type="cellIs" dxfId="1943" priority="1881" stopIfTrue="1" operator="greaterThan">
      <formula>1.75</formula>
    </cfRule>
    <cfRule type="cellIs" dxfId="1942" priority="1882" stopIfTrue="1" operator="between">
      <formula>1.25</formula>
      <formula>1.75</formula>
    </cfRule>
  </conditionalFormatting>
  <conditionalFormatting sqref="E110">
    <cfRule type="cellIs" dxfId="1941" priority="1885" stopIfTrue="1" operator="greaterThan">
      <formula>1.75</formula>
    </cfRule>
    <cfRule type="cellIs" dxfId="1940" priority="1886" stopIfTrue="1" operator="between">
      <formula>1.25</formula>
      <formula>1.75</formula>
    </cfRule>
  </conditionalFormatting>
  <conditionalFormatting sqref="F112">
    <cfRule type="cellIs" dxfId="1939" priority="1875" stopIfTrue="1" operator="greaterThan">
      <formula>1.75</formula>
    </cfRule>
    <cfRule type="cellIs" dxfId="1938" priority="1876" stopIfTrue="1" operator="between">
      <formula>1.25</formula>
      <formula>1.75</formula>
    </cfRule>
  </conditionalFormatting>
  <conditionalFormatting sqref="F112">
    <cfRule type="cellIs" dxfId="1937" priority="1877" stopIfTrue="1" operator="greaterThan">
      <formula>1.75</formula>
    </cfRule>
    <cfRule type="cellIs" dxfId="1936" priority="1878" stopIfTrue="1" operator="between">
      <formula>1.25</formula>
      <formula>1.75</formula>
    </cfRule>
  </conditionalFormatting>
  <conditionalFormatting sqref="F112">
    <cfRule type="cellIs" dxfId="1935" priority="1879" stopIfTrue="1" operator="greaterThan">
      <formula>1.75</formula>
    </cfRule>
    <cfRule type="cellIs" dxfId="1934" priority="1880" stopIfTrue="1" operator="between">
      <formula>1.25</formula>
      <formula>1.75</formula>
    </cfRule>
  </conditionalFormatting>
  <conditionalFormatting sqref="G112">
    <cfRule type="cellIs" dxfId="1933" priority="1871" stopIfTrue="1" operator="greaterThan">
      <formula>1.75</formula>
    </cfRule>
    <cfRule type="cellIs" dxfId="1932" priority="1872" stopIfTrue="1" operator="between">
      <formula>1.25</formula>
      <formula>1.75</formula>
    </cfRule>
  </conditionalFormatting>
  <conditionalFormatting sqref="G112">
    <cfRule type="cellIs" dxfId="1931" priority="1873" stopIfTrue="1" operator="greaterThan">
      <formula>1.75</formula>
    </cfRule>
    <cfRule type="cellIs" dxfId="1930" priority="1874" stopIfTrue="1" operator="between">
      <formula>1.25</formula>
      <formula>1.75</formula>
    </cfRule>
  </conditionalFormatting>
  <conditionalFormatting sqref="H112">
    <cfRule type="cellIs" dxfId="1929" priority="1863" stopIfTrue="1" operator="greaterThan">
      <formula>1.75</formula>
    </cfRule>
    <cfRule type="cellIs" dxfId="1928" priority="1864" stopIfTrue="1" operator="between">
      <formula>1.25</formula>
      <formula>1.75</formula>
    </cfRule>
  </conditionalFormatting>
  <conditionalFormatting sqref="I112">
    <cfRule type="cellIs" dxfId="1927" priority="1857" stopIfTrue="1" operator="greaterThan">
      <formula>1.75</formula>
    </cfRule>
    <cfRule type="cellIs" dxfId="1926" priority="1858" stopIfTrue="1" operator="between">
      <formula>1.25</formula>
      <formula>1.75</formula>
    </cfRule>
  </conditionalFormatting>
  <conditionalFormatting sqref="I112">
    <cfRule type="cellIs" dxfId="1925" priority="1859" stopIfTrue="1" operator="greaterThan">
      <formula>1.75</formula>
    </cfRule>
    <cfRule type="cellIs" dxfId="1924" priority="1860" stopIfTrue="1" operator="between">
      <formula>1.25</formula>
      <formula>1.75</formula>
    </cfRule>
  </conditionalFormatting>
  <conditionalFormatting sqref="I112">
    <cfRule type="cellIs" dxfId="1923" priority="1861" stopIfTrue="1" operator="greaterThan">
      <formula>1.75</formula>
    </cfRule>
    <cfRule type="cellIs" dxfId="1922" priority="1862" stopIfTrue="1" operator="between">
      <formula>1.25</formula>
      <formula>1.75</formula>
    </cfRule>
  </conditionalFormatting>
  <conditionalFormatting sqref="J112">
    <cfRule type="cellIs" dxfId="1921" priority="1851" stopIfTrue="1" operator="greaterThan">
      <formula>1.75</formula>
    </cfRule>
    <cfRule type="cellIs" dxfId="1920" priority="1852" stopIfTrue="1" operator="between">
      <formula>1.25</formula>
      <formula>1.75</formula>
    </cfRule>
  </conditionalFormatting>
  <conditionalFormatting sqref="J112">
    <cfRule type="cellIs" dxfId="1919" priority="1853" stopIfTrue="1" operator="greaterThan">
      <formula>1.75</formula>
    </cfRule>
    <cfRule type="cellIs" dxfId="1918" priority="1854" stopIfTrue="1" operator="between">
      <formula>1.25</formula>
      <formula>1.75</formula>
    </cfRule>
  </conditionalFormatting>
  <conditionalFormatting sqref="J112">
    <cfRule type="cellIs" dxfId="1917" priority="1855" stopIfTrue="1" operator="greaterThan">
      <formula>1.75</formula>
    </cfRule>
    <cfRule type="cellIs" dxfId="1916" priority="1856" stopIfTrue="1" operator="between">
      <formula>1.25</formula>
      <formula>1.75</formula>
    </cfRule>
  </conditionalFormatting>
  <conditionalFormatting sqref="K112">
    <cfRule type="cellIs" dxfId="1915" priority="1845" stopIfTrue="1" operator="greaterThan">
      <formula>1.75</formula>
    </cfRule>
    <cfRule type="cellIs" dxfId="1914" priority="1846" stopIfTrue="1" operator="between">
      <formula>1.25</formula>
      <formula>1.75</formula>
    </cfRule>
  </conditionalFormatting>
  <conditionalFormatting sqref="K112">
    <cfRule type="cellIs" dxfId="1913" priority="1847" stopIfTrue="1" operator="greaterThan">
      <formula>1.75</formula>
    </cfRule>
    <cfRule type="cellIs" dxfId="1912" priority="1848" stopIfTrue="1" operator="between">
      <formula>1.25</formula>
      <formula>1.75</formula>
    </cfRule>
  </conditionalFormatting>
  <conditionalFormatting sqref="K112">
    <cfRule type="cellIs" dxfId="1911" priority="1849" stopIfTrue="1" operator="greaterThan">
      <formula>1.75</formula>
    </cfRule>
    <cfRule type="cellIs" dxfId="1910" priority="1850" stopIfTrue="1" operator="between">
      <formula>1.25</formula>
      <formula>1.75</formula>
    </cfRule>
  </conditionalFormatting>
  <conditionalFormatting sqref="L112">
    <cfRule type="cellIs" dxfId="1909" priority="1839" stopIfTrue="1" operator="greaterThan">
      <formula>1.75</formula>
    </cfRule>
    <cfRule type="cellIs" dxfId="1908" priority="1840" stopIfTrue="1" operator="between">
      <formula>1.25</formula>
      <formula>1.75</formula>
    </cfRule>
  </conditionalFormatting>
  <conditionalFormatting sqref="L112">
    <cfRule type="cellIs" dxfId="1907" priority="1841" stopIfTrue="1" operator="greaterThan">
      <formula>1.75</formula>
    </cfRule>
    <cfRule type="cellIs" dxfId="1906" priority="1842" stopIfTrue="1" operator="between">
      <formula>1.25</formula>
      <formula>1.75</formula>
    </cfRule>
  </conditionalFormatting>
  <conditionalFormatting sqref="L112">
    <cfRule type="cellIs" dxfId="1905" priority="1843" stopIfTrue="1" operator="greaterThan">
      <formula>1.75</formula>
    </cfRule>
    <cfRule type="cellIs" dxfId="1904" priority="1844" stopIfTrue="1" operator="between">
      <formula>1.25</formula>
      <formula>1.75</formula>
    </cfRule>
  </conditionalFormatting>
  <conditionalFormatting sqref="F110">
    <cfRule type="cellIs" dxfId="1903" priority="1835" stopIfTrue="1" operator="greaterThan">
      <formula>1.75</formula>
    </cfRule>
    <cfRule type="cellIs" dxfId="1902" priority="1836" stopIfTrue="1" operator="between">
      <formula>1.25</formula>
      <formula>1.75</formula>
    </cfRule>
  </conditionalFormatting>
  <conditionalFormatting sqref="F110">
    <cfRule type="cellIs" dxfId="1901" priority="1833" stopIfTrue="1" operator="greaterThan">
      <formula>1.75</formula>
    </cfRule>
    <cfRule type="cellIs" dxfId="1900" priority="1834" stopIfTrue="1" operator="between">
      <formula>1.25</formula>
      <formula>1.75</formula>
    </cfRule>
  </conditionalFormatting>
  <conditionalFormatting sqref="F110">
    <cfRule type="cellIs" dxfId="1899" priority="1837" stopIfTrue="1" operator="greaterThan">
      <formula>1.75</formula>
    </cfRule>
    <cfRule type="cellIs" dxfId="1898" priority="1838" stopIfTrue="1" operator="between">
      <formula>1.25</formula>
      <formula>1.75</formula>
    </cfRule>
  </conditionalFormatting>
  <conditionalFormatting sqref="G110">
    <cfRule type="cellIs" dxfId="1897" priority="1829" stopIfTrue="1" operator="greaterThan">
      <formula>1.75</formula>
    </cfRule>
    <cfRule type="cellIs" dxfId="1896" priority="1830" stopIfTrue="1" operator="between">
      <formula>1.25</formula>
      <formula>1.75</formula>
    </cfRule>
  </conditionalFormatting>
  <conditionalFormatting sqref="G110">
    <cfRule type="cellIs" dxfId="1895" priority="1827" stopIfTrue="1" operator="greaterThan">
      <formula>1.75</formula>
    </cfRule>
    <cfRule type="cellIs" dxfId="1894" priority="1828" stopIfTrue="1" operator="between">
      <formula>1.25</formula>
      <formula>1.75</formula>
    </cfRule>
  </conditionalFormatting>
  <conditionalFormatting sqref="G110">
    <cfRule type="cellIs" dxfId="1893" priority="1831" stopIfTrue="1" operator="greaterThan">
      <formula>1.75</formula>
    </cfRule>
    <cfRule type="cellIs" dxfId="1892" priority="1832" stopIfTrue="1" operator="between">
      <formula>1.25</formula>
      <formula>1.75</formula>
    </cfRule>
  </conditionalFormatting>
  <conditionalFormatting sqref="H110">
    <cfRule type="cellIs" dxfId="1891" priority="1823" stopIfTrue="1" operator="greaterThan">
      <formula>1.75</formula>
    </cfRule>
    <cfRule type="cellIs" dxfId="1890" priority="1824" stopIfTrue="1" operator="between">
      <formula>1.25</formula>
      <formula>1.75</formula>
    </cfRule>
  </conditionalFormatting>
  <conditionalFormatting sqref="H110">
    <cfRule type="cellIs" dxfId="1889" priority="1821" stopIfTrue="1" operator="greaterThan">
      <formula>1.75</formula>
    </cfRule>
    <cfRule type="cellIs" dxfId="1888" priority="1822" stopIfTrue="1" operator="between">
      <formula>1.25</formula>
      <formula>1.75</formula>
    </cfRule>
  </conditionalFormatting>
  <conditionalFormatting sqref="H110">
    <cfRule type="cellIs" dxfId="1887" priority="1825" stopIfTrue="1" operator="greaterThan">
      <formula>1.75</formula>
    </cfRule>
    <cfRule type="cellIs" dxfId="1886" priority="1826" stopIfTrue="1" operator="between">
      <formula>1.25</formula>
      <formula>1.75</formula>
    </cfRule>
  </conditionalFormatting>
  <conditionalFormatting sqref="I110">
    <cfRule type="cellIs" dxfId="1885" priority="1817" stopIfTrue="1" operator="greaterThan">
      <formula>1.75</formula>
    </cfRule>
    <cfRule type="cellIs" dxfId="1884" priority="1818" stopIfTrue="1" operator="between">
      <formula>1.25</formula>
      <formula>1.75</formula>
    </cfRule>
  </conditionalFormatting>
  <conditionalFormatting sqref="I110">
    <cfRule type="cellIs" dxfId="1883" priority="1815" stopIfTrue="1" operator="greaterThan">
      <formula>1.75</formula>
    </cfRule>
    <cfRule type="cellIs" dxfId="1882" priority="1816" stopIfTrue="1" operator="between">
      <formula>1.25</formula>
      <formula>1.75</formula>
    </cfRule>
  </conditionalFormatting>
  <conditionalFormatting sqref="I110">
    <cfRule type="cellIs" dxfId="1881" priority="1819" stopIfTrue="1" operator="greaterThan">
      <formula>1.75</formula>
    </cfRule>
    <cfRule type="cellIs" dxfId="1880" priority="1820" stopIfTrue="1" operator="between">
      <formula>1.25</formula>
      <formula>1.75</formula>
    </cfRule>
  </conditionalFormatting>
  <conditionalFormatting sqref="J110">
    <cfRule type="cellIs" dxfId="1879" priority="1811" stopIfTrue="1" operator="greaterThan">
      <formula>1.75</formula>
    </cfRule>
    <cfRule type="cellIs" dxfId="1878" priority="1812" stopIfTrue="1" operator="between">
      <formula>1.25</formula>
      <formula>1.75</formula>
    </cfRule>
  </conditionalFormatting>
  <conditionalFormatting sqref="J110">
    <cfRule type="cellIs" dxfId="1877" priority="1809" stopIfTrue="1" operator="greaterThan">
      <formula>1.75</formula>
    </cfRule>
    <cfRule type="cellIs" dxfId="1876" priority="1810" stopIfTrue="1" operator="between">
      <formula>1.25</formula>
      <formula>1.75</formula>
    </cfRule>
  </conditionalFormatting>
  <conditionalFormatting sqref="J110">
    <cfRule type="cellIs" dxfId="1875" priority="1813" stopIfTrue="1" operator="greaterThan">
      <formula>1.75</formula>
    </cfRule>
    <cfRule type="cellIs" dxfId="1874" priority="1814" stopIfTrue="1" operator="between">
      <formula>1.25</formula>
      <formula>1.75</formula>
    </cfRule>
  </conditionalFormatting>
  <conditionalFormatting sqref="K110">
    <cfRule type="cellIs" dxfId="1873" priority="1805" stopIfTrue="1" operator="greaterThan">
      <formula>1.75</formula>
    </cfRule>
    <cfRule type="cellIs" dxfId="1872" priority="1806" stopIfTrue="1" operator="between">
      <formula>1.25</formula>
      <formula>1.75</formula>
    </cfRule>
  </conditionalFormatting>
  <conditionalFormatting sqref="K110">
    <cfRule type="cellIs" dxfId="1871" priority="1803" stopIfTrue="1" operator="greaterThan">
      <formula>1.75</formula>
    </cfRule>
    <cfRule type="cellIs" dxfId="1870" priority="1804" stopIfTrue="1" operator="between">
      <formula>1.25</formula>
      <formula>1.75</formula>
    </cfRule>
  </conditionalFormatting>
  <conditionalFormatting sqref="K110">
    <cfRule type="cellIs" dxfId="1869" priority="1807" stopIfTrue="1" operator="greaterThan">
      <formula>1.75</formula>
    </cfRule>
    <cfRule type="cellIs" dxfId="1868" priority="1808" stopIfTrue="1" operator="between">
      <formula>1.25</formula>
      <formula>1.75</formula>
    </cfRule>
  </conditionalFormatting>
  <conditionalFormatting sqref="L110">
    <cfRule type="cellIs" dxfId="1867" priority="1799" stopIfTrue="1" operator="greaterThan">
      <formula>1.75</formula>
    </cfRule>
    <cfRule type="cellIs" dxfId="1866" priority="1800" stopIfTrue="1" operator="between">
      <formula>1.25</formula>
      <formula>1.75</formula>
    </cfRule>
  </conditionalFormatting>
  <conditionalFormatting sqref="L110">
    <cfRule type="cellIs" dxfId="1865" priority="1797" stopIfTrue="1" operator="greaterThan">
      <formula>1.75</formula>
    </cfRule>
    <cfRule type="cellIs" dxfId="1864" priority="1798" stopIfTrue="1" operator="between">
      <formula>1.25</formula>
      <formula>1.75</formula>
    </cfRule>
  </conditionalFormatting>
  <conditionalFormatting sqref="L110">
    <cfRule type="cellIs" dxfId="1863" priority="1801" stopIfTrue="1" operator="greaterThan">
      <formula>1.75</formula>
    </cfRule>
    <cfRule type="cellIs" dxfId="1862" priority="1802" stopIfTrue="1" operator="between">
      <formula>1.25</formula>
      <formula>1.75</formula>
    </cfRule>
  </conditionalFormatting>
  <conditionalFormatting sqref="W110">
    <cfRule type="cellIs" dxfId="1861" priority="1795" stopIfTrue="1" operator="greaterThan">
      <formula>1.75</formula>
    </cfRule>
    <cfRule type="cellIs" dxfId="1860" priority="1796" stopIfTrue="1" operator="between">
      <formula>1.25</formula>
      <formula>1.75</formula>
    </cfRule>
  </conditionalFormatting>
  <conditionalFormatting sqref="W112">
    <cfRule type="cellIs" dxfId="1859" priority="1793" stopIfTrue="1" operator="greaterThan">
      <formula>1.75</formula>
    </cfRule>
    <cfRule type="cellIs" dxfId="1858" priority="1794" stopIfTrue="1" operator="between">
      <formula>1.25</formula>
      <formula>1.75</formula>
    </cfRule>
  </conditionalFormatting>
  <conditionalFormatting sqref="W112">
    <cfRule type="cellIs" dxfId="1857" priority="1791" stopIfTrue="1" operator="greaterThan">
      <formula>1.75</formula>
    </cfRule>
    <cfRule type="cellIs" dxfId="1856" priority="1792" stopIfTrue="1" operator="between">
      <formula>1.25</formula>
      <formula>1.75</formula>
    </cfRule>
  </conditionalFormatting>
  <conditionalFormatting sqref="W112">
    <cfRule type="cellIs" dxfId="1855" priority="1789" stopIfTrue="1" operator="greaterThan">
      <formula>1.75</formula>
    </cfRule>
    <cfRule type="cellIs" dxfId="1854" priority="1790" stopIfTrue="1" operator="between">
      <formula>1.25</formula>
      <formula>1.75</formula>
    </cfRule>
  </conditionalFormatting>
  <conditionalFormatting sqref="AB110">
    <cfRule type="cellIs" dxfId="1853" priority="1787" stopIfTrue="1" operator="greaterThan">
      <formula>1.75</formula>
    </cfRule>
    <cfRule type="cellIs" dxfId="1852" priority="1788" stopIfTrue="1" operator="between">
      <formula>1.25</formula>
      <formula>1.75</formula>
    </cfRule>
  </conditionalFormatting>
  <conditionalFormatting sqref="AB112">
    <cfRule type="cellIs" dxfId="1851" priority="1785" stopIfTrue="1" operator="greaterThan">
      <formula>1.75</formula>
    </cfRule>
    <cfRule type="cellIs" dxfId="1850" priority="1786" stopIfTrue="1" operator="between">
      <formula>1.25</formula>
      <formula>1.75</formula>
    </cfRule>
  </conditionalFormatting>
  <conditionalFormatting sqref="AB112">
    <cfRule type="cellIs" dxfId="1849" priority="1783" stopIfTrue="1" operator="greaterThan">
      <formula>1.75</formula>
    </cfRule>
    <cfRule type="cellIs" dxfId="1848" priority="1784" stopIfTrue="1" operator="between">
      <formula>1.25</formula>
      <formula>1.75</formula>
    </cfRule>
  </conditionalFormatting>
  <conditionalFormatting sqref="AB112">
    <cfRule type="cellIs" dxfId="1847" priority="1781" stopIfTrue="1" operator="greaterThan">
      <formula>1.75</formula>
    </cfRule>
    <cfRule type="cellIs" dxfId="1846" priority="1782" stopIfTrue="1" operator="between">
      <formula>1.25</formula>
      <formula>1.75</formula>
    </cfRule>
  </conditionalFormatting>
  <conditionalFormatting sqref="X110">
    <cfRule type="cellIs" dxfId="1845" priority="1779" stopIfTrue="1" operator="greaterThan">
      <formula>1.75</formula>
    </cfRule>
    <cfRule type="cellIs" dxfId="1844" priority="1780" stopIfTrue="1" operator="between">
      <formula>1.25</formula>
      <formula>1.75</formula>
    </cfRule>
  </conditionalFormatting>
  <conditionalFormatting sqref="X112">
    <cfRule type="cellIs" dxfId="1843" priority="1777" stopIfTrue="1" operator="greaterThan">
      <formula>1.75</formula>
    </cfRule>
    <cfRule type="cellIs" dxfId="1842" priority="1778" stopIfTrue="1" operator="between">
      <formula>1.25</formula>
      <formula>1.75</formula>
    </cfRule>
  </conditionalFormatting>
  <conditionalFormatting sqref="X112">
    <cfRule type="cellIs" dxfId="1841" priority="1775" stopIfTrue="1" operator="greaterThan">
      <formula>1.75</formula>
    </cfRule>
    <cfRule type="cellIs" dxfId="1840" priority="1776" stopIfTrue="1" operator="between">
      <formula>1.25</formula>
      <formula>1.75</formula>
    </cfRule>
  </conditionalFormatting>
  <conditionalFormatting sqref="X112">
    <cfRule type="cellIs" dxfId="1839" priority="1773" stopIfTrue="1" operator="greaterThan">
      <formula>1.75</formula>
    </cfRule>
    <cfRule type="cellIs" dxfId="1838" priority="1774" stopIfTrue="1" operator="between">
      <formula>1.25</formula>
      <formula>1.75</formula>
    </cfRule>
  </conditionalFormatting>
  <conditionalFormatting sqref="Y110">
    <cfRule type="cellIs" dxfId="1837" priority="1771" stopIfTrue="1" operator="greaterThan">
      <formula>1.75</formula>
    </cfRule>
    <cfRule type="cellIs" dxfId="1836" priority="1772" stopIfTrue="1" operator="between">
      <formula>1.25</formula>
      <formula>1.75</formula>
    </cfRule>
  </conditionalFormatting>
  <conditionalFormatting sqref="Y112">
    <cfRule type="cellIs" dxfId="1835" priority="1769" stopIfTrue="1" operator="greaterThan">
      <formula>1.75</formula>
    </cfRule>
    <cfRule type="cellIs" dxfId="1834" priority="1770" stopIfTrue="1" operator="between">
      <formula>1.25</formula>
      <formula>1.75</formula>
    </cfRule>
  </conditionalFormatting>
  <conditionalFormatting sqref="Y112">
    <cfRule type="cellIs" dxfId="1833" priority="1767" stopIfTrue="1" operator="greaterThan">
      <formula>1.75</formula>
    </cfRule>
    <cfRule type="cellIs" dxfId="1832" priority="1768" stopIfTrue="1" operator="between">
      <formula>1.25</formula>
      <formula>1.75</formula>
    </cfRule>
  </conditionalFormatting>
  <conditionalFormatting sqref="Y112">
    <cfRule type="cellIs" dxfId="1831" priority="1765" stopIfTrue="1" operator="greaterThan">
      <formula>1.75</formula>
    </cfRule>
    <cfRule type="cellIs" dxfId="1830" priority="1766" stopIfTrue="1" operator="between">
      <formula>1.25</formula>
      <formula>1.75</formula>
    </cfRule>
  </conditionalFormatting>
  <conditionalFormatting sqref="AD110">
    <cfRule type="cellIs" dxfId="1829" priority="1763" stopIfTrue="1" operator="greaterThan">
      <formula>1.75</formula>
    </cfRule>
    <cfRule type="cellIs" dxfId="1828" priority="1764" stopIfTrue="1" operator="between">
      <formula>1.25</formula>
      <formula>1.75</formula>
    </cfRule>
  </conditionalFormatting>
  <conditionalFormatting sqref="AD112">
    <cfRule type="cellIs" dxfId="1827" priority="1761" stopIfTrue="1" operator="greaterThan">
      <formula>1.75</formula>
    </cfRule>
    <cfRule type="cellIs" dxfId="1826" priority="1762" stopIfTrue="1" operator="between">
      <formula>1.25</formula>
      <formula>1.75</formula>
    </cfRule>
  </conditionalFormatting>
  <conditionalFormatting sqref="AD112">
    <cfRule type="cellIs" dxfId="1825" priority="1759" stopIfTrue="1" operator="greaterThan">
      <formula>1.75</formula>
    </cfRule>
    <cfRule type="cellIs" dxfId="1824" priority="1760" stopIfTrue="1" operator="between">
      <formula>1.25</formula>
      <formula>1.75</formula>
    </cfRule>
  </conditionalFormatting>
  <conditionalFormatting sqref="AD112">
    <cfRule type="cellIs" dxfId="1823" priority="1757" stopIfTrue="1" operator="greaterThan">
      <formula>1.75</formula>
    </cfRule>
    <cfRule type="cellIs" dxfId="1822" priority="1758" stopIfTrue="1" operator="between">
      <formula>1.25</formula>
      <formula>1.75</formula>
    </cfRule>
  </conditionalFormatting>
  <conditionalFormatting sqref="AE110">
    <cfRule type="cellIs" dxfId="1821" priority="1755" stopIfTrue="1" operator="greaterThan">
      <formula>1.75</formula>
    </cfRule>
    <cfRule type="cellIs" dxfId="1820" priority="1756" stopIfTrue="1" operator="between">
      <formula>1.25</formula>
      <formula>1.75</formula>
    </cfRule>
  </conditionalFormatting>
  <conditionalFormatting sqref="AE112">
    <cfRule type="cellIs" dxfId="1819" priority="1753" stopIfTrue="1" operator="greaterThan">
      <formula>1.75</formula>
    </cfRule>
    <cfRule type="cellIs" dxfId="1818" priority="1754" stopIfTrue="1" operator="between">
      <formula>1.25</formula>
      <formula>1.75</formula>
    </cfRule>
  </conditionalFormatting>
  <conditionalFormatting sqref="AE112">
    <cfRule type="cellIs" dxfId="1817" priority="1751" stopIfTrue="1" operator="greaterThan">
      <formula>1.75</formula>
    </cfRule>
    <cfRule type="cellIs" dxfId="1816" priority="1752" stopIfTrue="1" operator="between">
      <formula>1.25</formula>
      <formula>1.75</formula>
    </cfRule>
  </conditionalFormatting>
  <conditionalFormatting sqref="AE112">
    <cfRule type="cellIs" dxfId="1815" priority="1749" stopIfTrue="1" operator="greaterThan">
      <formula>1.75</formula>
    </cfRule>
    <cfRule type="cellIs" dxfId="1814" priority="1750" stopIfTrue="1" operator="between">
      <formula>1.25</formula>
      <formula>1.75</formula>
    </cfRule>
  </conditionalFormatting>
  <conditionalFormatting sqref="AF110">
    <cfRule type="cellIs" dxfId="1813" priority="1747" stopIfTrue="1" operator="greaterThan">
      <formula>1.75</formula>
    </cfRule>
    <cfRule type="cellIs" dxfId="1812" priority="1748" stopIfTrue="1" operator="between">
      <formula>1.25</formula>
      <formula>1.75</formula>
    </cfRule>
  </conditionalFormatting>
  <conditionalFormatting sqref="AF112">
    <cfRule type="cellIs" dxfId="1811" priority="1745" stopIfTrue="1" operator="greaterThan">
      <formula>1.75</formula>
    </cfRule>
    <cfRule type="cellIs" dxfId="1810" priority="1746" stopIfTrue="1" operator="between">
      <formula>1.25</formula>
      <formula>1.75</formula>
    </cfRule>
  </conditionalFormatting>
  <conditionalFormatting sqref="AF112">
    <cfRule type="cellIs" dxfId="1809" priority="1743" stopIfTrue="1" operator="greaterThan">
      <formula>1.75</formula>
    </cfRule>
    <cfRule type="cellIs" dxfId="1808" priority="1744" stopIfTrue="1" operator="between">
      <formula>1.25</formula>
      <formula>1.75</formula>
    </cfRule>
  </conditionalFormatting>
  <conditionalFormatting sqref="AF112">
    <cfRule type="cellIs" dxfId="1807" priority="1741" stopIfTrue="1" operator="greaterThan">
      <formula>1.75</formula>
    </cfRule>
    <cfRule type="cellIs" dxfId="1806" priority="1742" stopIfTrue="1" operator="between">
      <formula>1.25</formula>
      <formula>1.75</formula>
    </cfRule>
  </conditionalFormatting>
  <conditionalFormatting sqref="AG110">
    <cfRule type="cellIs" dxfId="1805" priority="1739" stopIfTrue="1" operator="greaterThan">
      <formula>1.75</formula>
    </cfRule>
    <cfRule type="cellIs" dxfId="1804" priority="1740" stopIfTrue="1" operator="between">
      <formula>1.25</formula>
      <formula>1.75</formula>
    </cfRule>
  </conditionalFormatting>
  <conditionalFormatting sqref="AG112">
    <cfRule type="cellIs" dxfId="1803" priority="1737" stopIfTrue="1" operator="greaterThan">
      <formula>1.75</formula>
    </cfRule>
    <cfRule type="cellIs" dxfId="1802" priority="1738" stopIfTrue="1" operator="between">
      <formula>1.25</formula>
      <formula>1.75</formula>
    </cfRule>
  </conditionalFormatting>
  <conditionalFormatting sqref="AG112">
    <cfRule type="cellIs" dxfId="1801" priority="1735" stopIfTrue="1" operator="greaterThan">
      <formula>1.75</formula>
    </cfRule>
    <cfRule type="cellIs" dxfId="1800" priority="1736" stopIfTrue="1" operator="between">
      <formula>1.25</formula>
      <formula>1.75</formula>
    </cfRule>
  </conditionalFormatting>
  <conditionalFormatting sqref="AG112">
    <cfRule type="cellIs" dxfId="1799" priority="1733" stopIfTrue="1" operator="greaterThan">
      <formula>1.75</formula>
    </cfRule>
    <cfRule type="cellIs" dxfId="1798" priority="1734" stopIfTrue="1" operator="between">
      <formula>1.25</formula>
      <formula>1.75</formula>
    </cfRule>
  </conditionalFormatting>
  <conditionalFormatting sqref="AH110">
    <cfRule type="cellIs" dxfId="1797" priority="1731" stopIfTrue="1" operator="greaterThan">
      <formula>1.75</formula>
    </cfRule>
    <cfRule type="cellIs" dxfId="1796" priority="1732" stopIfTrue="1" operator="between">
      <formula>1.25</formula>
      <formula>1.75</formula>
    </cfRule>
  </conditionalFormatting>
  <conditionalFormatting sqref="AH112">
    <cfRule type="cellIs" dxfId="1795" priority="1729" stopIfTrue="1" operator="greaterThan">
      <formula>1.75</formula>
    </cfRule>
    <cfRule type="cellIs" dxfId="1794" priority="1730" stopIfTrue="1" operator="between">
      <formula>1.25</formula>
      <formula>1.75</formula>
    </cfRule>
  </conditionalFormatting>
  <conditionalFormatting sqref="AH112">
    <cfRule type="cellIs" dxfId="1793" priority="1727" stopIfTrue="1" operator="greaterThan">
      <formula>1.75</formula>
    </cfRule>
    <cfRule type="cellIs" dxfId="1792" priority="1728" stopIfTrue="1" operator="between">
      <formula>1.25</formula>
      <formula>1.75</formula>
    </cfRule>
  </conditionalFormatting>
  <conditionalFormatting sqref="AH112">
    <cfRule type="cellIs" dxfId="1791" priority="1725" stopIfTrue="1" operator="greaterThan">
      <formula>1.75</formula>
    </cfRule>
    <cfRule type="cellIs" dxfId="1790" priority="1726" stopIfTrue="1" operator="between">
      <formula>1.25</formula>
      <formula>1.75</formula>
    </cfRule>
  </conditionalFormatting>
  <conditionalFormatting sqref="AI110">
    <cfRule type="cellIs" dxfId="1789" priority="1723" stopIfTrue="1" operator="greaterThan">
      <formula>1.75</formula>
    </cfRule>
    <cfRule type="cellIs" dxfId="1788" priority="1724" stopIfTrue="1" operator="between">
      <formula>1.25</formula>
      <formula>1.75</formula>
    </cfRule>
  </conditionalFormatting>
  <conditionalFormatting sqref="AI112">
    <cfRule type="cellIs" dxfId="1787" priority="1721" stopIfTrue="1" operator="greaterThan">
      <formula>1.75</formula>
    </cfRule>
    <cfRule type="cellIs" dxfId="1786" priority="1722" stopIfTrue="1" operator="between">
      <formula>1.25</formula>
      <formula>1.75</formula>
    </cfRule>
  </conditionalFormatting>
  <conditionalFormatting sqref="AI112">
    <cfRule type="cellIs" dxfId="1785" priority="1719" stopIfTrue="1" operator="greaterThan">
      <formula>1.75</formula>
    </cfRule>
    <cfRule type="cellIs" dxfId="1784" priority="1720" stopIfTrue="1" operator="between">
      <formula>1.25</formula>
      <formula>1.75</formula>
    </cfRule>
  </conditionalFormatting>
  <conditionalFormatting sqref="AI112">
    <cfRule type="cellIs" dxfId="1783" priority="1717" stopIfTrue="1" operator="greaterThan">
      <formula>1.75</formula>
    </cfRule>
    <cfRule type="cellIs" dxfId="1782" priority="1718" stopIfTrue="1" operator="between">
      <formula>1.25</formula>
      <formula>1.75</formula>
    </cfRule>
  </conditionalFormatting>
  <conditionalFormatting sqref="AJ110">
    <cfRule type="cellIs" dxfId="1781" priority="1715" stopIfTrue="1" operator="greaterThan">
      <formula>1.75</formula>
    </cfRule>
    <cfRule type="cellIs" dxfId="1780" priority="1716" stopIfTrue="1" operator="between">
      <formula>1.25</formula>
      <formula>1.75</formula>
    </cfRule>
  </conditionalFormatting>
  <conditionalFormatting sqref="AJ112">
    <cfRule type="cellIs" dxfId="1779" priority="1713" stopIfTrue="1" operator="greaterThan">
      <formula>1.75</formula>
    </cfRule>
    <cfRule type="cellIs" dxfId="1778" priority="1714" stopIfTrue="1" operator="between">
      <formula>1.25</formula>
      <formula>1.75</formula>
    </cfRule>
  </conditionalFormatting>
  <conditionalFormatting sqref="AJ112">
    <cfRule type="cellIs" dxfId="1777" priority="1711" stopIfTrue="1" operator="greaterThan">
      <formula>1.75</formula>
    </cfRule>
    <cfRule type="cellIs" dxfId="1776" priority="1712" stopIfTrue="1" operator="between">
      <formula>1.25</formula>
      <formula>1.75</formula>
    </cfRule>
  </conditionalFormatting>
  <conditionalFormatting sqref="AJ112">
    <cfRule type="cellIs" dxfId="1775" priority="1709" stopIfTrue="1" operator="greaterThan">
      <formula>1.75</formula>
    </cfRule>
    <cfRule type="cellIs" dxfId="1774" priority="1710" stopIfTrue="1" operator="between">
      <formula>1.25</formula>
      <formula>1.75</formula>
    </cfRule>
  </conditionalFormatting>
  <conditionalFormatting sqref="AK110">
    <cfRule type="cellIs" dxfId="1773" priority="1707" stopIfTrue="1" operator="greaterThan">
      <formula>1.75</formula>
    </cfRule>
    <cfRule type="cellIs" dxfId="1772" priority="1708" stopIfTrue="1" operator="between">
      <formula>1.25</formula>
      <formula>1.75</formula>
    </cfRule>
  </conditionalFormatting>
  <conditionalFormatting sqref="AK112">
    <cfRule type="cellIs" dxfId="1771" priority="1705" stopIfTrue="1" operator="greaterThan">
      <formula>1.75</formula>
    </cfRule>
    <cfRule type="cellIs" dxfId="1770" priority="1706" stopIfTrue="1" operator="between">
      <formula>1.25</formula>
      <formula>1.75</formula>
    </cfRule>
  </conditionalFormatting>
  <conditionalFormatting sqref="AK112">
    <cfRule type="cellIs" dxfId="1769" priority="1703" stopIfTrue="1" operator="greaterThan">
      <formula>1.75</formula>
    </cfRule>
    <cfRule type="cellIs" dxfId="1768" priority="1704" stopIfTrue="1" operator="between">
      <formula>1.25</formula>
      <formula>1.75</formula>
    </cfRule>
  </conditionalFormatting>
  <conditionalFormatting sqref="AK112">
    <cfRule type="cellIs" dxfId="1767" priority="1701" stopIfTrue="1" operator="greaterThan">
      <formula>1.75</formula>
    </cfRule>
    <cfRule type="cellIs" dxfId="1766" priority="1702" stopIfTrue="1" operator="between">
      <formula>1.25</formula>
      <formula>1.75</formula>
    </cfRule>
  </conditionalFormatting>
  <conditionalFormatting sqref="AL110">
    <cfRule type="cellIs" dxfId="1765" priority="1699" stopIfTrue="1" operator="greaterThan">
      <formula>1.75</formula>
    </cfRule>
    <cfRule type="cellIs" dxfId="1764" priority="1700" stopIfTrue="1" operator="between">
      <formula>1.25</formula>
      <formula>1.75</formula>
    </cfRule>
  </conditionalFormatting>
  <conditionalFormatting sqref="AL112">
    <cfRule type="cellIs" dxfId="1763" priority="1697" stopIfTrue="1" operator="greaterThan">
      <formula>1.75</formula>
    </cfRule>
    <cfRule type="cellIs" dxfId="1762" priority="1698" stopIfTrue="1" operator="between">
      <formula>1.25</formula>
      <formula>1.75</formula>
    </cfRule>
  </conditionalFormatting>
  <conditionalFormatting sqref="AL112">
    <cfRule type="cellIs" dxfId="1761" priority="1695" stopIfTrue="1" operator="greaterThan">
      <formula>1.75</formula>
    </cfRule>
    <cfRule type="cellIs" dxfId="1760" priority="1696" stopIfTrue="1" operator="between">
      <formula>1.25</formula>
      <formula>1.75</formula>
    </cfRule>
  </conditionalFormatting>
  <conditionalFormatting sqref="AL112">
    <cfRule type="cellIs" dxfId="1759" priority="1693" stopIfTrue="1" operator="greaterThan">
      <formula>1.75</formula>
    </cfRule>
    <cfRule type="cellIs" dxfId="1758" priority="1694" stopIfTrue="1" operator="between">
      <formula>1.25</formula>
      <formula>1.75</formula>
    </cfRule>
  </conditionalFormatting>
  <conditionalFormatting sqref="Z110">
    <cfRule type="cellIs" dxfId="1757" priority="1691" stopIfTrue="1" operator="greaterThan">
      <formula>1.75</formula>
    </cfRule>
    <cfRule type="cellIs" dxfId="1756" priority="1692" stopIfTrue="1" operator="between">
      <formula>1.25</formula>
      <formula>1.75</formula>
    </cfRule>
  </conditionalFormatting>
  <conditionalFormatting sqref="Z112">
    <cfRule type="cellIs" dxfId="1755" priority="1689" stopIfTrue="1" operator="greaterThan">
      <formula>1.75</formula>
    </cfRule>
    <cfRule type="cellIs" dxfId="1754" priority="1690" stopIfTrue="1" operator="between">
      <formula>1.25</formula>
      <formula>1.75</formula>
    </cfRule>
  </conditionalFormatting>
  <conditionalFormatting sqref="Z112">
    <cfRule type="cellIs" dxfId="1753" priority="1687" stopIfTrue="1" operator="greaterThan">
      <formula>1.75</formula>
    </cfRule>
    <cfRule type="cellIs" dxfId="1752" priority="1688" stopIfTrue="1" operator="between">
      <formula>1.25</formula>
      <formula>1.75</formula>
    </cfRule>
  </conditionalFormatting>
  <conditionalFormatting sqref="Z112">
    <cfRule type="cellIs" dxfId="1751" priority="1685" stopIfTrue="1" operator="greaterThan">
      <formula>1.75</formula>
    </cfRule>
    <cfRule type="cellIs" dxfId="1750" priority="1686" stopIfTrue="1" operator="between">
      <formula>1.25</formula>
      <formula>1.75</formula>
    </cfRule>
  </conditionalFormatting>
  <conditionalFormatting sqref="AA110">
    <cfRule type="cellIs" dxfId="1749" priority="1683" stopIfTrue="1" operator="greaterThan">
      <formula>1.75</formula>
    </cfRule>
    <cfRule type="cellIs" dxfId="1748" priority="1684" stopIfTrue="1" operator="between">
      <formula>1.25</formula>
      <formula>1.75</formula>
    </cfRule>
  </conditionalFormatting>
  <conditionalFormatting sqref="AA112">
    <cfRule type="cellIs" dxfId="1747" priority="1681" stopIfTrue="1" operator="greaterThan">
      <formula>1.75</formula>
    </cfRule>
    <cfRule type="cellIs" dxfId="1746" priority="1682" stopIfTrue="1" operator="between">
      <formula>1.25</formula>
      <formula>1.75</formula>
    </cfRule>
  </conditionalFormatting>
  <conditionalFormatting sqref="AA112">
    <cfRule type="cellIs" dxfId="1745" priority="1679" stopIfTrue="1" operator="greaterThan">
      <formula>1.75</formula>
    </cfRule>
    <cfRule type="cellIs" dxfId="1744" priority="1680" stopIfTrue="1" operator="between">
      <formula>1.25</formula>
      <formula>1.75</formula>
    </cfRule>
  </conditionalFormatting>
  <conditionalFormatting sqref="AA112">
    <cfRule type="cellIs" dxfId="1743" priority="1677" stopIfTrue="1" operator="greaterThan">
      <formula>1.75</formula>
    </cfRule>
    <cfRule type="cellIs" dxfId="1742" priority="1678" stopIfTrue="1" operator="between">
      <formula>1.25</formula>
      <formula>1.75</formula>
    </cfRule>
  </conditionalFormatting>
  <conditionalFormatting sqref="AB12">
    <cfRule type="cellIs" dxfId="1741" priority="1675" stopIfTrue="1" operator="greaterThan">
      <formula>1.75</formula>
    </cfRule>
    <cfRule type="cellIs" dxfId="1740" priority="1676" stopIfTrue="1" operator="between">
      <formula>1.25</formula>
      <formula>1.75</formula>
    </cfRule>
  </conditionalFormatting>
  <conditionalFormatting sqref="AB14">
    <cfRule type="cellIs" dxfId="1739" priority="1673" stopIfTrue="1" operator="greaterThan">
      <formula>1.75</formula>
    </cfRule>
    <cfRule type="cellIs" dxfId="1738" priority="1674" stopIfTrue="1" operator="between">
      <formula>1.25</formula>
      <formula>1.75</formula>
    </cfRule>
  </conditionalFormatting>
  <conditionalFormatting sqref="AB14">
    <cfRule type="cellIs" dxfId="1737" priority="1671" stopIfTrue="1" operator="greaterThan">
      <formula>1.75</formula>
    </cfRule>
    <cfRule type="cellIs" dxfId="1736" priority="1672" stopIfTrue="1" operator="between">
      <formula>1.25</formula>
      <formula>1.75</formula>
    </cfRule>
  </conditionalFormatting>
  <conditionalFormatting sqref="AB14">
    <cfRule type="cellIs" dxfId="1735" priority="1669" stopIfTrue="1" operator="greaterThan">
      <formula>1.75</formula>
    </cfRule>
    <cfRule type="cellIs" dxfId="1734" priority="1670" stopIfTrue="1" operator="between">
      <formula>1.25</formula>
      <formula>1.75</formula>
    </cfRule>
  </conditionalFormatting>
  <conditionalFormatting sqref="D96">
    <cfRule type="cellIs" dxfId="1733" priority="1613" stopIfTrue="1" operator="greaterThan">
      <formula>1.75</formula>
    </cfRule>
    <cfRule type="cellIs" dxfId="1732" priority="1614" stopIfTrue="1" operator="between">
      <formula>1.25</formula>
      <formula>1.75</formula>
    </cfRule>
  </conditionalFormatting>
  <conditionalFormatting sqref="Q96">
    <cfRule type="cellIs" dxfId="1731" priority="1651" stopIfTrue="1" operator="greaterThan">
      <formula>1.75</formula>
    </cfRule>
    <cfRule type="cellIs" dxfId="1730" priority="1652" stopIfTrue="1" operator="between">
      <formula>1.25</formula>
      <formula>1.75</formula>
    </cfRule>
  </conditionalFormatting>
  <conditionalFormatting sqref="M96:O96">
    <cfRule type="cellIs" dxfId="1729" priority="1665" stopIfTrue="1" operator="greaterThan">
      <formula>1.75</formula>
    </cfRule>
    <cfRule type="cellIs" dxfId="1728" priority="1666" stopIfTrue="1" operator="between">
      <formula>1.25</formula>
      <formula>1.75</formula>
    </cfRule>
  </conditionalFormatting>
  <conditionalFormatting sqref="M96:O96">
    <cfRule type="cellIs" dxfId="1727" priority="1663" stopIfTrue="1" operator="greaterThan">
      <formula>1.75</formula>
    </cfRule>
    <cfRule type="cellIs" dxfId="1726" priority="1664" stopIfTrue="1" operator="between">
      <formula>1.25</formula>
      <formula>1.75</formula>
    </cfRule>
  </conditionalFormatting>
  <conditionalFormatting sqref="P96">
    <cfRule type="cellIs" dxfId="1725" priority="1661" stopIfTrue="1" operator="greaterThan">
      <formula>1.75</formula>
    </cfRule>
    <cfRule type="cellIs" dxfId="1724" priority="1662" stopIfTrue="1" operator="between">
      <formula>1.25</formula>
      <formula>1.75</formula>
    </cfRule>
  </conditionalFormatting>
  <conditionalFormatting sqref="P96">
    <cfRule type="cellIs" dxfId="1723" priority="1659" stopIfTrue="1" operator="greaterThan">
      <formula>1.75</formula>
    </cfRule>
    <cfRule type="cellIs" dxfId="1722" priority="1660" stopIfTrue="1" operator="between">
      <formula>1.25</formula>
      <formula>1.75</formula>
    </cfRule>
  </conditionalFormatting>
  <conditionalFormatting sqref="P96">
    <cfRule type="cellIs" dxfId="1721" priority="1657" stopIfTrue="1" operator="greaterThan">
      <formula>1.75</formula>
    </cfRule>
    <cfRule type="cellIs" dxfId="1720" priority="1658" stopIfTrue="1" operator="between">
      <formula>1.25</formula>
      <formula>1.75</formula>
    </cfRule>
  </conditionalFormatting>
  <conditionalFormatting sqref="U96">
    <cfRule type="cellIs" dxfId="1719" priority="1655" stopIfTrue="1" operator="greaterThan">
      <formula>1.75</formula>
    </cfRule>
    <cfRule type="cellIs" dxfId="1718" priority="1656" stopIfTrue="1" operator="between">
      <formula>1.25</formula>
      <formula>1.75</formula>
    </cfRule>
  </conditionalFormatting>
  <conditionalFormatting sqref="T96">
    <cfRule type="cellIs" dxfId="1717" priority="1653" stopIfTrue="1" operator="greaterThan">
      <formula>1.75</formula>
    </cfRule>
    <cfRule type="cellIs" dxfId="1716" priority="1654" stopIfTrue="1" operator="between">
      <formula>1.25</formula>
      <formula>1.75</formula>
    </cfRule>
  </conditionalFormatting>
  <conditionalFormatting sqref="Q96">
    <cfRule type="cellIs" dxfId="1715" priority="1649" stopIfTrue="1" operator="greaterThan">
      <formula>1.75</formula>
    </cfRule>
    <cfRule type="cellIs" dxfId="1714" priority="1650" stopIfTrue="1" operator="between">
      <formula>1.25</formula>
      <formula>1.75</formula>
    </cfRule>
  </conditionalFormatting>
  <conditionalFormatting sqref="Q96">
    <cfRule type="cellIs" dxfId="1713" priority="1647" stopIfTrue="1" operator="greaterThan">
      <formula>1.75</formula>
    </cfRule>
    <cfRule type="cellIs" dxfId="1712" priority="1648" stopIfTrue="1" operator="between">
      <formula>1.25</formula>
      <formula>1.75</formula>
    </cfRule>
  </conditionalFormatting>
  <conditionalFormatting sqref="R96">
    <cfRule type="cellIs" dxfId="1711" priority="1645" stopIfTrue="1" operator="greaterThan">
      <formula>1.75</formula>
    </cfRule>
    <cfRule type="cellIs" dxfId="1710" priority="1646" stopIfTrue="1" operator="between">
      <formula>1.25</formula>
      <formula>1.75</formula>
    </cfRule>
  </conditionalFormatting>
  <conditionalFormatting sqref="R96">
    <cfRule type="cellIs" dxfId="1709" priority="1643" stopIfTrue="1" operator="greaterThan">
      <formula>1.75</formula>
    </cfRule>
    <cfRule type="cellIs" dxfId="1708" priority="1644" stopIfTrue="1" operator="between">
      <formula>1.25</formula>
      <formula>1.75</formula>
    </cfRule>
  </conditionalFormatting>
  <conditionalFormatting sqref="R96">
    <cfRule type="cellIs" dxfId="1707" priority="1641" stopIfTrue="1" operator="greaterThan">
      <formula>1.75</formula>
    </cfRule>
    <cfRule type="cellIs" dxfId="1706" priority="1642" stopIfTrue="1" operator="between">
      <formula>1.25</formula>
      <formula>1.75</formula>
    </cfRule>
  </conditionalFormatting>
  <conditionalFormatting sqref="S96">
    <cfRule type="cellIs" dxfId="1705" priority="1637" stopIfTrue="1" operator="greaterThan">
      <formula>1.75</formula>
    </cfRule>
    <cfRule type="cellIs" dxfId="1704" priority="1638" stopIfTrue="1" operator="between">
      <formula>1.25</formula>
      <formula>1.75</formula>
    </cfRule>
  </conditionalFormatting>
  <conditionalFormatting sqref="S96">
    <cfRule type="cellIs" dxfId="1703" priority="1635" stopIfTrue="1" operator="greaterThan">
      <formula>1.75</formula>
    </cfRule>
    <cfRule type="cellIs" dxfId="1702" priority="1636" stopIfTrue="1" operator="between">
      <formula>1.25</formula>
      <formula>1.75</formula>
    </cfRule>
  </conditionalFormatting>
  <conditionalFormatting sqref="S96">
    <cfRule type="cellIs" dxfId="1701" priority="1639" stopIfTrue="1" operator="greaterThan">
      <formula>1.75</formula>
    </cfRule>
    <cfRule type="cellIs" dxfId="1700" priority="1640" stopIfTrue="1" operator="between">
      <formula>1.25</formula>
      <formula>1.75</formula>
    </cfRule>
  </conditionalFormatting>
  <conditionalFormatting sqref="M96:O96">
    <cfRule type="cellIs" dxfId="1699" priority="1667" stopIfTrue="1" operator="greaterThan">
      <formula>1.75</formula>
    </cfRule>
    <cfRule type="cellIs" dxfId="1698" priority="1668" stopIfTrue="1" operator="between">
      <formula>1.25</formula>
      <formula>1.75</formula>
    </cfRule>
  </conditionalFormatting>
  <conditionalFormatting sqref="H98">
    <cfRule type="cellIs" dxfId="1697" priority="1569" stopIfTrue="1" operator="greaterThan">
      <formula>1.75</formula>
    </cfRule>
    <cfRule type="cellIs" dxfId="1696" priority="1570" stopIfTrue="1" operator="between">
      <formula>1.25</formula>
      <formula>1.75</formula>
    </cfRule>
  </conditionalFormatting>
  <conditionalFormatting sqref="H98">
    <cfRule type="cellIs" dxfId="1695" priority="1571" stopIfTrue="1" operator="greaterThan">
      <formula>1.75</formula>
    </cfRule>
    <cfRule type="cellIs" dxfId="1694" priority="1572" stopIfTrue="1" operator="between">
      <formula>1.25</formula>
      <formula>1.75</formula>
    </cfRule>
  </conditionalFormatting>
  <conditionalFormatting sqref="M98:U98">
    <cfRule type="cellIs" dxfId="1693" priority="1633" stopIfTrue="1" operator="greaterThan">
      <formula>1.75</formula>
    </cfRule>
    <cfRule type="cellIs" dxfId="1692" priority="1634" stopIfTrue="1" operator="between">
      <formula>1.25</formula>
      <formula>1.75</formula>
    </cfRule>
  </conditionalFormatting>
  <conditionalFormatting sqref="M98:U98">
    <cfRule type="cellIs" dxfId="1691" priority="1631" stopIfTrue="1" operator="greaterThan">
      <formula>1.75</formula>
    </cfRule>
    <cfRule type="cellIs" dxfId="1690" priority="1632" stopIfTrue="1" operator="between">
      <formula>1.25</formula>
      <formula>1.75</formula>
    </cfRule>
  </conditionalFormatting>
  <conditionalFormatting sqref="M98:U98">
    <cfRule type="cellIs" dxfId="1689" priority="1629" stopIfTrue="1" operator="greaterThan">
      <formula>1.75</formula>
    </cfRule>
    <cfRule type="cellIs" dxfId="1688" priority="1630" stopIfTrue="1" operator="between">
      <formula>1.25</formula>
      <formula>1.75</formula>
    </cfRule>
  </conditionalFormatting>
  <conditionalFormatting sqref="G98">
    <cfRule type="cellIs" dxfId="1687" priority="1573" stopIfTrue="1" operator="greaterThan">
      <formula>1.75</formula>
    </cfRule>
    <cfRule type="cellIs" dxfId="1686" priority="1574" stopIfTrue="1" operator="between">
      <formula>1.25</formula>
      <formula>1.75</formula>
    </cfRule>
  </conditionalFormatting>
  <conditionalFormatting sqref="V96">
    <cfRule type="cellIs" dxfId="1685" priority="1627" stopIfTrue="1" operator="greaterThan">
      <formula>1.75</formula>
    </cfRule>
    <cfRule type="cellIs" dxfId="1684" priority="1628" stopIfTrue="1" operator="between">
      <formula>1.25</formula>
      <formula>1.75</formula>
    </cfRule>
  </conditionalFormatting>
  <conditionalFormatting sqref="V98">
    <cfRule type="cellIs" dxfId="1683" priority="1625" stopIfTrue="1" operator="greaterThan">
      <formula>1.75</formula>
    </cfRule>
    <cfRule type="cellIs" dxfId="1682" priority="1626" stopIfTrue="1" operator="between">
      <formula>1.25</formula>
      <formula>1.75</formula>
    </cfRule>
  </conditionalFormatting>
  <conditionalFormatting sqref="V98">
    <cfRule type="cellIs" dxfId="1681" priority="1623" stopIfTrue="1" operator="greaterThan">
      <formula>1.75</formula>
    </cfRule>
    <cfRule type="cellIs" dxfId="1680" priority="1624" stopIfTrue="1" operator="between">
      <formula>1.25</formula>
      <formula>1.75</formula>
    </cfRule>
  </conditionalFormatting>
  <conditionalFormatting sqref="V98">
    <cfRule type="cellIs" dxfId="1679" priority="1621" stopIfTrue="1" operator="greaterThan">
      <formula>1.75</formula>
    </cfRule>
    <cfRule type="cellIs" dxfId="1678" priority="1622" stopIfTrue="1" operator="between">
      <formula>1.25</formula>
      <formula>1.75</formula>
    </cfRule>
  </conditionalFormatting>
  <conditionalFormatting sqref="C96">
    <cfRule type="cellIs" dxfId="1677" priority="1617" stopIfTrue="1" operator="greaterThan">
      <formula>1.75</formula>
    </cfRule>
    <cfRule type="cellIs" dxfId="1676" priority="1618" stopIfTrue="1" operator="between">
      <formula>1.25</formula>
      <formula>1.75</formula>
    </cfRule>
  </conditionalFormatting>
  <conditionalFormatting sqref="C96">
    <cfRule type="cellIs" dxfId="1675" priority="1615" stopIfTrue="1" operator="greaterThan">
      <formula>1.75</formula>
    </cfRule>
    <cfRule type="cellIs" dxfId="1674" priority="1616" stopIfTrue="1" operator="between">
      <formula>1.25</formula>
      <formula>1.75</formula>
    </cfRule>
  </conditionalFormatting>
  <conditionalFormatting sqref="C96">
    <cfRule type="cellIs" dxfId="1673" priority="1619" stopIfTrue="1" operator="greaterThan">
      <formula>1.75</formula>
    </cfRule>
    <cfRule type="cellIs" dxfId="1672" priority="1620" stopIfTrue="1" operator="between">
      <formula>1.25</formula>
      <formula>1.75</formula>
    </cfRule>
  </conditionalFormatting>
  <conditionalFormatting sqref="D96">
    <cfRule type="cellIs" dxfId="1671" priority="1611" stopIfTrue="1" operator="greaterThan">
      <formula>1.75</formula>
    </cfRule>
    <cfRule type="cellIs" dxfId="1670" priority="1612" stopIfTrue="1" operator="between">
      <formula>1.25</formula>
      <formula>1.75</formula>
    </cfRule>
  </conditionalFormatting>
  <conditionalFormatting sqref="D96">
    <cfRule type="cellIs" dxfId="1669" priority="1609" stopIfTrue="1" operator="greaterThan">
      <formula>1.75</formula>
    </cfRule>
    <cfRule type="cellIs" dxfId="1668" priority="1610" stopIfTrue="1" operator="between">
      <formula>1.25</formula>
      <formula>1.75</formula>
    </cfRule>
  </conditionalFormatting>
  <conditionalFormatting sqref="C98">
    <cfRule type="cellIs" dxfId="1667" priority="1603" stopIfTrue="1" operator="greaterThan">
      <formula>1.75</formula>
    </cfRule>
    <cfRule type="cellIs" dxfId="1666" priority="1604" stopIfTrue="1" operator="between">
      <formula>1.25</formula>
      <formula>1.75</formula>
    </cfRule>
  </conditionalFormatting>
  <conditionalFormatting sqref="C98">
    <cfRule type="cellIs" dxfId="1665" priority="1605" stopIfTrue="1" operator="greaterThan">
      <formula>1.75</formula>
    </cfRule>
    <cfRule type="cellIs" dxfId="1664" priority="1606" stopIfTrue="1" operator="between">
      <formula>1.25</formula>
      <formula>1.75</formula>
    </cfRule>
  </conditionalFormatting>
  <conditionalFormatting sqref="C98">
    <cfRule type="cellIs" dxfId="1663" priority="1607" stopIfTrue="1" operator="greaterThan">
      <formula>1.75</formula>
    </cfRule>
    <cfRule type="cellIs" dxfId="1662" priority="1608" stopIfTrue="1" operator="between">
      <formula>1.25</formula>
      <formula>1.75</formula>
    </cfRule>
  </conditionalFormatting>
  <conditionalFormatting sqref="D98">
    <cfRule type="cellIs" dxfId="1661" priority="1597" stopIfTrue="1" operator="greaterThan">
      <formula>1.75</formula>
    </cfRule>
    <cfRule type="cellIs" dxfId="1660" priority="1598" stopIfTrue="1" operator="between">
      <formula>1.25</formula>
      <formula>1.75</formula>
    </cfRule>
  </conditionalFormatting>
  <conditionalFormatting sqref="D98">
    <cfRule type="cellIs" dxfId="1659" priority="1599" stopIfTrue="1" operator="greaterThan">
      <formula>1.75</formula>
    </cfRule>
    <cfRule type="cellIs" dxfId="1658" priority="1600" stopIfTrue="1" operator="between">
      <formula>1.25</formula>
      <formula>1.75</formula>
    </cfRule>
  </conditionalFormatting>
  <conditionalFormatting sqref="D98">
    <cfRule type="cellIs" dxfId="1657" priority="1601" stopIfTrue="1" operator="greaterThan">
      <formula>1.75</formula>
    </cfRule>
    <cfRule type="cellIs" dxfId="1656" priority="1602" stopIfTrue="1" operator="between">
      <formula>1.25</formula>
      <formula>1.75</formula>
    </cfRule>
  </conditionalFormatting>
  <conditionalFormatting sqref="E98">
    <cfRule type="cellIs" dxfId="1655" priority="1591" stopIfTrue="1" operator="greaterThan">
      <formula>1.75</formula>
    </cfRule>
    <cfRule type="cellIs" dxfId="1654" priority="1592" stopIfTrue="1" operator="between">
      <formula>1.25</formula>
      <formula>1.75</formula>
    </cfRule>
  </conditionalFormatting>
  <conditionalFormatting sqref="E98">
    <cfRule type="cellIs" dxfId="1653" priority="1593" stopIfTrue="1" operator="greaterThan">
      <formula>1.75</formula>
    </cfRule>
    <cfRule type="cellIs" dxfId="1652" priority="1594" stopIfTrue="1" operator="between">
      <formula>1.25</formula>
      <formula>1.75</formula>
    </cfRule>
  </conditionalFormatting>
  <conditionalFormatting sqref="E98">
    <cfRule type="cellIs" dxfId="1651" priority="1595" stopIfTrue="1" operator="greaterThan">
      <formula>1.75</formula>
    </cfRule>
    <cfRule type="cellIs" dxfId="1650" priority="1596" stopIfTrue="1" operator="between">
      <formula>1.25</formula>
      <formula>1.75</formula>
    </cfRule>
  </conditionalFormatting>
  <conditionalFormatting sqref="E96">
    <cfRule type="cellIs" dxfId="1649" priority="1587" stopIfTrue="1" operator="greaterThan">
      <formula>1.75</formula>
    </cfRule>
    <cfRule type="cellIs" dxfId="1648" priority="1588" stopIfTrue="1" operator="between">
      <formula>1.25</formula>
      <formula>1.75</formula>
    </cfRule>
  </conditionalFormatting>
  <conditionalFormatting sqref="E96">
    <cfRule type="cellIs" dxfId="1647" priority="1585" stopIfTrue="1" operator="greaterThan">
      <formula>1.75</formula>
    </cfRule>
    <cfRule type="cellIs" dxfId="1646" priority="1586" stopIfTrue="1" operator="between">
      <formula>1.25</formula>
      <formula>1.75</formula>
    </cfRule>
  </conditionalFormatting>
  <conditionalFormatting sqref="E96">
    <cfRule type="cellIs" dxfId="1645" priority="1589" stopIfTrue="1" operator="greaterThan">
      <formula>1.75</formula>
    </cfRule>
    <cfRule type="cellIs" dxfId="1644" priority="1590" stopIfTrue="1" operator="between">
      <formula>1.25</formula>
      <formula>1.75</formula>
    </cfRule>
  </conditionalFormatting>
  <conditionalFormatting sqref="F98">
    <cfRule type="cellIs" dxfId="1643" priority="1579" stopIfTrue="1" operator="greaterThan">
      <formula>1.75</formula>
    </cfRule>
    <cfRule type="cellIs" dxfId="1642" priority="1580" stopIfTrue="1" operator="between">
      <formula>1.25</formula>
      <formula>1.75</formula>
    </cfRule>
  </conditionalFormatting>
  <conditionalFormatting sqref="F98">
    <cfRule type="cellIs" dxfId="1641" priority="1581" stopIfTrue="1" operator="greaterThan">
      <formula>1.75</formula>
    </cfRule>
    <cfRule type="cellIs" dxfId="1640" priority="1582" stopIfTrue="1" operator="between">
      <formula>1.25</formula>
      <formula>1.75</formula>
    </cfRule>
  </conditionalFormatting>
  <conditionalFormatting sqref="F98">
    <cfRule type="cellIs" dxfId="1639" priority="1583" stopIfTrue="1" operator="greaterThan">
      <formula>1.75</formula>
    </cfRule>
    <cfRule type="cellIs" dxfId="1638" priority="1584" stopIfTrue="1" operator="between">
      <formula>1.25</formula>
      <formula>1.75</formula>
    </cfRule>
  </conditionalFormatting>
  <conditionalFormatting sqref="G98">
    <cfRule type="cellIs" dxfId="1637" priority="1575" stopIfTrue="1" operator="greaterThan">
      <formula>1.75</formula>
    </cfRule>
    <cfRule type="cellIs" dxfId="1636" priority="1576" stopIfTrue="1" operator="between">
      <formula>1.25</formula>
      <formula>1.75</formula>
    </cfRule>
  </conditionalFormatting>
  <conditionalFormatting sqref="G98">
    <cfRule type="cellIs" dxfId="1635" priority="1577" stopIfTrue="1" operator="greaterThan">
      <formula>1.75</formula>
    </cfRule>
    <cfRule type="cellIs" dxfId="1634" priority="1578" stopIfTrue="1" operator="between">
      <formula>1.25</formula>
      <formula>1.75</formula>
    </cfRule>
  </conditionalFormatting>
  <conditionalFormatting sqref="H98">
    <cfRule type="cellIs" dxfId="1633" priority="1567" stopIfTrue="1" operator="greaterThan">
      <formula>1.75</formula>
    </cfRule>
    <cfRule type="cellIs" dxfId="1632" priority="1568" stopIfTrue="1" operator="between">
      <formula>1.25</formula>
      <formula>1.75</formula>
    </cfRule>
  </conditionalFormatting>
  <conditionalFormatting sqref="I98">
    <cfRule type="cellIs" dxfId="1631" priority="1561" stopIfTrue="1" operator="greaterThan">
      <formula>1.75</formula>
    </cfRule>
    <cfRule type="cellIs" dxfId="1630" priority="1562" stopIfTrue="1" operator="between">
      <formula>1.25</formula>
      <formula>1.75</formula>
    </cfRule>
  </conditionalFormatting>
  <conditionalFormatting sqref="I98">
    <cfRule type="cellIs" dxfId="1629" priority="1563" stopIfTrue="1" operator="greaterThan">
      <formula>1.75</formula>
    </cfRule>
    <cfRule type="cellIs" dxfId="1628" priority="1564" stopIfTrue="1" operator="between">
      <formula>1.25</formula>
      <formula>1.75</formula>
    </cfRule>
  </conditionalFormatting>
  <conditionalFormatting sqref="I98">
    <cfRule type="cellIs" dxfId="1627" priority="1565" stopIfTrue="1" operator="greaterThan">
      <formula>1.75</formula>
    </cfRule>
    <cfRule type="cellIs" dxfId="1626" priority="1566" stopIfTrue="1" operator="between">
      <formula>1.25</formula>
      <formula>1.75</formula>
    </cfRule>
  </conditionalFormatting>
  <conditionalFormatting sqref="J98">
    <cfRule type="cellIs" dxfId="1625" priority="1555" stopIfTrue="1" operator="greaterThan">
      <formula>1.75</formula>
    </cfRule>
    <cfRule type="cellIs" dxfId="1624" priority="1556" stopIfTrue="1" operator="between">
      <formula>1.25</formula>
      <formula>1.75</formula>
    </cfRule>
  </conditionalFormatting>
  <conditionalFormatting sqref="J98">
    <cfRule type="cellIs" dxfId="1623" priority="1557" stopIfTrue="1" operator="greaterThan">
      <formula>1.75</formula>
    </cfRule>
    <cfRule type="cellIs" dxfId="1622" priority="1558" stopIfTrue="1" operator="between">
      <formula>1.25</formula>
      <formula>1.75</formula>
    </cfRule>
  </conditionalFormatting>
  <conditionalFormatting sqref="J98">
    <cfRule type="cellIs" dxfId="1621" priority="1559" stopIfTrue="1" operator="greaterThan">
      <formula>1.75</formula>
    </cfRule>
    <cfRule type="cellIs" dxfId="1620" priority="1560" stopIfTrue="1" operator="between">
      <formula>1.25</formula>
      <formula>1.75</formula>
    </cfRule>
  </conditionalFormatting>
  <conditionalFormatting sqref="K98">
    <cfRule type="cellIs" dxfId="1619" priority="1549" stopIfTrue="1" operator="greaterThan">
      <formula>1.75</formula>
    </cfRule>
    <cfRule type="cellIs" dxfId="1618" priority="1550" stopIfTrue="1" operator="between">
      <formula>1.25</formula>
      <formula>1.75</formula>
    </cfRule>
  </conditionalFormatting>
  <conditionalFormatting sqref="K98">
    <cfRule type="cellIs" dxfId="1617" priority="1551" stopIfTrue="1" operator="greaterThan">
      <formula>1.75</formula>
    </cfRule>
    <cfRule type="cellIs" dxfId="1616" priority="1552" stopIfTrue="1" operator="between">
      <formula>1.25</formula>
      <formula>1.75</formula>
    </cfRule>
  </conditionalFormatting>
  <conditionalFormatting sqref="K98">
    <cfRule type="cellIs" dxfId="1615" priority="1553" stopIfTrue="1" operator="greaterThan">
      <formula>1.75</formula>
    </cfRule>
    <cfRule type="cellIs" dxfId="1614" priority="1554" stopIfTrue="1" operator="between">
      <formula>1.25</formula>
      <formula>1.75</formula>
    </cfRule>
  </conditionalFormatting>
  <conditionalFormatting sqref="L98">
    <cfRule type="cellIs" dxfId="1613" priority="1543" stopIfTrue="1" operator="greaterThan">
      <formula>1.75</formula>
    </cfRule>
    <cfRule type="cellIs" dxfId="1612" priority="1544" stopIfTrue="1" operator="between">
      <formula>1.25</formula>
      <formula>1.75</formula>
    </cfRule>
  </conditionalFormatting>
  <conditionalFormatting sqref="L98">
    <cfRule type="cellIs" dxfId="1611" priority="1545" stopIfTrue="1" operator="greaterThan">
      <formula>1.75</formula>
    </cfRule>
    <cfRule type="cellIs" dxfId="1610" priority="1546" stopIfTrue="1" operator="between">
      <formula>1.25</formula>
      <formula>1.75</formula>
    </cfRule>
  </conditionalFormatting>
  <conditionalFormatting sqref="L98">
    <cfRule type="cellIs" dxfId="1609" priority="1547" stopIfTrue="1" operator="greaterThan">
      <formula>1.75</formula>
    </cfRule>
    <cfRule type="cellIs" dxfId="1608" priority="1548" stopIfTrue="1" operator="between">
      <formula>1.25</formula>
      <formula>1.75</formula>
    </cfRule>
  </conditionalFormatting>
  <conditionalFormatting sqref="F96">
    <cfRule type="cellIs" dxfId="1607" priority="1539" stopIfTrue="1" operator="greaterThan">
      <formula>1.75</formula>
    </cfRule>
    <cfRule type="cellIs" dxfId="1606" priority="1540" stopIfTrue="1" operator="between">
      <formula>1.25</formula>
      <formula>1.75</formula>
    </cfRule>
  </conditionalFormatting>
  <conditionalFormatting sqref="F96">
    <cfRule type="cellIs" dxfId="1605" priority="1537" stopIfTrue="1" operator="greaterThan">
      <formula>1.75</formula>
    </cfRule>
    <cfRule type="cellIs" dxfId="1604" priority="1538" stopIfTrue="1" operator="between">
      <formula>1.25</formula>
      <formula>1.75</formula>
    </cfRule>
  </conditionalFormatting>
  <conditionalFormatting sqref="F96">
    <cfRule type="cellIs" dxfId="1603" priority="1541" stopIfTrue="1" operator="greaterThan">
      <formula>1.75</formula>
    </cfRule>
    <cfRule type="cellIs" dxfId="1602" priority="1542" stopIfTrue="1" operator="between">
      <formula>1.25</formula>
      <formula>1.75</formula>
    </cfRule>
  </conditionalFormatting>
  <conditionalFormatting sqref="G96">
    <cfRule type="cellIs" dxfId="1601" priority="1533" stopIfTrue="1" operator="greaterThan">
      <formula>1.75</formula>
    </cfRule>
    <cfRule type="cellIs" dxfId="1600" priority="1534" stopIfTrue="1" operator="between">
      <formula>1.25</formula>
      <formula>1.75</formula>
    </cfRule>
  </conditionalFormatting>
  <conditionalFormatting sqref="G96">
    <cfRule type="cellIs" dxfId="1599" priority="1531" stopIfTrue="1" operator="greaterThan">
      <formula>1.75</formula>
    </cfRule>
    <cfRule type="cellIs" dxfId="1598" priority="1532" stopIfTrue="1" operator="between">
      <formula>1.25</formula>
      <formula>1.75</formula>
    </cfRule>
  </conditionalFormatting>
  <conditionalFormatting sqref="G96">
    <cfRule type="cellIs" dxfId="1597" priority="1535" stopIfTrue="1" operator="greaterThan">
      <formula>1.75</formula>
    </cfRule>
    <cfRule type="cellIs" dxfId="1596" priority="1536" stopIfTrue="1" operator="between">
      <formula>1.25</formula>
      <formula>1.75</formula>
    </cfRule>
  </conditionalFormatting>
  <conditionalFormatting sqref="H96">
    <cfRule type="cellIs" dxfId="1595" priority="1527" stopIfTrue="1" operator="greaterThan">
      <formula>1.75</formula>
    </cfRule>
    <cfRule type="cellIs" dxfId="1594" priority="1528" stopIfTrue="1" operator="between">
      <formula>1.25</formula>
      <formula>1.75</formula>
    </cfRule>
  </conditionalFormatting>
  <conditionalFormatting sqref="H96">
    <cfRule type="cellIs" dxfId="1593" priority="1525" stopIfTrue="1" operator="greaterThan">
      <formula>1.75</formula>
    </cfRule>
    <cfRule type="cellIs" dxfId="1592" priority="1526" stopIfTrue="1" operator="between">
      <formula>1.25</formula>
      <formula>1.75</formula>
    </cfRule>
  </conditionalFormatting>
  <conditionalFormatting sqref="H96">
    <cfRule type="cellIs" dxfId="1591" priority="1529" stopIfTrue="1" operator="greaterThan">
      <formula>1.75</formula>
    </cfRule>
    <cfRule type="cellIs" dxfId="1590" priority="1530" stopIfTrue="1" operator="between">
      <formula>1.25</formula>
      <formula>1.75</formula>
    </cfRule>
  </conditionalFormatting>
  <conditionalFormatting sqref="I96">
    <cfRule type="cellIs" dxfId="1589" priority="1521" stopIfTrue="1" operator="greaterThan">
      <formula>1.75</formula>
    </cfRule>
    <cfRule type="cellIs" dxfId="1588" priority="1522" stopIfTrue="1" operator="between">
      <formula>1.25</formula>
      <formula>1.75</formula>
    </cfRule>
  </conditionalFormatting>
  <conditionalFormatting sqref="I96">
    <cfRule type="cellIs" dxfId="1587" priority="1519" stopIfTrue="1" operator="greaterThan">
      <formula>1.75</formula>
    </cfRule>
    <cfRule type="cellIs" dxfId="1586" priority="1520" stopIfTrue="1" operator="between">
      <formula>1.25</formula>
      <formula>1.75</formula>
    </cfRule>
  </conditionalFormatting>
  <conditionalFormatting sqref="I96">
    <cfRule type="cellIs" dxfId="1585" priority="1523" stopIfTrue="1" operator="greaterThan">
      <formula>1.75</formula>
    </cfRule>
    <cfRule type="cellIs" dxfId="1584" priority="1524" stopIfTrue="1" operator="between">
      <formula>1.25</formula>
      <formula>1.75</formula>
    </cfRule>
  </conditionalFormatting>
  <conditionalFormatting sqref="J96">
    <cfRule type="cellIs" dxfId="1583" priority="1515" stopIfTrue="1" operator="greaterThan">
      <formula>1.75</formula>
    </cfRule>
    <cfRule type="cellIs" dxfId="1582" priority="1516" stopIfTrue="1" operator="between">
      <formula>1.25</formula>
      <formula>1.75</formula>
    </cfRule>
  </conditionalFormatting>
  <conditionalFormatting sqref="J96">
    <cfRule type="cellIs" dxfId="1581" priority="1513" stopIfTrue="1" operator="greaterThan">
      <formula>1.75</formula>
    </cfRule>
    <cfRule type="cellIs" dxfId="1580" priority="1514" stopIfTrue="1" operator="between">
      <formula>1.25</formula>
      <formula>1.75</formula>
    </cfRule>
  </conditionalFormatting>
  <conditionalFormatting sqref="J96">
    <cfRule type="cellIs" dxfId="1579" priority="1517" stopIfTrue="1" operator="greaterThan">
      <formula>1.75</formula>
    </cfRule>
    <cfRule type="cellIs" dxfId="1578" priority="1518" stopIfTrue="1" operator="between">
      <formula>1.25</formula>
      <formula>1.75</formula>
    </cfRule>
  </conditionalFormatting>
  <conditionalFormatting sqref="K96">
    <cfRule type="cellIs" dxfId="1577" priority="1509" stopIfTrue="1" operator="greaterThan">
      <formula>1.75</formula>
    </cfRule>
    <cfRule type="cellIs" dxfId="1576" priority="1510" stopIfTrue="1" operator="between">
      <formula>1.25</formula>
      <formula>1.75</formula>
    </cfRule>
  </conditionalFormatting>
  <conditionalFormatting sqref="K96">
    <cfRule type="cellIs" dxfId="1575" priority="1507" stopIfTrue="1" operator="greaterThan">
      <formula>1.75</formula>
    </cfRule>
    <cfRule type="cellIs" dxfId="1574" priority="1508" stopIfTrue="1" operator="between">
      <formula>1.25</formula>
      <formula>1.75</formula>
    </cfRule>
  </conditionalFormatting>
  <conditionalFormatting sqref="K96">
    <cfRule type="cellIs" dxfId="1573" priority="1511" stopIfTrue="1" operator="greaterThan">
      <formula>1.75</formula>
    </cfRule>
    <cfRule type="cellIs" dxfId="1572" priority="1512" stopIfTrue="1" operator="between">
      <formula>1.25</formula>
      <formula>1.75</formula>
    </cfRule>
  </conditionalFormatting>
  <conditionalFormatting sqref="L96">
    <cfRule type="cellIs" dxfId="1571" priority="1503" stopIfTrue="1" operator="greaterThan">
      <formula>1.75</formula>
    </cfRule>
    <cfRule type="cellIs" dxfId="1570" priority="1504" stopIfTrue="1" operator="between">
      <formula>1.25</formula>
      <formula>1.75</formula>
    </cfRule>
  </conditionalFormatting>
  <conditionalFormatting sqref="L96">
    <cfRule type="cellIs" dxfId="1569" priority="1501" stopIfTrue="1" operator="greaterThan">
      <formula>1.75</formula>
    </cfRule>
    <cfRule type="cellIs" dxfId="1568" priority="1502" stopIfTrue="1" operator="between">
      <formula>1.25</formula>
      <formula>1.75</formula>
    </cfRule>
  </conditionalFormatting>
  <conditionalFormatting sqref="L96">
    <cfRule type="cellIs" dxfId="1567" priority="1505" stopIfTrue="1" operator="greaterThan">
      <formula>1.75</formula>
    </cfRule>
    <cfRule type="cellIs" dxfId="1566" priority="1506" stopIfTrue="1" operator="between">
      <formula>1.25</formula>
      <formula>1.75</formula>
    </cfRule>
  </conditionalFormatting>
  <conditionalFormatting sqref="W96">
    <cfRule type="cellIs" dxfId="1565" priority="1499" stopIfTrue="1" operator="greaterThan">
      <formula>1.75</formula>
    </cfRule>
    <cfRule type="cellIs" dxfId="1564" priority="1500" stopIfTrue="1" operator="between">
      <formula>1.25</formula>
      <formula>1.75</formula>
    </cfRule>
  </conditionalFormatting>
  <conditionalFormatting sqref="W98">
    <cfRule type="cellIs" dxfId="1563" priority="1497" stopIfTrue="1" operator="greaterThan">
      <formula>1.75</formula>
    </cfRule>
    <cfRule type="cellIs" dxfId="1562" priority="1498" stopIfTrue="1" operator="between">
      <formula>1.25</formula>
      <formula>1.75</formula>
    </cfRule>
  </conditionalFormatting>
  <conditionalFormatting sqref="W98">
    <cfRule type="cellIs" dxfId="1561" priority="1495" stopIfTrue="1" operator="greaterThan">
      <formula>1.75</formula>
    </cfRule>
    <cfRule type="cellIs" dxfId="1560" priority="1496" stopIfTrue="1" operator="between">
      <formula>1.25</formula>
      <formula>1.75</formula>
    </cfRule>
  </conditionalFormatting>
  <conditionalFormatting sqref="W98">
    <cfRule type="cellIs" dxfId="1559" priority="1493" stopIfTrue="1" operator="greaterThan">
      <formula>1.75</formula>
    </cfRule>
    <cfRule type="cellIs" dxfId="1558" priority="1494" stopIfTrue="1" operator="between">
      <formula>1.25</formula>
      <formula>1.75</formula>
    </cfRule>
  </conditionalFormatting>
  <conditionalFormatting sqref="AC96">
    <cfRule type="cellIs" dxfId="1557" priority="1491" stopIfTrue="1" operator="greaterThan">
      <formula>1.75</formula>
    </cfRule>
    <cfRule type="cellIs" dxfId="1556" priority="1492" stopIfTrue="1" operator="between">
      <formula>1.25</formula>
      <formula>1.75</formula>
    </cfRule>
  </conditionalFormatting>
  <conditionalFormatting sqref="AC98">
    <cfRule type="cellIs" dxfId="1555" priority="1489" stopIfTrue="1" operator="greaterThan">
      <formula>1.75</formula>
    </cfRule>
    <cfRule type="cellIs" dxfId="1554" priority="1490" stopIfTrue="1" operator="between">
      <formula>1.25</formula>
      <formula>1.75</formula>
    </cfRule>
  </conditionalFormatting>
  <conditionalFormatting sqref="AC98">
    <cfRule type="cellIs" dxfId="1553" priority="1487" stopIfTrue="1" operator="greaterThan">
      <formula>1.75</formula>
    </cfRule>
    <cfRule type="cellIs" dxfId="1552" priority="1488" stopIfTrue="1" operator="between">
      <formula>1.25</formula>
      <formula>1.75</formula>
    </cfRule>
  </conditionalFormatting>
  <conditionalFormatting sqref="AC98">
    <cfRule type="cellIs" dxfId="1551" priority="1485" stopIfTrue="1" operator="greaterThan">
      <formula>1.75</formula>
    </cfRule>
    <cfRule type="cellIs" dxfId="1550" priority="1486" stopIfTrue="1" operator="between">
      <formula>1.25</formula>
      <formula>1.75</formula>
    </cfRule>
  </conditionalFormatting>
  <conditionalFormatting sqref="X96">
    <cfRule type="cellIs" dxfId="1549" priority="1483" stopIfTrue="1" operator="greaterThan">
      <formula>1.75</formula>
    </cfRule>
    <cfRule type="cellIs" dxfId="1548" priority="1484" stopIfTrue="1" operator="between">
      <formula>1.25</formula>
      <formula>1.75</formula>
    </cfRule>
  </conditionalFormatting>
  <conditionalFormatting sqref="X98">
    <cfRule type="cellIs" dxfId="1547" priority="1481" stopIfTrue="1" operator="greaterThan">
      <formula>1.75</formula>
    </cfRule>
    <cfRule type="cellIs" dxfId="1546" priority="1482" stopIfTrue="1" operator="between">
      <formula>1.25</formula>
      <formula>1.75</formula>
    </cfRule>
  </conditionalFormatting>
  <conditionalFormatting sqref="X98">
    <cfRule type="cellIs" dxfId="1545" priority="1479" stopIfTrue="1" operator="greaterThan">
      <formula>1.75</formula>
    </cfRule>
    <cfRule type="cellIs" dxfId="1544" priority="1480" stopIfTrue="1" operator="between">
      <formula>1.25</formula>
      <formula>1.75</formula>
    </cfRule>
  </conditionalFormatting>
  <conditionalFormatting sqref="X98">
    <cfRule type="cellIs" dxfId="1543" priority="1477" stopIfTrue="1" operator="greaterThan">
      <formula>1.75</formula>
    </cfRule>
    <cfRule type="cellIs" dxfId="1542" priority="1478" stopIfTrue="1" operator="between">
      <formula>1.25</formula>
      <formula>1.75</formula>
    </cfRule>
  </conditionalFormatting>
  <conditionalFormatting sqref="Y96">
    <cfRule type="cellIs" dxfId="1541" priority="1475" stopIfTrue="1" operator="greaterThan">
      <formula>1.75</formula>
    </cfRule>
    <cfRule type="cellIs" dxfId="1540" priority="1476" stopIfTrue="1" operator="between">
      <formula>1.25</formula>
      <formula>1.75</formula>
    </cfRule>
  </conditionalFormatting>
  <conditionalFormatting sqref="Y98">
    <cfRule type="cellIs" dxfId="1539" priority="1473" stopIfTrue="1" operator="greaterThan">
      <formula>1.75</formula>
    </cfRule>
    <cfRule type="cellIs" dxfId="1538" priority="1474" stopIfTrue="1" operator="between">
      <formula>1.25</formula>
      <formula>1.75</formula>
    </cfRule>
  </conditionalFormatting>
  <conditionalFormatting sqref="Y98">
    <cfRule type="cellIs" dxfId="1537" priority="1471" stopIfTrue="1" operator="greaterThan">
      <formula>1.75</formula>
    </cfRule>
    <cfRule type="cellIs" dxfId="1536" priority="1472" stopIfTrue="1" operator="between">
      <formula>1.25</formula>
      <formula>1.75</formula>
    </cfRule>
  </conditionalFormatting>
  <conditionalFormatting sqref="Y98">
    <cfRule type="cellIs" dxfId="1535" priority="1469" stopIfTrue="1" operator="greaterThan">
      <formula>1.75</formula>
    </cfRule>
    <cfRule type="cellIs" dxfId="1534" priority="1470" stopIfTrue="1" operator="between">
      <formula>1.25</formula>
      <formula>1.75</formula>
    </cfRule>
  </conditionalFormatting>
  <conditionalFormatting sqref="AE96">
    <cfRule type="cellIs" dxfId="1533" priority="1467" stopIfTrue="1" operator="greaterThan">
      <formula>1.75</formula>
    </cfRule>
    <cfRule type="cellIs" dxfId="1532" priority="1468" stopIfTrue="1" operator="between">
      <formula>1.25</formula>
      <formula>1.75</formula>
    </cfRule>
  </conditionalFormatting>
  <conditionalFormatting sqref="AE98">
    <cfRule type="cellIs" dxfId="1531" priority="1465" stopIfTrue="1" operator="greaterThan">
      <formula>1.75</formula>
    </cfRule>
    <cfRule type="cellIs" dxfId="1530" priority="1466" stopIfTrue="1" operator="between">
      <formula>1.25</formula>
      <formula>1.75</formula>
    </cfRule>
  </conditionalFormatting>
  <conditionalFormatting sqref="AE98">
    <cfRule type="cellIs" dxfId="1529" priority="1463" stopIfTrue="1" operator="greaterThan">
      <formula>1.75</formula>
    </cfRule>
    <cfRule type="cellIs" dxfId="1528" priority="1464" stopIfTrue="1" operator="between">
      <formula>1.25</formula>
      <formula>1.75</formula>
    </cfRule>
  </conditionalFormatting>
  <conditionalFormatting sqref="AE98">
    <cfRule type="cellIs" dxfId="1527" priority="1461" stopIfTrue="1" operator="greaterThan">
      <formula>1.75</formula>
    </cfRule>
    <cfRule type="cellIs" dxfId="1526" priority="1462" stopIfTrue="1" operator="between">
      <formula>1.25</formula>
      <formula>1.75</formula>
    </cfRule>
  </conditionalFormatting>
  <conditionalFormatting sqref="AF96">
    <cfRule type="cellIs" dxfId="1525" priority="1459" stopIfTrue="1" operator="greaterThan">
      <formula>1.75</formula>
    </cfRule>
    <cfRule type="cellIs" dxfId="1524" priority="1460" stopIfTrue="1" operator="between">
      <formula>1.25</formula>
      <formula>1.75</formula>
    </cfRule>
  </conditionalFormatting>
  <conditionalFormatting sqref="AF98">
    <cfRule type="cellIs" dxfId="1523" priority="1457" stopIfTrue="1" operator="greaterThan">
      <formula>1.75</formula>
    </cfRule>
    <cfRule type="cellIs" dxfId="1522" priority="1458" stopIfTrue="1" operator="between">
      <formula>1.25</formula>
      <formula>1.75</formula>
    </cfRule>
  </conditionalFormatting>
  <conditionalFormatting sqref="AF98">
    <cfRule type="cellIs" dxfId="1521" priority="1455" stopIfTrue="1" operator="greaterThan">
      <formula>1.75</formula>
    </cfRule>
    <cfRule type="cellIs" dxfId="1520" priority="1456" stopIfTrue="1" operator="between">
      <formula>1.25</formula>
      <formula>1.75</formula>
    </cfRule>
  </conditionalFormatting>
  <conditionalFormatting sqref="AF98">
    <cfRule type="cellIs" dxfId="1519" priority="1453" stopIfTrue="1" operator="greaterThan">
      <formula>1.75</formula>
    </cfRule>
    <cfRule type="cellIs" dxfId="1518" priority="1454" stopIfTrue="1" operator="between">
      <formula>1.25</formula>
      <formula>1.75</formula>
    </cfRule>
  </conditionalFormatting>
  <conditionalFormatting sqref="AG96">
    <cfRule type="cellIs" dxfId="1517" priority="1451" stopIfTrue="1" operator="greaterThan">
      <formula>1.75</formula>
    </cfRule>
    <cfRule type="cellIs" dxfId="1516" priority="1452" stopIfTrue="1" operator="between">
      <formula>1.25</formula>
      <formula>1.75</formula>
    </cfRule>
  </conditionalFormatting>
  <conditionalFormatting sqref="AG98">
    <cfRule type="cellIs" dxfId="1515" priority="1449" stopIfTrue="1" operator="greaterThan">
      <formula>1.75</formula>
    </cfRule>
    <cfRule type="cellIs" dxfId="1514" priority="1450" stopIfTrue="1" operator="between">
      <formula>1.25</formula>
      <formula>1.75</formula>
    </cfRule>
  </conditionalFormatting>
  <conditionalFormatting sqref="AG98">
    <cfRule type="cellIs" dxfId="1513" priority="1447" stopIfTrue="1" operator="greaterThan">
      <formula>1.75</formula>
    </cfRule>
    <cfRule type="cellIs" dxfId="1512" priority="1448" stopIfTrue="1" operator="between">
      <formula>1.25</formula>
      <formula>1.75</formula>
    </cfRule>
  </conditionalFormatting>
  <conditionalFormatting sqref="AG98">
    <cfRule type="cellIs" dxfId="1511" priority="1445" stopIfTrue="1" operator="greaterThan">
      <formula>1.75</formula>
    </cfRule>
    <cfRule type="cellIs" dxfId="1510" priority="1446" stopIfTrue="1" operator="between">
      <formula>1.25</formula>
      <formula>1.75</formula>
    </cfRule>
  </conditionalFormatting>
  <conditionalFormatting sqref="AH96">
    <cfRule type="cellIs" dxfId="1509" priority="1443" stopIfTrue="1" operator="greaterThan">
      <formula>1.75</formula>
    </cfRule>
    <cfRule type="cellIs" dxfId="1508" priority="1444" stopIfTrue="1" operator="between">
      <formula>1.25</formula>
      <formula>1.75</formula>
    </cfRule>
  </conditionalFormatting>
  <conditionalFormatting sqref="AH98">
    <cfRule type="cellIs" dxfId="1507" priority="1441" stopIfTrue="1" operator="greaterThan">
      <formula>1.75</formula>
    </cfRule>
    <cfRule type="cellIs" dxfId="1506" priority="1442" stopIfTrue="1" operator="between">
      <formula>1.25</formula>
      <formula>1.75</formula>
    </cfRule>
  </conditionalFormatting>
  <conditionalFormatting sqref="AH98">
    <cfRule type="cellIs" dxfId="1505" priority="1439" stopIfTrue="1" operator="greaterThan">
      <formula>1.75</formula>
    </cfRule>
    <cfRule type="cellIs" dxfId="1504" priority="1440" stopIfTrue="1" operator="between">
      <formula>1.25</formula>
      <formula>1.75</formula>
    </cfRule>
  </conditionalFormatting>
  <conditionalFormatting sqref="AH98">
    <cfRule type="cellIs" dxfId="1503" priority="1437" stopIfTrue="1" operator="greaterThan">
      <formula>1.75</formula>
    </cfRule>
    <cfRule type="cellIs" dxfId="1502" priority="1438" stopIfTrue="1" operator="between">
      <formula>1.25</formula>
      <formula>1.75</formula>
    </cfRule>
  </conditionalFormatting>
  <conditionalFormatting sqref="AI96">
    <cfRule type="cellIs" dxfId="1501" priority="1435" stopIfTrue="1" operator="greaterThan">
      <formula>1.75</formula>
    </cfRule>
    <cfRule type="cellIs" dxfId="1500" priority="1436" stopIfTrue="1" operator="between">
      <formula>1.25</formula>
      <formula>1.75</formula>
    </cfRule>
  </conditionalFormatting>
  <conditionalFormatting sqref="AI98">
    <cfRule type="cellIs" dxfId="1499" priority="1433" stopIfTrue="1" operator="greaterThan">
      <formula>1.75</formula>
    </cfRule>
    <cfRule type="cellIs" dxfId="1498" priority="1434" stopIfTrue="1" operator="between">
      <formula>1.25</formula>
      <formula>1.75</formula>
    </cfRule>
  </conditionalFormatting>
  <conditionalFormatting sqref="AI98">
    <cfRule type="cellIs" dxfId="1497" priority="1431" stopIfTrue="1" operator="greaterThan">
      <formula>1.75</formula>
    </cfRule>
    <cfRule type="cellIs" dxfId="1496" priority="1432" stopIfTrue="1" operator="between">
      <formula>1.25</formula>
      <formula>1.75</formula>
    </cfRule>
  </conditionalFormatting>
  <conditionalFormatting sqref="AI98">
    <cfRule type="cellIs" dxfId="1495" priority="1429" stopIfTrue="1" operator="greaterThan">
      <formula>1.75</formula>
    </cfRule>
    <cfRule type="cellIs" dxfId="1494" priority="1430" stopIfTrue="1" operator="between">
      <formula>1.25</formula>
      <formula>1.75</formula>
    </cfRule>
  </conditionalFormatting>
  <conditionalFormatting sqref="AJ96">
    <cfRule type="cellIs" dxfId="1493" priority="1427" stopIfTrue="1" operator="greaterThan">
      <formula>1.75</formula>
    </cfRule>
    <cfRule type="cellIs" dxfId="1492" priority="1428" stopIfTrue="1" operator="between">
      <formula>1.25</formula>
      <formula>1.75</formula>
    </cfRule>
  </conditionalFormatting>
  <conditionalFormatting sqref="AJ98">
    <cfRule type="cellIs" dxfId="1491" priority="1425" stopIfTrue="1" operator="greaterThan">
      <formula>1.75</formula>
    </cfRule>
    <cfRule type="cellIs" dxfId="1490" priority="1426" stopIfTrue="1" operator="between">
      <formula>1.25</formula>
      <formula>1.75</formula>
    </cfRule>
  </conditionalFormatting>
  <conditionalFormatting sqref="AJ98">
    <cfRule type="cellIs" dxfId="1489" priority="1423" stopIfTrue="1" operator="greaterThan">
      <formula>1.75</formula>
    </cfRule>
    <cfRule type="cellIs" dxfId="1488" priority="1424" stopIfTrue="1" operator="between">
      <formula>1.25</formula>
      <formula>1.75</formula>
    </cfRule>
  </conditionalFormatting>
  <conditionalFormatting sqref="AJ98">
    <cfRule type="cellIs" dxfId="1487" priority="1421" stopIfTrue="1" operator="greaterThan">
      <formula>1.75</formula>
    </cfRule>
    <cfRule type="cellIs" dxfId="1486" priority="1422" stopIfTrue="1" operator="between">
      <formula>1.25</formula>
      <formula>1.75</formula>
    </cfRule>
  </conditionalFormatting>
  <conditionalFormatting sqref="AK96">
    <cfRule type="cellIs" dxfId="1485" priority="1419" stopIfTrue="1" operator="greaterThan">
      <formula>1.75</formula>
    </cfRule>
    <cfRule type="cellIs" dxfId="1484" priority="1420" stopIfTrue="1" operator="between">
      <formula>1.25</formula>
      <formula>1.75</formula>
    </cfRule>
  </conditionalFormatting>
  <conditionalFormatting sqref="AK98">
    <cfRule type="cellIs" dxfId="1483" priority="1417" stopIfTrue="1" operator="greaterThan">
      <formula>1.75</formula>
    </cfRule>
    <cfRule type="cellIs" dxfId="1482" priority="1418" stopIfTrue="1" operator="between">
      <formula>1.25</formula>
      <formula>1.75</formula>
    </cfRule>
  </conditionalFormatting>
  <conditionalFormatting sqref="AK98">
    <cfRule type="cellIs" dxfId="1481" priority="1415" stopIfTrue="1" operator="greaterThan">
      <formula>1.75</formula>
    </cfRule>
    <cfRule type="cellIs" dxfId="1480" priority="1416" stopIfTrue="1" operator="between">
      <formula>1.25</formula>
      <formula>1.75</formula>
    </cfRule>
  </conditionalFormatting>
  <conditionalFormatting sqref="AK98">
    <cfRule type="cellIs" dxfId="1479" priority="1413" stopIfTrue="1" operator="greaterThan">
      <formula>1.75</formula>
    </cfRule>
    <cfRule type="cellIs" dxfId="1478" priority="1414" stopIfTrue="1" operator="between">
      <formula>1.25</formula>
      <formula>1.75</formula>
    </cfRule>
  </conditionalFormatting>
  <conditionalFormatting sqref="AL96">
    <cfRule type="cellIs" dxfId="1477" priority="1411" stopIfTrue="1" operator="greaterThan">
      <formula>1.75</formula>
    </cfRule>
    <cfRule type="cellIs" dxfId="1476" priority="1412" stopIfTrue="1" operator="between">
      <formula>1.25</formula>
      <formula>1.75</formula>
    </cfRule>
  </conditionalFormatting>
  <conditionalFormatting sqref="AL98">
    <cfRule type="cellIs" dxfId="1475" priority="1409" stopIfTrue="1" operator="greaterThan">
      <formula>1.75</formula>
    </cfRule>
    <cfRule type="cellIs" dxfId="1474" priority="1410" stopIfTrue="1" operator="between">
      <formula>1.25</formula>
      <formula>1.75</formula>
    </cfRule>
  </conditionalFormatting>
  <conditionalFormatting sqref="AL98">
    <cfRule type="cellIs" dxfId="1473" priority="1407" stopIfTrue="1" operator="greaterThan">
      <formula>1.75</formula>
    </cfRule>
    <cfRule type="cellIs" dxfId="1472" priority="1408" stopIfTrue="1" operator="between">
      <formula>1.25</formula>
      <formula>1.75</formula>
    </cfRule>
  </conditionalFormatting>
  <conditionalFormatting sqref="AL98">
    <cfRule type="cellIs" dxfId="1471" priority="1405" stopIfTrue="1" operator="greaterThan">
      <formula>1.75</formula>
    </cfRule>
    <cfRule type="cellIs" dxfId="1470" priority="1406" stopIfTrue="1" operator="between">
      <formula>1.25</formula>
      <formula>1.75</formula>
    </cfRule>
  </conditionalFormatting>
  <conditionalFormatting sqref="AM96">
    <cfRule type="cellIs" dxfId="1469" priority="1403" stopIfTrue="1" operator="greaterThan">
      <formula>1.75</formula>
    </cfRule>
    <cfRule type="cellIs" dxfId="1468" priority="1404" stopIfTrue="1" operator="between">
      <formula>1.25</formula>
      <formula>1.75</formula>
    </cfRule>
  </conditionalFormatting>
  <conditionalFormatting sqref="AM98">
    <cfRule type="cellIs" dxfId="1467" priority="1401" stopIfTrue="1" operator="greaterThan">
      <formula>1.75</formula>
    </cfRule>
    <cfRule type="cellIs" dxfId="1466" priority="1402" stopIfTrue="1" operator="between">
      <formula>1.25</formula>
      <formula>1.75</formula>
    </cfRule>
  </conditionalFormatting>
  <conditionalFormatting sqref="AM98">
    <cfRule type="cellIs" dxfId="1465" priority="1399" stopIfTrue="1" operator="greaterThan">
      <formula>1.75</formula>
    </cfRule>
    <cfRule type="cellIs" dxfId="1464" priority="1400" stopIfTrue="1" operator="between">
      <formula>1.25</formula>
      <formula>1.75</formula>
    </cfRule>
  </conditionalFormatting>
  <conditionalFormatting sqref="AM98">
    <cfRule type="cellIs" dxfId="1463" priority="1397" stopIfTrue="1" operator="greaterThan">
      <formula>1.75</formula>
    </cfRule>
    <cfRule type="cellIs" dxfId="1462" priority="1398" stopIfTrue="1" operator="between">
      <formula>1.25</formula>
      <formula>1.75</formula>
    </cfRule>
  </conditionalFormatting>
  <conditionalFormatting sqref="Z96">
    <cfRule type="cellIs" dxfId="1461" priority="1395" stopIfTrue="1" operator="greaterThan">
      <formula>1.75</formula>
    </cfRule>
    <cfRule type="cellIs" dxfId="1460" priority="1396" stopIfTrue="1" operator="between">
      <formula>1.25</formula>
      <formula>1.75</formula>
    </cfRule>
  </conditionalFormatting>
  <conditionalFormatting sqref="Z98">
    <cfRule type="cellIs" dxfId="1459" priority="1393" stopIfTrue="1" operator="greaterThan">
      <formula>1.75</formula>
    </cfRule>
    <cfRule type="cellIs" dxfId="1458" priority="1394" stopIfTrue="1" operator="between">
      <formula>1.25</formula>
      <formula>1.75</formula>
    </cfRule>
  </conditionalFormatting>
  <conditionalFormatting sqref="Z98">
    <cfRule type="cellIs" dxfId="1457" priority="1391" stopIfTrue="1" operator="greaterThan">
      <formula>1.75</formula>
    </cfRule>
    <cfRule type="cellIs" dxfId="1456" priority="1392" stopIfTrue="1" operator="between">
      <formula>1.25</formula>
      <formula>1.75</formula>
    </cfRule>
  </conditionalFormatting>
  <conditionalFormatting sqref="Z98">
    <cfRule type="cellIs" dxfId="1455" priority="1389" stopIfTrue="1" operator="greaterThan">
      <formula>1.75</formula>
    </cfRule>
    <cfRule type="cellIs" dxfId="1454" priority="1390" stopIfTrue="1" operator="between">
      <formula>1.25</formula>
      <formula>1.75</formula>
    </cfRule>
  </conditionalFormatting>
  <conditionalFormatting sqref="AA96">
    <cfRule type="cellIs" dxfId="1453" priority="1387" stopIfTrue="1" operator="greaterThan">
      <formula>1.75</formula>
    </cfRule>
    <cfRule type="cellIs" dxfId="1452" priority="1388" stopIfTrue="1" operator="between">
      <formula>1.25</formula>
      <formula>1.75</formula>
    </cfRule>
  </conditionalFormatting>
  <conditionalFormatting sqref="AA98">
    <cfRule type="cellIs" dxfId="1451" priority="1385" stopIfTrue="1" operator="greaterThan">
      <formula>1.75</formula>
    </cfRule>
    <cfRule type="cellIs" dxfId="1450" priority="1386" stopIfTrue="1" operator="between">
      <formula>1.25</formula>
      <formula>1.75</formula>
    </cfRule>
  </conditionalFormatting>
  <conditionalFormatting sqref="AA98">
    <cfRule type="cellIs" dxfId="1449" priority="1383" stopIfTrue="1" operator="greaterThan">
      <formula>1.75</formula>
    </cfRule>
    <cfRule type="cellIs" dxfId="1448" priority="1384" stopIfTrue="1" operator="between">
      <formula>1.25</formula>
      <formula>1.75</formula>
    </cfRule>
  </conditionalFormatting>
  <conditionalFormatting sqref="AA98">
    <cfRule type="cellIs" dxfId="1447" priority="1381" stopIfTrue="1" operator="greaterThan">
      <formula>1.75</formula>
    </cfRule>
    <cfRule type="cellIs" dxfId="1446" priority="1382" stopIfTrue="1" operator="between">
      <formula>1.25</formula>
      <formula>1.75</formula>
    </cfRule>
  </conditionalFormatting>
  <conditionalFormatting sqref="AB96">
    <cfRule type="cellIs" dxfId="1445" priority="1379" stopIfTrue="1" operator="greaterThan">
      <formula>1.75</formula>
    </cfRule>
    <cfRule type="cellIs" dxfId="1444" priority="1380" stopIfTrue="1" operator="between">
      <formula>1.25</formula>
      <formula>1.75</formula>
    </cfRule>
  </conditionalFormatting>
  <conditionalFormatting sqref="AB98">
    <cfRule type="cellIs" dxfId="1443" priority="1377" stopIfTrue="1" operator="greaterThan">
      <formula>1.75</formula>
    </cfRule>
    <cfRule type="cellIs" dxfId="1442" priority="1378" stopIfTrue="1" operator="between">
      <formula>1.25</formula>
      <formula>1.75</formula>
    </cfRule>
  </conditionalFormatting>
  <conditionalFormatting sqref="AB98">
    <cfRule type="cellIs" dxfId="1441" priority="1375" stopIfTrue="1" operator="greaterThan">
      <formula>1.75</formula>
    </cfRule>
    <cfRule type="cellIs" dxfId="1440" priority="1376" stopIfTrue="1" operator="between">
      <formula>1.25</formula>
      <formula>1.75</formula>
    </cfRule>
  </conditionalFormatting>
  <conditionalFormatting sqref="AB98">
    <cfRule type="cellIs" dxfId="1439" priority="1373" stopIfTrue="1" operator="greaterThan">
      <formula>1.75</formula>
    </cfRule>
    <cfRule type="cellIs" dxfId="1438" priority="1374" stopIfTrue="1" operator="between">
      <formula>1.25</formula>
      <formula>1.75</formula>
    </cfRule>
  </conditionalFormatting>
  <conditionalFormatting sqref="D82">
    <cfRule type="cellIs" dxfId="1437" priority="1317" stopIfTrue="1" operator="greaterThan">
      <formula>1.75</formula>
    </cfRule>
    <cfRule type="cellIs" dxfId="1436" priority="1318" stopIfTrue="1" operator="between">
      <formula>1.25</formula>
      <formula>1.75</formula>
    </cfRule>
  </conditionalFormatting>
  <conditionalFormatting sqref="Q82">
    <cfRule type="cellIs" dxfId="1435" priority="1355" stopIfTrue="1" operator="greaterThan">
      <formula>1.75</formula>
    </cfRule>
    <cfRule type="cellIs" dxfId="1434" priority="1356" stopIfTrue="1" operator="between">
      <formula>1.25</formula>
      <formula>1.75</formula>
    </cfRule>
  </conditionalFormatting>
  <conditionalFormatting sqref="M82:O82">
    <cfRule type="cellIs" dxfId="1433" priority="1369" stopIfTrue="1" operator="greaterThan">
      <formula>1.75</formula>
    </cfRule>
    <cfRule type="cellIs" dxfId="1432" priority="1370" stopIfTrue="1" operator="between">
      <formula>1.25</formula>
      <formula>1.75</formula>
    </cfRule>
  </conditionalFormatting>
  <conditionalFormatting sqref="M82:O82">
    <cfRule type="cellIs" dxfId="1431" priority="1367" stopIfTrue="1" operator="greaterThan">
      <formula>1.75</formula>
    </cfRule>
    <cfRule type="cellIs" dxfId="1430" priority="1368" stopIfTrue="1" operator="between">
      <formula>1.25</formula>
      <formula>1.75</formula>
    </cfRule>
  </conditionalFormatting>
  <conditionalFormatting sqref="P82">
    <cfRule type="cellIs" dxfId="1429" priority="1365" stopIfTrue="1" operator="greaterThan">
      <formula>1.75</formula>
    </cfRule>
    <cfRule type="cellIs" dxfId="1428" priority="1366" stopIfTrue="1" operator="between">
      <formula>1.25</formula>
      <formula>1.75</formula>
    </cfRule>
  </conditionalFormatting>
  <conditionalFormatting sqref="P82">
    <cfRule type="cellIs" dxfId="1427" priority="1363" stopIfTrue="1" operator="greaterThan">
      <formula>1.75</formula>
    </cfRule>
    <cfRule type="cellIs" dxfId="1426" priority="1364" stopIfTrue="1" operator="between">
      <formula>1.25</formula>
      <formula>1.75</formula>
    </cfRule>
  </conditionalFormatting>
  <conditionalFormatting sqref="P82">
    <cfRule type="cellIs" dxfId="1425" priority="1361" stopIfTrue="1" operator="greaterThan">
      <formula>1.75</formula>
    </cfRule>
    <cfRule type="cellIs" dxfId="1424" priority="1362" stopIfTrue="1" operator="between">
      <formula>1.25</formula>
      <formula>1.75</formula>
    </cfRule>
  </conditionalFormatting>
  <conditionalFormatting sqref="U82">
    <cfRule type="cellIs" dxfId="1423" priority="1359" stopIfTrue="1" operator="greaterThan">
      <formula>1.75</formula>
    </cfRule>
    <cfRule type="cellIs" dxfId="1422" priority="1360" stopIfTrue="1" operator="between">
      <formula>1.25</formula>
      <formula>1.75</formula>
    </cfRule>
  </conditionalFormatting>
  <conditionalFormatting sqref="T82">
    <cfRule type="cellIs" dxfId="1421" priority="1357" stopIfTrue="1" operator="greaterThan">
      <formula>1.75</formula>
    </cfRule>
    <cfRule type="cellIs" dxfId="1420" priority="1358" stopIfTrue="1" operator="between">
      <formula>1.25</formula>
      <formula>1.75</formula>
    </cfRule>
  </conditionalFormatting>
  <conditionalFormatting sqref="Q82">
    <cfRule type="cellIs" dxfId="1419" priority="1353" stopIfTrue="1" operator="greaterThan">
      <formula>1.75</formula>
    </cfRule>
    <cfRule type="cellIs" dxfId="1418" priority="1354" stopIfTrue="1" operator="between">
      <formula>1.25</formula>
      <formula>1.75</formula>
    </cfRule>
  </conditionalFormatting>
  <conditionalFormatting sqref="Q82">
    <cfRule type="cellIs" dxfId="1417" priority="1351" stopIfTrue="1" operator="greaterThan">
      <formula>1.75</formula>
    </cfRule>
    <cfRule type="cellIs" dxfId="1416" priority="1352" stopIfTrue="1" operator="between">
      <formula>1.25</formula>
      <formula>1.75</formula>
    </cfRule>
  </conditionalFormatting>
  <conditionalFormatting sqref="R82">
    <cfRule type="cellIs" dxfId="1415" priority="1349" stopIfTrue="1" operator="greaterThan">
      <formula>1.75</formula>
    </cfRule>
    <cfRule type="cellIs" dxfId="1414" priority="1350" stopIfTrue="1" operator="between">
      <formula>1.25</formula>
      <formula>1.75</formula>
    </cfRule>
  </conditionalFormatting>
  <conditionalFormatting sqref="R82">
    <cfRule type="cellIs" dxfId="1413" priority="1347" stopIfTrue="1" operator="greaterThan">
      <formula>1.75</formula>
    </cfRule>
    <cfRule type="cellIs" dxfId="1412" priority="1348" stopIfTrue="1" operator="between">
      <formula>1.25</formula>
      <formula>1.75</formula>
    </cfRule>
  </conditionalFormatting>
  <conditionalFormatting sqref="R82">
    <cfRule type="cellIs" dxfId="1411" priority="1345" stopIfTrue="1" operator="greaterThan">
      <formula>1.75</formula>
    </cfRule>
    <cfRule type="cellIs" dxfId="1410" priority="1346" stopIfTrue="1" operator="between">
      <formula>1.25</formula>
      <formula>1.75</formula>
    </cfRule>
  </conditionalFormatting>
  <conditionalFormatting sqref="S82">
    <cfRule type="cellIs" dxfId="1409" priority="1341" stopIfTrue="1" operator="greaterThan">
      <formula>1.75</formula>
    </cfRule>
    <cfRule type="cellIs" dxfId="1408" priority="1342" stopIfTrue="1" operator="between">
      <formula>1.25</formula>
      <formula>1.75</formula>
    </cfRule>
  </conditionalFormatting>
  <conditionalFormatting sqref="S82">
    <cfRule type="cellIs" dxfId="1407" priority="1339" stopIfTrue="1" operator="greaterThan">
      <formula>1.75</formula>
    </cfRule>
    <cfRule type="cellIs" dxfId="1406" priority="1340" stopIfTrue="1" operator="between">
      <formula>1.25</formula>
      <formula>1.75</formula>
    </cfRule>
  </conditionalFormatting>
  <conditionalFormatting sqref="S82">
    <cfRule type="cellIs" dxfId="1405" priority="1343" stopIfTrue="1" operator="greaterThan">
      <formula>1.75</formula>
    </cfRule>
    <cfRule type="cellIs" dxfId="1404" priority="1344" stopIfTrue="1" operator="between">
      <formula>1.25</formula>
      <formula>1.75</formula>
    </cfRule>
  </conditionalFormatting>
  <conditionalFormatting sqref="M82:O82">
    <cfRule type="cellIs" dxfId="1403" priority="1371" stopIfTrue="1" operator="greaterThan">
      <formula>1.75</formula>
    </cfRule>
    <cfRule type="cellIs" dxfId="1402" priority="1372" stopIfTrue="1" operator="between">
      <formula>1.25</formula>
      <formula>1.75</formula>
    </cfRule>
  </conditionalFormatting>
  <conditionalFormatting sqref="H84">
    <cfRule type="cellIs" dxfId="1401" priority="1273" stopIfTrue="1" operator="greaterThan">
      <formula>1.75</formula>
    </cfRule>
    <cfRule type="cellIs" dxfId="1400" priority="1274" stopIfTrue="1" operator="between">
      <formula>1.25</formula>
      <formula>1.75</formula>
    </cfRule>
  </conditionalFormatting>
  <conditionalFormatting sqref="H84">
    <cfRule type="cellIs" dxfId="1399" priority="1275" stopIfTrue="1" operator="greaterThan">
      <formula>1.75</formula>
    </cfRule>
    <cfRule type="cellIs" dxfId="1398" priority="1276" stopIfTrue="1" operator="between">
      <formula>1.25</formula>
      <formula>1.75</formula>
    </cfRule>
  </conditionalFormatting>
  <conditionalFormatting sqref="M84:U84">
    <cfRule type="cellIs" dxfId="1397" priority="1337" stopIfTrue="1" operator="greaterThan">
      <formula>1.75</formula>
    </cfRule>
    <cfRule type="cellIs" dxfId="1396" priority="1338" stopIfTrue="1" operator="between">
      <formula>1.25</formula>
      <formula>1.75</formula>
    </cfRule>
  </conditionalFormatting>
  <conditionalFormatting sqref="M84:U84">
    <cfRule type="cellIs" dxfId="1395" priority="1335" stopIfTrue="1" operator="greaterThan">
      <formula>1.75</formula>
    </cfRule>
    <cfRule type="cellIs" dxfId="1394" priority="1336" stopIfTrue="1" operator="between">
      <formula>1.25</formula>
      <formula>1.75</formula>
    </cfRule>
  </conditionalFormatting>
  <conditionalFormatting sqref="M84:U84">
    <cfRule type="cellIs" dxfId="1393" priority="1333" stopIfTrue="1" operator="greaterThan">
      <formula>1.75</formula>
    </cfRule>
    <cfRule type="cellIs" dxfId="1392" priority="1334" stopIfTrue="1" operator="between">
      <formula>1.25</formula>
      <formula>1.75</formula>
    </cfRule>
  </conditionalFormatting>
  <conditionalFormatting sqref="G84">
    <cfRule type="cellIs" dxfId="1391" priority="1277" stopIfTrue="1" operator="greaterThan">
      <formula>1.75</formula>
    </cfRule>
    <cfRule type="cellIs" dxfId="1390" priority="1278" stopIfTrue="1" operator="between">
      <formula>1.25</formula>
      <formula>1.75</formula>
    </cfRule>
  </conditionalFormatting>
  <conditionalFormatting sqref="V82">
    <cfRule type="cellIs" dxfId="1389" priority="1331" stopIfTrue="1" operator="greaterThan">
      <formula>1.75</formula>
    </cfRule>
    <cfRule type="cellIs" dxfId="1388" priority="1332" stopIfTrue="1" operator="between">
      <formula>1.25</formula>
      <formula>1.75</formula>
    </cfRule>
  </conditionalFormatting>
  <conditionalFormatting sqref="V84">
    <cfRule type="cellIs" dxfId="1387" priority="1329" stopIfTrue="1" operator="greaterThan">
      <formula>1.75</formula>
    </cfRule>
    <cfRule type="cellIs" dxfId="1386" priority="1330" stopIfTrue="1" operator="between">
      <formula>1.25</formula>
      <formula>1.75</formula>
    </cfRule>
  </conditionalFormatting>
  <conditionalFormatting sqref="V84">
    <cfRule type="cellIs" dxfId="1385" priority="1327" stopIfTrue="1" operator="greaterThan">
      <formula>1.75</formula>
    </cfRule>
    <cfRule type="cellIs" dxfId="1384" priority="1328" stopIfTrue="1" operator="between">
      <formula>1.25</formula>
      <formula>1.75</formula>
    </cfRule>
  </conditionalFormatting>
  <conditionalFormatting sqref="V84">
    <cfRule type="cellIs" dxfId="1383" priority="1325" stopIfTrue="1" operator="greaterThan">
      <formula>1.75</formula>
    </cfRule>
    <cfRule type="cellIs" dxfId="1382" priority="1326" stopIfTrue="1" operator="between">
      <formula>1.25</formula>
      <formula>1.75</formula>
    </cfRule>
  </conditionalFormatting>
  <conditionalFormatting sqref="C82">
    <cfRule type="cellIs" dxfId="1381" priority="1321" stopIfTrue="1" operator="greaterThan">
      <formula>1.75</formula>
    </cfRule>
    <cfRule type="cellIs" dxfId="1380" priority="1322" stopIfTrue="1" operator="between">
      <formula>1.25</formula>
      <formula>1.75</formula>
    </cfRule>
  </conditionalFormatting>
  <conditionalFormatting sqref="C82">
    <cfRule type="cellIs" dxfId="1379" priority="1319" stopIfTrue="1" operator="greaterThan">
      <formula>1.75</formula>
    </cfRule>
    <cfRule type="cellIs" dxfId="1378" priority="1320" stopIfTrue="1" operator="between">
      <formula>1.25</formula>
      <formula>1.75</formula>
    </cfRule>
  </conditionalFormatting>
  <conditionalFormatting sqref="C82">
    <cfRule type="cellIs" dxfId="1377" priority="1323" stopIfTrue="1" operator="greaterThan">
      <formula>1.75</formula>
    </cfRule>
    <cfRule type="cellIs" dxfId="1376" priority="1324" stopIfTrue="1" operator="between">
      <formula>1.25</formula>
      <formula>1.75</formula>
    </cfRule>
  </conditionalFormatting>
  <conditionalFormatting sqref="D82">
    <cfRule type="cellIs" dxfId="1375" priority="1315" stopIfTrue="1" operator="greaterThan">
      <formula>1.75</formula>
    </cfRule>
    <cfRule type="cellIs" dxfId="1374" priority="1316" stopIfTrue="1" operator="between">
      <formula>1.25</formula>
      <formula>1.75</formula>
    </cfRule>
  </conditionalFormatting>
  <conditionalFormatting sqref="D82">
    <cfRule type="cellIs" dxfId="1373" priority="1313" stopIfTrue="1" operator="greaterThan">
      <formula>1.75</formula>
    </cfRule>
    <cfRule type="cellIs" dxfId="1372" priority="1314" stopIfTrue="1" operator="between">
      <formula>1.25</formula>
      <formula>1.75</formula>
    </cfRule>
  </conditionalFormatting>
  <conditionalFormatting sqref="C84">
    <cfRule type="cellIs" dxfId="1371" priority="1307" stopIfTrue="1" operator="greaterThan">
      <formula>1.75</formula>
    </cfRule>
    <cfRule type="cellIs" dxfId="1370" priority="1308" stopIfTrue="1" operator="between">
      <formula>1.25</formula>
      <formula>1.75</formula>
    </cfRule>
  </conditionalFormatting>
  <conditionalFormatting sqref="C84">
    <cfRule type="cellIs" dxfId="1369" priority="1309" stopIfTrue="1" operator="greaterThan">
      <formula>1.75</formula>
    </cfRule>
    <cfRule type="cellIs" dxfId="1368" priority="1310" stopIfTrue="1" operator="between">
      <formula>1.25</formula>
      <formula>1.75</formula>
    </cfRule>
  </conditionalFormatting>
  <conditionalFormatting sqref="C84">
    <cfRule type="cellIs" dxfId="1367" priority="1311" stopIfTrue="1" operator="greaterThan">
      <formula>1.75</formula>
    </cfRule>
    <cfRule type="cellIs" dxfId="1366" priority="1312" stopIfTrue="1" operator="between">
      <formula>1.25</formula>
      <formula>1.75</formula>
    </cfRule>
  </conditionalFormatting>
  <conditionalFormatting sqref="D84">
    <cfRule type="cellIs" dxfId="1365" priority="1301" stopIfTrue="1" operator="greaterThan">
      <formula>1.75</formula>
    </cfRule>
    <cfRule type="cellIs" dxfId="1364" priority="1302" stopIfTrue="1" operator="between">
      <formula>1.25</formula>
      <formula>1.75</formula>
    </cfRule>
  </conditionalFormatting>
  <conditionalFormatting sqref="D84">
    <cfRule type="cellIs" dxfId="1363" priority="1303" stopIfTrue="1" operator="greaterThan">
      <formula>1.75</formula>
    </cfRule>
    <cfRule type="cellIs" dxfId="1362" priority="1304" stopIfTrue="1" operator="between">
      <formula>1.25</formula>
      <formula>1.75</formula>
    </cfRule>
  </conditionalFormatting>
  <conditionalFormatting sqref="D84">
    <cfRule type="cellIs" dxfId="1361" priority="1305" stopIfTrue="1" operator="greaterThan">
      <formula>1.75</formula>
    </cfRule>
    <cfRule type="cellIs" dxfId="1360" priority="1306" stopIfTrue="1" operator="between">
      <formula>1.25</formula>
      <formula>1.75</formula>
    </cfRule>
  </conditionalFormatting>
  <conditionalFormatting sqref="E84">
    <cfRule type="cellIs" dxfId="1359" priority="1295" stopIfTrue="1" operator="greaterThan">
      <formula>1.75</formula>
    </cfRule>
    <cfRule type="cellIs" dxfId="1358" priority="1296" stopIfTrue="1" operator="between">
      <formula>1.25</formula>
      <formula>1.75</formula>
    </cfRule>
  </conditionalFormatting>
  <conditionalFormatting sqref="E84">
    <cfRule type="cellIs" dxfId="1357" priority="1297" stopIfTrue="1" operator="greaterThan">
      <formula>1.75</formula>
    </cfRule>
    <cfRule type="cellIs" dxfId="1356" priority="1298" stopIfTrue="1" operator="between">
      <formula>1.25</formula>
      <formula>1.75</formula>
    </cfRule>
  </conditionalFormatting>
  <conditionalFormatting sqref="E84">
    <cfRule type="cellIs" dxfId="1355" priority="1299" stopIfTrue="1" operator="greaterThan">
      <formula>1.75</formula>
    </cfRule>
    <cfRule type="cellIs" dxfId="1354" priority="1300" stopIfTrue="1" operator="between">
      <formula>1.25</formula>
      <formula>1.75</formula>
    </cfRule>
  </conditionalFormatting>
  <conditionalFormatting sqref="E82">
    <cfRule type="cellIs" dxfId="1353" priority="1291" stopIfTrue="1" operator="greaterThan">
      <formula>1.75</formula>
    </cfRule>
    <cfRule type="cellIs" dxfId="1352" priority="1292" stopIfTrue="1" operator="between">
      <formula>1.25</formula>
      <formula>1.75</formula>
    </cfRule>
  </conditionalFormatting>
  <conditionalFormatting sqref="E82">
    <cfRule type="cellIs" dxfId="1351" priority="1289" stopIfTrue="1" operator="greaterThan">
      <formula>1.75</formula>
    </cfRule>
    <cfRule type="cellIs" dxfId="1350" priority="1290" stopIfTrue="1" operator="between">
      <formula>1.25</formula>
      <formula>1.75</formula>
    </cfRule>
  </conditionalFormatting>
  <conditionalFormatting sqref="E82">
    <cfRule type="cellIs" dxfId="1349" priority="1293" stopIfTrue="1" operator="greaterThan">
      <formula>1.75</formula>
    </cfRule>
    <cfRule type="cellIs" dxfId="1348" priority="1294" stopIfTrue="1" operator="between">
      <formula>1.25</formula>
      <formula>1.75</formula>
    </cfRule>
  </conditionalFormatting>
  <conditionalFormatting sqref="F84">
    <cfRule type="cellIs" dxfId="1347" priority="1283" stopIfTrue="1" operator="greaterThan">
      <formula>1.75</formula>
    </cfRule>
    <cfRule type="cellIs" dxfId="1346" priority="1284" stopIfTrue="1" operator="between">
      <formula>1.25</formula>
      <formula>1.75</formula>
    </cfRule>
  </conditionalFormatting>
  <conditionalFormatting sqref="F84">
    <cfRule type="cellIs" dxfId="1345" priority="1285" stopIfTrue="1" operator="greaterThan">
      <formula>1.75</formula>
    </cfRule>
    <cfRule type="cellIs" dxfId="1344" priority="1286" stopIfTrue="1" operator="between">
      <formula>1.25</formula>
      <formula>1.75</formula>
    </cfRule>
  </conditionalFormatting>
  <conditionalFormatting sqref="F84">
    <cfRule type="cellIs" dxfId="1343" priority="1287" stopIfTrue="1" operator="greaterThan">
      <formula>1.75</formula>
    </cfRule>
    <cfRule type="cellIs" dxfId="1342" priority="1288" stopIfTrue="1" operator="between">
      <formula>1.25</formula>
      <formula>1.75</formula>
    </cfRule>
  </conditionalFormatting>
  <conditionalFormatting sqref="G84">
    <cfRule type="cellIs" dxfId="1341" priority="1279" stopIfTrue="1" operator="greaterThan">
      <formula>1.75</formula>
    </cfRule>
    <cfRule type="cellIs" dxfId="1340" priority="1280" stopIfTrue="1" operator="between">
      <formula>1.25</formula>
      <formula>1.75</formula>
    </cfRule>
  </conditionalFormatting>
  <conditionalFormatting sqref="G84">
    <cfRule type="cellIs" dxfId="1339" priority="1281" stopIfTrue="1" operator="greaterThan">
      <formula>1.75</formula>
    </cfRule>
    <cfRule type="cellIs" dxfId="1338" priority="1282" stopIfTrue="1" operator="between">
      <formula>1.25</formula>
      <formula>1.75</formula>
    </cfRule>
  </conditionalFormatting>
  <conditionalFormatting sqref="H84">
    <cfRule type="cellIs" dxfId="1337" priority="1271" stopIfTrue="1" operator="greaterThan">
      <formula>1.75</formula>
    </cfRule>
    <cfRule type="cellIs" dxfId="1336" priority="1272" stopIfTrue="1" operator="between">
      <formula>1.25</formula>
      <formula>1.75</formula>
    </cfRule>
  </conditionalFormatting>
  <conditionalFormatting sqref="I84">
    <cfRule type="cellIs" dxfId="1335" priority="1265" stopIfTrue="1" operator="greaterThan">
      <formula>1.75</formula>
    </cfRule>
    <cfRule type="cellIs" dxfId="1334" priority="1266" stopIfTrue="1" operator="between">
      <formula>1.25</formula>
      <formula>1.75</formula>
    </cfRule>
  </conditionalFormatting>
  <conditionalFormatting sqref="I84">
    <cfRule type="cellIs" dxfId="1333" priority="1267" stopIfTrue="1" operator="greaterThan">
      <formula>1.75</formula>
    </cfRule>
    <cfRule type="cellIs" dxfId="1332" priority="1268" stopIfTrue="1" operator="between">
      <formula>1.25</formula>
      <formula>1.75</formula>
    </cfRule>
  </conditionalFormatting>
  <conditionalFormatting sqref="I84">
    <cfRule type="cellIs" dxfId="1331" priority="1269" stopIfTrue="1" operator="greaterThan">
      <formula>1.75</formula>
    </cfRule>
    <cfRule type="cellIs" dxfId="1330" priority="1270" stopIfTrue="1" operator="between">
      <formula>1.25</formula>
      <formula>1.75</formula>
    </cfRule>
  </conditionalFormatting>
  <conditionalFormatting sqref="J84">
    <cfRule type="cellIs" dxfId="1329" priority="1259" stopIfTrue="1" operator="greaterThan">
      <formula>1.75</formula>
    </cfRule>
    <cfRule type="cellIs" dxfId="1328" priority="1260" stopIfTrue="1" operator="between">
      <formula>1.25</formula>
      <formula>1.75</formula>
    </cfRule>
  </conditionalFormatting>
  <conditionalFormatting sqref="J84">
    <cfRule type="cellIs" dxfId="1327" priority="1261" stopIfTrue="1" operator="greaterThan">
      <formula>1.75</formula>
    </cfRule>
    <cfRule type="cellIs" dxfId="1326" priority="1262" stopIfTrue="1" operator="between">
      <formula>1.25</formula>
      <formula>1.75</formula>
    </cfRule>
  </conditionalFormatting>
  <conditionalFormatting sqref="J84">
    <cfRule type="cellIs" dxfId="1325" priority="1263" stopIfTrue="1" operator="greaterThan">
      <formula>1.75</formula>
    </cfRule>
    <cfRule type="cellIs" dxfId="1324" priority="1264" stopIfTrue="1" operator="between">
      <formula>1.25</formula>
      <formula>1.75</formula>
    </cfRule>
  </conditionalFormatting>
  <conditionalFormatting sqref="K84">
    <cfRule type="cellIs" dxfId="1323" priority="1253" stopIfTrue="1" operator="greaterThan">
      <formula>1.75</formula>
    </cfRule>
    <cfRule type="cellIs" dxfId="1322" priority="1254" stopIfTrue="1" operator="between">
      <formula>1.25</formula>
      <formula>1.75</formula>
    </cfRule>
  </conditionalFormatting>
  <conditionalFormatting sqref="K84">
    <cfRule type="cellIs" dxfId="1321" priority="1255" stopIfTrue="1" operator="greaterThan">
      <formula>1.75</formula>
    </cfRule>
    <cfRule type="cellIs" dxfId="1320" priority="1256" stopIfTrue="1" operator="between">
      <formula>1.25</formula>
      <formula>1.75</formula>
    </cfRule>
  </conditionalFormatting>
  <conditionalFormatting sqref="K84">
    <cfRule type="cellIs" dxfId="1319" priority="1257" stopIfTrue="1" operator="greaterThan">
      <formula>1.75</formula>
    </cfRule>
    <cfRule type="cellIs" dxfId="1318" priority="1258" stopIfTrue="1" operator="between">
      <formula>1.25</formula>
      <formula>1.75</formula>
    </cfRule>
  </conditionalFormatting>
  <conditionalFormatting sqref="L84">
    <cfRule type="cellIs" dxfId="1317" priority="1247" stopIfTrue="1" operator="greaterThan">
      <formula>1.75</formula>
    </cfRule>
    <cfRule type="cellIs" dxfId="1316" priority="1248" stopIfTrue="1" operator="between">
      <formula>1.25</formula>
      <formula>1.75</formula>
    </cfRule>
  </conditionalFormatting>
  <conditionalFormatting sqref="L84">
    <cfRule type="cellIs" dxfId="1315" priority="1249" stopIfTrue="1" operator="greaterThan">
      <formula>1.75</formula>
    </cfRule>
    <cfRule type="cellIs" dxfId="1314" priority="1250" stopIfTrue="1" operator="between">
      <formula>1.25</formula>
      <formula>1.75</formula>
    </cfRule>
  </conditionalFormatting>
  <conditionalFormatting sqref="L84">
    <cfRule type="cellIs" dxfId="1313" priority="1251" stopIfTrue="1" operator="greaterThan">
      <formula>1.75</formula>
    </cfRule>
    <cfRule type="cellIs" dxfId="1312" priority="1252" stopIfTrue="1" operator="between">
      <formula>1.25</formula>
      <formula>1.75</formula>
    </cfRule>
  </conditionalFormatting>
  <conditionalFormatting sqref="F82">
    <cfRule type="cellIs" dxfId="1311" priority="1243" stopIfTrue="1" operator="greaterThan">
      <formula>1.75</formula>
    </cfRule>
    <cfRule type="cellIs" dxfId="1310" priority="1244" stopIfTrue="1" operator="between">
      <formula>1.25</formula>
      <formula>1.75</formula>
    </cfRule>
  </conditionalFormatting>
  <conditionalFormatting sqref="F82">
    <cfRule type="cellIs" dxfId="1309" priority="1241" stopIfTrue="1" operator="greaterThan">
      <formula>1.75</formula>
    </cfRule>
    <cfRule type="cellIs" dxfId="1308" priority="1242" stopIfTrue="1" operator="between">
      <formula>1.25</formula>
      <formula>1.75</formula>
    </cfRule>
  </conditionalFormatting>
  <conditionalFormatting sqref="F82">
    <cfRule type="cellIs" dxfId="1307" priority="1245" stopIfTrue="1" operator="greaterThan">
      <formula>1.75</formula>
    </cfRule>
    <cfRule type="cellIs" dxfId="1306" priority="1246" stopIfTrue="1" operator="between">
      <formula>1.25</formula>
      <formula>1.75</formula>
    </cfRule>
  </conditionalFormatting>
  <conditionalFormatting sqref="G82">
    <cfRule type="cellIs" dxfId="1305" priority="1237" stopIfTrue="1" operator="greaterThan">
      <formula>1.75</formula>
    </cfRule>
    <cfRule type="cellIs" dxfId="1304" priority="1238" stopIfTrue="1" operator="between">
      <formula>1.25</formula>
      <formula>1.75</formula>
    </cfRule>
  </conditionalFormatting>
  <conditionalFormatting sqref="G82">
    <cfRule type="cellIs" dxfId="1303" priority="1235" stopIfTrue="1" operator="greaterThan">
      <formula>1.75</formula>
    </cfRule>
    <cfRule type="cellIs" dxfId="1302" priority="1236" stopIfTrue="1" operator="between">
      <formula>1.25</formula>
      <formula>1.75</formula>
    </cfRule>
  </conditionalFormatting>
  <conditionalFormatting sqref="G82">
    <cfRule type="cellIs" dxfId="1301" priority="1239" stopIfTrue="1" operator="greaterThan">
      <formula>1.75</formula>
    </cfRule>
    <cfRule type="cellIs" dxfId="1300" priority="1240" stopIfTrue="1" operator="between">
      <formula>1.25</formula>
      <formula>1.75</formula>
    </cfRule>
  </conditionalFormatting>
  <conditionalFormatting sqref="H82">
    <cfRule type="cellIs" dxfId="1299" priority="1231" stopIfTrue="1" operator="greaterThan">
      <formula>1.75</formula>
    </cfRule>
    <cfRule type="cellIs" dxfId="1298" priority="1232" stopIfTrue="1" operator="between">
      <formula>1.25</formula>
      <formula>1.75</formula>
    </cfRule>
  </conditionalFormatting>
  <conditionalFormatting sqref="H82">
    <cfRule type="cellIs" dxfId="1297" priority="1229" stopIfTrue="1" operator="greaterThan">
      <formula>1.75</formula>
    </cfRule>
    <cfRule type="cellIs" dxfId="1296" priority="1230" stopIfTrue="1" operator="between">
      <formula>1.25</formula>
      <formula>1.75</formula>
    </cfRule>
  </conditionalFormatting>
  <conditionalFormatting sqref="H82">
    <cfRule type="cellIs" dxfId="1295" priority="1233" stopIfTrue="1" operator="greaterThan">
      <formula>1.75</formula>
    </cfRule>
    <cfRule type="cellIs" dxfId="1294" priority="1234" stopIfTrue="1" operator="between">
      <formula>1.25</formula>
      <formula>1.75</formula>
    </cfRule>
  </conditionalFormatting>
  <conditionalFormatting sqref="I82">
    <cfRule type="cellIs" dxfId="1293" priority="1225" stopIfTrue="1" operator="greaterThan">
      <formula>1.75</formula>
    </cfRule>
    <cfRule type="cellIs" dxfId="1292" priority="1226" stopIfTrue="1" operator="between">
      <formula>1.25</formula>
      <formula>1.75</formula>
    </cfRule>
  </conditionalFormatting>
  <conditionalFormatting sqref="I82">
    <cfRule type="cellIs" dxfId="1291" priority="1223" stopIfTrue="1" operator="greaterThan">
      <formula>1.75</formula>
    </cfRule>
    <cfRule type="cellIs" dxfId="1290" priority="1224" stopIfTrue="1" operator="between">
      <formula>1.25</formula>
      <formula>1.75</formula>
    </cfRule>
  </conditionalFormatting>
  <conditionalFormatting sqref="I82">
    <cfRule type="cellIs" dxfId="1289" priority="1227" stopIfTrue="1" operator="greaterThan">
      <formula>1.75</formula>
    </cfRule>
    <cfRule type="cellIs" dxfId="1288" priority="1228" stopIfTrue="1" operator="between">
      <formula>1.25</formula>
      <formula>1.75</formula>
    </cfRule>
  </conditionalFormatting>
  <conditionalFormatting sqref="J82">
    <cfRule type="cellIs" dxfId="1287" priority="1219" stopIfTrue="1" operator="greaterThan">
      <formula>1.75</formula>
    </cfRule>
    <cfRule type="cellIs" dxfId="1286" priority="1220" stopIfTrue="1" operator="between">
      <formula>1.25</formula>
      <formula>1.75</formula>
    </cfRule>
  </conditionalFormatting>
  <conditionalFormatting sqref="J82">
    <cfRule type="cellIs" dxfId="1285" priority="1217" stopIfTrue="1" operator="greaterThan">
      <formula>1.75</formula>
    </cfRule>
    <cfRule type="cellIs" dxfId="1284" priority="1218" stopIfTrue="1" operator="between">
      <formula>1.25</formula>
      <formula>1.75</formula>
    </cfRule>
  </conditionalFormatting>
  <conditionalFormatting sqref="J82">
    <cfRule type="cellIs" dxfId="1283" priority="1221" stopIfTrue="1" operator="greaterThan">
      <formula>1.75</formula>
    </cfRule>
    <cfRule type="cellIs" dxfId="1282" priority="1222" stopIfTrue="1" operator="between">
      <formula>1.25</formula>
      <formula>1.75</formula>
    </cfRule>
  </conditionalFormatting>
  <conditionalFormatting sqref="K82">
    <cfRule type="cellIs" dxfId="1281" priority="1213" stopIfTrue="1" operator="greaterThan">
      <formula>1.75</formula>
    </cfRule>
    <cfRule type="cellIs" dxfId="1280" priority="1214" stopIfTrue="1" operator="between">
      <formula>1.25</formula>
      <formula>1.75</formula>
    </cfRule>
  </conditionalFormatting>
  <conditionalFormatting sqref="K82">
    <cfRule type="cellIs" dxfId="1279" priority="1211" stopIfTrue="1" operator="greaterThan">
      <formula>1.75</formula>
    </cfRule>
    <cfRule type="cellIs" dxfId="1278" priority="1212" stopIfTrue="1" operator="between">
      <formula>1.25</formula>
      <formula>1.75</formula>
    </cfRule>
  </conditionalFormatting>
  <conditionalFormatting sqref="K82">
    <cfRule type="cellIs" dxfId="1277" priority="1215" stopIfTrue="1" operator="greaterThan">
      <formula>1.75</formula>
    </cfRule>
    <cfRule type="cellIs" dxfId="1276" priority="1216" stopIfTrue="1" operator="between">
      <formula>1.25</formula>
      <formula>1.75</formula>
    </cfRule>
  </conditionalFormatting>
  <conditionalFormatting sqref="L82">
    <cfRule type="cellIs" dxfId="1275" priority="1207" stopIfTrue="1" operator="greaterThan">
      <formula>1.75</formula>
    </cfRule>
    <cfRule type="cellIs" dxfId="1274" priority="1208" stopIfTrue="1" operator="between">
      <formula>1.25</formula>
      <formula>1.75</formula>
    </cfRule>
  </conditionalFormatting>
  <conditionalFormatting sqref="L82">
    <cfRule type="cellIs" dxfId="1273" priority="1205" stopIfTrue="1" operator="greaterThan">
      <formula>1.75</formula>
    </cfRule>
    <cfRule type="cellIs" dxfId="1272" priority="1206" stopIfTrue="1" operator="between">
      <formula>1.25</formula>
      <formula>1.75</formula>
    </cfRule>
  </conditionalFormatting>
  <conditionalFormatting sqref="L82">
    <cfRule type="cellIs" dxfId="1271" priority="1209" stopIfTrue="1" operator="greaterThan">
      <formula>1.75</formula>
    </cfRule>
    <cfRule type="cellIs" dxfId="1270" priority="1210" stopIfTrue="1" operator="between">
      <formula>1.25</formula>
      <formula>1.75</formula>
    </cfRule>
  </conditionalFormatting>
  <conditionalFormatting sqref="W82">
    <cfRule type="cellIs" dxfId="1269" priority="1203" stopIfTrue="1" operator="greaterThan">
      <formula>1.75</formula>
    </cfRule>
    <cfRule type="cellIs" dxfId="1268" priority="1204" stopIfTrue="1" operator="between">
      <formula>1.25</formula>
      <formula>1.75</formula>
    </cfRule>
  </conditionalFormatting>
  <conditionalFormatting sqref="W84">
    <cfRule type="cellIs" dxfId="1267" priority="1201" stopIfTrue="1" operator="greaterThan">
      <formula>1.75</formula>
    </cfRule>
    <cfRule type="cellIs" dxfId="1266" priority="1202" stopIfTrue="1" operator="between">
      <formula>1.25</formula>
      <formula>1.75</formula>
    </cfRule>
  </conditionalFormatting>
  <conditionalFormatting sqref="W84">
    <cfRule type="cellIs" dxfId="1265" priority="1199" stopIfTrue="1" operator="greaterThan">
      <formula>1.75</formula>
    </cfRule>
    <cfRule type="cellIs" dxfId="1264" priority="1200" stopIfTrue="1" operator="between">
      <formula>1.25</formula>
      <formula>1.75</formula>
    </cfRule>
  </conditionalFormatting>
  <conditionalFormatting sqref="W84">
    <cfRule type="cellIs" dxfId="1263" priority="1197" stopIfTrue="1" operator="greaterThan">
      <formula>1.75</formula>
    </cfRule>
    <cfRule type="cellIs" dxfId="1262" priority="1198" stopIfTrue="1" operator="between">
      <formula>1.25</formula>
      <formula>1.75</formula>
    </cfRule>
  </conditionalFormatting>
  <conditionalFormatting sqref="AC82">
    <cfRule type="cellIs" dxfId="1261" priority="1195" stopIfTrue="1" operator="greaterThan">
      <formula>1.75</formula>
    </cfRule>
    <cfRule type="cellIs" dxfId="1260" priority="1196" stopIfTrue="1" operator="between">
      <formula>1.25</formula>
      <formula>1.75</formula>
    </cfRule>
  </conditionalFormatting>
  <conditionalFormatting sqref="AC84">
    <cfRule type="cellIs" dxfId="1259" priority="1193" stopIfTrue="1" operator="greaterThan">
      <formula>1.75</formula>
    </cfRule>
    <cfRule type="cellIs" dxfId="1258" priority="1194" stopIfTrue="1" operator="between">
      <formula>1.25</formula>
      <formula>1.75</formula>
    </cfRule>
  </conditionalFormatting>
  <conditionalFormatting sqref="AC84">
    <cfRule type="cellIs" dxfId="1257" priority="1191" stopIfTrue="1" operator="greaterThan">
      <formula>1.75</formula>
    </cfRule>
    <cfRule type="cellIs" dxfId="1256" priority="1192" stopIfTrue="1" operator="between">
      <formula>1.25</formula>
      <formula>1.75</formula>
    </cfRule>
  </conditionalFormatting>
  <conditionalFormatting sqref="AC84">
    <cfRule type="cellIs" dxfId="1255" priority="1189" stopIfTrue="1" operator="greaterThan">
      <formula>1.75</formula>
    </cfRule>
    <cfRule type="cellIs" dxfId="1254" priority="1190" stopIfTrue="1" operator="between">
      <formula>1.25</formula>
      <formula>1.75</formula>
    </cfRule>
  </conditionalFormatting>
  <conditionalFormatting sqref="X82">
    <cfRule type="cellIs" dxfId="1253" priority="1187" stopIfTrue="1" operator="greaterThan">
      <formula>1.75</formula>
    </cfRule>
    <cfRule type="cellIs" dxfId="1252" priority="1188" stopIfTrue="1" operator="between">
      <formula>1.25</formula>
      <formula>1.75</formula>
    </cfRule>
  </conditionalFormatting>
  <conditionalFormatting sqref="X84">
    <cfRule type="cellIs" dxfId="1251" priority="1185" stopIfTrue="1" operator="greaterThan">
      <formula>1.75</formula>
    </cfRule>
    <cfRule type="cellIs" dxfId="1250" priority="1186" stopIfTrue="1" operator="between">
      <formula>1.25</formula>
      <formula>1.75</formula>
    </cfRule>
  </conditionalFormatting>
  <conditionalFormatting sqref="X84">
    <cfRule type="cellIs" dxfId="1249" priority="1183" stopIfTrue="1" operator="greaterThan">
      <formula>1.75</formula>
    </cfRule>
    <cfRule type="cellIs" dxfId="1248" priority="1184" stopIfTrue="1" operator="between">
      <formula>1.25</formula>
      <formula>1.75</formula>
    </cfRule>
  </conditionalFormatting>
  <conditionalFormatting sqref="X84">
    <cfRule type="cellIs" dxfId="1247" priority="1181" stopIfTrue="1" operator="greaterThan">
      <formula>1.75</formula>
    </cfRule>
    <cfRule type="cellIs" dxfId="1246" priority="1182" stopIfTrue="1" operator="between">
      <formula>1.25</formula>
      <formula>1.75</formula>
    </cfRule>
  </conditionalFormatting>
  <conditionalFormatting sqref="Y82">
    <cfRule type="cellIs" dxfId="1245" priority="1179" stopIfTrue="1" operator="greaterThan">
      <formula>1.75</formula>
    </cfRule>
    <cfRule type="cellIs" dxfId="1244" priority="1180" stopIfTrue="1" operator="between">
      <formula>1.25</formula>
      <formula>1.75</formula>
    </cfRule>
  </conditionalFormatting>
  <conditionalFormatting sqref="Y84">
    <cfRule type="cellIs" dxfId="1243" priority="1177" stopIfTrue="1" operator="greaterThan">
      <formula>1.75</formula>
    </cfRule>
    <cfRule type="cellIs" dxfId="1242" priority="1178" stopIfTrue="1" operator="between">
      <formula>1.25</formula>
      <formula>1.75</formula>
    </cfRule>
  </conditionalFormatting>
  <conditionalFormatting sqref="Y84">
    <cfRule type="cellIs" dxfId="1241" priority="1175" stopIfTrue="1" operator="greaterThan">
      <formula>1.75</formula>
    </cfRule>
    <cfRule type="cellIs" dxfId="1240" priority="1176" stopIfTrue="1" operator="between">
      <formula>1.25</formula>
      <formula>1.75</formula>
    </cfRule>
  </conditionalFormatting>
  <conditionalFormatting sqref="Y84">
    <cfRule type="cellIs" dxfId="1239" priority="1173" stopIfTrue="1" operator="greaterThan">
      <formula>1.75</formula>
    </cfRule>
    <cfRule type="cellIs" dxfId="1238" priority="1174" stopIfTrue="1" operator="between">
      <formula>1.25</formula>
      <formula>1.75</formula>
    </cfRule>
  </conditionalFormatting>
  <conditionalFormatting sqref="AE82">
    <cfRule type="cellIs" dxfId="1237" priority="1171" stopIfTrue="1" operator="greaterThan">
      <formula>1.75</formula>
    </cfRule>
    <cfRule type="cellIs" dxfId="1236" priority="1172" stopIfTrue="1" operator="between">
      <formula>1.25</formula>
      <formula>1.75</formula>
    </cfRule>
  </conditionalFormatting>
  <conditionalFormatting sqref="AE84">
    <cfRule type="cellIs" dxfId="1235" priority="1169" stopIfTrue="1" operator="greaterThan">
      <formula>1.75</formula>
    </cfRule>
    <cfRule type="cellIs" dxfId="1234" priority="1170" stopIfTrue="1" operator="between">
      <formula>1.25</formula>
      <formula>1.75</formula>
    </cfRule>
  </conditionalFormatting>
  <conditionalFormatting sqref="AE84">
    <cfRule type="cellIs" dxfId="1233" priority="1167" stopIfTrue="1" operator="greaterThan">
      <formula>1.75</formula>
    </cfRule>
    <cfRule type="cellIs" dxfId="1232" priority="1168" stopIfTrue="1" operator="between">
      <formula>1.25</formula>
      <formula>1.75</formula>
    </cfRule>
  </conditionalFormatting>
  <conditionalFormatting sqref="AE84">
    <cfRule type="cellIs" dxfId="1231" priority="1165" stopIfTrue="1" operator="greaterThan">
      <formula>1.75</formula>
    </cfRule>
    <cfRule type="cellIs" dxfId="1230" priority="1166" stopIfTrue="1" operator="between">
      <formula>1.25</formula>
      <formula>1.75</formula>
    </cfRule>
  </conditionalFormatting>
  <conditionalFormatting sqref="AF82">
    <cfRule type="cellIs" dxfId="1229" priority="1163" stopIfTrue="1" operator="greaterThan">
      <formula>1.75</formula>
    </cfRule>
    <cfRule type="cellIs" dxfId="1228" priority="1164" stopIfTrue="1" operator="between">
      <formula>1.25</formula>
      <formula>1.75</formula>
    </cfRule>
  </conditionalFormatting>
  <conditionalFormatting sqref="AF84">
    <cfRule type="cellIs" dxfId="1227" priority="1161" stopIfTrue="1" operator="greaterThan">
      <formula>1.75</formula>
    </cfRule>
    <cfRule type="cellIs" dxfId="1226" priority="1162" stopIfTrue="1" operator="between">
      <formula>1.25</formula>
      <formula>1.75</formula>
    </cfRule>
  </conditionalFormatting>
  <conditionalFormatting sqref="AF84">
    <cfRule type="cellIs" dxfId="1225" priority="1159" stopIfTrue="1" operator="greaterThan">
      <formula>1.75</formula>
    </cfRule>
    <cfRule type="cellIs" dxfId="1224" priority="1160" stopIfTrue="1" operator="between">
      <formula>1.25</formula>
      <formula>1.75</formula>
    </cfRule>
  </conditionalFormatting>
  <conditionalFormatting sqref="AF84">
    <cfRule type="cellIs" dxfId="1223" priority="1157" stopIfTrue="1" operator="greaterThan">
      <formula>1.75</formula>
    </cfRule>
    <cfRule type="cellIs" dxfId="1222" priority="1158" stopIfTrue="1" operator="between">
      <formula>1.25</formula>
      <formula>1.75</formula>
    </cfRule>
  </conditionalFormatting>
  <conditionalFormatting sqref="AG82">
    <cfRule type="cellIs" dxfId="1221" priority="1155" stopIfTrue="1" operator="greaterThan">
      <formula>1.75</formula>
    </cfRule>
    <cfRule type="cellIs" dxfId="1220" priority="1156" stopIfTrue="1" operator="between">
      <formula>1.25</formula>
      <formula>1.75</formula>
    </cfRule>
  </conditionalFormatting>
  <conditionalFormatting sqref="AG84">
    <cfRule type="cellIs" dxfId="1219" priority="1153" stopIfTrue="1" operator="greaterThan">
      <formula>1.75</formula>
    </cfRule>
    <cfRule type="cellIs" dxfId="1218" priority="1154" stopIfTrue="1" operator="between">
      <formula>1.25</formula>
      <formula>1.75</formula>
    </cfRule>
  </conditionalFormatting>
  <conditionalFormatting sqref="AG84">
    <cfRule type="cellIs" dxfId="1217" priority="1151" stopIfTrue="1" operator="greaterThan">
      <formula>1.75</formula>
    </cfRule>
    <cfRule type="cellIs" dxfId="1216" priority="1152" stopIfTrue="1" operator="between">
      <formula>1.25</formula>
      <formula>1.75</formula>
    </cfRule>
  </conditionalFormatting>
  <conditionalFormatting sqref="AG84">
    <cfRule type="cellIs" dxfId="1215" priority="1149" stopIfTrue="1" operator="greaterThan">
      <formula>1.75</formula>
    </cfRule>
    <cfRule type="cellIs" dxfId="1214" priority="1150" stopIfTrue="1" operator="between">
      <formula>1.25</formula>
      <formula>1.75</formula>
    </cfRule>
  </conditionalFormatting>
  <conditionalFormatting sqref="AH82">
    <cfRule type="cellIs" dxfId="1213" priority="1147" stopIfTrue="1" operator="greaterThan">
      <formula>1.75</formula>
    </cfRule>
    <cfRule type="cellIs" dxfId="1212" priority="1148" stopIfTrue="1" operator="between">
      <formula>1.25</formula>
      <formula>1.75</formula>
    </cfRule>
  </conditionalFormatting>
  <conditionalFormatting sqref="AH84">
    <cfRule type="cellIs" dxfId="1211" priority="1145" stopIfTrue="1" operator="greaterThan">
      <formula>1.75</formula>
    </cfRule>
    <cfRule type="cellIs" dxfId="1210" priority="1146" stopIfTrue="1" operator="between">
      <formula>1.25</formula>
      <formula>1.75</formula>
    </cfRule>
  </conditionalFormatting>
  <conditionalFormatting sqref="AH84">
    <cfRule type="cellIs" dxfId="1209" priority="1143" stopIfTrue="1" operator="greaterThan">
      <formula>1.75</formula>
    </cfRule>
    <cfRule type="cellIs" dxfId="1208" priority="1144" stopIfTrue="1" operator="between">
      <formula>1.25</formula>
      <formula>1.75</formula>
    </cfRule>
  </conditionalFormatting>
  <conditionalFormatting sqref="AH84">
    <cfRule type="cellIs" dxfId="1207" priority="1141" stopIfTrue="1" operator="greaterThan">
      <formula>1.75</formula>
    </cfRule>
    <cfRule type="cellIs" dxfId="1206" priority="1142" stopIfTrue="1" operator="between">
      <formula>1.25</formula>
      <formula>1.75</formula>
    </cfRule>
  </conditionalFormatting>
  <conditionalFormatting sqref="AI82">
    <cfRule type="cellIs" dxfId="1205" priority="1139" stopIfTrue="1" operator="greaterThan">
      <formula>1.75</formula>
    </cfRule>
    <cfRule type="cellIs" dxfId="1204" priority="1140" stopIfTrue="1" operator="between">
      <formula>1.25</formula>
      <formula>1.75</formula>
    </cfRule>
  </conditionalFormatting>
  <conditionalFormatting sqref="AI84">
    <cfRule type="cellIs" dxfId="1203" priority="1137" stopIfTrue="1" operator="greaterThan">
      <formula>1.75</formula>
    </cfRule>
    <cfRule type="cellIs" dxfId="1202" priority="1138" stopIfTrue="1" operator="between">
      <formula>1.25</formula>
      <formula>1.75</formula>
    </cfRule>
  </conditionalFormatting>
  <conditionalFormatting sqref="AI84">
    <cfRule type="cellIs" dxfId="1201" priority="1135" stopIfTrue="1" operator="greaterThan">
      <formula>1.75</formula>
    </cfRule>
    <cfRule type="cellIs" dxfId="1200" priority="1136" stopIfTrue="1" operator="between">
      <formula>1.25</formula>
      <formula>1.75</formula>
    </cfRule>
  </conditionalFormatting>
  <conditionalFormatting sqref="AI84">
    <cfRule type="cellIs" dxfId="1199" priority="1133" stopIfTrue="1" operator="greaterThan">
      <formula>1.75</formula>
    </cfRule>
    <cfRule type="cellIs" dxfId="1198" priority="1134" stopIfTrue="1" operator="between">
      <formula>1.25</formula>
      <formula>1.75</formula>
    </cfRule>
  </conditionalFormatting>
  <conditionalFormatting sqref="AJ82">
    <cfRule type="cellIs" dxfId="1197" priority="1131" stopIfTrue="1" operator="greaterThan">
      <formula>1.75</formula>
    </cfRule>
    <cfRule type="cellIs" dxfId="1196" priority="1132" stopIfTrue="1" operator="between">
      <formula>1.25</formula>
      <formula>1.75</formula>
    </cfRule>
  </conditionalFormatting>
  <conditionalFormatting sqref="AJ84">
    <cfRule type="cellIs" dxfId="1195" priority="1129" stopIfTrue="1" operator="greaterThan">
      <formula>1.75</formula>
    </cfRule>
    <cfRule type="cellIs" dxfId="1194" priority="1130" stopIfTrue="1" operator="between">
      <formula>1.25</formula>
      <formula>1.75</formula>
    </cfRule>
  </conditionalFormatting>
  <conditionalFormatting sqref="AJ84">
    <cfRule type="cellIs" dxfId="1193" priority="1127" stopIfTrue="1" operator="greaterThan">
      <formula>1.75</formula>
    </cfRule>
    <cfRule type="cellIs" dxfId="1192" priority="1128" stopIfTrue="1" operator="between">
      <formula>1.25</formula>
      <formula>1.75</formula>
    </cfRule>
  </conditionalFormatting>
  <conditionalFormatting sqref="AJ84">
    <cfRule type="cellIs" dxfId="1191" priority="1125" stopIfTrue="1" operator="greaterThan">
      <formula>1.75</formula>
    </cfRule>
    <cfRule type="cellIs" dxfId="1190" priority="1126" stopIfTrue="1" operator="between">
      <formula>1.25</formula>
      <formula>1.75</formula>
    </cfRule>
  </conditionalFormatting>
  <conditionalFormatting sqref="AK82">
    <cfRule type="cellIs" dxfId="1189" priority="1123" stopIfTrue="1" operator="greaterThan">
      <formula>1.75</formula>
    </cfRule>
    <cfRule type="cellIs" dxfId="1188" priority="1124" stopIfTrue="1" operator="between">
      <formula>1.25</formula>
      <formula>1.75</formula>
    </cfRule>
  </conditionalFormatting>
  <conditionalFormatting sqref="AK84">
    <cfRule type="cellIs" dxfId="1187" priority="1121" stopIfTrue="1" operator="greaterThan">
      <formula>1.75</formula>
    </cfRule>
    <cfRule type="cellIs" dxfId="1186" priority="1122" stopIfTrue="1" operator="between">
      <formula>1.25</formula>
      <formula>1.75</formula>
    </cfRule>
  </conditionalFormatting>
  <conditionalFormatting sqref="AK84">
    <cfRule type="cellIs" dxfId="1185" priority="1119" stopIfTrue="1" operator="greaterThan">
      <formula>1.75</formula>
    </cfRule>
    <cfRule type="cellIs" dxfId="1184" priority="1120" stopIfTrue="1" operator="between">
      <formula>1.25</formula>
      <formula>1.75</formula>
    </cfRule>
  </conditionalFormatting>
  <conditionalFormatting sqref="AK84">
    <cfRule type="cellIs" dxfId="1183" priority="1117" stopIfTrue="1" operator="greaterThan">
      <formula>1.75</formula>
    </cfRule>
    <cfRule type="cellIs" dxfId="1182" priority="1118" stopIfTrue="1" operator="between">
      <formula>1.25</formula>
      <formula>1.75</formula>
    </cfRule>
  </conditionalFormatting>
  <conditionalFormatting sqref="AL82">
    <cfRule type="cellIs" dxfId="1181" priority="1115" stopIfTrue="1" operator="greaterThan">
      <formula>1.75</formula>
    </cfRule>
    <cfRule type="cellIs" dxfId="1180" priority="1116" stopIfTrue="1" operator="between">
      <formula>1.25</formula>
      <formula>1.75</formula>
    </cfRule>
  </conditionalFormatting>
  <conditionalFormatting sqref="AL84">
    <cfRule type="cellIs" dxfId="1179" priority="1113" stopIfTrue="1" operator="greaterThan">
      <formula>1.75</formula>
    </cfRule>
    <cfRule type="cellIs" dxfId="1178" priority="1114" stopIfTrue="1" operator="between">
      <formula>1.25</formula>
      <formula>1.75</formula>
    </cfRule>
  </conditionalFormatting>
  <conditionalFormatting sqref="AL84">
    <cfRule type="cellIs" dxfId="1177" priority="1111" stopIfTrue="1" operator="greaterThan">
      <formula>1.75</formula>
    </cfRule>
    <cfRule type="cellIs" dxfId="1176" priority="1112" stopIfTrue="1" operator="between">
      <formula>1.25</formula>
      <formula>1.75</formula>
    </cfRule>
  </conditionalFormatting>
  <conditionalFormatting sqref="AL84">
    <cfRule type="cellIs" dxfId="1175" priority="1109" stopIfTrue="1" operator="greaterThan">
      <formula>1.75</formula>
    </cfRule>
    <cfRule type="cellIs" dxfId="1174" priority="1110" stopIfTrue="1" operator="between">
      <formula>1.25</formula>
      <formula>1.75</formula>
    </cfRule>
  </conditionalFormatting>
  <conditionalFormatting sqref="AM82">
    <cfRule type="cellIs" dxfId="1173" priority="1107" stopIfTrue="1" operator="greaterThan">
      <formula>1.75</formula>
    </cfRule>
    <cfRule type="cellIs" dxfId="1172" priority="1108" stopIfTrue="1" operator="between">
      <formula>1.25</formula>
      <formula>1.75</formula>
    </cfRule>
  </conditionalFormatting>
  <conditionalFormatting sqref="AM84">
    <cfRule type="cellIs" dxfId="1171" priority="1105" stopIfTrue="1" operator="greaterThan">
      <formula>1.75</formula>
    </cfRule>
    <cfRule type="cellIs" dxfId="1170" priority="1106" stopIfTrue="1" operator="between">
      <formula>1.25</formula>
      <formula>1.75</formula>
    </cfRule>
  </conditionalFormatting>
  <conditionalFormatting sqref="AM84">
    <cfRule type="cellIs" dxfId="1169" priority="1103" stopIfTrue="1" operator="greaterThan">
      <formula>1.75</formula>
    </cfRule>
    <cfRule type="cellIs" dxfId="1168" priority="1104" stopIfTrue="1" operator="between">
      <formula>1.25</formula>
      <formula>1.75</formula>
    </cfRule>
  </conditionalFormatting>
  <conditionalFormatting sqref="AM84">
    <cfRule type="cellIs" dxfId="1167" priority="1101" stopIfTrue="1" operator="greaterThan">
      <formula>1.75</formula>
    </cfRule>
    <cfRule type="cellIs" dxfId="1166" priority="1102" stopIfTrue="1" operator="between">
      <formula>1.25</formula>
      <formula>1.75</formula>
    </cfRule>
  </conditionalFormatting>
  <conditionalFormatting sqref="Z82">
    <cfRule type="cellIs" dxfId="1165" priority="1099" stopIfTrue="1" operator="greaterThan">
      <formula>1.75</formula>
    </cfRule>
    <cfRule type="cellIs" dxfId="1164" priority="1100" stopIfTrue="1" operator="between">
      <formula>1.25</formula>
      <formula>1.75</formula>
    </cfRule>
  </conditionalFormatting>
  <conditionalFormatting sqref="Z84">
    <cfRule type="cellIs" dxfId="1163" priority="1097" stopIfTrue="1" operator="greaterThan">
      <formula>1.75</formula>
    </cfRule>
    <cfRule type="cellIs" dxfId="1162" priority="1098" stopIfTrue="1" operator="between">
      <formula>1.25</formula>
      <formula>1.75</formula>
    </cfRule>
  </conditionalFormatting>
  <conditionalFormatting sqref="Z84">
    <cfRule type="cellIs" dxfId="1161" priority="1095" stopIfTrue="1" operator="greaterThan">
      <formula>1.75</formula>
    </cfRule>
    <cfRule type="cellIs" dxfId="1160" priority="1096" stopIfTrue="1" operator="between">
      <formula>1.25</formula>
      <formula>1.75</formula>
    </cfRule>
  </conditionalFormatting>
  <conditionalFormatting sqref="Z84">
    <cfRule type="cellIs" dxfId="1159" priority="1093" stopIfTrue="1" operator="greaterThan">
      <formula>1.75</formula>
    </cfRule>
    <cfRule type="cellIs" dxfId="1158" priority="1094" stopIfTrue="1" operator="between">
      <formula>1.25</formula>
      <formula>1.75</formula>
    </cfRule>
  </conditionalFormatting>
  <conditionalFormatting sqref="AA82">
    <cfRule type="cellIs" dxfId="1157" priority="1091" stopIfTrue="1" operator="greaterThan">
      <formula>1.75</formula>
    </cfRule>
    <cfRule type="cellIs" dxfId="1156" priority="1092" stopIfTrue="1" operator="between">
      <formula>1.25</formula>
      <formula>1.75</formula>
    </cfRule>
  </conditionalFormatting>
  <conditionalFormatting sqref="AA84">
    <cfRule type="cellIs" dxfId="1155" priority="1089" stopIfTrue="1" operator="greaterThan">
      <formula>1.75</formula>
    </cfRule>
    <cfRule type="cellIs" dxfId="1154" priority="1090" stopIfTrue="1" operator="between">
      <formula>1.25</formula>
      <formula>1.75</formula>
    </cfRule>
  </conditionalFormatting>
  <conditionalFormatting sqref="AA84">
    <cfRule type="cellIs" dxfId="1153" priority="1087" stopIfTrue="1" operator="greaterThan">
      <formula>1.75</formula>
    </cfRule>
    <cfRule type="cellIs" dxfId="1152" priority="1088" stopIfTrue="1" operator="between">
      <formula>1.25</formula>
      <formula>1.75</formula>
    </cfRule>
  </conditionalFormatting>
  <conditionalFormatting sqref="AA84">
    <cfRule type="cellIs" dxfId="1151" priority="1085" stopIfTrue="1" operator="greaterThan">
      <formula>1.75</formula>
    </cfRule>
    <cfRule type="cellIs" dxfId="1150" priority="1086" stopIfTrue="1" operator="between">
      <formula>1.25</formula>
      <formula>1.75</formula>
    </cfRule>
  </conditionalFormatting>
  <conditionalFormatting sqref="AB82">
    <cfRule type="cellIs" dxfId="1149" priority="1083" stopIfTrue="1" operator="greaterThan">
      <formula>1.75</formula>
    </cfRule>
    <cfRule type="cellIs" dxfId="1148" priority="1084" stopIfTrue="1" operator="between">
      <formula>1.25</formula>
      <formula>1.75</formula>
    </cfRule>
  </conditionalFormatting>
  <conditionalFormatting sqref="AB84">
    <cfRule type="cellIs" dxfId="1147" priority="1081" stopIfTrue="1" operator="greaterThan">
      <formula>1.75</formula>
    </cfRule>
    <cfRule type="cellIs" dxfId="1146" priority="1082" stopIfTrue="1" operator="between">
      <formula>1.25</formula>
      <formula>1.75</formula>
    </cfRule>
  </conditionalFormatting>
  <conditionalFormatting sqref="AB84">
    <cfRule type="cellIs" dxfId="1145" priority="1079" stopIfTrue="1" operator="greaterThan">
      <formula>1.75</formula>
    </cfRule>
    <cfRule type="cellIs" dxfId="1144" priority="1080" stopIfTrue="1" operator="between">
      <formula>1.25</formula>
      <formula>1.75</formula>
    </cfRule>
  </conditionalFormatting>
  <conditionalFormatting sqref="AB84">
    <cfRule type="cellIs" dxfId="1143" priority="1077" stopIfTrue="1" operator="greaterThan">
      <formula>1.75</formula>
    </cfRule>
    <cfRule type="cellIs" dxfId="1142" priority="1078" stopIfTrue="1" operator="between">
      <formula>1.25</formula>
      <formula>1.75</formula>
    </cfRule>
  </conditionalFormatting>
  <conditionalFormatting sqref="D68">
    <cfRule type="cellIs" dxfId="1141" priority="1021" stopIfTrue="1" operator="greaterThan">
      <formula>1.75</formula>
    </cfRule>
    <cfRule type="cellIs" dxfId="1140" priority="1022" stopIfTrue="1" operator="between">
      <formula>1.25</formula>
      <formula>1.75</formula>
    </cfRule>
  </conditionalFormatting>
  <conditionalFormatting sqref="Q68">
    <cfRule type="cellIs" dxfId="1139" priority="1059" stopIfTrue="1" operator="greaterThan">
      <formula>1.75</formula>
    </cfRule>
    <cfRule type="cellIs" dxfId="1138" priority="1060" stopIfTrue="1" operator="between">
      <formula>1.25</formula>
      <formula>1.75</formula>
    </cfRule>
  </conditionalFormatting>
  <conditionalFormatting sqref="M68:O68">
    <cfRule type="cellIs" dxfId="1137" priority="1073" stopIfTrue="1" operator="greaterThan">
      <formula>1.75</formula>
    </cfRule>
    <cfRule type="cellIs" dxfId="1136" priority="1074" stopIfTrue="1" operator="between">
      <formula>1.25</formula>
      <formula>1.75</formula>
    </cfRule>
  </conditionalFormatting>
  <conditionalFormatting sqref="M68:O68">
    <cfRule type="cellIs" dxfId="1135" priority="1071" stopIfTrue="1" operator="greaterThan">
      <formula>1.75</formula>
    </cfRule>
    <cfRule type="cellIs" dxfId="1134" priority="1072" stopIfTrue="1" operator="between">
      <formula>1.25</formula>
      <formula>1.75</formula>
    </cfRule>
  </conditionalFormatting>
  <conditionalFormatting sqref="P68">
    <cfRule type="cellIs" dxfId="1133" priority="1069" stopIfTrue="1" operator="greaterThan">
      <formula>1.75</formula>
    </cfRule>
    <cfRule type="cellIs" dxfId="1132" priority="1070" stopIfTrue="1" operator="between">
      <formula>1.25</formula>
      <formula>1.75</formula>
    </cfRule>
  </conditionalFormatting>
  <conditionalFormatting sqref="P68">
    <cfRule type="cellIs" dxfId="1131" priority="1067" stopIfTrue="1" operator="greaterThan">
      <formula>1.75</formula>
    </cfRule>
    <cfRule type="cellIs" dxfId="1130" priority="1068" stopIfTrue="1" operator="between">
      <formula>1.25</formula>
      <formula>1.75</formula>
    </cfRule>
  </conditionalFormatting>
  <conditionalFormatting sqref="P68">
    <cfRule type="cellIs" dxfId="1129" priority="1065" stopIfTrue="1" operator="greaterThan">
      <formula>1.75</formula>
    </cfRule>
    <cfRule type="cellIs" dxfId="1128" priority="1066" stopIfTrue="1" operator="between">
      <formula>1.25</formula>
      <formula>1.75</formula>
    </cfRule>
  </conditionalFormatting>
  <conditionalFormatting sqref="U68">
    <cfRule type="cellIs" dxfId="1127" priority="1063" stopIfTrue="1" operator="greaterThan">
      <formula>1.75</formula>
    </cfRule>
    <cfRule type="cellIs" dxfId="1126" priority="1064" stopIfTrue="1" operator="between">
      <formula>1.25</formula>
      <formula>1.75</formula>
    </cfRule>
  </conditionalFormatting>
  <conditionalFormatting sqref="T68">
    <cfRule type="cellIs" dxfId="1125" priority="1061" stopIfTrue="1" operator="greaterThan">
      <formula>1.75</formula>
    </cfRule>
    <cfRule type="cellIs" dxfId="1124" priority="1062" stopIfTrue="1" operator="between">
      <formula>1.25</formula>
      <formula>1.75</formula>
    </cfRule>
  </conditionalFormatting>
  <conditionalFormatting sqref="Q68">
    <cfRule type="cellIs" dxfId="1123" priority="1057" stopIfTrue="1" operator="greaterThan">
      <formula>1.75</formula>
    </cfRule>
    <cfRule type="cellIs" dxfId="1122" priority="1058" stopIfTrue="1" operator="between">
      <formula>1.25</formula>
      <formula>1.75</formula>
    </cfRule>
  </conditionalFormatting>
  <conditionalFormatting sqref="Q68">
    <cfRule type="cellIs" dxfId="1121" priority="1055" stopIfTrue="1" operator="greaterThan">
      <formula>1.75</formula>
    </cfRule>
    <cfRule type="cellIs" dxfId="1120" priority="1056" stopIfTrue="1" operator="between">
      <formula>1.25</formula>
      <formula>1.75</formula>
    </cfRule>
  </conditionalFormatting>
  <conditionalFormatting sqref="R68">
    <cfRule type="cellIs" dxfId="1119" priority="1053" stopIfTrue="1" operator="greaterThan">
      <formula>1.75</formula>
    </cfRule>
    <cfRule type="cellIs" dxfId="1118" priority="1054" stopIfTrue="1" operator="between">
      <formula>1.25</formula>
      <formula>1.75</formula>
    </cfRule>
  </conditionalFormatting>
  <conditionalFormatting sqref="R68">
    <cfRule type="cellIs" dxfId="1117" priority="1051" stopIfTrue="1" operator="greaterThan">
      <formula>1.75</formula>
    </cfRule>
    <cfRule type="cellIs" dxfId="1116" priority="1052" stopIfTrue="1" operator="between">
      <formula>1.25</formula>
      <formula>1.75</formula>
    </cfRule>
  </conditionalFormatting>
  <conditionalFormatting sqref="R68">
    <cfRule type="cellIs" dxfId="1115" priority="1049" stopIfTrue="1" operator="greaterThan">
      <formula>1.75</formula>
    </cfRule>
    <cfRule type="cellIs" dxfId="1114" priority="1050" stopIfTrue="1" operator="between">
      <formula>1.25</formula>
      <formula>1.75</formula>
    </cfRule>
  </conditionalFormatting>
  <conditionalFormatting sqref="S68">
    <cfRule type="cellIs" dxfId="1113" priority="1045" stopIfTrue="1" operator="greaterThan">
      <formula>1.75</formula>
    </cfRule>
    <cfRule type="cellIs" dxfId="1112" priority="1046" stopIfTrue="1" operator="between">
      <formula>1.25</formula>
      <formula>1.75</formula>
    </cfRule>
  </conditionalFormatting>
  <conditionalFormatting sqref="S68">
    <cfRule type="cellIs" dxfId="1111" priority="1043" stopIfTrue="1" operator="greaterThan">
      <formula>1.75</formula>
    </cfRule>
    <cfRule type="cellIs" dxfId="1110" priority="1044" stopIfTrue="1" operator="between">
      <formula>1.25</formula>
      <formula>1.75</formula>
    </cfRule>
  </conditionalFormatting>
  <conditionalFormatting sqref="S68">
    <cfRule type="cellIs" dxfId="1109" priority="1047" stopIfTrue="1" operator="greaterThan">
      <formula>1.75</formula>
    </cfRule>
    <cfRule type="cellIs" dxfId="1108" priority="1048" stopIfTrue="1" operator="between">
      <formula>1.25</formula>
      <formula>1.75</formula>
    </cfRule>
  </conditionalFormatting>
  <conditionalFormatting sqref="M68:O68">
    <cfRule type="cellIs" dxfId="1107" priority="1075" stopIfTrue="1" operator="greaterThan">
      <formula>1.75</formula>
    </cfRule>
    <cfRule type="cellIs" dxfId="1106" priority="1076" stopIfTrue="1" operator="between">
      <formula>1.25</formula>
      <formula>1.75</formula>
    </cfRule>
  </conditionalFormatting>
  <conditionalFormatting sqref="H70">
    <cfRule type="cellIs" dxfId="1105" priority="977" stopIfTrue="1" operator="greaterThan">
      <formula>1.75</formula>
    </cfRule>
    <cfRule type="cellIs" dxfId="1104" priority="978" stopIfTrue="1" operator="between">
      <formula>1.25</formula>
      <formula>1.75</formula>
    </cfRule>
  </conditionalFormatting>
  <conditionalFormatting sqref="H70">
    <cfRule type="cellIs" dxfId="1103" priority="979" stopIfTrue="1" operator="greaterThan">
      <formula>1.75</formula>
    </cfRule>
    <cfRule type="cellIs" dxfId="1102" priority="980" stopIfTrue="1" operator="between">
      <formula>1.25</formula>
      <formula>1.75</formula>
    </cfRule>
  </conditionalFormatting>
  <conditionalFormatting sqref="M70:U70">
    <cfRule type="cellIs" dxfId="1101" priority="1041" stopIfTrue="1" operator="greaterThan">
      <formula>1.75</formula>
    </cfRule>
    <cfRule type="cellIs" dxfId="1100" priority="1042" stopIfTrue="1" operator="between">
      <formula>1.25</formula>
      <formula>1.75</formula>
    </cfRule>
  </conditionalFormatting>
  <conditionalFormatting sqref="M70:U70">
    <cfRule type="cellIs" dxfId="1099" priority="1039" stopIfTrue="1" operator="greaterThan">
      <formula>1.75</formula>
    </cfRule>
    <cfRule type="cellIs" dxfId="1098" priority="1040" stopIfTrue="1" operator="between">
      <formula>1.25</formula>
      <formula>1.75</formula>
    </cfRule>
  </conditionalFormatting>
  <conditionalFormatting sqref="M70:U70">
    <cfRule type="cellIs" dxfId="1097" priority="1037" stopIfTrue="1" operator="greaterThan">
      <formula>1.75</formula>
    </cfRule>
    <cfRule type="cellIs" dxfId="1096" priority="1038" stopIfTrue="1" operator="between">
      <formula>1.25</formula>
      <formula>1.75</formula>
    </cfRule>
  </conditionalFormatting>
  <conditionalFormatting sqref="G70">
    <cfRule type="cellIs" dxfId="1095" priority="981" stopIfTrue="1" operator="greaterThan">
      <formula>1.75</formula>
    </cfRule>
    <cfRule type="cellIs" dxfId="1094" priority="982" stopIfTrue="1" operator="between">
      <formula>1.25</formula>
      <formula>1.75</formula>
    </cfRule>
  </conditionalFormatting>
  <conditionalFormatting sqref="V68">
    <cfRule type="cellIs" dxfId="1093" priority="1035" stopIfTrue="1" operator="greaterThan">
      <formula>1.75</formula>
    </cfRule>
    <cfRule type="cellIs" dxfId="1092" priority="1036" stopIfTrue="1" operator="between">
      <formula>1.25</formula>
      <formula>1.75</formula>
    </cfRule>
  </conditionalFormatting>
  <conditionalFormatting sqref="V70">
    <cfRule type="cellIs" dxfId="1091" priority="1033" stopIfTrue="1" operator="greaterThan">
      <formula>1.75</formula>
    </cfRule>
    <cfRule type="cellIs" dxfId="1090" priority="1034" stopIfTrue="1" operator="between">
      <formula>1.25</formula>
      <formula>1.75</formula>
    </cfRule>
  </conditionalFormatting>
  <conditionalFormatting sqref="V70">
    <cfRule type="cellIs" dxfId="1089" priority="1031" stopIfTrue="1" operator="greaterThan">
      <formula>1.75</formula>
    </cfRule>
    <cfRule type="cellIs" dxfId="1088" priority="1032" stopIfTrue="1" operator="between">
      <formula>1.25</formula>
      <formula>1.75</formula>
    </cfRule>
  </conditionalFormatting>
  <conditionalFormatting sqref="V70">
    <cfRule type="cellIs" dxfId="1087" priority="1029" stopIfTrue="1" operator="greaterThan">
      <formula>1.75</formula>
    </cfRule>
    <cfRule type="cellIs" dxfId="1086" priority="1030" stopIfTrue="1" operator="between">
      <formula>1.25</formula>
      <formula>1.75</formula>
    </cfRule>
  </conditionalFormatting>
  <conditionalFormatting sqref="C68">
    <cfRule type="cellIs" dxfId="1085" priority="1025" stopIfTrue="1" operator="greaterThan">
      <formula>1.75</formula>
    </cfRule>
    <cfRule type="cellIs" dxfId="1084" priority="1026" stopIfTrue="1" operator="between">
      <formula>1.25</formula>
      <formula>1.75</formula>
    </cfRule>
  </conditionalFormatting>
  <conditionalFormatting sqref="C68">
    <cfRule type="cellIs" dxfId="1083" priority="1023" stopIfTrue="1" operator="greaterThan">
      <formula>1.75</formula>
    </cfRule>
    <cfRule type="cellIs" dxfId="1082" priority="1024" stopIfTrue="1" operator="between">
      <formula>1.25</formula>
      <formula>1.75</formula>
    </cfRule>
  </conditionalFormatting>
  <conditionalFormatting sqref="C68">
    <cfRule type="cellIs" dxfId="1081" priority="1027" stopIfTrue="1" operator="greaterThan">
      <formula>1.75</formula>
    </cfRule>
    <cfRule type="cellIs" dxfId="1080" priority="1028" stopIfTrue="1" operator="between">
      <formula>1.25</formula>
      <formula>1.75</formula>
    </cfRule>
  </conditionalFormatting>
  <conditionalFormatting sqref="D68">
    <cfRule type="cellIs" dxfId="1079" priority="1019" stopIfTrue="1" operator="greaterThan">
      <formula>1.75</formula>
    </cfRule>
    <cfRule type="cellIs" dxfId="1078" priority="1020" stopIfTrue="1" operator="between">
      <formula>1.25</formula>
      <formula>1.75</formula>
    </cfRule>
  </conditionalFormatting>
  <conditionalFormatting sqref="D68">
    <cfRule type="cellIs" dxfId="1077" priority="1017" stopIfTrue="1" operator="greaterThan">
      <formula>1.75</formula>
    </cfRule>
    <cfRule type="cellIs" dxfId="1076" priority="1018" stopIfTrue="1" operator="between">
      <formula>1.25</formula>
      <formula>1.75</formula>
    </cfRule>
  </conditionalFormatting>
  <conditionalFormatting sqref="C70">
    <cfRule type="cellIs" dxfId="1075" priority="1011" stopIfTrue="1" operator="greaterThan">
      <formula>1.75</formula>
    </cfRule>
    <cfRule type="cellIs" dxfId="1074" priority="1012" stopIfTrue="1" operator="between">
      <formula>1.25</formula>
      <formula>1.75</formula>
    </cfRule>
  </conditionalFormatting>
  <conditionalFormatting sqref="C70">
    <cfRule type="cellIs" dxfId="1073" priority="1013" stopIfTrue="1" operator="greaterThan">
      <formula>1.75</formula>
    </cfRule>
    <cfRule type="cellIs" dxfId="1072" priority="1014" stopIfTrue="1" operator="between">
      <formula>1.25</formula>
      <formula>1.75</formula>
    </cfRule>
  </conditionalFormatting>
  <conditionalFormatting sqref="C70">
    <cfRule type="cellIs" dxfId="1071" priority="1015" stopIfTrue="1" operator="greaterThan">
      <formula>1.75</formula>
    </cfRule>
    <cfRule type="cellIs" dxfId="1070" priority="1016" stopIfTrue="1" operator="between">
      <formula>1.25</formula>
      <formula>1.75</formula>
    </cfRule>
  </conditionalFormatting>
  <conditionalFormatting sqref="D70">
    <cfRule type="cellIs" dxfId="1069" priority="1005" stopIfTrue="1" operator="greaterThan">
      <formula>1.75</formula>
    </cfRule>
    <cfRule type="cellIs" dxfId="1068" priority="1006" stopIfTrue="1" operator="between">
      <formula>1.25</formula>
      <formula>1.75</formula>
    </cfRule>
  </conditionalFormatting>
  <conditionalFormatting sqref="D70">
    <cfRule type="cellIs" dxfId="1067" priority="1007" stopIfTrue="1" operator="greaterThan">
      <formula>1.75</formula>
    </cfRule>
    <cfRule type="cellIs" dxfId="1066" priority="1008" stopIfTrue="1" operator="between">
      <formula>1.25</formula>
      <formula>1.75</formula>
    </cfRule>
  </conditionalFormatting>
  <conditionalFormatting sqref="D70">
    <cfRule type="cellIs" dxfId="1065" priority="1009" stopIfTrue="1" operator="greaterThan">
      <formula>1.75</formula>
    </cfRule>
    <cfRule type="cellIs" dxfId="1064" priority="1010" stopIfTrue="1" operator="between">
      <formula>1.25</formula>
      <formula>1.75</formula>
    </cfRule>
  </conditionalFormatting>
  <conditionalFormatting sqref="E70">
    <cfRule type="cellIs" dxfId="1063" priority="999" stopIfTrue="1" operator="greaterThan">
      <formula>1.75</formula>
    </cfRule>
    <cfRule type="cellIs" dxfId="1062" priority="1000" stopIfTrue="1" operator="between">
      <formula>1.25</formula>
      <formula>1.75</formula>
    </cfRule>
  </conditionalFormatting>
  <conditionalFormatting sqref="E70">
    <cfRule type="cellIs" dxfId="1061" priority="1001" stopIfTrue="1" operator="greaterThan">
      <formula>1.75</formula>
    </cfRule>
    <cfRule type="cellIs" dxfId="1060" priority="1002" stopIfTrue="1" operator="between">
      <formula>1.25</formula>
      <formula>1.75</formula>
    </cfRule>
  </conditionalFormatting>
  <conditionalFormatting sqref="E70">
    <cfRule type="cellIs" dxfId="1059" priority="1003" stopIfTrue="1" operator="greaterThan">
      <formula>1.75</formula>
    </cfRule>
    <cfRule type="cellIs" dxfId="1058" priority="1004" stopIfTrue="1" operator="between">
      <formula>1.25</formula>
      <formula>1.75</formula>
    </cfRule>
  </conditionalFormatting>
  <conditionalFormatting sqref="E68">
    <cfRule type="cellIs" dxfId="1057" priority="995" stopIfTrue="1" operator="greaterThan">
      <formula>1.75</formula>
    </cfRule>
    <cfRule type="cellIs" dxfId="1056" priority="996" stopIfTrue="1" operator="between">
      <formula>1.25</formula>
      <formula>1.75</formula>
    </cfRule>
  </conditionalFormatting>
  <conditionalFormatting sqref="E68">
    <cfRule type="cellIs" dxfId="1055" priority="993" stopIfTrue="1" operator="greaterThan">
      <formula>1.75</formula>
    </cfRule>
    <cfRule type="cellIs" dxfId="1054" priority="994" stopIfTrue="1" operator="between">
      <formula>1.25</formula>
      <formula>1.75</formula>
    </cfRule>
  </conditionalFormatting>
  <conditionalFormatting sqref="E68">
    <cfRule type="cellIs" dxfId="1053" priority="997" stopIfTrue="1" operator="greaterThan">
      <formula>1.75</formula>
    </cfRule>
    <cfRule type="cellIs" dxfId="1052" priority="998" stopIfTrue="1" operator="between">
      <formula>1.25</formula>
      <formula>1.75</formula>
    </cfRule>
  </conditionalFormatting>
  <conditionalFormatting sqref="F70">
    <cfRule type="cellIs" dxfId="1051" priority="987" stopIfTrue="1" operator="greaterThan">
      <formula>1.75</formula>
    </cfRule>
    <cfRule type="cellIs" dxfId="1050" priority="988" stopIfTrue="1" operator="between">
      <formula>1.25</formula>
      <formula>1.75</formula>
    </cfRule>
  </conditionalFormatting>
  <conditionalFormatting sqref="F70">
    <cfRule type="cellIs" dxfId="1049" priority="989" stopIfTrue="1" operator="greaterThan">
      <formula>1.75</formula>
    </cfRule>
    <cfRule type="cellIs" dxfId="1048" priority="990" stopIfTrue="1" operator="between">
      <formula>1.25</formula>
      <formula>1.75</formula>
    </cfRule>
  </conditionalFormatting>
  <conditionalFormatting sqref="F70">
    <cfRule type="cellIs" dxfId="1047" priority="991" stopIfTrue="1" operator="greaterThan">
      <formula>1.75</formula>
    </cfRule>
    <cfRule type="cellIs" dxfId="1046" priority="992" stopIfTrue="1" operator="between">
      <formula>1.25</formula>
      <formula>1.75</formula>
    </cfRule>
  </conditionalFormatting>
  <conditionalFormatting sqref="G70">
    <cfRule type="cellIs" dxfId="1045" priority="983" stopIfTrue="1" operator="greaterThan">
      <formula>1.75</formula>
    </cfRule>
    <cfRule type="cellIs" dxfId="1044" priority="984" stopIfTrue="1" operator="between">
      <formula>1.25</formula>
      <formula>1.75</formula>
    </cfRule>
  </conditionalFormatting>
  <conditionalFormatting sqref="G70">
    <cfRule type="cellIs" dxfId="1043" priority="985" stopIfTrue="1" operator="greaterThan">
      <formula>1.75</formula>
    </cfRule>
    <cfRule type="cellIs" dxfId="1042" priority="986" stopIfTrue="1" operator="between">
      <formula>1.25</formula>
      <formula>1.75</formula>
    </cfRule>
  </conditionalFormatting>
  <conditionalFormatting sqref="H70">
    <cfRule type="cellIs" dxfId="1041" priority="975" stopIfTrue="1" operator="greaterThan">
      <formula>1.75</formula>
    </cfRule>
    <cfRule type="cellIs" dxfId="1040" priority="976" stopIfTrue="1" operator="between">
      <formula>1.25</formula>
      <formula>1.75</formula>
    </cfRule>
  </conditionalFormatting>
  <conditionalFormatting sqref="I70">
    <cfRule type="cellIs" dxfId="1039" priority="969" stopIfTrue="1" operator="greaterThan">
      <formula>1.75</formula>
    </cfRule>
    <cfRule type="cellIs" dxfId="1038" priority="970" stopIfTrue="1" operator="between">
      <formula>1.25</formula>
      <formula>1.75</formula>
    </cfRule>
  </conditionalFormatting>
  <conditionalFormatting sqref="I70">
    <cfRule type="cellIs" dxfId="1037" priority="971" stopIfTrue="1" operator="greaterThan">
      <formula>1.75</formula>
    </cfRule>
    <cfRule type="cellIs" dxfId="1036" priority="972" stopIfTrue="1" operator="between">
      <formula>1.25</formula>
      <formula>1.75</formula>
    </cfRule>
  </conditionalFormatting>
  <conditionalFormatting sqref="I70">
    <cfRule type="cellIs" dxfId="1035" priority="973" stopIfTrue="1" operator="greaterThan">
      <formula>1.75</formula>
    </cfRule>
    <cfRule type="cellIs" dxfId="1034" priority="974" stopIfTrue="1" operator="between">
      <formula>1.25</formula>
      <formula>1.75</formula>
    </cfRule>
  </conditionalFormatting>
  <conditionalFormatting sqref="J70">
    <cfRule type="cellIs" dxfId="1033" priority="963" stopIfTrue="1" operator="greaterThan">
      <formula>1.75</formula>
    </cfRule>
    <cfRule type="cellIs" dxfId="1032" priority="964" stopIfTrue="1" operator="between">
      <formula>1.25</formula>
      <formula>1.75</formula>
    </cfRule>
  </conditionalFormatting>
  <conditionalFormatting sqref="J70">
    <cfRule type="cellIs" dxfId="1031" priority="965" stopIfTrue="1" operator="greaterThan">
      <formula>1.75</formula>
    </cfRule>
    <cfRule type="cellIs" dxfId="1030" priority="966" stopIfTrue="1" operator="between">
      <formula>1.25</formula>
      <formula>1.75</formula>
    </cfRule>
  </conditionalFormatting>
  <conditionalFormatting sqref="J70">
    <cfRule type="cellIs" dxfId="1029" priority="967" stopIfTrue="1" operator="greaterThan">
      <formula>1.75</formula>
    </cfRule>
    <cfRule type="cellIs" dxfId="1028" priority="968" stopIfTrue="1" operator="between">
      <formula>1.25</formula>
      <formula>1.75</formula>
    </cfRule>
  </conditionalFormatting>
  <conditionalFormatting sqref="K70">
    <cfRule type="cellIs" dxfId="1027" priority="957" stopIfTrue="1" operator="greaterThan">
      <formula>1.75</formula>
    </cfRule>
    <cfRule type="cellIs" dxfId="1026" priority="958" stopIfTrue="1" operator="between">
      <formula>1.25</formula>
      <formula>1.75</formula>
    </cfRule>
  </conditionalFormatting>
  <conditionalFormatting sqref="K70">
    <cfRule type="cellIs" dxfId="1025" priority="959" stopIfTrue="1" operator="greaterThan">
      <formula>1.75</formula>
    </cfRule>
    <cfRule type="cellIs" dxfId="1024" priority="960" stopIfTrue="1" operator="between">
      <formula>1.25</formula>
      <formula>1.75</formula>
    </cfRule>
  </conditionalFormatting>
  <conditionalFormatting sqref="K70">
    <cfRule type="cellIs" dxfId="1023" priority="961" stopIfTrue="1" operator="greaterThan">
      <formula>1.75</formula>
    </cfRule>
    <cfRule type="cellIs" dxfId="1022" priority="962" stopIfTrue="1" operator="between">
      <formula>1.25</formula>
      <formula>1.75</formula>
    </cfRule>
  </conditionalFormatting>
  <conditionalFormatting sqref="L70">
    <cfRule type="cellIs" dxfId="1021" priority="951" stopIfTrue="1" operator="greaterThan">
      <formula>1.75</formula>
    </cfRule>
    <cfRule type="cellIs" dxfId="1020" priority="952" stopIfTrue="1" operator="between">
      <formula>1.25</formula>
      <formula>1.75</formula>
    </cfRule>
  </conditionalFormatting>
  <conditionalFormatting sqref="L70">
    <cfRule type="cellIs" dxfId="1019" priority="953" stopIfTrue="1" operator="greaterThan">
      <formula>1.75</formula>
    </cfRule>
    <cfRule type="cellIs" dxfId="1018" priority="954" stopIfTrue="1" operator="between">
      <formula>1.25</formula>
      <formula>1.75</formula>
    </cfRule>
  </conditionalFormatting>
  <conditionalFormatting sqref="L70">
    <cfRule type="cellIs" dxfId="1017" priority="955" stopIfTrue="1" operator="greaterThan">
      <formula>1.75</formula>
    </cfRule>
    <cfRule type="cellIs" dxfId="1016" priority="956" stopIfTrue="1" operator="between">
      <formula>1.25</formula>
      <formula>1.75</formula>
    </cfRule>
  </conditionalFormatting>
  <conditionalFormatting sqref="F68">
    <cfRule type="cellIs" dxfId="1015" priority="947" stopIfTrue="1" operator="greaterThan">
      <formula>1.75</formula>
    </cfRule>
    <cfRule type="cellIs" dxfId="1014" priority="948" stopIfTrue="1" operator="between">
      <formula>1.25</formula>
      <formula>1.75</formula>
    </cfRule>
  </conditionalFormatting>
  <conditionalFormatting sqref="F68">
    <cfRule type="cellIs" dxfId="1013" priority="945" stopIfTrue="1" operator="greaterThan">
      <formula>1.75</formula>
    </cfRule>
    <cfRule type="cellIs" dxfId="1012" priority="946" stopIfTrue="1" operator="between">
      <formula>1.25</formula>
      <formula>1.75</formula>
    </cfRule>
  </conditionalFormatting>
  <conditionalFormatting sqref="F68">
    <cfRule type="cellIs" dxfId="1011" priority="949" stopIfTrue="1" operator="greaterThan">
      <formula>1.75</formula>
    </cfRule>
    <cfRule type="cellIs" dxfId="1010" priority="950" stopIfTrue="1" operator="between">
      <formula>1.25</formula>
      <formula>1.75</formula>
    </cfRule>
  </conditionalFormatting>
  <conditionalFormatting sqref="G68">
    <cfRule type="cellIs" dxfId="1009" priority="941" stopIfTrue="1" operator="greaterThan">
      <formula>1.75</formula>
    </cfRule>
    <cfRule type="cellIs" dxfId="1008" priority="942" stopIfTrue="1" operator="between">
      <formula>1.25</formula>
      <formula>1.75</formula>
    </cfRule>
  </conditionalFormatting>
  <conditionalFormatting sqref="G68">
    <cfRule type="cellIs" dxfId="1007" priority="939" stopIfTrue="1" operator="greaterThan">
      <formula>1.75</formula>
    </cfRule>
    <cfRule type="cellIs" dxfId="1006" priority="940" stopIfTrue="1" operator="between">
      <formula>1.25</formula>
      <formula>1.75</formula>
    </cfRule>
  </conditionalFormatting>
  <conditionalFormatting sqref="G68">
    <cfRule type="cellIs" dxfId="1005" priority="943" stopIfTrue="1" operator="greaterThan">
      <formula>1.75</formula>
    </cfRule>
    <cfRule type="cellIs" dxfId="1004" priority="944" stopIfTrue="1" operator="between">
      <formula>1.25</formula>
      <formula>1.75</formula>
    </cfRule>
  </conditionalFormatting>
  <conditionalFormatting sqref="H68">
    <cfRule type="cellIs" dxfId="1003" priority="935" stopIfTrue="1" operator="greaterThan">
      <formula>1.75</formula>
    </cfRule>
    <cfRule type="cellIs" dxfId="1002" priority="936" stopIfTrue="1" operator="between">
      <formula>1.25</formula>
      <formula>1.75</formula>
    </cfRule>
  </conditionalFormatting>
  <conditionalFormatting sqref="H68">
    <cfRule type="cellIs" dxfId="1001" priority="933" stopIfTrue="1" operator="greaterThan">
      <formula>1.75</formula>
    </cfRule>
    <cfRule type="cellIs" dxfId="1000" priority="934" stopIfTrue="1" operator="between">
      <formula>1.25</formula>
      <formula>1.75</formula>
    </cfRule>
  </conditionalFormatting>
  <conditionalFormatting sqref="H68">
    <cfRule type="cellIs" dxfId="999" priority="937" stopIfTrue="1" operator="greaterThan">
      <formula>1.75</formula>
    </cfRule>
    <cfRule type="cellIs" dxfId="998" priority="938" stopIfTrue="1" operator="between">
      <formula>1.25</formula>
      <formula>1.75</formula>
    </cfRule>
  </conditionalFormatting>
  <conditionalFormatting sqref="I68">
    <cfRule type="cellIs" dxfId="997" priority="929" stopIfTrue="1" operator="greaterThan">
      <formula>1.75</formula>
    </cfRule>
    <cfRule type="cellIs" dxfId="996" priority="930" stopIfTrue="1" operator="between">
      <formula>1.25</formula>
      <formula>1.75</formula>
    </cfRule>
  </conditionalFormatting>
  <conditionalFormatting sqref="I68">
    <cfRule type="cellIs" dxfId="995" priority="927" stopIfTrue="1" operator="greaterThan">
      <formula>1.75</formula>
    </cfRule>
    <cfRule type="cellIs" dxfId="994" priority="928" stopIfTrue="1" operator="between">
      <formula>1.25</formula>
      <formula>1.75</formula>
    </cfRule>
  </conditionalFormatting>
  <conditionalFormatting sqref="I68">
    <cfRule type="cellIs" dxfId="993" priority="931" stopIfTrue="1" operator="greaterThan">
      <formula>1.75</formula>
    </cfRule>
    <cfRule type="cellIs" dxfId="992" priority="932" stopIfTrue="1" operator="between">
      <formula>1.25</formula>
      <formula>1.75</formula>
    </cfRule>
  </conditionalFormatting>
  <conditionalFormatting sqref="J68">
    <cfRule type="cellIs" dxfId="991" priority="923" stopIfTrue="1" operator="greaterThan">
      <formula>1.75</formula>
    </cfRule>
    <cfRule type="cellIs" dxfId="990" priority="924" stopIfTrue="1" operator="between">
      <formula>1.25</formula>
      <formula>1.75</formula>
    </cfRule>
  </conditionalFormatting>
  <conditionalFormatting sqref="J68">
    <cfRule type="cellIs" dxfId="989" priority="921" stopIfTrue="1" operator="greaterThan">
      <formula>1.75</formula>
    </cfRule>
    <cfRule type="cellIs" dxfId="988" priority="922" stopIfTrue="1" operator="between">
      <formula>1.25</formula>
      <formula>1.75</formula>
    </cfRule>
  </conditionalFormatting>
  <conditionalFormatting sqref="J68">
    <cfRule type="cellIs" dxfId="987" priority="925" stopIfTrue="1" operator="greaterThan">
      <formula>1.75</formula>
    </cfRule>
    <cfRule type="cellIs" dxfId="986" priority="926" stopIfTrue="1" operator="between">
      <formula>1.25</formula>
      <formula>1.75</formula>
    </cfRule>
  </conditionalFormatting>
  <conditionalFormatting sqref="K68">
    <cfRule type="cellIs" dxfId="985" priority="917" stopIfTrue="1" operator="greaterThan">
      <formula>1.75</formula>
    </cfRule>
    <cfRule type="cellIs" dxfId="984" priority="918" stopIfTrue="1" operator="between">
      <formula>1.25</formula>
      <formula>1.75</formula>
    </cfRule>
  </conditionalFormatting>
  <conditionalFormatting sqref="K68">
    <cfRule type="cellIs" dxfId="983" priority="915" stopIfTrue="1" operator="greaterThan">
      <formula>1.75</formula>
    </cfRule>
    <cfRule type="cellIs" dxfId="982" priority="916" stopIfTrue="1" operator="between">
      <formula>1.25</formula>
      <formula>1.75</formula>
    </cfRule>
  </conditionalFormatting>
  <conditionalFormatting sqref="K68">
    <cfRule type="cellIs" dxfId="981" priority="919" stopIfTrue="1" operator="greaterThan">
      <formula>1.75</formula>
    </cfRule>
    <cfRule type="cellIs" dxfId="980" priority="920" stopIfTrue="1" operator="between">
      <formula>1.25</formula>
      <formula>1.75</formula>
    </cfRule>
  </conditionalFormatting>
  <conditionalFormatting sqref="L68">
    <cfRule type="cellIs" dxfId="979" priority="911" stopIfTrue="1" operator="greaterThan">
      <formula>1.75</formula>
    </cfRule>
    <cfRule type="cellIs" dxfId="978" priority="912" stopIfTrue="1" operator="between">
      <formula>1.25</formula>
      <formula>1.75</formula>
    </cfRule>
  </conditionalFormatting>
  <conditionalFormatting sqref="L68">
    <cfRule type="cellIs" dxfId="977" priority="909" stopIfTrue="1" operator="greaterThan">
      <formula>1.75</formula>
    </cfRule>
    <cfRule type="cellIs" dxfId="976" priority="910" stopIfTrue="1" operator="between">
      <formula>1.25</formula>
      <formula>1.75</formula>
    </cfRule>
  </conditionalFormatting>
  <conditionalFormatting sqref="L68">
    <cfRule type="cellIs" dxfId="975" priority="913" stopIfTrue="1" operator="greaterThan">
      <formula>1.75</formula>
    </cfRule>
    <cfRule type="cellIs" dxfId="974" priority="914" stopIfTrue="1" operator="between">
      <formula>1.25</formula>
      <formula>1.75</formula>
    </cfRule>
  </conditionalFormatting>
  <conditionalFormatting sqref="W68">
    <cfRule type="cellIs" dxfId="973" priority="907" stopIfTrue="1" operator="greaterThan">
      <formula>1.75</formula>
    </cfRule>
    <cfRule type="cellIs" dxfId="972" priority="908" stopIfTrue="1" operator="between">
      <formula>1.25</formula>
      <formula>1.75</formula>
    </cfRule>
  </conditionalFormatting>
  <conditionalFormatting sqref="W70">
    <cfRule type="cellIs" dxfId="971" priority="905" stopIfTrue="1" operator="greaterThan">
      <formula>1.75</formula>
    </cfRule>
    <cfRule type="cellIs" dxfId="970" priority="906" stopIfTrue="1" operator="between">
      <formula>1.25</formula>
      <formula>1.75</formula>
    </cfRule>
  </conditionalFormatting>
  <conditionalFormatting sqref="W70">
    <cfRule type="cellIs" dxfId="969" priority="903" stopIfTrue="1" operator="greaterThan">
      <formula>1.75</formula>
    </cfRule>
    <cfRule type="cellIs" dxfId="968" priority="904" stopIfTrue="1" operator="between">
      <formula>1.25</formula>
      <formula>1.75</formula>
    </cfRule>
  </conditionalFormatting>
  <conditionalFormatting sqref="W70">
    <cfRule type="cellIs" dxfId="967" priority="901" stopIfTrue="1" operator="greaterThan">
      <formula>1.75</formula>
    </cfRule>
    <cfRule type="cellIs" dxfId="966" priority="902" stopIfTrue="1" operator="between">
      <formula>1.25</formula>
      <formula>1.75</formula>
    </cfRule>
  </conditionalFormatting>
  <conditionalFormatting sqref="AC68">
    <cfRule type="cellIs" dxfId="965" priority="899" stopIfTrue="1" operator="greaterThan">
      <formula>1.75</formula>
    </cfRule>
    <cfRule type="cellIs" dxfId="964" priority="900" stopIfTrue="1" operator="between">
      <formula>1.25</formula>
      <formula>1.75</formula>
    </cfRule>
  </conditionalFormatting>
  <conditionalFormatting sqref="AC70">
    <cfRule type="cellIs" dxfId="963" priority="897" stopIfTrue="1" operator="greaterThan">
      <formula>1.75</formula>
    </cfRule>
    <cfRule type="cellIs" dxfId="962" priority="898" stopIfTrue="1" operator="between">
      <formula>1.25</formula>
      <formula>1.75</formula>
    </cfRule>
  </conditionalFormatting>
  <conditionalFormatting sqref="AC70">
    <cfRule type="cellIs" dxfId="961" priority="895" stopIfTrue="1" operator="greaterThan">
      <formula>1.75</formula>
    </cfRule>
    <cfRule type="cellIs" dxfId="960" priority="896" stopIfTrue="1" operator="between">
      <formula>1.25</formula>
      <formula>1.75</formula>
    </cfRule>
  </conditionalFormatting>
  <conditionalFormatting sqref="AC70">
    <cfRule type="cellIs" dxfId="959" priority="893" stopIfTrue="1" operator="greaterThan">
      <formula>1.75</formula>
    </cfRule>
    <cfRule type="cellIs" dxfId="958" priority="894" stopIfTrue="1" operator="between">
      <formula>1.25</formula>
      <formula>1.75</formula>
    </cfRule>
  </conditionalFormatting>
  <conditionalFormatting sqref="X68">
    <cfRule type="cellIs" dxfId="957" priority="891" stopIfTrue="1" operator="greaterThan">
      <formula>1.75</formula>
    </cfRule>
    <cfRule type="cellIs" dxfId="956" priority="892" stopIfTrue="1" operator="between">
      <formula>1.25</formula>
      <formula>1.75</formula>
    </cfRule>
  </conditionalFormatting>
  <conditionalFormatting sqref="X70">
    <cfRule type="cellIs" dxfId="955" priority="889" stopIfTrue="1" operator="greaterThan">
      <formula>1.75</formula>
    </cfRule>
    <cfRule type="cellIs" dxfId="954" priority="890" stopIfTrue="1" operator="between">
      <formula>1.25</formula>
      <formula>1.75</formula>
    </cfRule>
  </conditionalFormatting>
  <conditionalFormatting sqref="X70">
    <cfRule type="cellIs" dxfId="953" priority="887" stopIfTrue="1" operator="greaterThan">
      <formula>1.75</formula>
    </cfRule>
    <cfRule type="cellIs" dxfId="952" priority="888" stopIfTrue="1" operator="between">
      <formula>1.25</formula>
      <formula>1.75</formula>
    </cfRule>
  </conditionalFormatting>
  <conditionalFormatting sqref="X70">
    <cfRule type="cellIs" dxfId="951" priority="885" stopIfTrue="1" operator="greaterThan">
      <formula>1.75</formula>
    </cfRule>
    <cfRule type="cellIs" dxfId="950" priority="886" stopIfTrue="1" operator="between">
      <formula>1.25</formula>
      <formula>1.75</formula>
    </cfRule>
  </conditionalFormatting>
  <conditionalFormatting sqref="Y68">
    <cfRule type="cellIs" dxfId="949" priority="883" stopIfTrue="1" operator="greaterThan">
      <formula>1.75</formula>
    </cfRule>
    <cfRule type="cellIs" dxfId="948" priority="884" stopIfTrue="1" operator="between">
      <formula>1.25</formula>
      <formula>1.75</formula>
    </cfRule>
  </conditionalFormatting>
  <conditionalFormatting sqref="Y70">
    <cfRule type="cellIs" dxfId="947" priority="881" stopIfTrue="1" operator="greaterThan">
      <formula>1.75</formula>
    </cfRule>
    <cfRule type="cellIs" dxfId="946" priority="882" stopIfTrue="1" operator="between">
      <formula>1.25</formula>
      <formula>1.75</formula>
    </cfRule>
  </conditionalFormatting>
  <conditionalFormatting sqref="Y70">
    <cfRule type="cellIs" dxfId="945" priority="879" stopIfTrue="1" operator="greaterThan">
      <formula>1.75</formula>
    </cfRule>
    <cfRule type="cellIs" dxfId="944" priority="880" stopIfTrue="1" operator="between">
      <formula>1.25</formula>
      <formula>1.75</formula>
    </cfRule>
  </conditionalFormatting>
  <conditionalFormatting sqref="Y70">
    <cfRule type="cellIs" dxfId="943" priority="877" stopIfTrue="1" operator="greaterThan">
      <formula>1.75</formula>
    </cfRule>
    <cfRule type="cellIs" dxfId="942" priority="878" stopIfTrue="1" operator="between">
      <formula>1.25</formula>
      <formula>1.75</formula>
    </cfRule>
  </conditionalFormatting>
  <conditionalFormatting sqref="AE68">
    <cfRule type="cellIs" dxfId="941" priority="875" stopIfTrue="1" operator="greaterThan">
      <formula>1.75</formula>
    </cfRule>
    <cfRule type="cellIs" dxfId="940" priority="876" stopIfTrue="1" operator="between">
      <formula>1.25</formula>
      <formula>1.75</formula>
    </cfRule>
  </conditionalFormatting>
  <conditionalFormatting sqref="AE70">
    <cfRule type="cellIs" dxfId="939" priority="873" stopIfTrue="1" operator="greaterThan">
      <formula>1.75</formula>
    </cfRule>
    <cfRule type="cellIs" dxfId="938" priority="874" stopIfTrue="1" operator="between">
      <formula>1.25</formula>
      <formula>1.75</formula>
    </cfRule>
  </conditionalFormatting>
  <conditionalFormatting sqref="AE70">
    <cfRule type="cellIs" dxfId="937" priority="871" stopIfTrue="1" operator="greaterThan">
      <formula>1.75</formula>
    </cfRule>
    <cfRule type="cellIs" dxfId="936" priority="872" stopIfTrue="1" operator="between">
      <formula>1.25</formula>
      <formula>1.75</formula>
    </cfRule>
  </conditionalFormatting>
  <conditionalFormatting sqref="AE70">
    <cfRule type="cellIs" dxfId="935" priority="869" stopIfTrue="1" operator="greaterThan">
      <formula>1.75</formula>
    </cfRule>
    <cfRule type="cellIs" dxfId="934" priority="870" stopIfTrue="1" operator="between">
      <formula>1.25</formula>
      <formula>1.75</formula>
    </cfRule>
  </conditionalFormatting>
  <conditionalFormatting sqref="AF68">
    <cfRule type="cellIs" dxfId="933" priority="867" stopIfTrue="1" operator="greaterThan">
      <formula>1.75</formula>
    </cfRule>
    <cfRule type="cellIs" dxfId="932" priority="868" stopIfTrue="1" operator="between">
      <formula>1.25</formula>
      <formula>1.75</formula>
    </cfRule>
  </conditionalFormatting>
  <conditionalFormatting sqref="AF70">
    <cfRule type="cellIs" dxfId="931" priority="865" stopIfTrue="1" operator="greaterThan">
      <formula>1.75</formula>
    </cfRule>
    <cfRule type="cellIs" dxfId="930" priority="866" stopIfTrue="1" operator="between">
      <formula>1.25</formula>
      <formula>1.75</formula>
    </cfRule>
  </conditionalFormatting>
  <conditionalFormatting sqref="AF70">
    <cfRule type="cellIs" dxfId="929" priority="863" stopIfTrue="1" operator="greaterThan">
      <formula>1.75</formula>
    </cfRule>
    <cfRule type="cellIs" dxfId="928" priority="864" stopIfTrue="1" operator="between">
      <formula>1.25</formula>
      <formula>1.75</formula>
    </cfRule>
  </conditionalFormatting>
  <conditionalFormatting sqref="AF70">
    <cfRule type="cellIs" dxfId="927" priority="861" stopIfTrue="1" operator="greaterThan">
      <formula>1.75</formula>
    </cfRule>
    <cfRule type="cellIs" dxfId="926" priority="862" stopIfTrue="1" operator="between">
      <formula>1.25</formula>
      <formula>1.75</formula>
    </cfRule>
  </conditionalFormatting>
  <conditionalFormatting sqref="AG68">
    <cfRule type="cellIs" dxfId="925" priority="859" stopIfTrue="1" operator="greaterThan">
      <formula>1.75</formula>
    </cfRule>
    <cfRule type="cellIs" dxfId="924" priority="860" stopIfTrue="1" operator="between">
      <formula>1.25</formula>
      <formula>1.75</formula>
    </cfRule>
  </conditionalFormatting>
  <conditionalFormatting sqref="AG70">
    <cfRule type="cellIs" dxfId="923" priority="857" stopIfTrue="1" operator="greaterThan">
      <formula>1.75</formula>
    </cfRule>
    <cfRule type="cellIs" dxfId="922" priority="858" stopIfTrue="1" operator="between">
      <formula>1.25</formula>
      <formula>1.75</formula>
    </cfRule>
  </conditionalFormatting>
  <conditionalFormatting sqref="AG70">
    <cfRule type="cellIs" dxfId="921" priority="855" stopIfTrue="1" operator="greaterThan">
      <formula>1.75</formula>
    </cfRule>
    <cfRule type="cellIs" dxfId="920" priority="856" stopIfTrue="1" operator="between">
      <formula>1.25</formula>
      <formula>1.75</formula>
    </cfRule>
  </conditionalFormatting>
  <conditionalFormatting sqref="AG70">
    <cfRule type="cellIs" dxfId="919" priority="853" stopIfTrue="1" operator="greaterThan">
      <formula>1.75</formula>
    </cfRule>
    <cfRule type="cellIs" dxfId="918" priority="854" stopIfTrue="1" operator="between">
      <formula>1.25</formula>
      <formula>1.75</formula>
    </cfRule>
  </conditionalFormatting>
  <conditionalFormatting sqref="AH68">
    <cfRule type="cellIs" dxfId="917" priority="851" stopIfTrue="1" operator="greaterThan">
      <formula>1.75</formula>
    </cfRule>
    <cfRule type="cellIs" dxfId="916" priority="852" stopIfTrue="1" operator="between">
      <formula>1.25</formula>
      <formula>1.75</formula>
    </cfRule>
  </conditionalFormatting>
  <conditionalFormatting sqref="AH70">
    <cfRule type="cellIs" dxfId="915" priority="849" stopIfTrue="1" operator="greaterThan">
      <formula>1.75</formula>
    </cfRule>
    <cfRule type="cellIs" dxfId="914" priority="850" stopIfTrue="1" operator="between">
      <formula>1.25</formula>
      <formula>1.75</formula>
    </cfRule>
  </conditionalFormatting>
  <conditionalFormatting sqref="AH70">
    <cfRule type="cellIs" dxfId="913" priority="847" stopIfTrue="1" operator="greaterThan">
      <formula>1.75</formula>
    </cfRule>
    <cfRule type="cellIs" dxfId="912" priority="848" stopIfTrue="1" operator="between">
      <formula>1.25</formula>
      <formula>1.75</formula>
    </cfRule>
  </conditionalFormatting>
  <conditionalFormatting sqref="AH70">
    <cfRule type="cellIs" dxfId="911" priority="845" stopIfTrue="1" operator="greaterThan">
      <formula>1.75</formula>
    </cfRule>
    <cfRule type="cellIs" dxfId="910" priority="846" stopIfTrue="1" operator="between">
      <formula>1.25</formula>
      <formula>1.75</formula>
    </cfRule>
  </conditionalFormatting>
  <conditionalFormatting sqref="AI68">
    <cfRule type="cellIs" dxfId="909" priority="843" stopIfTrue="1" operator="greaterThan">
      <formula>1.75</formula>
    </cfRule>
    <cfRule type="cellIs" dxfId="908" priority="844" stopIfTrue="1" operator="between">
      <formula>1.25</formula>
      <formula>1.75</formula>
    </cfRule>
  </conditionalFormatting>
  <conditionalFormatting sqref="AI70">
    <cfRule type="cellIs" dxfId="907" priority="841" stopIfTrue="1" operator="greaterThan">
      <formula>1.75</formula>
    </cfRule>
    <cfRule type="cellIs" dxfId="906" priority="842" stopIfTrue="1" operator="between">
      <formula>1.25</formula>
      <formula>1.75</formula>
    </cfRule>
  </conditionalFormatting>
  <conditionalFormatting sqref="AI70">
    <cfRule type="cellIs" dxfId="905" priority="839" stopIfTrue="1" operator="greaterThan">
      <formula>1.75</formula>
    </cfRule>
    <cfRule type="cellIs" dxfId="904" priority="840" stopIfTrue="1" operator="between">
      <formula>1.25</formula>
      <formula>1.75</formula>
    </cfRule>
  </conditionalFormatting>
  <conditionalFormatting sqref="AI70">
    <cfRule type="cellIs" dxfId="903" priority="837" stopIfTrue="1" operator="greaterThan">
      <formula>1.75</formula>
    </cfRule>
    <cfRule type="cellIs" dxfId="902" priority="838" stopIfTrue="1" operator="between">
      <formula>1.25</formula>
      <formula>1.75</formula>
    </cfRule>
  </conditionalFormatting>
  <conditionalFormatting sqref="AJ68">
    <cfRule type="cellIs" dxfId="901" priority="835" stopIfTrue="1" operator="greaterThan">
      <formula>1.75</formula>
    </cfRule>
    <cfRule type="cellIs" dxfId="900" priority="836" stopIfTrue="1" operator="between">
      <formula>1.25</formula>
      <formula>1.75</formula>
    </cfRule>
  </conditionalFormatting>
  <conditionalFormatting sqref="AJ70">
    <cfRule type="cellIs" dxfId="899" priority="833" stopIfTrue="1" operator="greaterThan">
      <formula>1.75</formula>
    </cfRule>
    <cfRule type="cellIs" dxfId="898" priority="834" stopIfTrue="1" operator="between">
      <formula>1.25</formula>
      <formula>1.75</formula>
    </cfRule>
  </conditionalFormatting>
  <conditionalFormatting sqref="AJ70">
    <cfRule type="cellIs" dxfId="897" priority="831" stopIfTrue="1" operator="greaterThan">
      <formula>1.75</formula>
    </cfRule>
    <cfRule type="cellIs" dxfId="896" priority="832" stopIfTrue="1" operator="between">
      <formula>1.25</formula>
      <formula>1.75</formula>
    </cfRule>
  </conditionalFormatting>
  <conditionalFormatting sqref="AJ70">
    <cfRule type="cellIs" dxfId="895" priority="829" stopIfTrue="1" operator="greaterThan">
      <formula>1.75</formula>
    </cfRule>
    <cfRule type="cellIs" dxfId="894" priority="830" stopIfTrue="1" operator="between">
      <formula>1.25</formula>
      <formula>1.75</formula>
    </cfRule>
  </conditionalFormatting>
  <conditionalFormatting sqref="AK68">
    <cfRule type="cellIs" dxfId="893" priority="827" stopIfTrue="1" operator="greaterThan">
      <formula>1.75</formula>
    </cfRule>
    <cfRule type="cellIs" dxfId="892" priority="828" stopIfTrue="1" operator="between">
      <formula>1.25</formula>
      <formula>1.75</formula>
    </cfRule>
  </conditionalFormatting>
  <conditionalFormatting sqref="AK70">
    <cfRule type="cellIs" dxfId="891" priority="825" stopIfTrue="1" operator="greaterThan">
      <formula>1.75</formula>
    </cfRule>
    <cfRule type="cellIs" dxfId="890" priority="826" stopIfTrue="1" operator="between">
      <formula>1.25</formula>
      <formula>1.75</formula>
    </cfRule>
  </conditionalFormatting>
  <conditionalFormatting sqref="AK70">
    <cfRule type="cellIs" dxfId="889" priority="823" stopIfTrue="1" operator="greaterThan">
      <formula>1.75</formula>
    </cfRule>
    <cfRule type="cellIs" dxfId="888" priority="824" stopIfTrue="1" operator="between">
      <formula>1.25</formula>
      <formula>1.75</formula>
    </cfRule>
  </conditionalFormatting>
  <conditionalFormatting sqref="AK70">
    <cfRule type="cellIs" dxfId="887" priority="821" stopIfTrue="1" operator="greaterThan">
      <formula>1.75</formula>
    </cfRule>
    <cfRule type="cellIs" dxfId="886" priority="822" stopIfTrue="1" operator="between">
      <formula>1.25</formula>
      <formula>1.75</formula>
    </cfRule>
  </conditionalFormatting>
  <conditionalFormatting sqref="AL68">
    <cfRule type="cellIs" dxfId="885" priority="819" stopIfTrue="1" operator="greaterThan">
      <formula>1.75</formula>
    </cfRule>
    <cfRule type="cellIs" dxfId="884" priority="820" stopIfTrue="1" operator="between">
      <formula>1.25</formula>
      <formula>1.75</formula>
    </cfRule>
  </conditionalFormatting>
  <conditionalFormatting sqref="AL70">
    <cfRule type="cellIs" dxfId="883" priority="817" stopIfTrue="1" operator="greaterThan">
      <formula>1.75</formula>
    </cfRule>
    <cfRule type="cellIs" dxfId="882" priority="818" stopIfTrue="1" operator="between">
      <formula>1.25</formula>
      <formula>1.75</formula>
    </cfRule>
  </conditionalFormatting>
  <conditionalFormatting sqref="AL70">
    <cfRule type="cellIs" dxfId="881" priority="815" stopIfTrue="1" operator="greaterThan">
      <formula>1.75</formula>
    </cfRule>
    <cfRule type="cellIs" dxfId="880" priority="816" stopIfTrue="1" operator="between">
      <formula>1.25</formula>
      <formula>1.75</formula>
    </cfRule>
  </conditionalFormatting>
  <conditionalFormatting sqref="AL70">
    <cfRule type="cellIs" dxfId="879" priority="813" stopIfTrue="1" operator="greaterThan">
      <formula>1.75</formula>
    </cfRule>
    <cfRule type="cellIs" dxfId="878" priority="814" stopIfTrue="1" operator="between">
      <formula>1.25</formula>
      <formula>1.75</formula>
    </cfRule>
  </conditionalFormatting>
  <conditionalFormatting sqref="AM68">
    <cfRule type="cellIs" dxfId="877" priority="811" stopIfTrue="1" operator="greaterThan">
      <formula>1.75</formula>
    </cfRule>
    <cfRule type="cellIs" dxfId="876" priority="812" stopIfTrue="1" operator="between">
      <formula>1.25</formula>
      <formula>1.75</formula>
    </cfRule>
  </conditionalFormatting>
  <conditionalFormatting sqref="AM70">
    <cfRule type="cellIs" dxfId="875" priority="809" stopIfTrue="1" operator="greaterThan">
      <formula>1.75</formula>
    </cfRule>
    <cfRule type="cellIs" dxfId="874" priority="810" stopIfTrue="1" operator="between">
      <formula>1.25</formula>
      <formula>1.75</formula>
    </cfRule>
  </conditionalFormatting>
  <conditionalFormatting sqref="AM70">
    <cfRule type="cellIs" dxfId="873" priority="807" stopIfTrue="1" operator="greaterThan">
      <formula>1.75</formula>
    </cfRule>
    <cfRule type="cellIs" dxfId="872" priority="808" stopIfTrue="1" operator="between">
      <formula>1.25</formula>
      <formula>1.75</formula>
    </cfRule>
  </conditionalFormatting>
  <conditionalFormatting sqref="AM70">
    <cfRule type="cellIs" dxfId="871" priority="805" stopIfTrue="1" operator="greaterThan">
      <formula>1.75</formula>
    </cfRule>
    <cfRule type="cellIs" dxfId="870" priority="806" stopIfTrue="1" operator="between">
      <formula>1.25</formula>
      <formula>1.75</formula>
    </cfRule>
  </conditionalFormatting>
  <conditionalFormatting sqref="Z68">
    <cfRule type="cellIs" dxfId="869" priority="803" stopIfTrue="1" operator="greaterThan">
      <formula>1.75</formula>
    </cfRule>
    <cfRule type="cellIs" dxfId="868" priority="804" stopIfTrue="1" operator="between">
      <formula>1.25</formula>
      <formula>1.75</formula>
    </cfRule>
  </conditionalFormatting>
  <conditionalFormatting sqref="Z70">
    <cfRule type="cellIs" dxfId="867" priority="801" stopIfTrue="1" operator="greaterThan">
      <formula>1.75</formula>
    </cfRule>
    <cfRule type="cellIs" dxfId="866" priority="802" stopIfTrue="1" operator="between">
      <formula>1.25</formula>
      <formula>1.75</formula>
    </cfRule>
  </conditionalFormatting>
  <conditionalFormatting sqref="Z70">
    <cfRule type="cellIs" dxfId="865" priority="799" stopIfTrue="1" operator="greaterThan">
      <formula>1.75</formula>
    </cfRule>
    <cfRule type="cellIs" dxfId="864" priority="800" stopIfTrue="1" operator="between">
      <formula>1.25</formula>
      <formula>1.75</formula>
    </cfRule>
  </conditionalFormatting>
  <conditionalFormatting sqref="Z70">
    <cfRule type="cellIs" dxfId="863" priority="797" stopIfTrue="1" operator="greaterThan">
      <formula>1.75</formula>
    </cfRule>
    <cfRule type="cellIs" dxfId="862" priority="798" stopIfTrue="1" operator="between">
      <formula>1.25</formula>
      <formula>1.75</formula>
    </cfRule>
  </conditionalFormatting>
  <conditionalFormatting sqref="AA68">
    <cfRule type="cellIs" dxfId="861" priority="795" stopIfTrue="1" operator="greaterThan">
      <formula>1.75</formula>
    </cfRule>
    <cfRule type="cellIs" dxfId="860" priority="796" stopIfTrue="1" operator="between">
      <formula>1.25</formula>
      <formula>1.75</formula>
    </cfRule>
  </conditionalFormatting>
  <conditionalFormatting sqref="AA70">
    <cfRule type="cellIs" dxfId="859" priority="793" stopIfTrue="1" operator="greaterThan">
      <formula>1.75</formula>
    </cfRule>
    <cfRule type="cellIs" dxfId="858" priority="794" stopIfTrue="1" operator="between">
      <formula>1.25</formula>
      <formula>1.75</formula>
    </cfRule>
  </conditionalFormatting>
  <conditionalFormatting sqref="AA70">
    <cfRule type="cellIs" dxfId="857" priority="791" stopIfTrue="1" operator="greaterThan">
      <formula>1.75</formula>
    </cfRule>
    <cfRule type="cellIs" dxfId="856" priority="792" stopIfTrue="1" operator="between">
      <formula>1.25</formula>
      <formula>1.75</formula>
    </cfRule>
  </conditionalFormatting>
  <conditionalFormatting sqref="AA70">
    <cfRule type="cellIs" dxfId="855" priority="789" stopIfTrue="1" operator="greaterThan">
      <formula>1.75</formula>
    </cfRule>
    <cfRule type="cellIs" dxfId="854" priority="790" stopIfTrue="1" operator="between">
      <formula>1.25</formula>
      <formula>1.75</formula>
    </cfRule>
  </conditionalFormatting>
  <conditionalFormatting sqref="AB68">
    <cfRule type="cellIs" dxfId="853" priority="787" stopIfTrue="1" operator="greaterThan">
      <formula>1.75</formula>
    </cfRule>
    <cfRule type="cellIs" dxfId="852" priority="788" stopIfTrue="1" operator="between">
      <formula>1.25</formula>
      <formula>1.75</formula>
    </cfRule>
  </conditionalFormatting>
  <conditionalFormatting sqref="AB70">
    <cfRule type="cellIs" dxfId="851" priority="785" stopIfTrue="1" operator="greaterThan">
      <formula>1.75</formula>
    </cfRule>
    <cfRule type="cellIs" dxfId="850" priority="786" stopIfTrue="1" operator="between">
      <formula>1.25</formula>
      <formula>1.75</formula>
    </cfRule>
  </conditionalFormatting>
  <conditionalFormatting sqref="AB70">
    <cfRule type="cellIs" dxfId="849" priority="783" stopIfTrue="1" operator="greaterThan">
      <formula>1.75</formula>
    </cfRule>
    <cfRule type="cellIs" dxfId="848" priority="784" stopIfTrue="1" operator="between">
      <formula>1.25</formula>
      <formula>1.75</formula>
    </cfRule>
  </conditionalFormatting>
  <conditionalFormatting sqref="AB70">
    <cfRule type="cellIs" dxfId="847" priority="781" stopIfTrue="1" operator="greaterThan">
      <formula>1.75</formula>
    </cfRule>
    <cfRule type="cellIs" dxfId="846" priority="782" stopIfTrue="1" operator="between">
      <formula>1.25</formula>
      <formula>1.75</formula>
    </cfRule>
  </conditionalFormatting>
  <conditionalFormatting sqref="D54">
    <cfRule type="cellIs" dxfId="845" priority="725" stopIfTrue="1" operator="greaterThan">
      <formula>1.75</formula>
    </cfRule>
    <cfRule type="cellIs" dxfId="844" priority="726" stopIfTrue="1" operator="between">
      <formula>1.25</formula>
      <formula>1.75</formula>
    </cfRule>
  </conditionalFormatting>
  <conditionalFormatting sqref="Q54">
    <cfRule type="cellIs" dxfId="843" priority="763" stopIfTrue="1" operator="greaterThan">
      <formula>1.75</formula>
    </cfRule>
    <cfRule type="cellIs" dxfId="842" priority="764" stopIfTrue="1" operator="between">
      <formula>1.25</formula>
      <formula>1.75</formula>
    </cfRule>
  </conditionalFormatting>
  <conditionalFormatting sqref="M54:O54">
    <cfRule type="cellIs" dxfId="841" priority="777" stopIfTrue="1" operator="greaterThan">
      <formula>1.75</formula>
    </cfRule>
    <cfRule type="cellIs" dxfId="840" priority="778" stopIfTrue="1" operator="between">
      <formula>1.25</formula>
      <formula>1.75</formula>
    </cfRule>
  </conditionalFormatting>
  <conditionalFormatting sqref="M54:O54">
    <cfRule type="cellIs" dxfId="839" priority="775" stopIfTrue="1" operator="greaterThan">
      <formula>1.75</formula>
    </cfRule>
    <cfRule type="cellIs" dxfId="838" priority="776" stopIfTrue="1" operator="between">
      <formula>1.25</formula>
      <formula>1.75</formula>
    </cfRule>
  </conditionalFormatting>
  <conditionalFormatting sqref="P54">
    <cfRule type="cellIs" dxfId="837" priority="773" stopIfTrue="1" operator="greaterThan">
      <formula>1.75</formula>
    </cfRule>
    <cfRule type="cellIs" dxfId="836" priority="774" stopIfTrue="1" operator="between">
      <formula>1.25</formula>
      <formula>1.75</formula>
    </cfRule>
  </conditionalFormatting>
  <conditionalFormatting sqref="P54">
    <cfRule type="cellIs" dxfId="835" priority="771" stopIfTrue="1" operator="greaterThan">
      <formula>1.75</formula>
    </cfRule>
    <cfRule type="cellIs" dxfId="834" priority="772" stopIfTrue="1" operator="between">
      <formula>1.25</formula>
      <formula>1.75</formula>
    </cfRule>
  </conditionalFormatting>
  <conditionalFormatting sqref="P54">
    <cfRule type="cellIs" dxfId="833" priority="769" stopIfTrue="1" operator="greaterThan">
      <formula>1.75</formula>
    </cfRule>
    <cfRule type="cellIs" dxfId="832" priority="770" stopIfTrue="1" operator="between">
      <formula>1.25</formula>
      <formula>1.75</formula>
    </cfRule>
  </conditionalFormatting>
  <conditionalFormatting sqref="U54">
    <cfRule type="cellIs" dxfId="831" priority="767" stopIfTrue="1" operator="greaterThan">
      <formula>1.75</formula>
    </cfRule>
    <cfRule type="cellIs" dxfId="830" priority="768" stopIfTrue="1" operator="between">
      <formula>1.25</formula>
      <formula>1.75</formula>
    </cfRule>
  </conditionalFormatting>
  <conditionalFormatting sqref="T54">
    <cfRule type="cellIs" dxfId="829" priority="765" stopIfTrue="1" operator="greaterThan">
      <formula>1.75</formula>
    </cfRule>
    <cfRule type="cellIs" dxfId="828" priority="766" stopIfTrue="1" operator="between">
      <formula>1.25</formula>
      <formula>1.75</formula>
    </cfRule>
  </conditionalFormatting>
  <conditionalFormatting sqref="Q54">
    <cfRule type="cellIs" dxfId="827" priority="761" stopIfTrue="1" operator="greaterThan">
      <formula>1.75</formula>
    </cfRule>
    <cfRule type="cellIs" dxfId="826" priority="762" stopIfTrue="1" operator="between">
      <formula>1.25</formula>
      <formula>1.75</formula>
    </cfRule>
  </conditionalFormatting>
  <conditionalFormatting sqref="Q54">
    <cfRule type="cellIs" dxfId="825" priority="759" stopIfTrue="1" operator="greaterThan">
      <formula>1.75</formula>
    </cfRule>
    <cfRule type="cellIs" dxfId="824" priority="760" stopIfTrue="1" operator="between">
      <formula>1.25</formula>
      <formula>1.75</formula>
    </cfRule>
  </conditionalFormatting>
  <conditionalFormatting sqref="R54">
    <cfRule type="cellIs" dxfId="823" priority="757" stopIfTrue="1" operator="greaterThan">
      <formula>1.75</formula>
    </cfRule>
    <cfRule type="cellIs" dxfId="822" priority="758" stopIfTrue="1" operator="between">
      <formula>1.25</formula>
      <formula>1.75</formula>
    </cfRule>
  </conditionalFormatting>
  <conditionalFormatting sqref="R54">
    <cfRule type="cellIs" dxfId="821" priority="755" stopIfTrue="1" operator="greaterThan">
      <formula>1.75</formula>
    </cfRule>
    <cfRule type="cellIs" dxfId="820" priority="756" stopIfTrue="1" operator="between">
      <formula>1.25</formula>
      <formula>1.75</formula>
    </cfRule>
  </conditionalFormatting>
  <conditionalFormatting sqref="R54">
    <cfRule type="cellIs" dxfId="819" priority="753" stopIfTrue="1" operator="greaterThan">
      <formula>1.75</formula>
    </cfRule>
    <cfRule type="cellIs" dxfId="818" priority="754" stopIfTrue="1" operator="between">
      <formula>1.25</formula>
      <formula>1.75</formula>
    </cfRule>
  </conditionalFormatting>
  <conditionalFormatting sqref="S54">
    <cfRule type="cellIs" dxfId="817" priority="749" stopIfTrue="1" operator="greaterThan">
      <formula>1.75</formula>
    </cfRule>
    <cfRule type="cellIs" dxfId="816" priority="750" stopIfTrue="1" operator="between">
      <formula>1.25</formula>
      <formula>1.75</formula>
    </cfRule>
  </conditionalFormatting>
  <conditionalFormatting sqref="S54">
    <cfRule type="cellIs" dxfId="815" priority="747" stopIfTrue="1" operator="greaterThan">
      <formula>1.75</formula>
    </cfRule>
    <cfRule type="cellIs" dxfId="814" priority="748" stopIfTrue="1" operator="between">
      <formula>1.25</formula>
      <formula>1.75</formula>
    </cfRule>
  </conditionalFormatting>
  <conditionalFormatting sqref="S54">
    <cfRule type="cellIs" dxfId="813" priority="751" stopIfTrue="1" operator="greaterThan">
      <formula>1.75</formula>
    </cfRule>
    <cfRule type="cellIs" dxfId="812" priority="752" stopIfTrue="1" operator="between">
      <formula>1.25</formula>
      <formula>1.75</formula>
    </cfRule>
  </conditionalFormatting>
  <conditionalFormatting sqref="M54:O54">
    <cfRule type="cellIs" dxfId="811" priority="779" stopIfTrue="1" operator="greaterThan">
      <formula>1.75</formula>
    </cfRule>
    <cfRule type="cellIs" dxfId="810" priority="780" stopIfTrue="1" operator="between">
      <formula>1.25</formula>
      <formula>1.75</formula>
    </cfRule>
  </conditionalFormatting>
  <conditionalFormatting sqref="H56">
    <cfRule type="cellIs" dxfId="809" priority="681" stopIfTrue="1" operator="greaterThan">
      <formula>1.75</formula>
    </cfRule>
    <cfRule type="cellIs" dxfId="808" priority="682" stopIfTrue="1" operator="between">
      <formula>1.25</formula>
      <formula>1.75</formula>
    </cfRule>
  </conditionalFormatting>
  <conditionalFormatting sqref="H56">
    <cfRule type="cellIs" dxfId="807" priority="683" stopIfTrue="1" operator="greaterThan">
      <formula>1.75</formula>
    </cfRule>
    <cfRule type="cellIs" dxfId="806" priority="684" stopIfTrue="1" operator="between">
      <formula>1.25</formula>
      <formula>1.75</formula>
    </cfRule>
  </conditionalFormatting>
  <conditionalFormatting sqref="M56:U56">
    <cfRule type="cellIs" dxfId="805" priority="745" stopIfTrue="1" operator="greaterThan">
      <formula>1.75</formula>
    </cfRule>
    <cfRule type="cellIs" dxfId="804" priority="746" stopIfTrue="1" operator="between">
      <formula>1.25</formula>
      <formula>1.75</formula>
    </cfRule>
  </conditionalFormatting>
  <conditionalFormatting sqref="M56:U56">
    <cfRule type="cellIs" dxfId="803" priority="743" stopIfTrue="1" operator="greaterThan">
      <formula>1.75</formula>
    </cfRule>
    <cfRule type="cellIs" dxfId="802" priority="744" stopIfTrue="1" operator="between">
      <formula>1.25</formula>
      <formula>1.75</formula>
    </cfRule>
  </conditionalFormatting>
  <conditionalFormatting sqref="M56:U56">
    <cfRule type="cellIs" dxfId="801" priority="741" stopIfTrue="1" operator="greaterThan">
      <formula>1.75</formula>
    </cfRule>
    <cfRule type="cellIs" dxfId="800" priority="742" stopIfTrue="1" operator="between">
      <formula>1.25</formula>
      <formula>1.75</formula>
    </cfRule>
  </conditionalFormatting>
  <conditionalFormatting sqref="G56">
    <cfRule type="cellIs" dxfId="799" priority="685" stopIfTrue="1" operator="greaterThan">
      <formula>1.75</formula>
    </cfRule>
    <cfRule type="cellIs" dxfId="798" priority="686" stopIfTrue="1" operator="between">
      <formula>1.25</formula>
      <formula>1.75</formula>
    </cfRule>
  </conditionalFormatting>
  <conditionalFormatting sqref="V54">
    <cfRule type="cellIs" dxfId="797" priority="739" stopIfTrue="1" operator="greaterThan">
      <formula>1.75</formula>
    </cfRule>
    <cfRule type="cellIs" dxfId="796" priority="740" stopIfTrue="1" operator="between">
      <formula>1.25</formula>
      <formula>1.75</formula>
    </cfRule>
  </conditionalFormatting>
  <conditionalFormatting sqref="V56">
    <cfRule type="cellIs" dxfId="795" priority="737" stopIfTrue="1" operator="greaterThan">
      <formula>1.75</formula>
    </cfRule>
    <cfRule type="cellIs" dxfId="794" priority="738" stopIfTrue="1" operator="between">
      <formula>1.25</formula>
      <formula>1.75</formula>
    </cfRule>
  </conditionalFormatting>
  <conditionalFormatting sqref="V56">
    <cfRule type="cellIs" dxfId="793" priority="735" stopIfTrue="1" operator="greaterThan">
      <formula>1.75</formula>
    </cfRule>
    <cfRule type="cellIs" dxfId="792" priority="736" stopIfTrue="1" operator="between">
      <formula>1.25</formula>
      <formula>1.75</formula>
    </cfRule>
  </conditionalFormatting>
  <conditionalFormatting sqref="V56">
    <cfRule type="cellIs" dxfId="791" priority="733" stopIfTrue="1" operator="greaterThan">
      <formula>1.75</formula>
    </cfRule>
    <cfRule type="cellIs" dxfId="790" priority="734" stopIfTrue="1" operator="between">
      <formula>1.25</formula>
      <formula>1.75</formula>
    </cfRule>
  </conditionalFormatting>
  <conditionalFormatting sqref="C54">
    <cfRule type="cellIs" dxfId="789" priority="729" stopIfTrue="1" operator="greaterThan">
      <formula>1.75</formula>
    </cfRule>
    <cfRule type="cellIs" dxfId="788" priority="730" stopIfTrue="1" operator="between">
      <formula>1.25</formula>
      <formula>1.75</formula>
    </cfRule>
  </conditionalFormatting>
  <conditionalFormatting sqref="C54">
    <cfRule type="cellIs" dxfId="787" priority="727" stopIfTrue="1" operator="greaterThan">
      <formula>1.75</formula>
    </cfRule>
    <cfRule type="cellIs" dxfId="786" priority="728" stopIfTrue="1" operator="between">
      <formula>1.25</formula>
      <formula>1.75</formula>
    </cfRule>
  </conditionalFormatting>
  <conditionalFormatting sqref="C54">
    <cfRule type="cellIs" dxfId="785" priority="731" stopIfTrue="1" operator="greaterThan">
      <formula>1.75</formula>
    </cfRule>
    <cfRule type="cellIs" dxfId="784" priority="732" stopIfTrue="1" operator="between">
      <formula>1.25</formula>
      <formula>1.75</formula>
    </cfRule>
  </conditionalFormatting>
  <conditionalFormatting sqref="D54">
    <cfRule type="cellIs" dxfId="783" priority="723" stopIfTrue="1" operator="greaterThan">
      <formula>1.75</formula>
    </cfRule>
    <cfRule type="cellIs" dxfId="782" priority="724" stopIfTrue="1" operator="between">
      <formula>1.25</formula>
      <formula>1.75</formula>
    </cfRule>
  </conditionalFormatting>
  <conditionalFormatting sqref="D54">
    <cfRule type="cellIs" dxfId="781" priority="721" stopIfTrue="1" operator="greaterThan">
      <formula>1.75</formula>
    </cfRule>
    <cfRule type="cellIs" dxfId="780" priority="722" stopIfTrue="1" operator="between">
      <formula>1.25</formula>
      <formula>1.75</formula>
    </cfRule>
  </conditionalFormatting>
  <conditionalFormatting sqref="C56">
    <cfRule type="cellIs" dxfId="779" priority="715" stopIfTrue="1" operator="greaterThan">
      <formula>1.75</formula>
    </cfRule>
    <cfRule type="cellIs" dxfId="778" priority="716" stopIfTrue="1" operator="between">
      <formula>1.25</formula>
      <formula>1.75</formula>
    </cfRule>
  </conditionalFormatting>
  <conditionalFormatting sqref="C56">
    <cfRule type="cellIs" dxfId="777" priority="717" stopIfTrue="1" operator="greaterThan">
      <formula>1.75</formula>
    </cfRule>
    <cfRule type="cellIs" dxfId="776" priority="718" stopIfTrue="1" operator="between">
      <formula>1.25</formula>
      <formula>1.75</formula>
    </cfRule>
  </conditionalFormatting>
  <conditionalFormatting sqref="C56">
    <cfRule type="cellIs" dxfId="775" priority="719" stopIfTrue="1" operator="greaterThan">
      <formula>1.75</formula>
    </cfRule>
    <cfRule type="cellIs" dxfId="774" priority="720" stopIfTrue="1" operator="between">
      <formula>1.25</formula>
      <formula>1.75</formula>
    </cfRule>
  </conditionalFormatting>
  <conditionalFormatting sqref="D56">
    <cfRule type="cellIs" dxfId="773" priority="709" stopIfTrue="1" operator="greaterThan">
      <formula>1.75</formula>
    </cfRule>
    <cfRule type="cellIs" dxfId="772" priority="710" stopIfTrue="1" operator="between">
      <formula>1.25</formula>
      <formula>1.75</formula>
    </cfRule>
  </conditionalFormatting>
  <conditionalFormatting sqref="D56">
    <cfRule type="cellIs" dxfId="771" priority="711" stopIfTrue="1" operator="greaterThan">
      <formula>1.75</formula>
    </cfRule>
    <cfRule type="cellIs" dxfId="770" priority="712" stopIfTrue="1" operator="between">
      <formula>1.25</formula>
      <formula>1.75</formula>
    </cfRule>
  </conditionalFormatting>
  <conditionalFormatting sqref="D56">
    <cfRule type="cellIs" dxfId="769" priority="713" stopIfTrue="1" operator="greaterThan">
      <formula>1.75</formula>
    </cfRule>
    <cfRule type="cellIs" dxfId="768" priority="714" stopIfTrue="1" operator="between">
      <formula>1.25</formula>
      <formula>1.75</formula>
    </cfRule>
  </conditionalFormatting>
  <conditionalFormatting sqref="E56">
    <cfRule type="cellIs" dxfId="767" priority="703" stopIfTrue="1" operator="greaterThan">
      <formula>1.75</formula>
    </cfRule>
    <cfRule type="cellIs" dxfId="766" priority="704" stopIfTrue="1" operator="between">
      <formula>1.25</formula>
      <formula>1.75</formula>
    </cfRule>
  </conditionalFormatting>
  <conditionalFormatting sqref="E56">
    <cfRule type="cellIs" dxfId="765" priority="705" stopIfTrue="1" operator="greaterThan">
      <formula>1.75</formula>
    </cfRule>
    <cfRule type="cellIs" dxfId="764" priority="706" stopIfTrue="1" operator="between">
      <formula>1.25</formula>
      <formula>1.75</formula>
    </cfRule>
  </conditionalFormatting>
  <conditionalFormatting sqref="E56">
    <cfRule type="cellIs" dxfId="763" priority="707" stopIfTrue="1" operator="greaterThan">
      <formula>1.75</formula>
    </cfRule>
    <cfRule type="cellIs" dxfId="762" priority="708" stopIfTrue="1" operator="between">
      <formula>1.25</formula>
      <formula>1.75</formula>
    </cfRule>
  </conditionalFormatting>
  <conditionalFormatting sqref="E54">
    <cfRule type="cellIs" dxfId="761" priority="699" stopIfTrue="1" operator="greaterThan">
      <formula>1.75</formula>
    </cfRule>
    <cfRule type="cellIs" dxfId="760" priority="700" stopIfTrue="1" operator="between">
      <formula>1.25</formula>
      <formula>1.75</formula>
    </cfRule>
  </conditionalFormatting>
  <conditionalFormatting sqref="E54">
    <cfRule type="cellIs" dxfId="759" priority="697" stopIfTrue="1" operator="greaterThan">
      <formula>1.75</formula>
    </cfRule>
    <cfRule type="cellIs" dxfId="758" priority="698" stopIfTrue="1" operator="between">
      <formula>1.25</formula>
      <formula>1.75</formula>
    </cfRule>
  </conditionalFormatting>
  <conditionalFormatting sqref="E54">
    <cfRule type="cellIs" dxfId="757" priority="701" stopIfTrue="1" operator="greaterThan">
      <formula>1.75</formula>
    </cfRule>
    <cfRule type="cellIs" dxfId="756" priority="702" stopIfTrue="1" operator="between">
      <formula>1.25</formula>
      <formula>1.75</formula>
    </cfRule>
  </conditionalFormatting>
  <conditionalFormatting sqref="F56">
    <cfRule type="cellIs" dxfId="755" priority="691" stopIfTrue="1" operator="greaterThan">
      <formula>1.75</formula>
    </cfRule>
    <cfRule type="cellIs" dxfId="754" priority="692" stopIfTrue="1" operator="between">
      <formula>1.25</formula>
      <formula>1.75</formula>
    </cfRule>
  </conditionalFormatting>
  <conditionalFormatting sqref="F56">
    <cfRule type="cellIs" dxfId="753" priority="693" stopIfTrue="1" operator="greaterThan">
      <formula>1.75</formula>
    </cfRule>
    <cfRule type="cellIs" dxfId="752" priority="694" stopIfTrue="1" operator="between">
      <formula>1.25</formula>
      <formula>1.75</formula>
    </cfRule>
  </conditionalFormatting>
  <conditionalFormatting sqref="F56">
    <cfRule type="cellIs" dxfId="751" priority="695" stopIfTrue="1" operator="greaterThan">
      <formula>1.75</formula>
    </cfRule>
    <cfRule type="cellIs" dxfId="750" priority="696" stopIfTrue="1" operator="between">
      <formula>1.25</formula>
      <formula>1.75</formula>
    </cfRule>
  </conditionalFormatting>
  <conditionalFormatting sqref="G56">
    <cfRule type="cellIs" dxfId="749" priority="687" stopIfTrue="1" operator="greaterThan">
      <formula>1.75</formula>
    </cfRule>
    <cfRule type="cellIs" dxfId="748" priority="688" stopIfTrue="1" operator="between">
      <formula>1.25</formula>
      <formula>1.75</formula>
    </cfRule>
  </conditionalFormatting>
  <conditionalFormatting sqref="G56">
    <cfRule type="cellIs" dxfId="747" priority="689" stopIfTrue="1" operator="greaterThan">
      <formula>1.75</formula>
    </cfRule>
    <cfRule type="cellIs" dxfId="746" priority="690" stopIfTrue="1" operator="between">
      <formula>1.25</formula>
      <formula>1.75</formula>
    </cfRule>
  </conditionalFormatting>
  <conditionalFormatting sqref="H56">
    <cfRule type="cellIs" dxfId="745" priority="679" stopIfTrue="1" operator="greaterThan">
      <formula>1.75</formula>
    </cfRule>
    <cfRule type="cellIs" dxfId="744" priority="680" stopIfTrue="1" operator="between">
      <formula>1.25</formula>
      <formula>1.75</formula>
    </cfRule>
  </conditionalFormatting>
  <conditionalFormatting sqref="I56">
    <cfRule type="cellIs" dxfId="743" priority="673" stopIfTrue="1" operator="greaterThan">
      <formula>1.75</formula>
    </cfRule>
    <cfRule type="cellIs" dxfId="742" priority="674" stopIfTrue="1" operator="between">
      <formula>1.25</formula>
      <formula>1.75</formula>
    </cfRule>
  </conditionalFormatting>
  <conditionalFormatting sqref="I56">
    <cfRule type="cellIs" dxfId="741" priority="675" stopIfTrue="1" operator="greaterThan">
      <formula>1.75</formula>
    </cfRule>
    <cfRule type="cellIs" dxfId="740" priority="676" stopIfTrue="1" operator="between">
      <formula>1.25</formula>
      <formula>1.75</formula>
    </cfRule>
  </conditionalFormatting>
  <conditionalFormatting sqref="I56">
    <cfRule type="cellIs" dxfId="739" priority="677" stopIfTrue="1" operator="greaterThan">
      <formula>1.75</formula>
    </cfRule>
    <cfRule type="cellIs" dxfId="738" priority="678" stopIfTrue="1" operator="between">
      <formula>1.25</formula>
      <formula>1.75</formula>
    </cfRule>
  </conditionalFormatting>
  <conditionalFormatting sqref="J56">
    <cfRule type="cellIs" dxfId="737" priority="667" stopIfTrue="1" operator="greaterThan">
      <formula>1.75</formula>
    </cfRule>
    <cfRule type="cellIs" dxfId="736" priority="668" stopIfTrue="1" operator="between">
      <formula>1.25</formula>
      <formula>1.75</formula>
    </cfRule>
  </conditionalFormatting>
  <conditionalFormatting sqref="J56">
    <cfRule type="cellIs" dxfId="735" priority="669" stopIfTrue="1" operator="greaterThan">
      <formula>1.75</formula>
    </cfRule>
    <cfRule type="cellIs" dxfId="734" priority="670" stopIfTrue="1" operator="between">
      <formula>1.25</formula>
      <formula>1.75</formula>
    </cfRule>
  </conditionalFormatting>
  <conditionalFormatting sqref="J56">
    <cfRule type="cellIs" dxfId="733" priority="671" stopIfTrue="1" operator="greaterThan">
      <formula>1.75</formula>
    </cfRule>
    <cfRule type="cellIs" dxfId="732" priority="672" stopIfTrue="1" operator="between">
      <formula>1.25</formula>
      <formula>1.75</formula>
    </cfRule>
  </conditionalFormatting>
  <conditionalFormatting sqref="K56">
    <cfRule type="cellIs" dxfId="731" priority="661" stopIfTrue="1" operator="greaterThan">
      <formula>1.75</formula>
    </cfRule>
    <cfRule type="cellIs" dxfId="730" priority="662" stopIfTrue="1" operator="between">
      <formula>1.25</formula>
      <formula>1.75</formula>
    </cfRule>
  </conditionalFormatting>
  <conditionalFormatting sqref="K56">
    <cfRule type="cellIs" dxfId="729" priority="663" stopIfTrue="1" operator="greaterThan">
      <formula>1.75</formula>
    </cfRule>
    <cfRule type="cellIs" dxfId="728" priority="664" stopIfTrue="1" operator="between">
      <formula>1.25</formula>
      <formula>1.75</formula>
    </cfRule>
  </conditionalFormatting>
  <conditionalFormatting sqref="K56">
    <cfRule type="cellIs" dxfId="727" priority="665" stopIfTrue="1" operator="greaterThan">
      <formula>1.75</formula>
    </cfRule>
    <cfRule type="cellIs" dxfId="726" priority="666" stopIfTrue="1" operator="between">
      <formula>1.25</formula>
      <formula>1.75</formula>
    </cfRule>
  </conditionalFormatting>
  <conditionalFormatting sqref="L56">
    <cfRule type="cellIs" dxfId="725" priority="655" stopIfTrue="1" operator="greaterThan">
      <formula>1.75</formula>
    </cfRule>
    <cfRule type="cellIs" dxfId="724" priority="656" stopIfTrue="1" operator="between">
      <formula>1.25</formula>
      <formula>1.75</formula>
    </cfRule>
  </conditionalFormatting>
  <conditionalFormatting sqref="L56">
    <cfRule type="cellIs" dxfId="723" priority="657" stopIfTrue="1" operator="greaterThan">
      <formula>1.75</formula>
    </cfRule>
    <cfRule type="cellIs" dxfId="722" priority="658" stopIfTrue="1" operator="between">
      <formula>1.25</formula>
      <formula>1.75</formula>
    </cfRule>
  </conditionalFormatting>
  <conditionalFormatting sqref="L56">
    <cfRule type="cellIs" dxfId="721" priority="659" stopIfTrue="1" operator="greaterThan">
      <formula>1.75</formula>
    </cfRule>
    <cfRule type="cellIs" dxfId="720" priority="660" stopIfTrue="1" operator="between">
      <formula>1.25</formula>
      <formula>1.75</formula>
    </cfRule>
  </conditionalFormatting>
  <conditionalFormatting sqref="F54">
    <cfRule type="cellIs" dxfId="719" priority="651" stopIfTrue="1" operator="greaterThan">
      <formula>1.75</formula>
    </cfRule>
    <cfRule type="cellIs" dxfId="718" priority="652" stopIfTrue="1" operator="between">
      <formula>1.25</formula>
      <formula>1.75</formula>
    </cfRule>
  </conditionalFormatting>
  <conditionalFormatting sqref="F54">
    <cfRule type="cellIs" dxfId="717" priority="649" stopIfTrue="1" operator="greaterThan">
      <formula>1.75</formula>
    </cfRule>
    <cfRule type="cellIs" dxfId="716" priority="650" stopIfTrue="1" operator="between">
      <formula>1.25</formula>
      <formula>1.75</formula>
    </cfRule>
  </conditionalFormatting>
  <conditionalFormatting sqref="F54">
    <cfRule type="cellIs" dxfId="715" priority="653" stopIfTrue="1" operator="greaterThan">
      <formula>1.75</formula>
    </cfRule>
    <cfRule type="cellIs" dxfId="714" priority="654" stopIfTrue="1" operator="between">
      <formula>1.25</formula>
      <formula>1.75</formula>
    </cfRule>
  </conditionalFormatting>
  <conditionalFormatting sqref="G54">
    <cfRule type="cellIs" dxfId="713" priority="645" stopIfTrue="1" operator="greaterThan">
      <formula>1.75</formula>
    </cfRule>
    <cfRule type="cellIs" dxfId="712" priority="646" stopIfTrue="1" operator="between">
      <formula>1.25</formula>
      <formula>1.75</formula>
    </cfRule>
  </conditionalFormatting>
  <conditionalFormatting sqref="G54">
    <cfRule type="cellIs" dxfId="711" priority="643" stopIfTrue="1" operator="greaterThan">
      <formula>1.75</formula>
    </cfRule>
    <cfRule type="cellIs" dxfId="710" priority="644" stopIfTrue="1" operator="between">
      <formula>1.25</formula>
      <formula>1.75</formula>
    </cfRule>
  </conditionalFormatting>
  <conditionalFormatting sqref="G54">
    <cfRule type="cellIs" dxfId="709" priority="647" stopIfTrue="1" operator="greaterThan">
      <formula>1.75</formula>
    </cfRule>
    <cfRule type="cellIs" dxfId="708" priority="648" stopIfTrue="1" operator="between">
      <formula>1.25</formula>
      <formula>1.75</formula>
    </cfRule>
  </conditionalFormatting>
  <conditionalFormatting sqref="H54">
    <cfRule type="cellIs" dxfId="707" priority="639" stopIfTrue="1" operator="greaterThan">
      <formula>1.75</formula>
    </cfRule>
    <cfRule type="cellIs" dxfId="706" priority="640" stopIfTrue="1" operator="between">
      <formula>1.25</formula>
      <formula>1.75</formula>
    </cfRule>
  </conditionalFormatting>
  <conditionalFormatting sqref="H54">
    <cfRule type="cellIs" dxfId="705" priority="637" stopIfTrue="1" operator="greaterThan">
      <formula>1.75</formula>
    </cfRule>
    <cfRule type="cellIs" dxfId="704" priority="638" stopIfTrue="1" operator="between">
      <formula>1.25</formula>
      <formula>1.75</formula>
    </cfRule>
  </conditionalFormatting>
  <conditionalFormatting sqref="H54">
    <cfRule type="cellIs" dxfId="703" priority="641" stopIfTrue="1" operator="greaterThan">
      <formula>1.75</formula>
    </cfRule>
    <cfRule type="cellIs" dxfId="702" priority="642" stopIfTrue="1" operator="between">
      <formula>1.25</formula>
      <formula>1.75</formula>
    </cfRule>
  </conditionalFormatting>
  <conditionalFormatting sqref="I54">
    <cfRule type="cellIs" dxfId="701" priority="633" stopIfTrue="1" operator="greaterThan">
      <formula>1.75</formula>
    </cfRule>
    <cfRule type="cellIs" dxfId="700" priority="634" stopIfTrue="1" operator="between">
      <formula>1.25</formula>
      <formula>1.75</formula>
    </cfRule>
  </conditionalFormatting>
  <conditionalFormatting sqref="I54">
    <cfRule type="cellIs" dxfId="699" priority="631" stopIfTrue="1" operator="greaterThan">
      <formula>1.75</formula>
    </cfRule>
    <cfRule type="cellIs" dxfId="698" priority="632" stopIfTrue="1" operator="between">
      <formula>1.25</formula>
      <formula>1.75</formula>
    </cfRule>
  </conditionalFormatting>
  <conditionalFormatting sqref="I54">
    <cfRule type="cellIs" dxfId="697" priority="635" stopIfTrue="1" operator="greaterThan">
      <formula>1.75</formula>
    </cfRule>
    <cfRule type="cellIs" dxfId="696" priority="636" stopIfTrue="1" operator="between">
      <formula>1.25</formula>
      <formula>1.75</formula>
    </cfRule>
  </conditionalFormatting>
  <conditionalFormatting sqref="J54">
    <cfRule type="cellIs" dxfId="695" priority="627" stopIfTrue="1" operator="greaterThan">
      <formula>1.75</formula>
    </cfRule>
    <cfRule type="cellIs" dxfId="694" priority="628" stopIfTrue="1" operator="between">
      <formula>1.25</formula>
      <formula>1.75</formula>
    </cfRule>
  </conditionalFormatting>
  <conditionalFormatting sqref="J54">
    <cfRule type="cellIs" dxfId="693" priority="625" stopIfTrue="1" operator="greaterThan">
      <formula>1.75</formula>
    </cfRule>
    <cfRule type="cellIs" dxfId="692" priority="626" stopIfTrue="1" operator="between">
      <formula>1.25</formula>
      <formula>1.75</formula>
    </cfRule>
  </conditionalFormatting>
  <conditionalFormatting sqref="J54">
    <cfRule type="cellIs" dxfId="691" priority="629" stopIfTrue="1" operator="greaterThan">
      <formula>1.75</formula>
    </cfRule>
    <cfRule type="cellIs" dxfId="690" priority="630" stopIfTrue="1" operator="between">
      <formula>1.25</formula>
      <formula>1.75</formula>
    </cfRule>
  </conditionalFormatting>
  <conditionalFormatting sqref="K54">
    <cfRule type="cellIs" dxfId="689" priority="621" stopIfTrue="1" operator="greaterThan">
      <formula>1.75</formula>
    </cfRule>
    <cfRule type="cellIs" dxfId="688" priority="622" stopIfTrue="1" operator="between">
      <formula>1.25</formula>
      <formula>1.75</formula>
    </cfRule>
  </conditionalFormatting>
  <conditionalFormatting sqref="K54">
    <cfRule type="cellIs" dxfId="687" priority="619" stopIfTrue="1" operator="greaterThan">
      <formula>1.75</formula>
    </cfRule>
    <cfRule type="cellIs" dxfId="686" priority="620" stopIfTrue="1" operator="between">
      <formula>1.25</formula>
      <formula>1.75</formula>
    </cfRule>
  </conditionalFormatting>
  <conditionalFormatting sqref="K54">
    <cfRule type="cellIs" dxfId="685" priority="623" stopIfTrue="1" operator="greaterThan">
      <formula>1.75</formula>
    </cfRule>
    <cfRule type="cellIs" dxfId="684" priority="624" stopIfTrue="1" operator="between">
      <formula>1.25</formula>
      <formula>1.75</formula>
    </cfRule>
  </conditionalFormatting>
  <conditionalFormatting sqref="L54">
    <cfRule type="cellIs" dxfId="683" priority="615" stopIfTrue="1" operator="greaterThan">
      <formula>1.75</formula>
    </cfRule>
    <cfRule type="cellIs" dxfId="682" priority="616" stopIfTrue="1" operator="between">
      <formula>1.25</formula>
      <formula>1.75</formula>
    </cfRule>
  </conditionalFormatting>
  <conditionalFormatting sqref="L54">
    <cfRule type="cellIs" dxfId="681" priority="613" stopIfTrue="1" operator="greaterThan">
      <formula>1.75</formula>
    </cfRule>
    <cfRule type="cellIs" dxfId="680" priority="614" stopIfTrue="1" operator="between">
      <formula>1.25</formula>
      <formula>1.75</formula>
    </cfRule>
  </conditionalFormatting>
  <conditionalFormatting sqref="L54">
    <cfRule type="cellIs" dxfId="679" priority="617" stopIfTrue="1" operator="greaterThan">
      <formula>1.75</formula>
    </cfRule>
    <cfRule type="cellIs" dxfId="678" priority="618" stopIfTrue="1" operator="between">
      <formula>1.25</formula>
      <formula>1.75</formula>
    </cfRule>
  </conditionalFormatting>
  <conditionalFormatting sqref="W54">
    <cfRule type="cellIs" dxfId="677" priority="611" stopIfTrue="1" operator="greaterThan">
      <formula>1.75</formula>
    </cfRule>
    <cfRule type="cellIs" dxfId="676" priority="612" stopIfTrue="1" operator="between">
      <formula>1.25</formula>
      <formula>1.75</formula>
    </cfRule>
  </conditionalFormatting>
  <conditionalFormatting sqref="W56">
    <cfRule type="cellIs" dxfId="675" priority="609" stopIfTrue="1" operator="greaterThan">
      <formula>1.75</formula>
    </cfRule>
    <cfRule type="cellIs" dxfId="674" priority="610" stopIfTrue="1" operator="between">
      <formula>1.25</formula>
      <formula>1.75</formula>
    </cfRule>
  </conditionalFormatting>
  <conditionalFormatting sqref="W56">
    <cfRule type="cellIs" dxfId="673" priority="607" stopIfTrue="1" operator="greaterThan">
      <formula>1.75</formula>
    </cfRule>
    <cfRule type="cellIs" dxfId="672" priority="608" stopIfTrue="1" operator="between">
      <formula>1.25</formula>
      <formula>1.75</formula>
    </cfRule>
  </conditionalFormatting>
  <conditionalFormatting sqref="W56">
    <cfRule type="cellIs" dxfId="671" priority="605" stopIfTrue="1" operator="greaterThan">
      <formula>1.75</formula>
    </cfRule>
    <cfRule type="cellIs" dxfId="670" priority="606" stopIfTrue="1" operator="between">
      <formula>1.25</formula>
      <formula>1.75</formula>
    </cfRule>
  </conditionalFormatting>
  <conditionalFormatting sqref="AC54">
    <cfRule type="cellIs" dxfId="669" priority="603" stopIfTrue="1" operator="greaterThan">
      <formula>1.75</formula>
    </cfRule>
    <cfRule type="cellIs" dxfId="668" priority="604" stopIfTrue="1" operator="between">
      <formula>1.25</formula>
      <formula>1.75</formula>
    </cfRule>
  </conditionalFormatting>
  <conditionalFormatting sqref="AC56">
    <cfRule type="cellIs" dxfId="667" priority="601" stopIfTrue="1" operator="greaterThan">
      <formula>1.75</formula>
    </cfRule>
    <cfRule type="cellIs" dxfId="666" priority="602" stopIfTrue="1" operator="between">
      <formula>1.25</formula>
      <formula>1.75</formula>
    </cfRule>
  </conditionalFormatting>
  <conditionalFormatting sqref="AC56">
    <cfRule type="cellIs" dxfId="665" priority="599" stopIfTrue="1" operator="greaterThan">
      <formula>1.75</formula>
    </cfRule>
    <cfRule type="cellIs" dxfId="664" priority="600" stopIfTrue="1" operator="between">
      <formula>1.25</formula>
      <formula>1.75</formula>
    </cfRule>
  </conditionalFormatting>
  <conditionalFormatting sqref="AC56">
    <cfRule type="cellIs" dxfId="663" priority="597" stopIfTrue="1" operator="greaterThan">
      <formula>1.75</formula>
    </cfRule>
    <cfRule type="cellIs" dxfId="662" priority="598" stopIfTrue="1" operator="between">
      <formula>1.25</formula>
      <formula>1.75</formula>
    </cfRule>
  </conditionalFormatting>
  <conditionalFormatting sqref="X54">
    <cfRule type="cellIs" dxfId="661" priority="595" stopIfTrue="1" operator="greaterThan">
      <formula>1.75</formula>
    </cfRule>
    <cfRule type="cellIs" dxfId="660" priority="596" stopIfTrue="1" operator="between">
      <formula>1.25</formula>
      <formula>1.75</formula>
    </cfRule>
  </conditionalFormatting>
  <conditionalFormatting sqref="X56">
    <cfRule type="cellIs" dxfId="659" priority="593" stopIfTrue="1" operator="greaterThan">
      <formula>1.75</formula>
    </cfRule>
    <cfRule type="cellIs" dxfId="658" priority="594" stopIfTrue="1" operator="between">
      <formula>1.25</formula>
      <formula>1.75</formula>
    </cfRule>
  </conditionalFormatting>
  <conditionalFormatting sqref="X56">
    <cfRule type="cellIs" dxfId="657" priority="591" stopIfTrue="1" operator="greaterThan">
      <formula>1.75</formula>
    </cfRule>
    <cfRule type="cellIs" dxfId="656" priority="592" stopIfTrue="1" operator="between">
      <formula>1.25</formula>
      <formula>1.75</formula>
    </cfRule>
  </conditionalFormatting>
  <conditionalFormatting sqref="X56">
    <cfRule type="cellIs" dxfId="655" priority="589" stopIfTrue="1" operator="greaterThan">
      <formula>1.75</formula>
    </cfRule>
    <cfRule type="cellIs" dxfId="654" priority="590" stopIfTrue="1" operator="between">
      <formula>1.25</formula>
      <formula>1.75</formula>
    </cfRule>
  </conditionalFormatting>
  <conditionalFormatting sqref="Y54">
    <cfRule type="cellIs" dxfId="653" priority="587" stopIfTrue="1" operator="greaterThan">
      <formula>1.75</formula>
    </cfRule>
    <cfRule type="cellIs" dxfId="652" priority="588" stopIfTrue="1" operator="between">
      <formula>1.25</formula>
      <formula>1.75</formula>
    </cfRule>
  </conditionalFormatting>
  <conditionalFormatting sqref="Y56">
    <cfRule type="cellIs" dxfId="651" priority="585" stopIfTrue="1" operator="greaterThan">
      <formula>1.75</formula>
    </cfRule>
    <cfRule type="cellIs" dxfId="650" priority="586" stopIfTrue="1" operator="between">
      <formula>1.25</formula>
      <formula>1.75</formula>
    </cfRule>
  </conditionalFormatting>
  <conditionalFormatting sqref="Y56">
    <cfRule type="cellIs" dxfId="649" priority="583" stopIfTrue="1" operator="greaterThan">
      <formula>1.75</formula>
    </cfRule>
    <cfRule type="cellIs" dxfId="648" priority="584" stopIfTrue="1" operator="between">
      <formula>1.25</formula>
      <formula>1.75</formula>
    </cfRule>
  </conditionalFormatting>
  <conditionalFormatting sqref="Y56">
    <cfRule type="cellIs" dxfId="647" priority="581" stopIfTrue="1" operator="greaterThan">
      <formula>1.75</formula>
    </cfRule>
    <cfRule type="cellIs" dxfId="646" priority="582" stopIfTrue="1" operator="between">
      <formula>1.25</formula>
      <formula>1.75</formula>
    </cfRule>
  </conditionalFormatting>
  <conditionalFormatting sqref="AE54">
    <cfRule type="cellIs" dxfId="645" priority="579" stopIfTrue="1" operator="greaterThan">
      <formula>1.75</formula>
    </cfRule>
    <cfRule type="cellIs" dxfId="644" priority="580" stopIfTrue="1" operator="between">
      <formula>1.25</formula>
      <formula>1.75</formula>
    </cfRule>
  </conditionalFormatting>
  <conditionalFormatting sqref="AE56">
    <cfRule type="cellIs" dxfId="643" priority="577" stopIfTrue="1" operator="greaterThan">
      <formula>1.75</formula>
    </cfRule>
    <cfRule type="cellIs" dxfId="642" priority="578" stopIfTrue="1" operator="between">
      <formula>1.25</formula>
      <formula>1.75</formula>
    </cfRule>
  </conditionalFormatting>
  <conditionalFormatting sqref="AE56">
    <cfRule type="cellIs" dxfId="641" priority="575" stopIfTrue="1" operator="greaterThan">
      <formula>1.75</formula>
    </cfRule>
    <cfRule type="cellIs" dxfId="640" priority="576" stopIfTrue="1" operator="between">
      <formula>1.25</formula>
      <formula>1.75</formula>
    </cfRule>
  </conditionalFormatting>
  <conditionalFormatting sqref="AE56">
    <cfRule type="cellIs" dxfId="639" priority="573" stopIfTrue="1" operator="greaterThan">
      <formula>1.75</formula>
    </cfRule>
    <cfRule type="cellIs" dxfId="638" priority="574" stopIfTrue="1" operator="between">
      <formula>1.25</formula>
      <formula>1.75</formula>
    </cfRule>
  </conditionalFormatting>
  <conditionalFormatting sqref="AF54">
    <cfRule type="cellIs" dxfId="637" priority="571" stopIfTrue="1" operator="greaterThan">
      <formula>1.75</formula>
    </cfRule>
    <cfRule type="cellIs" dxfId="636" priority="572" stopIfTrue="1" operator="between">
      <formula>1.25</formula>
      <formula>1.75</formula>
    </cfRule>
  </conditionalFormatting>
  <conditionalFormatting sqref="AF56">
    <cfRule type="cellIs" dxfId="635" priority="569" stopIfTrue="1" operator="greaterThan">
      <formula>1.75</formula>
    </cfRule>
    <cfRule type="cellIs" dxfId="634" priority="570" stopIfTrue="1" operator="between">
      <formula>1.25</formula>
      <formula>1.75</formula>
    </cfRule>
  </conditionalFormatting>
  <conditionalFormatting sqref="AF56">
    <cfRule type="cellIs" dxfId="633" priority="567" stopIfTrue="1" operator="greaterThan">
      <formula>1.75</formula>
    </cfRule>
    <cfRule type="cellIs" dxfId="632" priority="568" stopIfTrue="1" operator="between">
      <formula>1.25</formula>
      <formula>1.75</formula>
    </cfRule>
  </conditionalFormatting>
  <conditionalFormatting sqref="AF56">
    <cfRule type="cellIs" dxfId="631" priority="565" stopIfTrue="1" operator="greaterThan">
      <formula>1.75</formula>
    </cfRule>
    <cfRule type="cellIs" dxfId="630" priority="566" stopIfTrue="1" operator="between">
      <formula>1.25</formula>
      <formula>1.75</formula>
    </cfRule>
  </conditionalFormatting>
  <conditionalFormatting sqref="AG54">
    <cfRule type="cellIs" dxfId="629" priority="563" stopIfTrue="1" operator="greaterThan">
      <formula>1.75</formula>
    </cfRule>
    <cfRule type="cellIs" dxfId="628" priority="564" stopIfTrue="1" operator="between">
      <formula>1.25</formula>
      <formula>1.75</formula>
    </cfRule>
  </conditionalFormatting>
  <conditionalFormatting sqref="AG56">
    <cfRule type="cellIs" dxfId="627" priority="561" stopIfTrue="1" operator="greaterThan">
      <formula>1.75</formula>
    </cfRule>
    <cfRule type="cellIs" dxfId="626" priority="562" stopIfTrue="1" operator="between">
      <formula>1.25</formula>
      <formula>1.75</formula>
    </cfRule>
  </conditionalFormatting>
  <conditionalFormatting sqref="AG56">
    <cfRule type="cellIs" dxfId="625" priority="559" stopIfTrue="1" operator="greaterThan">
      <formula>1.75</formula>
    </cfRule>
    <cfRule type="cellIs" dxfId="624" priority="560" stopIfTrue="1" operator="between">
      <formula>1.25</formula>
      <formula>1.75</formula>
    </cfRule>
  </conditionalFormatting>
  <conditionalFormatting sqref="AG56">
    <cfRule type="cellIs" dxfId="623" priority="557" stopIfTrue="1" operator="greaterThan">
      <formula>1.75</formula>
    </cfRule>
    <cfRule type="cellIs" dxfId="622" priority="558" stopIfTrue="1" operator="between">
      <formula>1.25</formula>
      <formula>1.75</formula>
    </cfRule>
  </conditionalFormatting>
  <conditionalFormatting sqref="AH54">
    <cfRule type="cellIs" dxfId="621" priority="555" stopIfTrue="1" operator="greaterThan">
      <formula>1.75</formula>
    </cfRule>
    <cfRule type="cellIs" dxfId="620" priority="556" stopIfTrue="1" operator="between">
      <formula>1.25</formula>
      <formula>1.75</formula>
    </cfRule>
  </conditionalFormatting>
  <conditionalFormatting sqref="AH56">
    <cfRule type="cellIs" dxfId="619" priority="553" stopIfTrue="1" operator="greaterThan">
      <formula>1.75</formula>
    </cfRule>
    <cfRule type="cellIs" dxfId="618" priority="554" stopIfTrue="1" operator="between">
      <formula>1.25</formula>
      <formula>1.75</formula>
    </cfRule>
  </conditionalFormatting>
  <conditionalFormatting sqref="AH56">
    <cfRule type="cellIs" dxfId="617" priority="551" stopIfTrue="1" operator="greaterThan">
      <formula>1.75</formula>
    </cfRule>
    <cfRule type="cellIs" dxfId="616" priority="552" stopIfTrue="1" operator="between">
      <formula>1.25</formula>
      <formula>1.75</formula>
    </cfRule>
  </conditionalFormatting>
  <conditionalFormatting sqref="AH56">
    <cfRule type="cellIs" dxfId="615" priority="549" stopIfTrue="1" operator="greaterThan">
      <formula>1.75</formula>
    </cfRule>
    <cfRule type="cellIs" dxfId="614" priority="550" stopIfTrue="1" operator="between">
      <formula>1.25</formula>
      <formula>1.75</formula>
    </cfRule>
  </conditionalFormatting>
  <conditionalFormatting sqref="AI54">
    <cfRule type="cellIs" dxfId="613" priority="547" stopIfTrue="1" operator="greaterThan">
      <formula>1.75</formula>
    </cfRule>
    <cfRule type="cellIs" dxfId="612" priority="548" stopIfTrue="1" operator="between">
      <formula>1.25</formula>
      <formula>1.75</formula>
    </cfRule>
  </conditionalFormatting>
  <conditionalFormatting sqref="AI56">
    <cfRule type="cellIs" dxfId="611" priority="545" stopIfTrue="1" operator="greaterThan">
      <formula>1.75</formula>
    </cfRule>
    <cfRule type="cellIs" dxfId="610" priority="546" stopIfTrue="1" operator="between">
      <formula>1.25</formula>
      <formula>1.75</formula>
    </cfRule>
  </conditionalFormatting>
  <conditionalFormatting sqref="AI56">
    <cfRule type="cellIs" dxfId="609" priority="543" stopIfTrue="1" operator="greaterThan">
      <formula>1.75</formula>
    </cfRule>
    <cfRule type="cellIs" dxfId="608" priority="544" stopIfTrue="1" operator="between">
      <formula>1.25</formula>
      <formula>1.75</formula>
    </cfRule>
  </conditionalFormatting>
  <conditionalFormatting sqref="AI56">
    <cfRule type="cellIs" dxfId="607" priority="541" stopIfTrue="1" operator="greaterThan">
      <formula>1.75</formula>
    </cfRule>
    <cfRule type="cellIs" dxfId="606" priority="542" stopIfTrue="1" operator="between">
      <formula>1.25</formula>
      <formula>1.75</formula>
    </cfRule>
  </conditionalFormatting>
  <conditionalFormatting sqref="AJ54">
    <cfRule type="cellIs" dxfId="605" priority="539" stopIfTrue="1" operator="greaterThan">
      <formula>1.75</formula>
    </cfRule>
    <cfRule type="cellIs" dxfId="604" priority="540" stopIfTrue="1" operator="between">
      <formula>1.25</formula>
      <formula>1.75</formula>
    </cfRule>
  </conditionalFormatting>
  <conditionalFormatting sqref="AJ56">
    <cfRule type="cellIs" dxfId="603" priority="537" stopIfTrue="1" operator="greaterThan">
      <formula>1.75</formula>
    </cfRule>
    <cfRule type="cellIs" dxfId="602" priority="538" stopIfTrue="1" operator="between">
      <formula>1.25</formula>
      <formula>1.75</formula>
    </cfRule>
  </conditionalFormatting>
  <conditionalFormatting sqref="AJ56">
    <cfRule type="cellIs" dxfId="601" priority="535" stopIfTrue="1" operator="greaterThan">
      <formula>1.75</formula>
    </cfRule>
    <cfRule type="cellIs" dxfId="600" priority="536" stopIfTrue="1" operator="between">
      <formula>1.25</formula>
      <formula>1.75</formula>
    </cfRule>
  </conditionalFormatting>
  <conditionalFormatting sqref="AJ56">
    <cfRule type="cellIs" dxfId="599" priority="533" stopIfTrue="1" operator="greaterThan">
      <formula>1.75</formula>
    </cfRule>
    <cfRule type="cellIs" dxfId="598" priority="534" stopIfTrue="1" operator="between">
      <formula>1.25</formula>
      <formula>1.75</formula>
    </cfRule>
  </conditionalFormatting>
  <conditionalFormatting sqref="AK54">
    <cfRule type="cellIs" dxfId="597" priority="531" stopIfTrue="1" operator="greaterThan">
      <formula>1.75</formula>
    </cfRule>
    <cfRule type="cellIs" dxfId="596" priority="532" stopIfTrue="1" operator="between">
      <formula>1.25</formula>
      <formula>1.75</formula>
    </cfRule>
  </conditionalFormatting>
  <conditionalFormatting sqref="AK56">
    <cfRule type="cellIs" dxfId="595" priority="529" stopIfTrue="1" operator="greaterThan">
      <formula>1.75</formula>
    </cfRule>
    <cfRule type="cellIs" dxfId="594" priority="530" stopIfTrue="1" operator="between">
      <formula>1.25</formula>
      <formula>1.75</formula>
    </cfRule>
  </conditionalFormatting>
  <conditionalFormatting sqref="AK56">
    <cfRule type="cellIs" dxfId="593" priority="527" stopIfTrue="1" operator="greaterThan">
      <formula>1.75</formula>
    </cfRule>
    <cfRule type="cellIs" dxfId="592" priority="528" stopIfTrue="1" operator="between">
      <formula>1.25</formula>
      <formula>1.75</formula>
    </cfRule>
  </conditionalFormatting>
  <conditionalFormatting sqref="AK56">
    <cfRule type="cellIs" dxfId="591" priority="525" stopIfTrue="1" operator="greaterThan">
      <formula>1.75</formula>
    </cfRule>
    <cfRule type="cellIs" dxfId="590" priority="526" stopIfTrue="1" operator="between">
      <formula>1.25</formula>
      <formula>1.75</formula>
    </cfRule>
  </conditionalFormatting>
  <conditionalFormatting sqref="AL54">
    <cfRule type="cellIs" dxfId="589" priority="523" stopIfTrue="1" operator="greaterThan">
      <formula>1.75</formula>
    </cfRule>
    <cfRule type="cellIs" dxfId="588" priority="524" stopIfTrue="1" operator="between">
      <formula>1.25</formula>
      <formula>1.75</formula>
    </cfRule>
  </conditionalFormatting>
  <conditionalFormatting sqref="AL56">
    <cfRule type="cellIs" dxfId="587" priority="521" stopIfTrue="1" operator="greaterThan">
      <formula>1.75</formula>
    </cfRule>
    <cfRule type="cellIs" dxfId="586" priority="522" stopIfTrue="1" operator="between">
      <formula>1.25</formula>
      <formula>1.75</formula>
    </cfRule>
  </conditionalFormatting>
  <conditionalFormatting sqref="AL56">
    <cfRule type="cellIs" dxfId="585" priority="519" stopIfTrue="1" operator="greaterThan">
      <formula>1.75</formula>
    </cfRule>
    <cfRule type="cellIs" dxfId="584" priority="520" stopIfTrue="1" operator="between">
      <formula>1.25</formula>
      <formula>1.75</formula>
    </cfRule>
  </conditionalFormatting>
  <conditionalFormatting sqref="AL56">
    <cfRule type="cellIs" dxfId="583" priority="517" stopIfTrue="1" operator="greaterThan">
      <formula>1.75</formula>
    </cfRule>
    <cfRule type="cellIs" dxfId="582" priority="518" stopIfTrue="1" operator="between">
      <formula>1.25</formula>
      <formula>1.75</formula>
    </cfRule>
  </conditionalFormatting>
  <conditionalFormatting sqref="AM54">
    <cfRule type="cellIs" dxfId="581" priority="515" stopIfTrue="1" operator="greaterThan">
      <formula>1.75</formula>
    </cfRule>
    <cfRule type="cellIs" dxfId="580" priority="516" stopIfTrue="1" operator="between">
      <formula>1.25</formula>
      <formula>1.75</formula>
    </cfRule>
  </conditionalFormatting>
  <conditionalFormatting sqref="AM56">
    <cfRule type="cellIs" dxfId="579" priority="513" stopIfTrue="1" operator="greaterThan">
      <formula>1.75</formula>
    </cfRule>
    <cfRule type="cellIs" dxfId="578" priority="514" stopIfTrue="1" operator="between">
      <formula>1.25</formula>
      <formula>1.75</formula>
    </cfRule>
  </conditionalFormatting>
  <conditionalFormatting sqref="AM56">
    <cfRule type="cellIs" dxfId="577" priority="511" stopIfTrue="1" operator="greaterThan">
      <formula>1.75</formula>
    </cfRule>
    <cfRule type="cellIs" dxfId="576" priority="512" stopIfTrue="1" operator="between">
      <formula>1.25</formula>
      <formula>1.75</formula>
    </cfRule>
  </conditionalFormatting>
  <conditionalFormatting sqref="AM56">
    <cfRule type="cellIs" dxfId="575" priority="509" stopIfTrue="1" operator="greaterThan">
      <formula>1.75</formula>
    </cfRule>
    <cfRule type="cellIs" dxfId="574" priority="510" stopIfTrue="1" operator="between">
      <formula>1.25</formula>
      <formula>1.75</formula>
    </cfRule>
  </conditionalFormatting>
  <conditionalFormatting sqref="Z54">
    <cfRule type="cellIs" dxfId="573" priority="507" stopIfTrue="1" operator="greaterThan">
      <formula>1.75</formula>
    </cfRule>
    <cfRule type="cellIs" dxfId="572" priority="508" stopIfTrue="1" operator="between">
      <formula>1.25</formula>
      <formula>1.75</formula>
    </cfRule>
  </conditionalFormatting>
  <conditionalFormatting sqref="Z56">
    <cfRule type="cellIs" dxfId="571" priority="505" stopIfTrue="1" operator="greaterThan">
      <formula>1.75</formula>
    </cfRule>
    <cfRule type="cellIs" dxfId="570" priority="506" stopIfTrue="1" operator="between">
      <formula>1.25</formula>
      <formula>1.75</formula>
    </cfRule>
  </conditionalFormatting>
  <conditionalFormatting sqref="Z56">
    <cfRule type="cellIs" dxfId="569" priority="503" stopIfTrue="1" operator="greaterThan">
      <formula>1.75</formula>
    </cfRule>
    <cfRule type="cellIs" dxfId="568" priority="504" stopIfTrue="1" operator="between">
      <formula>1.25</formula>
      <formula>1.75</formula>
    </cfRule>
  </conditionalFormatting>
  <conditionalFormatting sqref="Z56">
    <cfRule type="cellIs" dxfId="567" priority="501" stopIfTrue="1" operator="greaterThan">
      <formula>1.75</formula>
    </cfRule>
    <cfRule type="cellIs" dxfId="566" priority="502" stopIfTrue="1" operator="between">
      <formula>1.25</formula>
      <formula>1.75</formula>
    </cfRule>
  </conditionalFormatting>
  <conditionalFormatting sqref="AA54">
    <cfRule type="cellIs" dxfId="565" priority="499" stopIfTrue="1" operator="greaterThan">
      <formula>1.75</formula>
    </cfRule>
    <cfRule type="cellIs" dxfId="564" priority="500" stopIfTrue="1" operator="between">
      <formula>1.25</formula>
      <formula>1.75</formula>
    </cfRule>
  </conditionalFormatting>
  <conditionalFormatting sqref="AA56">
    <cfRule type="cellIs" dxfId="563" priority="497" stopIfTrue="1" operator="greaterThan">
      <formula>1.75</formula>
    </cfRule>
    <cfRule type="cellIs" dxfId="562" priority="498" stopIfTrue="1" operator="between">
      <formula>1.25</formula>
      <formula>1.75</formula>
    </cfRule>
  </conditionalFormatting>
  <conditionalFormatting sqref="AA56">
    <cfRule type="cellIs" dxfId="561" priority="495" stopIfTrue="1" operator="greaterThan">
      <formula>1.75</formula>
    </cfRule>
    <cfRule type="cellIs" dxfId="560" priority="496" stopIfTrue="1" operator="between">
      <formula>1.25</formula>
      <formula>1.75</formula>
    </cfRule>
  </conditionalFormatting>
  <conditionalFormatting sqref="AA56">
    <cfRule type="cellIs" dxfId="559" priority="493" stopIfTrue="1" operator="greaterThan">
      <formula>1.75</formula>
    </cfRule>
    <cfRule type="cellIs" dxfId="558" priority="494" stopIfTrue="1" operator="between">
      <formula>1.25</formula>
      <formula>1.75</formula>
    </cfRule>
  </conditionalFormatting>
  <conditionalFormatting sqref="AB54">
    <cfRule type="cellIs" dxfId="557" priority="491" stopIfTrue="1" operator="greaterThan">
      <formula>1.75</formula>
    </cfRule>
    <cfRule type="cellIs" dxfId="556" priority="492" stopIfTrue="1" operator="between">
      <formula>1.25</formula>
      <formula>1.75</formula>
    </cfRule>
  </conditionalFormatting>
  <conditionalFormatting sqref="AB56">
    <cfRule type="cellIs" dxfId="555" priority="489" stopIfTrue="1" operator="greaterThan">
      <formula>1.75</formula>
    </cfRule>
    <cfRule type="cellIs" dxfId="554" priority="490" stopIfTrue="1" operator="between">
      <formula>1.25</formula>
      <formula>1.75</formula>
    </cfRule>
  </conditionalFormatting>
  <conditionalFormatting sqref="AB56">
    <cfRule type="cellIs" dxfId="553" priority="487" stopIfTrue="1" operator="greaterThan">
      <formula>1.75</formula>
    </cfRule>
    <cfRule type="cellIs" dxfId="552" priority="488" stopIfTrue="1" operator="between">
      <formula>1.25</formula>
      <formula>1.75</formula>
    </cfRule>
  </conditionalFormatting>
  <conditionalFormatting sqref="AB56">
    <cfRule type="cellIs" dxfId="551" priority="485" stopIfTrue="1" operator="greaterThan">
      <formula>1.75</formula>
    </cfRule>
    <cfRule type="cellIs" dxfId="550" priority="486" stopIfTrue="1" operator="between">
      <formula>1.25</formula>
      <formula>1.75</formula>
    </cfRule>
  </conditionalFormatting>
  <conditionalFormatting sqref="AC12">
    <cfRule type="cellIs" dxfId="549" priority="483" stopIfTrue="1" operator="greaterThan">
      <formula>1.75</formula>
    </cfRule>
    <cfRule type="cellIs" dxfId="548" priority="484" stopIfTrue="1" operator="between">
      <formula>1.25</formula>
      <formula>1.75</formula>
    </cfRule>
  </conditionalFormatting>
  <conditionalFormatting sqref="AC14">
    <cfRule type="cellIs" dxfId="547" priority="481" stopIfTrue="1" operator="greaterThan">
      <formula>1.75</formula>
    </cfRule>
    <cfRule type="cellIs" dxfId="546" priority="482" stopIfTrue="1" operator="between">
      <formula>1.25</formula>
      <formula>1.75</formula>
    </cfRule>
  </conditionalFormatting>
  <conditionalFormatting sqref="AC14">
    <cfRule type="cellIs" dxfId="545" priority="479" stopIfTrue="1" operator="greaterThan">
      <formula>1.75</formula>
    </cfRule>
    <cfRule type="cellIs" dxfId="544" priority="480" stopIfTrue="1" operator="between">
      <formula>1.25</formula>
      <formula>1.75</formula>
    </cfRule>
  </conditionalFormatting>
  <conditionalFormatting sqref="AC14">
    <cfRule type="cellIs" dxfId="543" priority="477" stopIfTrue="1" operator="greaterThan">
      <formula>1.75</formula>
    </cfRule>
    <cfRule type="cellIs" dxfId="542" priority="478" stopIfTrue="1" operator="between">
      <formula>1.25</formula>
      <formula>1.75</formula>
    </cfRule>
  </conditionalFormatting>
  <conditionalFormatting sqref="AF6:AN6">
    <cfRule type="cellIs" dxfId="541" priority="475" stopIfTrue="1" operator="greaterThan">
      <formula>1.75</formula>
    </cfRule>
    <cfRule type="cellIs" dxfId="540" priority="476" stopIfTrue="1" operator="between">
      <formula>1.25</formula>
      <formula>1.75</formula>
    </cfRule>
  </conditionalFormatting>
  <conditionalFormatting sqref="AF14:AN14">
    <cfRule type="cellIs" dxfId="539" priority="473" stopIfTrue="1" operator="greaterThan">
      <formula>1.75</formula>
    </cfRule>
    <cfRule type="cellIs" dxfId="538" priority="474" stopIfTrue="1" operator="between">
      <formula>1.25</formula>
      <formula>1.75</formula>
    </cfRule>
  </conditionalFormatting>
  <conditionalFormatting sqref="D40">
    <cfRule type="cellIs" dxfId="537" priority="417" stopIfTrue="1" operator="greaterThan">
      <formula>1.75</formula>
    </cfRule>
    <cfRule type="cellIs" dxfId="536" priority="418" stopIfTrue="1" operator="between">
      <formula>1.25</formula>
      <formula>1.75</formula>
    </cfRule>
  </conditionalFormatting>
  <conditionalFormatting sqref="Q40">
    <cfRule type="cellIs" dxfId="535" priority="455" stopIfTrue="1" operator="greaterThan">
      <formula>1.75</formula>
    </cfRule>
    <cfRule type="cellIs" dxfId="534" priority="456" stopIfTrue="1" operator="between">
      <formula>1.25</formula>
      <formula>1.75</formula>
    </cfRule>
  </conditionalFormatting>
  <conditionalFormatting sqref="M40:O40">
    <cfRule type="cellIs" dxfId="533" priority="469" stopIfTrue="1" operator="greaterThan">
      <formula>1.75</formula>
    </cfRule>
    <cfRule type="cellIs" dxfId="532" priority="470" stopIfTrue="1" operator="between">
      <formula>1.25</formula>
      <formula>1.75</formula>
    </cfRule>
  </conditionalFormatting>
  <conditionalFormatting sqref="M40:O40">
    <cfRule type="cellIs" dxfId="531" priority="467" stopIfTrue="1" operator="greaterThan">
      <formula>1.75</formula>
    </cfRule>
    <cfRule type="cellIs" dxfId="530" priority="468" stopIfTrue="1" operator="between">
      <formula>1.25</formula>
      <formula>1.75</formula>
    </cfRule>
  </conditionalFormatting>
  <conditionalFormatting sqref="P40">
    <cfRule type="cellIs" dxfId="529" priority="465" stopIfTrue="1" operator="greaterThan">
      <formula>1.75</formula>
    </cfRule>
    <cfRule type="cellIs" dxfId="528" priority="466" stopIfTrue="1" operator="between">
      <formula>1.25</formula>
      <formula>1.75</formula>
    </cfRule>
  </conditionalFormatting>
  <conditionalFormatting sqref="P40">
    <cfRule type="cellIs" dxfId="527" priority="463" stopIfTrue="1" operator="greaterThan">
      <formula>1.75</formula>
    </cfRule>
    <cfRule type="cellIs" dxfId="526" priority="464" stopIfTrue="1" operator="between">
      <formula>1.25</formula>
      <formula>1.75</formula>
    </cfRule>
  </conditionalFormatting>
  <conditionalFormatting sqref="P40">
    <cfRule type="cellIs" dxfId="525" priority="461" stopIfTrue="1" operator="greaterThan">
      <formula>1.75</formula>
    </cfRule>
    <cfRule type="cellIs" dxfId="524" priority="462" stopIfTrue="1" operator="between">
      <formula>1.25</formula>
      <formula>1.75</formula>
    </cfRule>
  </conditionalFormatting>
  <conditionalFormatting sqref="U40">
    <cfRule type="cellIs" dxfId="523" priority="459" stopIfTrue="1" operator="greaterThan">
      <formula>1.75</formula>
    </cfRule>
    <cfRule type="cellIs" dxfId="522" priority="460" stopIfTrue="1" operator="between">
      <formula>1.25</formula>
      <formula>1.75</formula>
    </cfRule>
  </conditionalFormatting>
  <conditionalFormatting sqref="T40">
    <cfRule type="cellIs" dxfId="521" priority="457" stopIfTrue="1" operator="greaterThan">
      <formula>1.75</formula>
    </cfRule>
    <cfRule type="cellIs" dxfId="520" priority="458" stopIfTrue="1" operator="between">
      <formula>1.25</formula>
      <formula>1.75</formula>
    </cfRule>
  </conditionalFormatting>
  <conditionalFormatting sqref="Q40">
    <cfRule type="cellIs" dxfId="519" priority="453" stopIfTrue="1" operator="greaterThan">
      <formula>1.75</formula>
    </cfRule>
    <cfRule type="cellIs" dxfId="518" priority="454" stopIfTrue="1" operator="between">
      <formula>1.25</formula>
      <formula>1.75</formula>
    </cfRule>
  </conditionalFormatting>
  <conditionalFormatting sqref="Q40">
    <cfRule type="cellIs" dxfId="517" priority="451" stopIfTrue="1" operator="greaterThan">
      <formula>1.75</formula>
    </cfRule>
    <cfRule type="cellIs" dxfId="516" priority="452" stopIfTrue="1" operator="between">
      <formula>1.25</formula>
      <formula>1.75</formula>
    </cfRule>
  </conditionalFormatting>
  <conditionalFormatting sqref="R40">
    <cfRule type="cellIs" dxfId="515" priority="449" stopIfTrue="1" operator="greaterThan">
      <formula>1.75</formula>
    </cfRule>
    <cfRule type="cellIs" dxfId="514" priority="450" stopIfTrue="1" operator="between">
      <formula>1.25</formula>
      <formula>1.75</formula>
    </cfRule>
  </conditionalFormatting>
  <conditionalFormatting sqref="R40">
    <cfRule type="cellIs" dxfId="513" priority="447" stopIfTrue="1" operator="greaterThan">
      <formula>1.75</formula>
    </cfRule>
    <cfRule type="cellIs" dxfId="512" priority="448" stopIfTrue="1" operator="between">
      <formula>1.25</formula>
      <formula>1.75</formula>
    </cfRule>
  </conditionalFormatting>
  <conditionalFormatting sqref="R40">
    <cfRule type="cellIs" dxfId="511" priority="445" stopIfTrue="1" operator="greaterThan">
      <formula>1.75</formula>
    </cfRule>
    <cfRule type="cellIs" dxfId="510" priority="446" stopIfTrue="1" operator="between">
      <formula>1.25</formula>
      <formula>1.75</formula>
    </cfRule>
  </conditionalFormatting>
  <conditionalFormatting sqref="S40">
    <cfRule type="cellIs" dxfId="509" priority="441" stopIfTrue="1" operator="greaterThan">
      <formula>1.75</formula>
    </cfRule>
    <cfRule type="cellIs" dxfId="508" priority="442" stopIfTrue="1" operator="between">
      <formula>1.25</formula>
      <formula>1.75</formula>
    </cfRule>
  </conditionalFormatting>
  <conditionalFormatting sqref="S40">
    <cfRule type="cellIs" dxfId="507" priority="439" stopIfTrue="1" operator="greaterThan">
      <formula>1.75</formula>
    </cfRule>
    <cfRule type="cellIs" dxfId="506" priority="440" stopIfTrue="1" operator="between">
      <formula>1.25</formula>
      <formula>1.75</formula>
    </cfRule>
  </conditionalFormatting>
  <conditionalFormatting sqref="S40">
    <cfRule type="cellIs" dxfId="505" priority="443" stopIfTrue="1" operator="greaterThan">
      <formula>1.75</formula>
    </cfRule>
    <cfRule type="cellIs" dxfId="504" priority="444" stopIfTrue="1" operator="between">
      <formula>1.25</formula>
      <formula>1.75</formula>
    </cfRule>
  </conditionalFormatting>
  <conditionalFormatting sqref="M40:O40">
    <cfRule type="cellIs" dxfId="503" priority="471" stopIfTrue="1" operator="greaterThan">
      <formula>1.75</formula>
    </cfRule>
    <cfRule type="cellIs" dxfId="502" priority="472" stopIfTrue="1" operator="between">
      <formula>1.25</formula>
      <formula>1.75</formula>
    </cfRule>
  </conditionalFormatting>
  <conditionalFormatting sqref="H42">
    <cfRule type="cellIs" dxfId="501" priority="373" stopIfTrue="1" operator="greaterThan">
      <formula>1.75</formula>
    </cfRule>
    <cfRule type="cellIs" dxfId="500" priority="374" stopIfTrue="1" operator="between">
      <formula>1.25</formula>
      <formula>1.75</formula>
    </cfRule>
  </conditionalFormatting>
  <conditionalFormatting sqref="H42">
    <cfRule type="cellIs" dxfId="499" priority="375" stopIfTrue="1" operator="greaterThan">
      <formula>1.75</formula>
    </cfRule>
    <cfRule type="cellIs" dxfId="498" priority="376" stopIfTrue="1" operator="between">
      <formula>1.25</formula>
      <formula>1.75</formula>
    </cfRule>
  </conditionalFormatting>
  <conditionalFormatting sqref="M42:U42">
    <cfRule type="cellIs" dxfId="497" priority="437" stopIfTrue="1" operator="greaterThan">
      <formula>1.75</formula>
    </cfRule>
    <cfRule type="cellIs" dxfId="496" priority="438" stopIfTrue="1" operator="between">
      <formula>1.25</formula>
      <formula>1.75</formula>
    </cfRule>
  </conditionalFormatting>
  <conditionalFormatting sqref="M42:U42">
    <cfRule type="cellIs" dxfId="495" priority="435" stopIfTrue="1" operator="greaterThan">
      <formula>1.75</formula>
    </cfRule>
    <cfRule type="cellIs" dxfId="494" priority="436" stopIfTrue="1" operator="between">
      <formula>1.25</formula>
      <formula>1.75</formula>
    </cfRule>
  </conditionalFormatting>
  <conditionalFormatting sqref="M42:U42">
    <cfRule type="cellIs" dxfId="493" priority="433" stopIfTrue="1" operator="greaterThan">
      <formula>1.75</formula>
    </cfRule>
    <cfRule type="cellIs" dxfId="492" priority="434" stopIfTrue="1" operator="between">
      <formula>1.25</formula>
      <formula>1.75</formula>
    </cfRule>
  </conditionalFormatting>
  <conditionalFormatting sqref="G42">
    <cfRule type="cellIs" dxfId="491" priority="377" stopIfTrue="1" operator="greaterThan">
      <formula>1.75</formula>
    </cfRule>
    <cfRule type="cellIs" dxfId="490" priority="378" stopIfTrue="1" operator="between">
      <formula>1.25</formula>
      <formula>1.75</formula>
    </cfRule>
  </conditionalFormatting>
  <conditionalFormatting sqref="V40">
    <cfRule type="cellIs" dxfId="489" priority="431" stopIfTrue="1" operator="greaterThan">
      <formula>1.75</formula>
    </cfRule>
    <cfRule type="cellIs" dxfId="488" priority="432" stopIfTrue="1" operator="between">
      <formula>1.25</formula>
      <formula>1.75</formula>
    </cfRule>
  </conditionalFormatting>
  <conditionalFormatting sqref="V42">
    <cfRule type="cellIs" dxfId="487" priority="429" stopIfTrue="1" operator="greaterThan">
      <formula>1.75</formula>
    </cfRule>
    <cfRule type="cellIs" dxfId="486" priority="430" stopIfTrue="1" operator="between">
      <formula>1.25</formula>
      <formula>1.75</formula>
    </cfRule>
  </conditionalFormatting>
  <conditionalFormatting sqref="V42">
    <cfRule type="cellIs" dxfId="485" priority="427" stopIfTrue="1" operator="greaterThan">
      <formula>1.75</formula>
    </cfRule>
    <cfRule type="cellIs" dxfId="484" priority="428" stopIfTrue="1" operator="between">
      <formula>1.25</formula>
      <formula>1.75</formula>
    </cfRule>
  </conditionalFormatting>
  <conditionalFormatting sqref="V42">
    <cfRule type="cellIs" dxfId="483" priority="425" stopIfTrue="1" operator="greaterThan">
      <formula>1.75</formula>
    </cfRule>
    <cfRule type="cellIs" dxfId="482" priority="426" stopIfTrue="1" operator="between">
      <formula>1.25</formula>
      <formula>1.75</formula>
    </cfRule>
  </conditionalFormatting>
  <conditionalFormatting sqref="C40">
    <cfRule type="cellIs" dxfId="481" priority="421" stopIfTrue="1" operator="greaterThan">
      <formula>1.75</formula>
    </cfRule>
    <cfRule type="cellIs" dxfId="480" priority="422" stopIfTrue="1" operator="between">
      <formula>1.25</formula>
      <formula>1.75</formula>
    </cfRule>
  </conditionalFormatting>
  <conditionalFormatting sqref="C40">
    <cfRule type="cellIs" dxfId="479" priority="419" stopIfTrue="1" operator="greaterThan">
      <formula>1.75</formula>
    </cfRule>
    <cfRule type="cellIs" dxfId="478" priority="420" stopIfTrue="1" operator="between">
      <formula>1.25</formula>
      <formula>1.75</formula>
    </cfRule>
  </conditionalFormatting>
  <conditionalFormatting sqref="C40">
    <cfRule type="cellIs" dxfId="477" priority="423" stopIfTrue="1" operator="greaterThan">
      <formula>1.75</formula>
    </cfRule>
    <cfRule type="cellIs" dxfId="476" priority="424" stopIfTrue="1" operator="between">
      <formula>1.25</formula>
      <formula>1.75</formula>
    </cfRule>
  </conditionalFormatting>
  <conditionalFormatting sqref="D40">
    <cfRule type="cellIs" dxfId="475" priority="415" stopIfTrue="1" operator="greaterThan">
      <formula>1.75</formula>
    </cfRule>
    <cfRule type="cellIs" dxfId="474" priority="416" stopIfTrue="1" operator="between">
      <formula>1.25</formula>
      <formula>1.75</formula>
    </cfRule>
  </conditionalFormatting>
  <conditionalFormatting sqref="D40">
    <cfRule type="cellIs" dxfId="473" priority="413" stopIfTrue="1" operator="greaterThan">
      <formula>1.75</formula>
    </cfRule>
    <cfRule type="cellIs" dxfId="472" priority="414" stopIfTrue="1" operator="between">
      <formula>1.25</formula>
      <formula>1.75</formula>
    </cfRule>
  </conditionalFormatting>
  <conditionalFormatting sqref="C42">
    <cfRule type="cellIs" dxfId="471" priority="407" stopIfTrue="1" operator="greaterThan">
      <formula>1.75</formula>
    </cfRule>
    <cfRule type="cellIs" dxfId="470" priority="408" stopIfTrue="1" operator="between">
      <formula>1.25</formula>
      <formula>1.75</formula>
    </cfRule>
  </conditionalFormatting>
  <conditionalFormatting sqref="C42">
    <cfRule type="cellIs" dxfId="469" priority="409" stopIfTrue="1" operator="greaterThan">
      <formula>1.75</formula>
    </cfRule>
    <cfRule type="cellIs" dxfId="468" priority="410" stopIfTrue="1" operator="between">
      <formula>1.25</formula>
      <formula>1.75</formula>
    </cfRule>
  </conditionalFormatting>
  <conditionalFormatting sqref="C42">
    <cfRule type="cellIs" dxfId="467" priority="411" stopIfTrue="1" operator="greaterThan">
      <formula>1.75</formula>
    </cfRule>
    <cfRule type="cellIs" dxfId="466" priority="412" stopIfTrue="1" operator="between">
      <formula>1.25</formula>
      <formula>1.75</formula>
    </cfRule>
  </conditionalFormatting>
  <conditionalFormatting sqref="D42">
    <cfRule type="cellIs" dxfId="465" priority="401" stopIfTrue="1" operator="greaterThan">
      <formula>1.75</formula>
    </cfRule>
    <cfRule type="cellIs" dxfId="464" priority="402" stopIfTrue="1" operator="between">
      <formula>1.25</formula>
      <formula>1.75</formula>
    </cfRule>
  </conditionalFormatting>
  <conditionalFormatting sqref="D42">
    <cfRule type="cellIs" dxfId="463" priority="403" stopIfTrue="1" operator="greaterThan">
      <formula>1.75</formula>
    </cfRule>
    <cfRule type="cellIs" dxfId="462" priority="404" stopIfTrue="1" operator="between">
      <formula>1.25</formula>
      <formula>1.75</formula>
    </cfRule>
  </conditionalFormatting>
  <conditionalFormatting sqref="D42">
    <cfRule type="cellIs" dxfId="461" priority="405" stopIfTrue="1" operator="greaterThan">
      <formula>1.75</formula>
    </cfRule>
    <cfRule type="cellIs" dxfId="460" priority="406" stopIfTrue="1" operator="between">
      <formula>1.25</formula>
      <formula>1.75</formula>
    </cfRule>
  </conditionalFormatting>
  <conditionalFormatting sqref="E42">
    <cfRule type="cellIs" dxfId="459" priority="395" stopIfTrue="1" operator="greaterThan">
      <formula>1.75</formula>
    </cfRule>
    <cfRule type="cellIs" dxfId="458" priority="396" stopIfTrue="1" operator="between">
      <formula>1.25</formula>
      <formula>1.75</formula>
    </cfRule>
  </conditionalFormatting>
  <conditionalFormatting sqref="E42">
    <cfRule type="cellIs" dxfId="457" priority="397" stopIfTrue="1" operator="greaterThan">
      <formula>1.75</formula>
    </cfRule>
    <cfRule type="cellIs" dxfId="456" priority="398" stopIfTrue="1" operator="between">
      <formula>1.25</formula>
      <formula>1.75</formula>
    </cfRule>
  </conditionalFormatting>
  <conditionalFormatting sqref="E42">
    <cfRule type="cellIs" dxfId="455" priority="399" stopIfTrue="1" operator="greaterThan">
      <formula>1.75</formula>
    </cfRule>
    <cfRule type="cellIs" dxfId="454" priority="400" stopIfTrue="1" operator="between">
      <formula>1.25</formula>
      <formula>1.75</formula>
    </cfRule>
  </conditionalFormatting>
  <conditionalFormatting sqref="E40">
    <cfRule type="cellIs" dxfId="453" priority="391" stopIfTrue="1" operator="greaterThan">
      <formula>1.75</formula>
    </cfRule>
    <cfRule type="cellIs" dxfId="452" priority="392" stopIfTrue="1" operator="between">
      <formula>1.25</formula>
      <formula>1.75</formula>
    </cfRule>
  </conditionalFormatting>
  <conditionalFormatting sqref="E40">
    <cfRule type="cellIs" dxfId="451" priority="389" stopIfTrue="1" operator="greaterThan">
      <formula>1.75</formula>
    </cfRule>
    <cfRule type="cellIs" dxfId="450" priority="390" stopIfTrue="1" operator="between">
      <formula>1.25</formula>
      <formula>1.75</formula>
    </cfRule>
  </conditionalFormatting>
  <conditionalFormatting sqref="E40">
    <cfRule type="cellIs" dxfId="449" priority="393" stopIfTrue="1" operator="greaterThan">
      <formula>1.75</formula>
    </cfRule>
    <cfRule type="cellIs" dxfId="448" priority="394" stopIfTrue="1" operator="between">
      <formula>1.25</formula>
      <formula>1.75</formula>
    </cfRule>
  </conditionalFormatting>
  <conditionalFormatting sqref="F42">
    <cfRule type="cellIs" dxfId="447" priority="383" stopIfTrue="1" operator="greaterThan">
      <formula>1.75</formula>
    </cfRule>
    <cfRule type="cellIs" dxfId="446" priority="384" stopIfTrue="1" operator="between">
      <formula>1.25</formula>
      <formula>1.75</formula>
    </cfRule>
  </conditionalFormatting>
  <conditionalFormatting sqref="F42">
    <cfRule type="cellIs" dxfId="445" priority="385" stopIfTrue="1" operator="greaterThan">
      <formula>1.75</formula>
    </cfRule>
    <cfRule type="cellIs" dxfId="444" priority="386" stopIfTrue="1" operator="between">
      <formula>1.25</formula>
      <formula>1.75</formula>
    </cfRule>
  </conditionalFormatting>
  <conditionalFormatting sqref="F42">
    <cfRule type="cellIs" dxfId="443" priority="387" stopIfTrue="1" operator="greaterThan">
      <formula>1.75</formula>
    </cfRule>
    <cfRule type="cellIs" dxfId="442" priority="388" stopIfTrue="1" operator="between">
      <formula>1.25</formula>
      <formula>1.75</formula>
    </cfRule>
  </conditionalFormatting>
  <conditionalFormatting sqref="G42">
    <cfRule type="cellIs" dxfId="441" priority="379" stopIfTrue="1" operator="greaterThan">
      <formula>1.75</formula>
    </cfRule>
    <cfRule type="cellIs" dxfId="440" priority="380" stopIfTrue="1" operator="between">
      <formula>1.25</formula>
      <formula>1.75</formula>
    </cfRule>
  </conditionalFormatting>
  <conditionalFormatting sqref="G42">
    <cfRule type="cellIs" dxfId="439" priority="381" stopIfTrue="1" operator="greaterThan">
      <formula>1.75</formula>
    </cfRule>
    <cfRule type="cellIs" dxfId="438" priority="382" stopIfTrue="1" operator="between">
      <formula>1.25</formula>
      <formula>1.75</formula>
    </cfRule>
  </conditionalFormatting>
  <conditionalFormatting sqref="H42">
    <cfRule type="cellIs" dxfId="437" priority="371" stopIfTrue="1" operator="greaterThan">
      <formula>1.75</formula>
    </cfRule>
    <cfRule type="cellIs" dxfId="436" priority="372" stopIfTrue="1" operator="between">
      <formula>1.25</formula>
      <formula>1.75</formula>
    </cfRule>
  </conditionalFormatting>
  <conditionalFormatting sqref="I42">
    <cfRule type="cellIs" dxfId="435" priority="365" stopIfTrue="1" operator="greaterThan">
      <formula>1.75</formula>
    </cfRule>
    <cfRule type="cellIs" dxfId="434" priority="366" stopIfTrue="1" operator="between">
      <formula>1.25</formula>
      <formula>1.75</formula>
    </cfRule>
  </conditionalFormatting>
  <conditionalFormatting sqref="I42">
    <cfRule type="cellIs" dxfId="433" priority="367" stopIfTrue="1" operator="greaterThan">
      <formula>1.75</formula>
    </cfRule>
    <cfRule type="cellIs" dxfId="432" priority="368" stopIfTrue="1" operator="between">
      <formula>1.25</formula>
      <formula>1.75</formula>
    </cfRule>
  </conditionalFormatting>
  <conditionalFormatting sqref="I42">
    <cfRule type="cellIs" dxfId="431" priority="369" stopIfTrue="1" operator="greaterThan">
      <formula>1.75</formula>
    </cfRule>
    <cfRule type="cellIs" dxfId="430" priority="370" stopIfTrue="1" operator="between">
      <formula>1.25</formula>
      <formula>1.75</formula>
    </cfRule>
  </conditionalFormatting>
  <conditionalFormatting sqref="J42">
    <cfRule type="cellIs" dxfId="429" priority="359" stopIfTrue="1" operator="greaterThan">
      <formula>1.75</formula>
    </cfRule>
    <cfRule type="cellIs" dxfId="428" priority="360" stopIfTrue="1" operator="between">
      <formula>1.25</formula>
      <formula>1.75</formula>
    </cfRule>
  </conditionalFormatting>
  <conditionalFormatting sqref="J42">
    <cfRule type="cellIs" dxfId="427" priority="361" stopIfTrue="1" operator="greaterThan">
      <formula>1.75</formula>
    </cfRule>
    <cfRule type="cellIs" dxfId="426" priority="362" stopIfTrue="1" operator="between">
      <formula>1.25</formula>
      <formula>1.75</formula>
    </cfRule>
  </conditionalFormatting>
  <conditionalFormatting sqref="J42">
    <cfRule type="cellIs" dxfId="425" priority="363" stopIfTrue="1" operator="greaterThan">
      <formula>1.75</formula>
    </cfRule>
    <cfRule type="cellIs" dxfId="424" priority="364" stopIfTrue="1" operator="between">
      <formula>1.25</formula>
      <formula>1.75</formula>
    </cfRule>
  </conditionalFormatting>
  <conditionalFormatting sqref="K42">
    <cfRule type="cellIs" dxfId="423" priority="353" stopIfTrue="1" operator="greaterThan">
      <formula>1.75</formula>
    </cfRule>
    <cfRule type="cellIs" dxfId="422" priority="354" stopIfTrue="1" operator="between">
      <formula>1.25</formula>
      <formula>1.75</formula>
    </cfRule>
  </conditionalFormatting>
  <conditionalFormatting sqref="K42">
    <cfRule type="cellIs" dxfId="421" priority="355" stopIfTrue="1" operator="greaterThan">
      <formula>1.75</formula>
    </cfRule>
    <cfRule type="cellIs" dxfId="420" priority="356" stopIfTrue="1" operator="between">
      <formula>1.25</formula>
      <formula>1.75</formula>
    </cfRule>
  </conditionalFormatting>
  <conditionalFormatting sqref="K42">
    <cfRule type="cellIs" dxfId="419" priority="357" stopIfTrue="1" operator="greaterThan">
      <formula>1.75</formula>
    </cfRule>
    <cfRule type="cellIs" dxfId="418" priority="358" stopIfTrue="1" operator="between">
      <formula>1.25</formula>
      <formula>1.75</formula>
    </cfRule>
  </conditionalFormatting>
  <conditionalFormatting sqref="L42">
    <cfRule type="cellIs" dxfId="417" priority="347" stopIfTrue="1" operator="greaterThan">
      <formula>1.75</formula>
    </cfRule>
    <cfRule type="cellIs" dxfId="416" priority="348" stopIfTrue="1" operator="between">
      <formula>1.25</formula>
      <formula>1.75</formula>
    </cfRule>
  </conditionalFormatting>
  <conditionalFormatting sqref="L42">
    <cfRule type="cellIs" dxfId="415" priority="349" stopIfTrue="1" operator="greaterThan">
      <formula>1.75</formula>
    </cfRule>
    <cfRule type="cellIs" dxfId="414" priority="350" stopIfTrue="1" operator="between">
      <formula>1.25</formula>
      <formula>1.75</formula>
    </cfRule>
  </conditionalFormatting>
  <conditionalFormatting sqref="L42">
    <cfRule type="cellIs" dxfId="413" priority="351" stopIfTrue="1" operator="greaterThan">
      <formula>1.75</formula>
    </cfRule>
    <cfRule type="cellIs" dxfId="412" priority="352" stopIfTrue="1" operator="between">
      <formula>1.25</formula>
      <formula>1.75</formula>
    </cfRule>
  </conditionalFormatting>
  <conditionalFormatting sqref="F40">
    <cfRule type="cellIs" dxfId="411" priority="343" stopIfTrue="1" operator="greaterThan">
      <formula>1.75</formula>
    </cfRule>
    <cfRule type="cellIs" dxfId="410" priority="344" stopIfTrue="1" operator="between">
      <formula>1.25</formula>
      <formula>1.75</formula>
    </cfRule>
  </conditionalFormatting>
  <conditionalFormatting sqref="F40">
    <cfRule type="cellIs" dxfId="409" priority="341" stopIfTrue="1" operator="greaterThan">
      <formula>1.75</formula>
    </cfRule>
    <cfRule type="cellIs" dxfId="408" priority="342" stopIfTrue="1" operator="between">
      <formula>1.25</formula>
      <formula>1.75</formula>
    </cfRule>
  </conditionalFormatting>
  <conditionalFormatting sqref="F40">
    <cfRule type="cellIs" dxfId="407" priority="345" stopIfTrue="1" operator="greaterThan">
      <formula>1.75</formula>
    </cfRule>
    <cfRule type="cellIs" dxfId="406" priority="346" stopIfTrue="1" operator="between">
      <formula>1.25</formula>
      <formula>1.75</formula>
    </cfRule>
  </conditionalFormatting>
  <conditionalFormatting sqref="G40">
    <cfRule type="cellIs" dxfId="405" priority="337" stopIfTrue="1" operator="greaterThan">
      <formula>1.75</formula>
    </cfRule>
    <cfRule type="cellIs" dxfId="404" priority="338" stopIfTrue="1" operator="between">
      <formula>1.25</formula>
      <formula>1.75</formula>
    </cfRule>
  </conditionalFormatting>
  <conditionalFormatting sqref="G40">
    <cfRule type="cellIs" dxfId="403" priority="335" stopIfTrue="1" operator="greaterThan">
      <formula>1.75</formula>
    </cfRule>
    <cfRule type="cellIs" dxfId="402" priority="336" stopIfTrue="1" operator="between">
      <formula>1.25</formula>
      <formula>1.75</formula>
    </cfRule>
  </conditionalFormatting>
  <conditionalFormatting sqref="G40">
    <cfRule type="cellIs" dxfId="401" priority="339" stopIfTrue="1" operator="greaterThan">
      <formula>1.75</formula>
    </cfRule>
    <cfRule type="cellIs" dxfId="400" priority="340" stopIfTrue="1" operator="between">
      <formula>1.25</formula>
      <formula>1.75</formula>
    </cfRule>
  </conditionalFormatting>
  <conditionalFormatting sqref="H40">
    <cfRule type="cellIs" dxfId="399" priority="331" stopIfTrue="1" operator="greaterThan">
      <formula>1.75</formula>
    </cfRule>
    <cfRule type="cellIs" dxfId="398" priority="332" stopIfTrue="1" operator="between">
      <formula>1.25</formula>
      <formula>1.75</formula>
    </cfRule>
  </conditionalFormatting>
  <conditionalFormatting sqref="H40">
    <cfRule type="cellIs" dxfId="397" priority="329" stopIfTrue="1" operator="greaterThan">
      <formula>1.75</formula>
    </cfRule>
    <cfRule type="cellIs" dxfId="396" priority="330" stopIfTrue="1" operator="between">
      <formula>1.25</formula>
      <formula>1.75</formula>
    </cfRule>
  </conditionalFormatting>
  <conditionalFormatting sqref="H40">
    <cfRule type="cellIs" dxfId="395" priority="333" stopIfTrue="1" operator="greaterThan">
      <formula>1.75</formula>
    </cfRule>
    <cfRule type="cellIs" dxfId="394" priority="334" stopIfTrue="1" operator="between">
      <formula>1.25</formula>
      <formula>1.75</formula>
    </cfRule>
  </conditionalFormatting>
  <conditionalFormatting sqref="I40">
    <cfRule type="cellIs" dxfId="393" priority="325" stopIfTrue="1" operator="greaterThan">
      <formula>1.75</formula>
    </cfRule>
    <cfRule type="cellIs" dxfId="392" priority="326" stopIfTrue="1" operator="between">
      <formula>1.25</formula>
      <formula>1.75</formula>
    </cfRule>
  </conditionalFormatting>
  <conditionalFormatting sqref="I40">
    <cfRule type="cellIs" dxfId="391" priority="323" stopIfTrue="1" operator="greaterThan">
      <formula>1.75</formula>
    </cfRule>
    <cfRule type="cellIs" dxfId="390" priority="324" stopIfTrue="1" operator="between">
      <formula>1.25</formula>
      <formula>1.75</formula>
    </cfRule>
  </conditionalFormatting>
  <conditionalFormatting sqref="I40">
    <cfRule type="cellIs" dxfId="389" priority="327" stopIfTrue="1" operator="greaterThan">
      <formula>1.75</formula>
    </cfRule>
    <cfRule type="cellIs" dxfId="388" priority="328" stopIfTrue="1" operator="between">
      <formula>1.25</formula>
      <formula>1.75</formula>
    </cfRule>
  </conditionalFormatting>
  <conditionalFormatting sqref="J40">
    <cfRule type="cellIs" dxfId="387" priority="319" stopIfTrue="1" operator="greaterThan">
      <formula>1.75</formula>
    </cfRule>
    <cfRule type="cellIs" dxfId="386" priority="320" stopIfTrue="1" operator="between">
      <formula>1.25</formula>
      <formula>1.75</formula>
    </cfRule>
  </conditionalFormatting>
  <conditionalFormatting sqref="J40">
    <cfRule type="cellIs" dxfId="385" priority="317" stopIfTrue="1" operator="greaterThan">
      <formula>1.75</formula>
    </cfRule>
    <cfRule type="cellIs" dxfId="384" priority="318" stopIfTrue="1" operator="between">
      <formula>1.25</formula>
      <formula>1.75</formula>
    </cfRule>
  </conditionalFormatting>
  <conditionalFormatting sqref="J40">
    <cfRule type="cellIs" dxfId="383" priority="321" stopIfTrue="1" operator="greaterThan">
      <formula>1.75</formula>
    </cfRule>
    <cfRule type="cellIs" dxfId="382" priority="322" stopIfTrue="1" operator="between">
      <formula>1.25</formula>
      <formula>1.75</formula>
    </cfRule>
  </conditionalFormatting>
  <conditionalFormatting sqref="K40">
    <cfRule type="cellIs" dxfId="381" priority="313" stopIfTrue="1" operator="greaterThan">
      <formula>1.75</formula>
    </cfRule>
    <cfRule type="cellIs" dxfId="380" priority="314" stopIfTrue="1" operator="between">
      <formula>1.25</formula>
      <formula>1.75</formula>
    </cfRule>
  </conditionalFormatting>
  <conditionalFormatting sqref="K40">
    <cfRule type="cellIs" dxfId="379" priority="311" stopIfTrue="1" operator="greaterThan">
      <formula>1.75</formula>
    </cfRule>
    <cfRule type="cellIs" dxfId="378" priority="312" stopIfTrue="1" operator="between">
      <formula>1.25</formula>
      <formula>1.75</formula>
    </cfRule>
  </conditionalFormatting>
  <conditionalFormatting sqref="K40">
    <cfRule type="cellIs" dxfId="377" priority="315" stopIfTrue="1" operator="greaterThan">
      <formula>1.75</formula>
    </cfRule>
    <cfRule type="cellIs" dxfId="376" priority="316" stopIfTrue="1" operator="between">
      <formula>1.25</formula>
      <formula>1.75</formula>
    </cfRule>
  </conditionalFormatting>
  <conditionalFormatting sqref="L40">
    <cfRule type="cellIs" dxfId="375" priority="307" stopIfTrue="1" operator="greaterThan">
      <formula>1.75</formula>
    </cfRule>
    <cfRule type="cellIs" dxfId="374" priority="308" stopIfTrue="1" operator="between">
      <formula>1.25</formula>
      <formula>1.75</formula>
    </cfRule>
  </conditionalFormatting>
  <conditionalFormatting sqref="L40">
    <cfRule type="cellIs" dxfId="373" priority="305" stopIfTrue="1" operator="greaterThan">
      <formula>1.75</formula>
    </cfRule>
    <cfRule type="cellIs" dxfId="372" priority="306" stopIfTrue="1" operator="between">
      <formula>1.25</formula>
      <formula>1.75</formula>
    </cfRule>
  </conditionalFormatting>
  <conditionalFormatting sqref="L40">
    <cfRule type="cellIs" dxfId="371" priority="309" stopIfTrue="1" operator="greaterThan">
      <formula>1.75</formula>
    </cfRule>
    <cfRule type="cellIs" dxfId="370" priority="310" stopIfTrue="1" operator="between">
      <formula>1.25</formula>
      <formula>1.75</formula>
    </cfRule>
  </conditionalFormatting>
  <conditionalFormatting sqref="W40">
    <cfRule type="cellIs" dxfId="369" priority="303" stopIfTrue="1" operator="greaterThan">
      <formula>1.75</formula>
    </cfRule>
    <cfRule type="cellIs" dxfId="368" priority="304" stopIfTrue="1" operator="between">
      <formula>1.25</formula>
      <formula>1.75</formula>
    </cfRule>
  </conditionalFormatting>
  <conditionalFormatting sqref="W42">
    <cfRule type="cellIs" dxfId="367" priority="301" stopIfTrue="1" operator="greaterThan">
      <formula>1.75</formula>
    </cfRule>
    <cfRule type="cellIs" dxfId="366" priority="302" stopIfTrue="1" operator="between">
      <formula>1.25</formula>
      <formula>1.75</formula>
    </cfRule>
  </conditionalFormatting>
  <conditionalFormatting sqref="W42">
    <cfRule type="cellIs" dxfId="365" priority="299" stopIfTrue="1" operator="greaterThan">
      <formula>1.75</formula>
    </cfRule>
    <cfRule type="cellIs" dxfId="364" priority="300" stopIfTrue="1" operator="between">
      <formula>1.25</formula>
      <formula>1.75</formula>
    </cfRule>
  </conditionalFormatting>
  <conditionalFormatting sqref="W42">
    <cfRule type="cellIs" dxfId="363" priority="297" stopIfTrue="1" operator="greaterThan">
      <formula>1.75</formula>
    </cfRule>
    <cfRule type="cellIs" dxfId="362" priority="298" stopIfTrue="1" operator="between">
      <formula>1.25</formula>
      <formula>1.75</formula>
    </cfRule>
  </conditionalFormatting>
  <conditionalFormatting sqref="AD40">
    <cfRule type="cellIs" dxfId="361" priority="295" stopIfTrue="1" operator="greaterThan">
      <formula>1.75</formula>
    </cfRule>
    <cfRule type="cellIs" dxfId="360" priority="296" stopIfTrue="1" operator="between">
      <formula>1.25</formula>
      <formula>1.75</formula>
    </cfRule>
  </conditionalFormatting>
  <conditionalFormatting sqref="AD42">
    <cfRule type="cellIs" dxfId="359" priority="293" stopIfTrue="1" operator="greaterThan">
      <formula>1.75</formula>
    </cfRule>
    <cfRule type="cellIs" dxfId="358" priority="294" stopIfTrue="1" operator="between">
      <formula>1.25</formula>
      <formula>1.75</formula>
    </cfRule>
  </conditionalFormatting>
  <conditionalFormatting sqref="AD42">
    <cfRule type="cellIs" dxfId="357" priority="291" stopIfTrue="1" operator="greaterThan">
      <formula>1.75</formula>
    </cfRule>
    <cfRule type="cellIs" dxfId="356" priority="292" stopIfTrue="1" operator="between">
      <formula>1.25</formula>
      <formula>1.75</formula>
    </cfRule>
  </conditionalFormatting>
  <conditionalFormatting sqref="AD42">
    <cfRule type="cellIs" dxfId="355" priority="289" stopIfTrue="1" operator="greaterThan">
      <formula>1.75</formula>
    </cfRule>
    <cfRule type="cellIs" dxfId="354" priority="290" stopIfTrue="1" operator="between">
      <formula>1.25</formula>
      <formula>1.75</formula>
    </cfRule>
  </conditionalFormatting>
  <conditionalFormatting sqref="X40">
    <cfRule type="cellIs" dxfId="353" priority="287" stopIfTrue="1" operator="greaterThan">
      <formula>1.75</formula>
    </cfRule>
    <cfRule type="cellIs" dxfId="352" priority="288" stopIfTrue="1" operator="between">
      <formula>1.25</formula>
      <formula>1.75</formula>
    </cfRule>
  </conditionalFormatting>
  <conditionalFormatting sqref="X42">
    <cfRule type="cellIs" dxfId="351" priority="285" stopIfTrue="1" operator="greaterThan">
      <formula>1.75</formula>
    </cfRule>
    <cfRule type="cellIs" dxfId="350" priority="286" stopIfTrue="1" operator="between">
      <formula>1.25</formula>
      <formula>1.75</formula>
    </cfRule>
  </conditionalFormatting>
  <conditionalFormatting sqref="X42">
    <cfRule type="cellIs" dxfId="349" priority="283" stopIfTrue="1" operator="greaterThan">
      <formula>1.75</formula>
    </cfRule>
    <cfRule type="cellIs" dxfId="348" priority="284" stopIfTrue="1" operator="between">
      <formula>1.25</formula>
      <formula>1.75</formula>
    </cfRule>
  </conditionalFormatting>
  <conditionalFormatting sqref="X42">
    <cfRule type="cellIs" dxfId="347" priority="281" stopIfTrue="1" operator="greaterThan">
      <formula>1.75</formula>
    </cfRule>
    <cfRule type="cellIs" dxfId="346" priority="282" stopIfTrue="1" operator="between">
      <formula>1.25</formula>
      <formula>1.75</formula>
    </cfRule>
  </conditionalFormatting>
  <conditionalFormatting sqref="Y40">
    <cfRule type="cellIs" dxfId="345" priority="279" stopIfTrue="1" operator="greaterThan">
      <formula>1.75</formula>
    </cfRule>
    <cfRule type="cellIs" dxfId="344" priority="280" stopIfTrue="1" operator="between">
      <formula>1.25</formula>
      <formula>1.75</formula>
    </cfRule>
  </conditionalFormatting>
  <conditionalFormatting sqref="Y42">
    <cfRule type="cellIs" dxfId="343" priority="277" stopIfTrue="1" operator="greaterThan">
      <formula>1.75</formula>
    </cfRule>
    <cfRule type="cellIs" dxfId="342" priority="278" stopIfTrue="1" operator="between">
      <formula>1.25</formula>
      <formula>1.75</formula>
    </cfRule>
  </conditionalFormatting>
  <conditionalFormatting sqref="Y42">
    <cfRule type="cellIs" dxfId="341" priority="275" stopIfTrue="1" operator="greaterThan">
      <formula>1.75</formula>
    </cfRule>
    <cfRule type="cellIs" dxfId="340" priority="276" stopIfTrue="1" operator="between">
      <formula>1.25</formula>
      <formula>1.75</formula>
    </cfRule>
  </conditionalFormatting>
  <conditionalFormatting sqref="Y42">
    <cfRule type="cellIs" dxfId="339" priority="273" stopIfTrue="1" operator="greaterThan">
      <formula>1.75</formula>
    </cfRule>
    <cfRule type="cellIs" dxfId="338" priority="274" stopIfTrue="1" operator="between">
      <formula>1.25</formula>
      <formula>1.75</formula>
    </cfRule>
  </conditionalFormatting>
  <conditionalFormatting sqref="Z40">
    <cfRule type="cellIs" dxfId="337" priority="271" stopIfTrue="1" operator="greaterThan">
      <formula>1.75</formula>
    </cfRule>
    <cfRule type="cellIs" dxfId="336" priority="272" stopIfTrue="1" operator="between">
      <formula>1.25</formula>
      <formula>1.75</formula>
    </cfRule>
  </conditionalFormatting>
  <conditionalFormatting sqref="Z42">
    <cfRule type="cellIs" dxfId="335" priority="269" stopIfTrue="1" operator="greaterThan">
      <formula>1.75</formula>
    </cfRule>
    <cfRule type="cellIs" dxfId="334" priority="270" stopIfTrue="1" operator="between">
      <formula>1.25</formula>
      <formula>1.75</formula>
    </cfRule>
  </conditionalFormatting>
  <conditionalFormatting sqref="Z42">
    <cfRule type="cellIs" dxfId="333" priority="267" stopIfTrue="1" operator="greaterThan">
      <formula>1.75</formula>
    </cfRule>
    <cfRule type="cellIs" dxfId="332" priority="268" stopIfTrue="1" operator="between">
      <formula>1.25</formula>
      <formula>1.75</formula>
    </cfRule>
  </conditionalFormatting>
  <conditionalFormatting sqref="Z42">
    <cfRule type="cellIs" dxfId="331" priority="265" stopIfTrue="1" operator="greaterThan">
      <formula>1.75</formula>
    </cfRule>
    <cfRule type="cellIs" dxfId="330" priority="266" stopIfTrue="1" operator="between">
      <formula>1.25</formula>
      <formula>1.75</formula>
    </cfRule>
  </conditionalFormatting>
  <conditionalFormatting sqref="AA40">
    <cfRule type="cellIs" dxfId="329" priority="263" stopIfTrue="1" operator="greaterThan">
      <formula>1.75</formula>
    </cfRule>
    <cfRule type="cellIs" dxfId="328" priority="264" stopIfTrue="1" operator="between">
      <formula>1.25</formula>
      <formula>1.75</formula>
    </cfRule>
  </conditionalFormatting>
  <conditionalFormatting sqref="AA42">
    <cfRule type="cellIs" dxfId="327" priority="261" stopIfTrue="1" operator="greaterThan">
      <formula>1.75</formula>
    </cfRule>
    <cfRule type="cellIs" dxfId="326" priority="262" stopIfTrue="1" operator="between">
      <formula>1.25</formula>
      <formula>1.75</formula>
    </cfRule>
  </conditionalFormatting>
  <conditionalFormatting sqref="AA42">
    <cfRule type="cellIs" dxfId="325" priority="259" stopIfTrue="1" operator="greaterThan">
      <formula>1.75</formula>
    </cfRule>
    <cfRule type="cellIs" dxfId="324" priority="260" stopIfTrue="1" operator="between">
      <formula>1.25</formula>
      <formula>1.75</formula>
    </cfRule>
  </conditionalFormatting>
  <conditionalFormatting sqref="AA42">
    <cfRule type="cellIs" dxfId="323" priority="257" stopIfTrue="1" operator="greaterThan">
      <formula>1.75</formula>
    </cfRule>
    <cfRule type="cellIs" dxfId="322" priority="258" stopIfTrue="1" operator="between">
      <formula>1.25</formula>
      <formula>1.75</formula>
    </cfRule>
  </conditionalFormatting>
  <conditionalFormatting sqref="AB40">
    <cfRule type="cellIs" dxfId="321" priority="255" stopIfTrue="1" operator="greaterThan">
      <formula>1.75</formula>
    </cfRule>
    <cfRule type="cellIs" dxfId="320" priority="256" stopIfTrue="1" operator="between">
      <formula>1.25</formula>
      <formula>1.75</formula>
    </cfRule>
  </conditionalFormatting>
  <conditionalFormatting sqref="AB42">
    <cfRule type="cellIs" dxfId="319" priority="253" stopIfTrue="1" operator="greaterThan">
      <formula>1.75</formula>
    </cfRule>
    <cfRule type="cellIs" dxfId="318" priority="254" stopIfTrue="1" operator="between">
      <formula>1.25</formula>
      <formula>1.75</formula>
    </cfRule>
  </conditionalFormatting>
  <conditionalFormatting sqref="AB42">
    <cfRule type="cellIs" dxfId="317" priority="251" stopIfTrue="1" operator="greaterThan">
      <formula>1.75</formula>
    </cfRule>
    <cfRule type="cellIs" dxfId="316" priority="252" stopIfTrue="1" operator="between">
      <formula>1.25</formula>
      <formula>1.75</formula>
    </cfRule>
  </conditionalFormatting>
  <conditionalFormatting sqref="AB42">
    <cfRule type="cellIs" dxfId="315" priority="249" stopIfTrue="1" operator="greaterThan">
      <formula>1.75</formula>
    </cfRule>
    <cfRule type="cellIs" dxfId="314" priority="250" stopIfTrue="1" operator="between">
      <formula>1.25</formula>
      <formula>1.75</formula>
    </cfRule>
  </conditionalFormatting>
  <conditionalFormatting sqref="AC40">
    <cfRule type="cellIs" dxfId="313" priority="247" stopIfTrue="1" operator="greaterThan">
      <formula>1.75</formula>
    </cfRule>
    <cfRule type="cellIs" dxfId="312" priority="248" stopIfTrue="1" operator="between">
      <formula>1.25</formula>
      <formula>1.75</formula>
    </cfRule>
  </conditionalFormatting>
  <conditionalFormatting sqref="AC42">
    <cfRule type="cellIs" dxfId="311" priority="245" stopIfTrue="1" operator="greaterThan">
      <formula>1.75</formula>
    </cfRule>
    <cfRule type="cellIs" dxfId="310" priority="246" stopIfTrue="1" operator="between">
      <formula>1.25</formula>
      <formula>1.75</formula>
    </cfRule>
  </conditionalFormatting>
  <conditionalFormatting sqref="AC42">
    <cfRule type="cellIs" dxfId="309" priority="243" stopIfTrue="1" operator="greaterThan">
      <formula>1.75</formula>
    </cfRule>
    <cfRule type="cellIs" dxfId="308" priority="244" stopIfTrue="1" operator="between">
      <formula>1.25</formula>
      <formula>1.75</formula>
    </cfRule>
  </conditionalFormatting>
  <conditionalFormatting sqref="AC42">
    <cfRule type="cellIs" dxfId="307" priority="241" stopIfTrue="1" operator="greaterThan">
      <formula>1.75</formula>
    </cfRule>
    <cfRule type="cellIs" dxfId="306" priority="242" stopIfTrue="1" operator="between">
      <formula>1.25</formula>
      <formula>1.75</formula>
    </cfRule>
  </conditionalFormatting>
  <conditionalFormatting sqref="AF34:AN34">
    <cfRule type="cellIs" dxfId="305" priority="239" stopIfTrue="1" operator="greaterThan">
      <formula>1.75</formula>
    </cfRule>
    <cfRule type="cellIs" dxfId="304" priority="240" stopIfTrue="1" operator="between">
      <formula>1.25</formula>
      <formula>1.75</formula>
    </cfRule>
  </conditionalFormatting>
  <conditionalFormatting sqref="AF42:AN42">
    <cfRule type="cellIs" dxfId="303" priority="237" stopIfTrue="1" operator="greaterThan">
      <formula>1.75</formula>
    </cfRule>
    <cfRule type="cellIs" dxfId="302" priority="238" stopIfTrue="1" operator="between">
      <formula>1.25</formula>
      <formula>1.75</formula>
    </cfRule>
  </conditionalFormatting>
  <conditionalFormatting sqref="D26">
    <cfRule type="cellIs" dxfId="301" priority="181" stopIfTrue="1" operator="greaterThan">
      <formula>1.75</formula>
    </cfRule>
    <cfRule type="cellIs" dxfId="300" priority="182" stopIfTrue="1" operator="between">
      <formula>1.25</formula>
      <formula>1.75</formula>
    </cfRule>
  </conditionalFormatting>
  <conditionalFormatting sqref="Q26">
    <cfRule type="cellIs" dxfId="299" priority="219" stopIfTrue="1" operator="greaterThan">
      <formula>1.75</formula>
    </cfRule>
    <cfRule type="cellIs" dxfId="298" priority="220" stopIfTrue="1" operator="between">
      <formula>1.25</formula>
      <formula>1.75</formula>
    </cfRule>
  </conditionalFormatting>
  <conditionalFormatting sqref="M26:O26">
    <cfRule type="cellIs" dxfId="297" priority="233" stopIfTrue="1" operator="greaterThan">
      <formula>1.75</formula>
    </cfRule>
    <cfRule type="cellIs" dxfId="296" priority="234" stopIfTrue="1" operator="between">
      <formula>1.25</formula>
      <formula>1.75</formula>
    </cfRule>
  </conditionalFormatting>
  <conditionalFormatting sqref="M26:O26">
    <cfRule type="cellIs" dxfId="295" priority="231" stopIfTrue="1" operator="greaterThan">
      <formula>1.75</formula>
    </cfRule>
    <cfRule type="cellIs" dxfId="294" priority="232" stopIfTrue="1" operator="between">
      <formula>1.25</formula>
      <formula>1.75</formula>
    </cfRule>
  </conditionalFormatting>
  <conditionalFormatting sqref="P26">
    <cfRule type="cellIs" dxfId="293" priority="229" stopIfTrue="1" operator="greaterThan">
      <formula>1.75</formula>
    </cfRule>
    <cfRule type="cellIs" dxfId="292" priority="230" stopIfTrue="1" operator="between">
      <formula>1.25</formula>
      <formula>1.75</formula>
    </cfRule>
  </conditionalFormatting>
  <conditionalFormatting sqref="P26">
    <cfRule type="cellIs" dxfId="291" priority="227" stopIfTrue="1" operator="greaterThan">
      <formula>1.75</formula>
    </cfRule>
    <cfRule type="cellIs" dxfId="290" priority="228" stopIfTrue="1" operator="between">
      <formula>1.25</formula>
      <formula>1.75</formula>
    </cfRule>
  </conditionalFormatting>
  <conditionalFormatting sqref="P26">
    <cfRule type="cellIs" dxfId="289" priority="225" stopIfTrue="1" operator="greaterThan">
      <formula>1.75</formula>
    </cfRule>
    <cfRule type="cellIs" dxfId="288" priority="226" stopIfTrue="1" operator="between">
      <formula>1.25</formula>
      <formula>1.75</formula>
    </cfRule>
  </conditionalFormatting>
  <conditionalFormatting sqref="U26">
    <cfRule type="cellIs" dxfId="287" priority="223" stopIfTrue="1" operator="greaterThan">
      <formula>1.75</formula>
    </cfRule>
    <cfRule type="cellIs" dxfId="286" priority="224" stopIfTrue="1" operator="between">
      <formula>1.25</formula>
      <formula>1.75</formula>
    </cfRule>
  </conditionalFormatting>
  <conditionalFormatting sqref="T26">
    <cfRule type="cellIs" dxfId="285" priority="221" stopIfTrue="1" operator="greaterThan">
      <formula>1.75</formula>
    </cfRule>
    <cfRule type="cellIs" dxfId="284" priority="222" stopIfTrue="1" operator="between">
      <formula>1.25</formula>
      <formula>1.75</formula>
    </cfRule>
  </conditionalFormatting>
  <conditionalFormatting sqref="Q26">
    <cfRule type="cellIs" dxfId="283" priority="217" stopIfTrue="1" operator="greaterThan">
      <formula>1.75</formula>
    </cfRule>
    <cfRule type="cellIs" dxfId="282" priority="218" stopIfTrue="1" operator="between">
      <formula>1.25</formula>
      <formula>1.75</formula>
    </cfRule>
  </conditionalFormatting>
  <conditionalFormatting sqref="Q26">
    <cfRule type="cellIs" dxfId="281" priority="215" stopIfTrue="1" operator="greaterThan">
      <formula>1.75</formula>
    </cfRule>
    <cfRule type="cellIs" dxfId="280" priority="216" stopIfTrue="1" operator="between">
      <formula>1.25</formula>
      <formula>1.75</formula>
    </cfRule>
  </conditionalFormatting>
  <conditionalFormatting sqref="R26">
    <cfRule type="cellIs" dxfId="279" priority="213" stopIfTrue="1" operator="greaterThan">
      <formula>1.75</formula>
    </cfRule>
    <cfRule type="cellIs" dxfId="278" priority="214" stopIfTrue="1" operator="between">
      <formula>1.25</formula>
      <formula>1.75</formula>
    </cfRule>
  </conditionalFormatting>
  <conditionalFormatting sqref="R26">
    <cfRule type="cellIs" dxfId="277" priority="211" stopIfTrue="1" operator="greaterThan">
      <formula>1.75</formula>
    </cfRule>
    <cfRule type="cellIs" dxfId="276" priority="212" stopIfTrue="1" operator="between">
      <formula>1.25</formula>
      <formula>1.75</formula>
    </cfRule>
  </conditionalFormatting>
  <conditionalFormatting sqref="R26">
    <cfRule type="cellIs" dxfId="275" priority="209" stopIfTrue="1" operator="greaterThan">
      <formula>1.75</formula>
    </cfRule>
    <cfRule type="cellIs" dxfId="274" priority="210" stopIfTrue="1" operator="between">
      <formula>1.25</formula>
      <formula>1.75</formula>
    </cfRule>
  </conditionalFormatting>
  <conditionalFormatting sqref="S26">
    <cfRule type="cellIs" dxfId="273" priority="205" stopIfTrue="1" operator="greaterThan">
      <formula>1.75</formula>
    </cfRule>
    <cfRule type="cellIs" dxfId="272" priority="206" stopIfTrue="1" operator="between">
      <formula>1.25</formula>
      <formula>1.75</formula>
    </cfRule>
  </conditionalFormatting>
  <conditionalFormatting sqref="S26">
    <cfRule type="cellIs" dxfId="271" priority="203" stopIfTrue="1" operator="greaterThan">
      <formula>1.75</formula>
    </cfRule>
    <cfRule type="cellIs" dxfId="270" priority="204" stopIfTrue="1" operator="between">
      <formula>1.25</formula>
      <formula>1.75</formula>
    </cfRule>
  </conditionalFormatting>
  <conditionalFormatting sqref="S26">
    <cfRule type="cellIs" dxfId="269" priority="207" stopIfTrue="1" operator="greaterThan">
      <formula>1.75</formula>
    </cfRule>
    <cfRule type="cellIs" dxfId="268" priority="208" stopIfTrue="1" operator="between">
      <formula>1.25</formula>
      <formula>1.75</formula>
    </cfRule>
  </conditionalFormatting>
  <conditionalFormatting sqref="M26:O26">
    <cfRule type="cellIs" dxfId="267" priority="235" stopIfTrue="1" operator="greaterThan">
      <formula>1.75</formula>
    </cfRule>
    <cfRule type="cellIs" dxfId="266" priority="236" stopIfTrue="1" operator="between">
      <formula>1.25</formula>
      <formula>1.75</formula>
    </cfRule>
  </conditionalFormatting>
  <conditionalFormatting sqref="H28">
    <cfRule type="cellIs" dxfId="265" priority="137" stopIfTrue="1" operator="greaterThan">
      <formula>1.75</formula>
    </cfRule>
    <cfRule type="cellIs" dxfId="264" priority="138" stopIfTrue="1" operator="between">
      <formula>1.25</formula>
      <formula>1.75</formula>
    </cfRule>
  </conditionalFormatting>
  <conditionalFormatting sqref="H28">
    <cfRule type="cellIs" dxfId="263" priority="139" stopIfTrue="1" operator="greaterThan">
      <formula>1.75</formula>
    </cfRule>
    <cfRule type="cellIs" dxfId="262" priority="140" stopIfTrue="1" operator="between">
      <formula>1.25</formula>
      <formula>1.75</formula>
    </cfRule>
  </conditionalFormatting>
  <conditionalFormatting sqref="M28:U28">
    <cfRule type="cellIs" dxfId="261" priority="201" stopIfTrue="1" operator="greaterThan">
      <formula>1.75</formula>
    </cfRule>
    <cfRule type="cellIs" dxfId="260" priority="202" stopIfTrue="1" operator="between">
      <formula>1.25</formula>
      <formula>1.75</formula>
    </cfRule>
  </conditionalFormatting>
  <conditionalFormatting sqref="M28:U28">
    <cfRule type="cellIs" dxfId="259" priority="199" stopIfTrue="1" operator="greaterThan">
      <formula>1.75</formula>
    </cfRule>
    <cfRule type="cellIs" dxfId="258" priority="200" stopIfTrue="1" operator="between">
      <formula>1.25</formula>
      <formula>1.75</formula>
    </cfRule>
  </conditionalFormatting>
  <conditionalFormatting sqref="M28:U28">
    <cfRule type="cellIs" dxfId="257" priority="197" stopIfTrue="1" operator="greaterThan">
      <formula>1.75</formula>
    </cfRule>
    <cfRule type="cellIs" dxfId="256" priority="198" stopIfTrue="1" operator="between">
      <formula>1.25</formula>
      <formula>1.75</formula>
    </cfRule>
  </conditionalFormatting>
  <conditionalFormatting sqref="G28">
    <cfRule type="cellIs" dxfId="255" priority="141" stopIfTrue="1" operator="greaterThan">
      <formula>1.75</formula>
    </cfRule>
    <cfRule type="cellIs" dxfId="254" priority="142" stopIfTrue="1" operator="between">
      <formula>1.25</formula>
      <formula>1.75</formula>
    </cfRule>
  </conditionalFormatting>
  <conditionalFormatting sqref="V26">
    <cfRule type="cellIs" dxfId="253" priority="195" stopIfTrue="1" operator="greaterThan">
      <formula>1.75</formula>
    </cfRule>
    <cfRule type="cellIs" dxfId="252" priority="196" stopIfTrue="1" operator="between">
      <formula>1.25</formula>
      <formula>1.75</formula>
    </cfRule>
  </conditionalFormatting>
  <conditionalFormatting sqref="V28">
    <cfRule type="cellIs" dxfId="251" priority="193" stopIfTrue="1" operator="greaterThan">
      <formula>1.75</formula>
    </cfRule>
    <cfRule type="cellIs" dxfId="250" priority="194" stopIfTrue="1" operator="between">
      <formula>1.25</formula>
      <formula>1.75</formula>
    </cfRule>
  </conditionalFormatting>
  <conditionalFormatting sqref="V28">
    <cfRule type="cellIs" dxfId="249" priority="191" stopIfTrue="1" operator="greaterThan">
      <formula>1.75</formula>
    </cfRule>
    <cfRule type="cellIs" dxfId="248" priority="192" stopIfTrue="1" operator="between">
      <formula>1.25</formula>
      <formula>1.75</formula>
    </cfRule>
  </conditionalFormatting>
  <conditionalFormatting sqref="V28">
    <cfRule type="cellIs" dxfId="247" priority="189" stopIfTrue="1" operator="greaterThan">
      <formula>1.75</formula>
    </cfRule>
    <cfRule type="cellIs" dxfId="246" priority="190" stopIfTrue="1" operator="between">
      <formula>1.25</formula>
      <formula>1.75</formula>
    </cfRule>
  </conditionalFormatting>
  <conditionalFormatting sqref="C26">
    <cfRule type="cellIs" dxfId="245" priority="185" stopIfTrue="1" operator="greaterThan">
      <formula>1.75</formula>
    </cfRule>
    <cfRule type="cellIs" dxfId="244" priority="186" stopIfTrue="1" operator="between">
      <formula>1.25</formula>
      <formula>1.75</formula>
    </cfRule>
  </conditionalFormatting>
  <conditionalFormatting sqref="C26">
    <cfRule type="cellIs" dxfId="243" priority="183" stopIfTrue="1" operator="greaterThan">
      <formula>1.75</formula>
    </cfRule>
    <cfRule type="cellIs" dxfId="242" priority="184" stopIfTrue="1" operator="between">
      <formula>1.25</formula>
      <formula>1.75</formula>
    </cfRule>
  </conditionalFormatting>
  <conditionalFormatting sqref="C26">
    <cfRule type="cellIs" dxfId="241" priority="187" stopIfTrue="1" operator="greaterThan">
      <formula>1.75</formula>
    </cfRule>
    <cfRule type="cellIs" dxfId="240" priority="188" stopIfTrue="1" operator="between">
      <formula>1.25</formula>
      <formula>1.75</formula>
    </cfRule>
  </conditionalFormatting>
  <conditionalFormatting sqref="D26">
    <cfRule type="cellIs" dxfId="239" priority="179" stopIfTrue="1" operator="greaterThan">
      <formula>1.75</formula>
    </cfRule>
    <cfRule type="cellIs" dxfId="238" priority="180" stopIfTrue="1" operator="between">
      <formula>1.25</formula>
      <formula>1.75</formula>
    </cfRule>
  </conditionalFormatting>
  <conditionalFormatting sqref="D26">
    <cfRule type="cellIs" dxfId="237" priority="177" stopIfTrue="1" operator="greaterThan">
      <formula>1.75</formula>
    </cfRule>
    <cfRule type="cellIs" dxfId="236" priority="178" stopIfTrue="1" operator="between">
      <formula>1.25</formula>
      <formula>1.75</formula>
    </cfRule>
  </conditionalFormatting>
  <conditionalFormatting sqref="C28">
    <cfRule type="cellIs" dxfId="235" priority="171" stopIfTrue="1" operator="greaterThan">
      <formula>1.75</formula>
    </cfRule>
    <cfRule type="cellIs" dxfId="234" priority="172" stopIfTrue="1" operator="between">
      <formula>1.25</formula>
      <formula>1.75</formula>
    </cfRule>
  </conditionalFormatting>
  <conditionalFormatting sqref="C28">
    <cfRule type="cellIs" dxfId="233" priority="173" stopIfTrue="1" operator="greaterThan">
      <formula>1.75</formula>
    </cfRule>
    <cfRule type="cellIs" dxfId="232" priority="174" stopIfTrue="1" operator="between">
      <formula>1.25</formula>
      <formula>1.75</formula>
    </cfRule>
  </conditionalFormatting>
  <conditionalFormatting sqref="C28">
    <cfRule type="cellIs" dxfId="231" priority="175" stopIfTrue="1" operator="greaterThan">
      <formula>1.75</formula>
    </cfRule>
    <cfRule type="cellIs" dxfId="230" priority="176" stopIfTrue="1" operator="between">
      <formula>1.25</formula>
      <formula>1.75</formula>
    </cfRule>
  </conditionalFormatting>
  <conditionalFormatting sqref="D28">
    <cfRule type="cellIs" dxfId="229" priority="165" stopIfTrue="1" operator="greaterThan">
      <formula>1.75</formula>
    </cfRule>
    <cfRule type="cellIs" dxfId="228" priority="166" stopIfTrue="1" operator="between">
      <formula>1.25</formula>
      <formula>1.75</formula>
    </cfRule>
  </conditionalFormatting>
  <conditionalFormatting sqref="D28">
    <cfRule type="cellIs" dxfId="227" priority="167" stopIfTrue="1" operator="greaterThan">
      <formula>1.75</formula>
    </cfRule>
    <cfRule type="cellIs" dxfId="226" priority="168" stopIfTrue="1" operator="between">
      <formula>1.25</formula>
      <formula>1.75</formula>
    </cfRule>
  </conditionalFormatting>
  <conditionalFormatting sqref="D28">
    <cfRule type="cellIs" dxfId="225" priority="169" stopIfTrue="1" operator="greaterThan">
      <formula>1.75</formula>
    </cfRule>
    <cfRule type="cellIs" dxfId="224" priority="170" stopIfTrue="1" operator="between">
      <formula>1.25</formula>
      <formula>1.75</formula>
    </cfRule>
  </conditionalFormatting>
  <conditionalFormatting sqref="E28">
    <cfRule type="cellIs" dxfId="223" priority="159" stopIfTrue="1" operator="greaterThan">
      <formula>1.75</formula>
    </cfRule>
    <cfRule type="cellIs" dxfId="222" priority="160" stopIfTrue="1" operator="between">
      <formula>1.25</formula>
      <formula>1.75</formula>
    </cfRule>
  </conditionalFormatting>
  <conditionalFormatting sqref="E28">
    <cfRule type="cellIs" dxfId="221" priority="161" stopIfTrue="1" operator="greaterThan">
      <formula>1.75</formula>
    </cfRule>
    <cfRule type="cellIs" dxfId="220" priority="162" stopIfTrue="1" operator="between">
      <formula>1.25</formula>
      <formula>1.75</formula>
    </cfRule>
  </conditionalFormatting>
  <conditionalFormatting sqref="E28">
    <cfRule type="cellIs" dxfId="219" priority="163" stopIfTrue="1" operator="greaterThan">
      <formula>1.75</formula>
    </cfRule>
    <cfRule type="cellIs" dxfId="218" priority="164" stopIfTrue="1" operator="between">
      <formula>1.25</formula>
      <formula>1.75</formula>
    </cfRule>
  </conditionalFormatting>
  <conditionalFormatting sqref="E26">
    <cfRule type="cellIs" dxfId="217" priority="155" stopIfTrue="1" operator="greaterThan">
      <formula>1.75</formula>
    </cfRule>
    <cfRule type="cellIs" dxfId="216" priority="156" stopIfTrue="1" operator="between">
      <formula>1.25</formula>
      <formula>1.75</formula>
    </cfRule>
  </conditionalFormatting>
  <conditionalFormatting sqref="E26">
    <cfRule type="cellIs" dxfId="215" priority="153" stopIfTrue="1" operator="greaterThan">
      <formula>1.75</formula>
    </cfRule>
    <cfRule type="cellIs" dxfId="214" priority="154" stopIfTrue="1" operator="between">
      <formula>1.25</formula>
      <formula>1.75</formula>
    </cfRule>
  </conditionalFormatting>
  <conditionalFormatting sqref="E26">
    <cfRule type="cellIs" dxfId="213" priority="157" stopIfTrue="1" operator="greaterThan">
      <formula>1.75</formula>
    </cfRule>
    <cfRule type="cellIs" dxfId="212" priority="158" stopIfTrue="1" operator="between">
      <formula>1.25</formula>
      <formula>1.75</formula>
    </cfRule>
  </conditionalFormatting>
  <conditionalFormatting sqref="F28">
    <cfRule type="cellIs" dxfId="211" priority="147" stopIfTrue="1" operator="greaterThan">
      <formula>1.75</formula>
    </cfRule>
    <cfRule type="cellIs" dxfId="210" priority="148" stopIfTrue="1" operator="between">
      <formula>1.25</formula>
      <formula>1.75</formula>
    </cfRule>
  </conditionalFormatting>
  <conditionalFormatting sqref="F28">
    <cfRule type="cellIs" dxfId="209" priority="149" stopIfTrue="1" operator="greaterThan">
      <formula>1.75</formula>
    </cfRule>
    <cfRule type="cellIs" dxfId="208" priority="150" stopIfTrue="1" operator="between">
      <formula>1.25</formula>
      <formula>1.75</formula>
    </cfRule>
  </conditionalFormatting>
  <conditionalFormatting sqref="F28">
    <cfRule type="cellIs" dxfId="207" priority="151" stopIfTrue="1" operator="greaterThan">
      <formula>1.75</formula>
    </cfRule>
    <cfRule type="cellIs" dxfId="206" priority="152" stopIfTrue="1" operator="between">
      <formula>1.25</formula>
      <formula>1.75</formula>
    </cfRule>
  </conditionalFormatting>
  <conditionalFormatting sqref="G28">
    <cfRule type="cellIs" dxfId="205" priority="143" stopIfTrue="1" operator="greaterThan">
      <formula>1.75</formula>
    </cfRule>
    <cfRule type="cellIs" dxfId="204" priority="144" stopIfTrue="1" operator="between">
      <formula>1.25</formula>
      <formula>1.75</formula>
    </cfRule>
  </conditionalFormatting>
  <conditionalFormatting sqref="G28">
    <cfRule type="cellIs" dxfId="203" priority="145" stopIfTrue="1" operator="greaterThan">
      <formula>1.75</formula>
    </cfRule>
    <cfRule type="cellIs" dxfId="202" priority="146" stopIfTrue="1" operator="between">
      <formula>1.25</formula>
      <formula>1.75</formula>
    </cfRule>
  </conditionalFormatting>
  <conditionalFormatting sqref="H28">
    <cfRule type="cellIs" dxfId="201" priority="135" stopIfTrue="1" operator="greaterThan">
      <formula>1.75</formula>
    </cfRule>
    <cfRule type="cellIs" dxfId="200" priority="136" stopIfTrue="1" operator="between">
      <formula>1.25</formula>
      <formula>1.75</formula>
    </cfRule>
  </conditionalFormatting>
  <conditionalFormatting sqref="I28">
    <cfRule type="cellIs" dxfId="199" priority="129" stopIfTrue="1" operator="greaterThan">
      <formula>1.75</formula>
    </cfRule>
    <cfRule type="cellIs" dxfId="198" priority="130" stopIfTrue="1" operator="between">
      <formula>1.25</formula>
      <formula>1.75</formula>
    </cfRule>
  </conditionalFormatting>
  <conditionalFormatting sqref="I28">
    <cfRule type="cellIs" dxfId="197" priority="131" stopIfTrue="1" operator="greaterThan">
      <formula>1.75</formula>
    </cfRule>
    <cfRule type="cellIs" dxfId="196" priority="132" stopIfTrue="1" operator="between">
      <formula>1.25</formula>
      <formula>1.75</formula>
    </cfRule>
  </conditionalFormatting>
  <conditionalFormatting sqref="I28">
    <cfRule type="cellIs" dxfId="195" priority="133" stopIfTrue="1" operator="greaterThan">
      <formula>1.75</formula>
    </cfRule>
    <cfRule type="cellIs" dxfId="194" priority="134" stopIfTrue="1" operator="between">
      <formula>1.25</formula>
      <formula>1.75</formula>
    </cfRule>
  </conditionalFormatting>
  <conditionalFormatting sqref="J28">
    <cfRule type="cellIs" dxfId="193" priority="123" stopIfTrue="1" operator="greaterThan">
      <formula>1.75</formula>
    </cfRule>
    <cfRule type="cellIs" dxfId="192" priority="124" stopIfTrue="1" operator="between">
      <formula>1.25</formula>
      <formula>1.75</formula>
    </cfRule>
  </conditionalFormatting>
  <conditionalFormatting sqref="J28">
    <cfRule type="cellIs" dxfId="191" priority="125" stopIfTrue="1" operator="greaterThan">
      <formula>1.75</formula>
    </cfRule>
    <cfRule type="cellIs" dxfId="190" priority="126" stopIfTrue="1" operator="between">
      <formula>1.25</formula>
      <formula>1.75</formula>
    </cfRule>
  </conditionalFormatting>
  <conditionalFormatting sqref="J28">
    <cfRule type="cellIs" dxfId="189" priority="127" stopIfTrue="1" operator="greaterThan">
      <formula>1.75</formula>
    </cfRule>
    <cfRule type="cellIs" dxfId="188" priority="128" stopIfTrue="1" operator="between">
      <formula>1.25</formula>
      <formula>1.75</formula>
    </cfRule>
  </conditionalFormatting>
  <conditionalFormatting sqref="K28">
    <cfRule type="cellIs" dxfId="187" priority="117" stopIfTrue="1" operator="greaterThan">
      <formula>1.75</formula>
    </cfRule>
    <cfRule type="cellIs" dxfId="186" priority="118" stopIfTrue="1" operator="between">
      <formula>1.25</formula>
      <formula>1.75</formula>
    </cfRule>
  </conditionalFormatting>
  <conditionalFormatting sqref="K28">
    <cfRule type="cellIs" dxfId="185" priority="119" stopIfTrue="1" operator="greaterThan">
      <formula>1.75</formula>
    </cfRule>
    <cfRule type="cellIs" dxfId="184" priority="120" stopIfTrue="1" operator="between">
      <formula>1.25</formula>
      <formula>1.75</formula>
    </cfRule>
  </conditionalFormatting>
  <conditionalFormatting sqref="K28">
    <cfRule type="cellIs" dxfId="183" priority="121" stopIfTrue="1" operator="greaterThan">
      <formula>1.75</formula>
    </cfRule>
    <cfRule type="cellIs" dxfId="182" priority="122" stopIfTrue="1" operator="between">
      <formula>1.25</formula>
      <formula>1.75</formula>
    </cfRule>
  </conditionalFormatting>
  <conditionalFormatting sqref="L28">
    <cfRule type="cellIs" dxfId="181" priority="111" stopIfTrue="1" operator="greaterThan">
      <formula>1.75</formula>
    </cfRule>
    <cfRule type="cellIs" dxfId="180" priority="112" stopIfTrue="1" operator="between">
      <formula>1.25</formula>
      <formula>1.75</formula>
    </cfRule>
  </conditionalFormatting>
  <conditionalFormatting sqref="L28">
    <cfRule type="cellIs" dxfId="179" priority="113" stopIfTrue="1" operator="greaterThan">
      <formula>1.75</formula>
    </cfRule>
    <cfRule type="cellIs" dxfId="178" priority="114" stopIfTrue="1" operator="between">
      <formula>1.25</formula>
      <formula>1.75</formula>
    </cfRule>
  </conditionalFormatting>
  <conditionalFormatting sqref="L28">
    <cfRule type="cellIs" dxfId="177" priority="115" stopIfTrue="1" operator="greaterThan">
      <formula>1.75</formula>
    </cfRule>
    <cfRule type="cellIs" dxfId="176" priority="116" stopIfTrue="1" operator="between">
      <formula>1.25</formula>
      <formula>1.75</formula>
    </cfRule>
  </conditionalFormatting>
  <conditionalFormatting sqref="F26">
    <cfRule type="cellIs" dxfId="175" priority="107" stopIfTrue="1" operator="greaterThan">
      <formula>1.75</formula>
    </cfRule>
    <cfRule type="cellIs" dxfId="174" priority="108" stopIfTrue="1" operator="between">
      <formula>1.25</formula>
      <formula>1.75</formula>
    </cfRule>
  </conditionalFormatting>
  <conditionalFormatting sqref="F26">
    <cfRule type="cellIs" dxfId="173" priority="105" stopIfTrue="1" operator="greaterThan">
      <formula>1.75</formula>
    </cfRule>
    <cfRule type="cellIs" dxfId="172" priority="106" stopIfTrue="1" operator="between">
      <formula>1.25</formula>
      <formula>1.75</formula>
    </cfRule>
  </conditionalFormatting>
  <conditionalFormatting sqref="F26">
    <cfRule type="cellIs" dxfId="171" priority="109" stopIfTrue="1" operator="greaterThan">
      <formula>1.75</formula>
    </cfRule>
    <cfRule type="cellIs" dxfId="170" priority="110" stopIfTrue="1" operator="between">
      <formula>1.25</formula>
      <formula>1.75</formula>
    </cfRule>
  </conditionalFormatting>
  <conditionalFormatting sqref="G26">
    <cfRule type="cellIs" dxfId="169" priority="101" stopIfTrue="1" operator="greaterThan">
      <formula>1.75</formula>
    </cfRule>
    <cfRule type="cellIs" dxfId="168" priority="102" stopIfTrue="1" operator="between">
      <formula>1.25</formula>
      <formula>1.75</formula>
    </cfRule>
  </conditionalFormatting>
  <conditionalFormatting sqref="G26">
    <cfRule type="cellIs" dxfId="167" priority="99" stopIfTrue="1" operator="greaterThan">
      <formula>1.75</formula>
    </cfRule>
    <cfRule type="cellIs" dxfId="166" priority="100" stopIfTrue="1" operator="between">
      <formula>1.25</formula>
      <formula>1.75</formula>
    </cfRule>
  </conditionalFormatting>
  <conditionalFormatting sqref="G26">
    <cfRule type="cellIs" dxfId="165" priority="103" stopIfTrue="1" operator="greaterThan">
      <formula>1.75</formula>
    </cfRule>
    <cfRule type="cellIs" dxfId="164" priority="104" stopIfTrue="1" operator="between">
      <formula>1.25</formula>
      <formula>1.75</formula>
    </cfRule>
  </conditionalFormatting>
  <conditionalFormatting sqref="H26">
    <cfRule type="cellIs" dxfId="163" priority="95" stopIfTrue="1" operator="greaterThan">
      <formula>1.75</formula>
    </cfRule>
    <cfRule type="cellIs" dxfId="162" priority="96" stopIfTrue="1" operator="between">
      <formula>1.25</formula>
      <formula>1.75</formula>
    </cfRule>
  </conditionalFormatting>
  <conditionalFormatting sqref="H26">
    <cfRule type="cellIs" dxfId="161" priority="93" stopIfTrue="1" operator="greaterThan">
      <formula>1.75</formula>
    </cfRule>
    <cfRule type="cellIs" dxfId="160" priority="94" stopIfTrue="1" operator="between">
      <formula>1.25</formula>
      <formula>1.75</formula>
    </cfRule>
  </conditionalFormatting>
  <conditionalFormatting sqref="H26">
    <cfRule type="cellIs" dxfId="159" priority="97" stopIfTrue="1" operator="greaterThan">
      <formula>1.75</formula>
    </cfRule>
    <cfRule type="cellIs" dxfId="158" priority="98" stopIfTrue="1" operator="between">
      <formula>1.25</formula>
      <formula>1.75</formula>
    </cfRule>
  </conditionalFormatting>
  <conditionalFormatting sqref="I26">
    <cfRule type="cellIs" dxfId="157" priority="89" stopIfTrue="1" operator="greaterThan">
      <formula>1.75</formula>
    </cfRule>
    <cfRule type="cellIs" dxfId="156" priority="90" stopIfTrue="1" operator="between">
      <formula>1.25</formula>
      <formula>1.75</formula>
    </cfRule>
  </conditionalFormatting>
  <conditionalFormatting sqref="I26">
    <cfRule type="cellIs" dxfId="155" priority="87" stopIfTrue="1" operator="greaterThan">
      <formula>1.75</formula>
    </cfRule>
    <cfRule type="cellIs" dxfId="154" priority="88" stopIfTrue="1" operator="between">
      <formula>1.25</formula>
      <formula>1.75</formula>
    </cfRule>
  </conditionalFormatting>
  <conditionalFormatting sqref="I26">
    <cfRule type="cellIs" dxfId="153" priority="91" stopIfTrue="1" operator="greaterThan">
      <formula>1.75</formula>
    </cfRule>
    <cfRule type="cellIs" dxfId="152" priority="92" stopIfTrue="1" operator="between">
      <formula>1.25</formula>
      <formula>1.75</formula>
    </cfRule>
  </conditionalFormatting>
  <conditionalFormatting sqref="J26">
    <cfRule type="cellIs" dxfId="151" priority="83" stopIfTrue="1" operator="greaterThan">
      <formula>1.75</formula>
    </cfRule>
    <cfRule type="cellIs" dxfId="150" priority="84" stopIfTrue="1" operator="between">
      <formula>1.25</formula>
      <formula>1.75</formula>
    </cfRule>
  </conditionalFormatting>
  <conditionalFormatting sqref="J26">
    <cfRule type="cellIs" dxfId="149" priority="81" stopIfTrue="1" operator="greaterThan">
      <formula>1.75</formula>
    </cfRule>
    <cfRule type="cellIs" dxfId="148" priority="82" stopIfTrue="1" operator="between">
      <formula>1.25</formula>
      <formula>1.75</formula>
    </cfRule>
  </conditionalFormatting>
  <conditionalFormatting sqref="J26">
    <cfRule type="cellIs" dxfId="147" priority="85" stopIfTrue="1" operator="greaterThan">
      <formula>1.75</formula>
    </cfRule>
    <cfRule type="cellIs" dxfId="146" priority="86" stopIfTrue="1" operator="between">
      <formula>1.25</formula>
      <formula>1.75</formula>
    </cfRule>
  </conditionalFormatting>
  <conditionalFormatting sqref="K26">
    <cfRule type="cellIs" dxfId="145" priority="77" stopIfTrue="1" operator="greaterThan">
      <formula>1.75</formula>
    </cfRule>
    <cfRule type="cellIs" dxfId="144" priority="78" stopIfTrue="1" operator="between">
      <formula>1.25</formula>
      <formula>1.75</formula>
    </cfRule>
  </conditionalFormatting>
  <conditionalFormatting sqref="K26">
    <cfRule type="cellIs" dxfId="143" priority="75" stopIfTrue="1" operator="greaterThan">
      <formula>1.75</formula>
    </cfRule>
    <cfRule type="cellIs" dxfId="142" priority="76" stopIfTrue="1" operator="between">
      <formula>1.25</formula>
      <formula>1.75</formula>
    </cfRule>
  </conditionalFormatting>
  <conditionalFormatting sqref="K26">
    <cfRule type="cellIs" dxfId="141" priority="79" stopIfTrue="1" operator="greaterThan">
      <formula>1.75</formula>
    </cfRule>
    <cfRule type="cellIs" dxfId="140" priority="80" stopIfTrue="1" operator="between">
      <formula>1.25</formula>
      <formula>1.75</formula>
    </cfRule>
  </conditionalFormatting>
  <conditionalFormatting sqref="L26">
    <cfRule type="cellIs" dxfId="139" priority="71" stopIfTrue="1" operator="greaterThan">
      <formula>1.75</formula>
    </cfRule>
    <cfRule type="cellIs" dxfId="138" priority="72" stopIfTrue="1" operator="between">
      <formula>1.25</formula>
      <formula>1.75</formula>
    </cfRule>
  </conditionalFormatting>
  <conditionalFormatting sqref="L26">
    <cfRule type="cellIs" dxfId="137" priority="69" stopIfTrue="1" operator="greaterThan">
      <formula>1.75</formula>
    </cfRule>
    <cfRule type="cellIs" dxfId="136" priority="70" stopIfTrue="1" operator="between">
      <formula>1.25</formula>
      <formula>1.75</formula>
    </cfRule>
  </conditionalFormatting>
  <conditionalFormatting sqref="L26">
    <cfRule type="cellIs" dxfId="135" priority="73" stopIfTrue="1" operator="greaterThan">
      <formula>1.75</formula>
    </cfRule>
    <cfRule type="cellIs" dxfId="134" priority="74" stopIfTrue="1" operator="between">
      <formula>1.25</formula>
      <formula>1.75</formula>
    </cfRule>
  </conditionalFormatting>
  <conditionalFormatting sqref="W26">
    <cfRule type="cellIs" dxfId="133" priority="67" stopIfTrue="1" operator="greaterThan">
      <formula>1.75</formula>
    </cfRule>
    <cfRule type="cellIs" dxfId="132" priority="68" stopIfTrue="1" operator="between">
      <formula>1.25</formula>
      <formula>1.75</formula>
    </cfRule>
  </conditionalFormatting>
  <conditionalFormatting sqref="W28">
    <cfRule type="cellIs" dxfId="131" priority="65" stopIfTrue="1" operator="greaterThan">
      <formula>1.75</formula>
    </cfRule>
    <cfRule type="cellIs" dxfId="130" priority="66" stopIfTrue="1" operator="between">
      <formula>1.25</formula>
      <formula>1.75</formula>
    </cfRule>
  </conditionalFormatting>
  <conditionalFormatting sqref="W28">
    <cfRule type="cellIs" dxfId="129" priority="63" stopIfTrue="1" operator="greaterThan">
      <formula>1.75</formula>
    </cfRule>
    <cfRule type="cellIs" dxfId="128" priority="64" stopIfTrue="1" operator="between">
      <formula>1.25</formula>
      <formula>1.75</formula>
    </cfRule>
  </conditionalFormatting>
  <conditionalFormatting sqref="W28">
    <cfRule type="cellIs" dxfId="127" priority="61" stopIfTrue="1" operator="greaterThan">
      <formula>1.75</formula>
    </cfRule>
    <cfRule type="cellIs" dxfId="126" priority="62" stopIfTrue="1" operator="between">
      <formula>1.25</formula>
      <formula>1.75</formula>
    </cfRule>
  </conditionalFormatting>
  <conditionalFormatting sqref="AD26">
    <cfRule type="cellIs" dxfId="125" priority="59" stopIfTrue="1" operator="greaterThan">
      <formula>1.75</formula>
    </cfRule>
    <cfRule type="cellIs" dxfId="124" priority="60" stopIfTrue="1" operator="between">
      <formula>1.25</formula>
      <formula>1.75</formula>
    </cfRule>
  </conditionalFormatting>
  <conditionalFormatting sqref="AD28">
    <cfRule type="cellIs" dxfId="123" priority="57" stopIfTrue="1" operator="greaterThan">
      <formula>1.75</formula>
    </cfRule>
    <cfRule type="cellIs" dxfId="122" priority="58" stopIfTrue="1" operator="between">
      <formula>1.25</formula>
      <formula>1.75</formula>
    </cfRule>
  </conditionalFormatting>
  <conditionalFormatting sqref="AD28">
    <cfRule type="cellIs" dxfId="121" priority="55" stopIfTrue="1" operator="greaterThan">
      <formula>1.75</formula>
    </cfRule>
    <cfRule type="cellIs" dxfId="120" priority="56" stopIfTrue="1" operator="between">
      <formula>1.25</formula>
      <formula>1.75</formula>
    </cfRule>
  </conditionalFormatting>
  <conditionalFormatting sqref="AD28">
    <cfRule type="cellIs" dxfId="119" priority="53" stopIfTrue="1" operator="greaterThan">
      <formula>1.75</formula>
    </cfRule>
    <cfRule type="cellIs" dxfId="118" priority="54" stopIfTrue="1" operator="between">
      <formula>1.25</formula>
      <formula>1.75</formula>
    </cfRule>
  </conditionalFormatting>
  <conditionalFormatting sqref="X26">
    <cfRule type="cellIs" dxfId="117" priority="51" stopIfTrue="1" operator="greaterThan">
      <formula>1.75</formula>
    </cfRule>
    <cfRule type="cellIs" dxfId="116" priority="52" stopIfTrue="1" operator="between">
      <formula>1.25</formula>
      <formula>1.75</formula>
    </cfRule>
  </conditionalFormatting>
  <conditionalFormatting sqref="X28">
    <cfRule type="cellIs" dxfId="115" priority="49" stopIfTrue="1" operator="greaterThan">
      <formula>1.75</formula>
    </cfRule>
    <cfRule type="cellIs" dxfId="114" priority="50" stopIfTrue="1" operator="between">
      <formula>1.25</formula>
      <formula>1.75</formula>
    </cfRule>
  </conditionalFormatting>
  <conditionalFormatting sqref="X28">
    <cfRule type="cellIs" dxfId="113" priority="47" stopIfTrue="1" operator="greaterThan">
      <formula>1.75</formula>
    </cfRule>
    <cfRule type="cellIs" dxfId="112" priority="48" stopIfTrue="1" operator="between">
      <formula>1.25</formula>
      <formula>1.75</formula>
    </cfRule>
  </conditionalFormatting>
  <conditionalFormatting sqref="X28">
    <cfRule type="cellIs" dxfId="111" priority="45" stopIfTrue="1" operator="greaterThan">
      <formula>1.75</formula>
    </cfRule>
    <cfRule type="cellIs" dxfId="110" priority="46" stopIfTrue="1" operator="between">
      <formula>1.25</formula>
      <formula>1.75</formula>
    </cfRule>
  </conditionalFormatting>
  <conditionalFormatting sqref="Y26">
    <cfRule type="cellIs" dxfId="109" priority="43" stopIfTrue="1" operator="greaterThan">
      <formula>1.75</formula>
    </cfRule>
    <cfRule type="cellIs" dxfId="108" priority="44" stopIfTrue="1" operator="between">
      <formula>1.25</formula>
      <formula>1.75</formula>
    </cfRule>
  </conditionalFormatting>
  <conditionalFormatting sqref="Y28">
    <cfRule type="cellIs" dxfId="107" priority="41" stopIfTrue="1" operator="greaterThan">
      <formula>1.75</formula>
    </cfRule>
    <cfRule type="cellIs" dxfId="106" priority="42" stopIfTrue="1" operator="between">
      <formula>1.25</formula>
      <formula>1.75</formula>
    </cfRule>
  </conditionalFormatting>
  <conditionalFormatting sqref="Y28">
    <cfRule type="cellIs" dxfId="105" priority="39" stopIfTrue="1" operator="greaterThan">
      <formula>1.75</formula>
    </cfRule>
    <cfRule type="cellIs" dxfId="104" priority="40" stopIfTrue="1" operator="between">
      <formula>1.25</formula>
      <formula>1.75</formula>
    </cfRule>
  </conditionalFormatting>
  <conditionalFormatting sqref="Y28">
    <cfRule type="cellIs" dxfId="103" priority="37" stopIfTrue="1" operator="greaterThan">
      <formula>1.75</formula>
    </cfRule>
    <cfRule type="cellIs" dxfId="102" priority="38" stopIfTrue="1" operator="between">
      <formula>1.25</formula>
      <formula>1.75</formula>
    </cfRule>
  </conditionalFormatting>
  <conditionalFormatting sqref="Z26">
    <cfRule type="cellIs" dxfId="101" priority="35" stopIfTrue="1" operator="greaterThan">
      <formula>1.75</formula>
    </cfRule>
    <cfRule type="cellIs" dxfId="100" priority="36" stopIfTrue="1" operator="between">
      <formula>1.25</formula>
      <formula>1.75</formula>
    </cfRule>
  </conditionalFormatting>
  <conditionalFormatting sqref="Z28">
    <cfRule type="cellIs" dxfId="99" priority="33" stopIfTrue="1" operator="greaterThan">
      <formula>1.75</formula>
    </cfRule>
    <cfRule type="cellIs" dxfId="98" priority="34" stopIfTrue="1" operator="between">
      <formula>1.25</formula>
      <formula>1.75</formula>
    </cfRule>
  </conditionalFormatting>
  <conditionalFormatting sqref="Z28">
    <cfRule type="cellIs" dxfId="97" priority="31" stopIfTrue="1" operator="greaterThan">
      <formula>1.75</formula>
    </cfRule>
    <cfRule type="cellIs" dxfId="96" priority="32" stopIfTrue="1" operator="between">
      <formula>1.25</formula>
      <formula>1.75</formula>
    </cfRule>
  </conditionalFormatting>
  <conditionalFormatting sqref="Z28">
    <cfRule type="cellIs" dxfId="95" priority="29" stopIfTrue="1" operator="greaterThan">
      <formula>1.75</formula>
    </cfRule>
    <cfRule type="cellIs" dxfId="94" priority="30" stopIfTrue="1" operator="between">
      <formula>1.25</formula>
      <formula>1.75</formula>
    </cfRule>
  </conditionalFormatting>
  <conditionalFormatting sqref="AA26">
    <cfRule type="cellIs" dxfId="93" priority="27" stopIfTrue="1" operator="greaterThan">
      <formula>1.75</formula>
    </cfRule>
    <cfRule type="cellIs" dxfId="92" priority="28" stopIfTrue="1" operator="between">
      <formula>1.25</formula>
      <formula>1.75</formula>
    </cfRule>
  </conditionalFormatting>
  <conditionalFormatting sqref="AA28">
    <cfRule type="cellIs" dxfId="91" priority="25" stopIfTrue="1" operator="greaterThan">
      <formula>1.75</formula>
    </cfRule>
    <cfRule type="cellIs" dxfId="90" priority="26" stopIfTrue="1" operator="between">
      <formula>1.25</formula>
      <formula>1.75</formula>
    </cfRule>
  </conditionalFormatting>
  <conditionalFormatting sqref="AA28">
    <cfRule type="cellIs" dxfId="89" priority="23" stopIfTrue="1" operator="greaterThan">
      <formula>1.75</formula>
    </cfRule>
    <cfRule type="cellIs" dxfId="88" priority="24" stopIfTrue="1" operator="between">
      <formula>1.25</formula>
      <formula>1.75</formula>
    </cfRule>
  </conditionalFormatting>
  <conditionalFormatting sqref="AA28">
    <cfRule type="cellIs" dxfId="87" priority="21" stopIfTrue="1" operator="greaterThan">
      <formula>1.75</formula>
    </cfRule>
    <cfRule type="cellIs" dxfId="86" priority="22" stopIfTrue="1" operator="between">
      <formula>1.25</formula>
      <formula>1.75</formula>
    </cfRule>
  </conditionalFormatting>
  <conditionalFormatting sqref="AB26">
    <cfRule type="cellIs" dxfId="85" priority="19" stopIfTrue="1" operator="greaterThan">
      <formula>1.75</formula>
    </cfRule>
    <cfRule type="cellIs" dxfId="84" priority="20" stopIfTrue="1" operator="between">
      <formula>1.25</formula>
      <formula>1.75</formula>
    </cfRule>
  </conditionalFormatting>
  <conditionalFormatting sqref="AB28">
    <cfRule type="cellIs" dxfId="83" priority="17" stopIfTrue="1" operator="greaterThan">
      <formula>1.75</formula>
    </cfRule>
    <cfRule type="cellIs" dxfId="82" priority="18" stopIfTrue="1" operator="between">
      <formula>1.25</formula>
      <formula>1.75</formula>
    </cfRule>
  </conditionalFormatting>
  <conditionalFormatting sqref="AB28">
    <cfRule type="cellIs" dxfId="81" priority="15" stopIfTrue="1" operator="greaterThan">
      <formula>1.75</formula>
    </cfRule>
    <cfRule type="cellIs" dxfId="80" priority="16" stopIfTrue="1" operator="between">
      <formula>1.25</formula>
      <formula>1.75</formula>
    </cfRule>
  </conditionalFormatting>
  <conditionalFormatting sqref="AB28">
    <cfRule type="cellIs" dxfId="79" priority="13" stopIfTrue="1" operator="greaterThan">
      <formula>1.75</formula>
    </cfRule>
    <cfRule type="cellIs" dxfId="78" priority="14" stopIfTrue="1" operator="between">
      <formula>1.25</formula>
      <formula>1.75</formula>
    </cfRule>
  </conditionalFormatting>
  <conditionalFormatting sqref="AC26">
    <cfRule type="cellIs" dxfId="77" priority="11" stopIfTrue="1" operator="greaterThan">
      <formula>1.75</formula>
    </cfRule>
    <cfRule type="cellIs" dxfId="76" priority="12" stopIfTrue="1" operator="between">
      <formula>1.25</formula>
      <formula>1.75</formula>
    </cfRule>
  </conditionalFormatting>
  <conditionalFormatting sqref="AC28">
    <cfRule type="cellIs" dxfId="75" priority="9" stopIfTrue="1" operator="greaterThan">
      <formula>1.75</formula>
    </cfRule>
    <cfRule type="cellIs" dxfId="74" priority="10" stopIfTrue="1" operator="between">
      <formula>1.25</formula>
      <formula>1.75</formula>
    </cfRule>
  </conditionalFormatting>
  <conditionalFormatting sqref="AC28">
    <cfRule type="cellIs" dxfId="73" priority="7" stopIfTrue="1" operator="greaterThan">
      <formula>1.75</formula>
    </cfRule>
    <cfRule type="cellIs" dxfId="72" priority="8" stopIfTrue="1" operator="between">
      <formula>1.25</formula>
      <formula>1.75</formula>
    </cfRule>
  </conditionalFormatting>
  <conditionalFormatting sqref="AC28">
    <cfRule type="cellIs" dxfId="71" priority="5" stopIfTrue="1" operator="greaterThan">
      <formula>1.75</formula>
    </cfRule>
    <cfRule type="cellIs" dxfId="70" priority="6" stopIfTrue="1" operator="between">
      <formula>1.25</formula>
      <formula>1.75</formula>
    </cfRule>
  </conditionalFormatting>
  <conditionalFormatting sqref="AF20:AN20">
    <cfRule type="cellIs" dxfId="69" priority="3" stopIfTrue="1" operator="greaterThan">
      <formula>1.75</formula>
    </cfRule>
    <cfRule type="cellIs" dxfId="68" priority="4" stopIfTrue="1" operator="between">
      <formula>1.25</formula>
      <formula>1.75</formula>
    </cfRule>
  </conditionalFormatting>
  <conditionalFormatting sqref="AF28:AN28">
    <cfRule type="cellIs" dxfId="67" priority="1" stopIfTrue="1" operator="greaterThan">
      <formula>1.75</formula>
    </cfRule>
    <cfRule type="cellIs" dxfId="66" priority="2" stopIfTrue="1" operator="between">
      <formula>1.25</formula>
      <formula>1.75</formula>
    </cfRule>
  </conditionalFormatting>
  <pageMargins left="0.70866141732283472" right="0.70866141732283472" top="0.74803149606299213" bottom="0.74803149606299213" header="0.31496062992125984" footer="0.31496062992125984"/>
  <pageSetup paperSize="9" orientation="landscape" r:id="rId1"/>
  <ignoredErrors>
    <ignoredError sqref="O493 O481 G481"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topLeftCell="A31" workbookViewId="0">
      <selection activeCell="L58" sqref="L58"/>
    </sheetView>
  </sheetViews>
  <sheetFormatPr defaultRowHeight="15" x14ac:dyDescent="0.25"/>
  <cols>
    <col min="2" max="2" width="14.5703125" bestFit="1" customWidth="1"/>
    <col min="4" max="4" width="17.42578125" style="594" customWidth="1"/>
    <col min="5" max="5" width="20.5703125" bestFit="1" customWidth="1"/>
    <col min="7" max="7" width="14.140625" customWidth="1"/>
    <col min="9" max="11" width="9.7109375" bestFit="1" customWidth="1"/>
    <col min="12" max="12" width="9.7109375" style="743" bestFit="1" customWidth="1"/>
    <col min="13" max="14" width="10.7109375" bestFit="1" customWidth="1"/>
    <col min="15" max="18" width="9.7109375" bestFit="1" customWidth="1"/>
    <col min="19" max="20" width="10.7109375" bestFit="1" customWidth="1"/>
    <col min="21" max="25" width="9.7109375" bestFit="1" customWidth="1"/>
  </cols>
  <sheetData>
    <row r="1" spans="1:40" s="743" customFormat="1" x14ac:dyDescent="0.25">
      <c r="A1" s="891"/>
      <c r="B1" s="891"/>
      <c r="C1" s="891"/>
      <c r="D1" s="970"/>
      <c r="E1" s="891"/>
      <c r="F1" s="964"/>
      <c r="G1" s="891"/>
      <c r="H1" s="891" t="s">
        <v>75</v>
      </c>
      <c r="I1" s="891" t="s">
        <v>75</v>
      </c>
      <c r="J1" s="891" t="s">
        <v>75</v>
      </c>
      <c r="K1" s="891" t="s">
        <v>75</v>
      </c>
      <c r="L1" s="891" t="s">
        <v>75</v>
      </c>
      <c r="M1" s="891" t="s">
        <v>75</v>
      </c>
      <c r="N1" s="891" t="s">
        <v>75</v>
      </c>
      <c r="O1" s="891" t="s">
        <v>75</v>
      </c>
      <c r="P1" s="891" t="s">
        <v>75</v>
      </c>
      <c r="Q1" s="891" t="s">
        <v>75</v>
      </c>
      <c r="R1" s="891" t="s">
        <v>75</v>
      </c>
      <c r="S1" s="891" t="s">
        <v>75</v>
      </c>
      <c r="T1" s="891" t="s">
        <v>75</v>
      </c>
      <c r="U1" s="891" t="s">
        <v>75</v>
      </c>
      <c r="V1" s="891" t="s">
        <v>75</v>
      </c>
      <c r="W1" s="891" t="s">
        <v>75</v>
      </c>
      <c r="X1" s="891" t="s">
        <v>75</v>
      </c>
      <c r="Y1" s="891" t="s">
        <v>75</v>
      </c>
      <c r="Z1" s="891"/>
    </row>
    <row r="2" spans="1:40" s="743" customFormat="1" ht="23.25" x14ac:dyDescent="0.25">
      <c r="A2" s="891"/>
      <c r="B2" s="891"/>
      <c r="C2" s="965" t="s">
        <v>293</v>
      </c>
      <c r="D2" s="966" t="s">
        <v>294</v>
      </c>
      <c r="E2" s="966" t="s">
        <v>297</v>
      </c>
      <c r="F2" s="967" t="s">
        <v>295</v>
      </c>
      <c r="G2" s="968" t="s">
        <v>296</v>
      </c>
      <c r="H2" s="969">
        <f>Table!A1</f>
        <v>41822</v>
      </c>
      <c r="I2" s="969">
        <f>Table!A15</f>
        <v>41815</v>
      </c>
      <c r="J2" s="969">
        <f>Table!A29</f>
        <v>41808</v>
      </c>
      <c r="K2" s="969">
        <f>Table!A43</f>
        <v>41801</v>
      </c>
      <c r="L2" s="969">
        <f>Table!A57</f>
        <v>41794</v>
      </c>
      <c r="M2" s="969">
        <f>Table!A71</f>
        <v>41787</v>
      </c>
      <c r="N2" s="969">
        <f>Table!A85</f>
        <v>41780</v>
      </c>
      <c r="O2" s="969">
        <f>Table!A99</f>
        <v>41773</v>
      </c>
      <c r="P2" s="969">
        <f>Table!A113</f>
        <v>41766</v>
      </c>
      <c r="Q2" s="969">
        <f>Table!A127</f>
        <v>41752</v>
      </c>
      <c r="R2" s="969">
        <f>Table!A141</f>
        <v>41745</v>
      </c>
      <c r="S2" s="969">
        <f>Table!A155</f>
        <v>41739</v>
      </c>
      <c r="T2" s="969">
        <f>Table!A169</f>
        <v>41732</v>
      </c>
      <c r="U2" s="969">
        <f>Table!A183</f>
        <v>41725</v>
      </c>
      <c r="V2" s="969">
        <f>Table!A197</f>
        <v>41709</v>
      </c>
      <c r="W2" s="969">
        <f>Table!A211</f>
        <v>41704</v>
      </c>
      <c r="X2" s="969">
        <f>Table!A225</f>
        <v>41703</v>
      </c>
      <c r="Y2" s="969">
        <f>Table!A239</f>
        <v>41702</v>
      </c>
      <c r="Z2" s="891"/>
    </row>
    <row r="3" spans="1:40" x14ac:dyDescent="0.25">
      <c r="A3" s="960" t="s">
        <v>12</v>
      </c>
      <c r="B3" s="961" t="s">
        <v>99</v>
      </c>
      <c r="C3" s="891"/>
      <c r="D3" s="970">
        <f>H3/AVERAGE(H4:Z4)</f>
        <v>1001.4699992414339</v>
      </c>
      <c r="E3" s="970">
        <f>Table!C4</f>
        <v>250018.4</v>
      </c>
      <c r="F3" s="971">
        <f>H3/E3</f>
        <v>0.58672921672964862</v>
      </c>
      <c r="G3" s="891">
        <f>Table!C5</f>
        <v>103325.3</v>
      </c>
      <c r="H3" s="970">
        <f>Table!C9</f>
        <v>146693.09999999998</v>
      </c>
      <c r="I3" s="970">
        <f>Table!C23</f>
        <v>146954.09999999998</v>
      </c>
      <c r="J3" s="970">
        <f>Table!C37</f>
        <v>147314.5</v>
      </c>
      <c r="K3" s="970">
        <f>Table!C51</f>
        <v>147314.5</v>
      </c>
      <c r="L3" s="970">
        <f>Table!C65</f>
        <v>147880.59999999998</v>
      </c>
      <c r="M3" s="970">
        <f>Table!C79</f>
        <v>145722.5</v>
      </c>
      <c r="N3" s="970">
        <f>Table!C93</f>
        <v>145702.09999999998</v>
      </c>
      <c r="O3" s="970">
        <f>Table!C107</f>
        <v>146034.79999999999</v>
      </c>
      <c r="P3" s="970">
        <f>Table!C121</f>
        <v>146123.1</v>
      </c>
      <c r="Q3" s="970">
        <f>Table!C135</f>
        <v>145162.5</v>
      </c>
      <c r="R3" s="970">
        <f>Table!C149</f>
        <v>144485.20000000001</v>
      </c>
      <c r="S3" s="970">
        <f>Table!C163</f>
        <v>144573</v>
      </c>
      <c r="T3" s="970">
        <f>Table!C177</f>
        <v>145463.9</v>
      </c>
      <c r="U3" s="970">
        <f>Table!C191</f>
        <v>145988</v>
      </c>
      <c r="V3" s="970">
        <f>Table!C205</f>
        <v>148723.70000000001</v>
      </c>
      <c r="W3" s="970">
        <f>Table!C219</f>
        <v>149298.09999999998</v>
      </c>
      <c r="X3" s="970">
        <f>Table!C233</f>
        <v>149332.59999999998</v>
      </c>
      <c r="Y3" s="970">
        <f>Table!C247</f>
        <v>149329.70000000001</v>
      </c>
      <c r="Z3" s="891">
        <v>149329.70000000001</v>
      </c>
    </row>
    <row r="4" spans="1:40" s="743" customFormat="1" x14ac:dyDescent="0.25">
      <c r="A4" s="960"/>
      <c r="B4" s="961" t="s">
        <v>298</v>
      </c>
      <c r="C4" s="891"/>
      <c r="D4" s="970"/>
      <c r="E4" s="970"/>
      <c r="F4" s="891"/>
      <c r="G4" s="891"/>
      <c r="H4" s="970">
        <f t="shared" ref="H4:X4" si="0">I3-H3</f>
        <v>261</v>
      </c>
      <c r="I4" s="970">
        <f t="shared" si="0"/>
        <v>360.40000000002328</v>
      </c>
      <c r="J4" s="970">
        <f t="shared" si="0"/>
        <v>0</v>
      </c>
      <c r="K4" s="970">
        <f t="shared" si="0"/>
        <v>566.09999999997672</v>
      </c>
      <c r="L4" s="970">
        <f t="shared" si="0"/>
        <v>-2158.0999999999767</v>
      </c>
      <c r="M4" s="970">
        <f t="shared" si="0"/>
        <v>-20.400000000023283</v>
      </c>
      <c r="N4" s="970">
        <f t="shared" si="0"/>
        <v>332.70000000001164</v>
      </c>
      <c r="O4" s="970">
        <f t="shared" si="0"/>
        <v>88.300000000017462</v>
      </c>
      <c r="P4" s="970">
        <f t="shared" si="0"/>
        <v>-960.60000000000582</v>
      </c>
      <c r="Q4" s="970">
        <f t="shared" si="0"/>
        <v>-677.29999999998836</v>
      </c>
      <c r="R4" s="970">
        <f t="shared" si="0"/>
        <v>87.799999999988358</v>
      </c>
      <c r="S4" s="970">
        <f t="shared" si="0"/>
        <v>890.89999999999418</v>
      </c>
      <c r="T4" s="970">
        <f t="shared" si="0"/>
        <v>524.10000000000582</v>
      </c>
      <c r="U4" s="970">
        <f t="shared" si="0"/>
        <v>2735.7000000000116</v>
      </c>
      <c r="V4" s="970">
        <f t="shared" si="0"/>
        <v>574.39999999996508</v>
      </c>
      <c r="W4" s="970">
        <f t="shared" si="0"/>
        <v>34.5</v>
      </c>
      <c r="X4" s="970">
        <f t="shared" si="0"/>
        <v>-2.8999999999650754</v>
      </c>
      <c r="Y4" s="970">
        <f>Z3-Y3</f>
        <v>0</v>
      </c>
      <c r="Z4" s="891"/>
    </row>
    <row r="5" spans="1:40" x14ac:dyDescent="0.25">
      <c r="A5" s="960" t="s">
        <v>12</v>
      </c>
      <c r="B5" s="962" t="s">
        <v>100</v>
      </c>
      <c r="C5" s="891"/>
      <c r="D5" s="970">
        <f>H5/AVERAGE(H6:Z6)</f>
        <v>1087.7965732934547</v>
      </c>
      <c r="E5" s="970">
        <f>Table!D4</f>
        <v>150516.70000000001</v>
      </c>
      <c r="F5" s="971">
        <f>H5/E5</f>
        <v>0.44289969152924569</v>
      </c>
      <c r="G5" s="891">
        <f>Table!D5</f>
        <v>83852.899999999994</v>
      </c>
      <c r="H5" s="970">
        <f>Table!D9</f>
        <v>66663.800000000017</v>
      </c>
      <c r="I5" s="970">
        <f>Table!D23</f>
        <v>66722.200000000012</v>
      </c>
      <c r="J5" s="970">
        <f>Table!D37</f>
        <v>66958.900000000009</v>
      </c>
      <c r="K5" s="970">
        <f>Table!D51</f>
        <v>66958.900000000009</v>
      </c>
      <c r="L5" s="970">
        <f>Table!D65</f>
        <v>66993.500000000015</v>
      </c>
      <c r="M5" s="970">
        <f>Table!D79</f>
        <v>67079.700000000012</v>
      </c>
      <c r="N5" s="970">
        <f>Table!D93</f>
        <v>66045.300000000017</v>
      </c>
      <c r="O5" s="970">
        <f>Table!D107</f>
        <v>66072.900000000009</v>
      </c>
      <c r="P5" s="970">
        <f>Table!D121</f>
        <v>66424.100000000006</v>
      </c>
      <c r="Q5" s="970">
        <f>Table!D135</f>
        <v>66601.900000000009</v>
      </c>
      <c r="R5" s="970">
        <f>Table!D149</f>
        <v>66632.200000000012</v>
      </c>
      <c r="S5" s="970">
        <f>Table!D163</f>
        <v>66716.900000000009</v>
      </c>
      <c r="T5" s="970">
        <f>Table!D177</f>
        <v>67174.200000000012</v>
      </c>
      <c r="U5" s="970">
        <f>Table!D191</f>
        <v>67271.600000000006</v>
      </c>
      <c r="V5" s="970">
        <f>Table!D205</f>
        <v>67406.800000000017</v>
      </c>
      <c r="W5" s="970">
        <f>Table!D205</f>
        <v>67406.800000000017</v>
      </c>
      <c r="X5" s="970">
        <f>Table!D233</f>
        <v>67766.900000000009</v>
      </c>
      <c r="Y5" s="970">
        <f>Table!D247</f>
        <v>67766.900000000009</v>
      </c>
      <c r="Z5" s="891">
        <v>67766.900000000009</v>
      </c>
    </row>
    <row r="6" spans="1:40" s="743" customFormat="1" x14ac:dyDescent="0.25">
      <c r="A6" s="960"/>
      <c r="B6" s="962" t="s">
        <v>298</v>
      </c>
      <c r="C6" s="891"/>
      <c r="D6" s="970"/>
      <c r="E6" s="970"/>
      <c r="F6" s="891"/>
      <c r="G6" s="891"/>
      <c r="H6" s="970">
        <f t="shared" ref="H6" si="1">I5-H5</f>
        <v>58.399999999994179</v>
      </c>
      <c r="I6" s="970">
        <f t="shared" ref="I6" si="2">J5-I5</f>
        <v>236.69999999999709</v>
      </c>
      <c r="J6" s="970">
        <f t="shared" ref="J6" si="3">K5-J5</f>
        <v>0</v>
      </c>
      <c r="K6" s="970">
        <f t="shared" ref="K6" si="4">L5-K5</f>
        <v>34.600000000005821</v>
      </c>
      <c r="L6" s="970">
        <f t="shared" ref="L6" si="5">M5-L5</f>
        <v>86.19999999999709</v>
      </c>
      <c r="M6" s="970">
        <f t="shared" ref="M6" si="6">N5-M5</f>
        <v>-1034.3999999999942</v>
      </c>
      <c r="N6" s="970">
        <f t="shared" ref="N6" si="7">O5-N5</f>
        <v>27.599999999991269</v>
      </c>
      <c r="O6" s="970">
        <f t="shared" ref="O6" si="8">P5-O5</f>
        <v>351.19999999999709</v>
      </c>
      <c r="P6" s="970">
        <f t="shared" ref="P6" si="9">Q5-P5</f>
        <v>177.80000000000291</v>
      </c>
      <c r="Q6" s="970">
        <f t="shared" ref="Q6" si="10">R5-Q5</f>
        <v>30.30000000000291</v>
      </c>
      <c r="R6" s="970">
        <f t="shared" ref="R6" si="11">S5-R5</f>
        <v>84.69999999999709</v>
      </c>
      <c r="S6" s="970">
        <f t="shared" ref="S6" si="12">T5-S5</f>
        <v>457.30000000000291</v>
      </c>
      <c r="T6" s="970">
        <f t="shared" ref="T6" si="13">U5-T5</f>
        <v>97.399999999994179</v>
      </c>
      <c r="U6" s="970">
        <f t="shared" ref="U6" si="14">V5-U5</f>
        <v>135.20000000001164</v>
      </c>
      <c r="V6" s="970">
        <f t="shared" ref="V6" si="15">W5-V5</f>
        <v>0</v>
      </c>
      <c r="W6" s="970">
        <f t="shared" ref="W6" si="16">X5-W5</f>
        <v>360.09999999999127</v>
      </c>
      <c r="X6" s="970">
        <f t="shared" ref="X6" si="17">Y5-X5</f>
        <v>0</v>
      </c>
      <c r="Y6" s="970">
        <f>Z5-Y5</f>
        <v>0</v>
      </c>
      <c r="Z6" s="891"/>
    </row>
    <row r="7" spans="1:40" x14ac:dyDescent="0.25">
      <c r="A7" s="960" t="s">
        <v>13</v>
      </c>
      <c r="B7" s="962" t="s">
        <v>101</v>
      </c>
      <c r="C7" s="891"/>
      <c r="D7" s="970">
        <f>H7/AVERAGE(H8:Z8)</f>
        <v>2525.3873643905245</v>
      </c>
      <c r="E7" s="970">
        <f>Table!E4</f>
        <v>150516.70000000001</v>
      </c>
      <c r="F7" s="971">
        <f>H7/E7</f>
        <v>0.43818858638277353</v>
      </c>
      <c r="G7" s="891">
        <f>Table!E5</f>
        <v>84562</v>
      </c>
      <c r="H7" s="970">
        <f>Table!E9</f>
        <v>65954.700000000012</v>
      </c>
      <c r="I7" s="970">
        <f>Table!E23</f>
        <v>66012.900000000009</v>
      </c>
      <c r="J7" s="970">
        <f>Table!E37</f>
        <v>66207.100000000006</v>
      </c>
      <c r="K7" s="970">
        <f>Table!E51</f>
        <v>66249.800000000017</v>
      </c>
      <c r="L7" s="970">
        <f>Table!E65</f>
        <v>66315.500000000015</v>
      </c>
      <c r="M7" s="970">
        <f>Table!E79</f>
        <v>65738.800000000017</v>
      </c>
      <c r="N7" s="970">
        <f>Table!E93</f>
        <v>64706.700000000012</v>
      </c>
      <c r="O7" s="970">
        <f>Table!E107</f>
        <v>64733.300000000017</v>
      </c>
      <c r="P7" s="970">
        <f>Table!E121</f>
        <v>65082.2</v>
      </c>
      <c r="Q7" s="970">
        <f>Table!E135</f>
        <v>65259.900000000009</v>
      </c>
      <c r="R7" s="970">
        <f>Table!E149</f>
        <v>65290.100000000006</v>
      </c>
      <c r="S7" s="970">
        <f>Table!E163</f>
        <v>65374.900000000009</v>
      </c>
      <c r="T7" s="970">
        <f>Table!E177</f>
        <v>65826.400000000009</v>
      </c>
      <c r="U7" s="970">
        <f>Table!E191</f>
        <v>65929.600000000006</v>
      </c>
      <c r="V7" s="970">
        <f>Table!E205</f>
        <v>66064.600000000006</v>
      </c>
      <c r="W7" s="970">
        <f>Table!E205</f>
        <v>66064.600000000006</v>
      </c>
      <c r="X7" s="970">
        <f>Table!E205</f>
        <v>66064.600000000006</v>
      </c>
      <c r="Y7" s="970">
        <f>Table!E247</f>
        <v>66424.800000000017</v>
      </c>
      <c r="Z7" s="891">
        <v>66424.800000000017</v>
      </c>
      <c r="AG7" s="743" t="str">
        <f>Table!AE5</f>
        <v>Used GB</v>
      </c>
      <c r="AH7" s="743">
        <f>Table!AF5</f>
        <v>103325.3</v>
      </c>
      <c r="AI7" s="743">
        <f>Table!AG5</f>
        <v>83852.899999999994</v>
      </c>
      <c r="AJ7" s="743">
        <f>Table!AH5</f>
        <v>431762.00000000006</v>
      </c>
      <c r="AK7" s="743">
        <f>Table!AI5</f>
        <v>502784.89999999997</v>
      </c>
      <c r="AL7" s="743">
        <f>Table!AJ5</f>
        <v>544675</v>
      </c>
      <c r="AM7" s="743">
        <f>Table!AK5</f>
        <v>490097.10000000003</v>
      </c>
      <c r="AN7" s="743">
        <f>Table!AL5</f>
        <v>26820.300000000003</v>
      </c>
    </row>
    <row r="8" spans="1:40" s="743" customFormat="1" x14ac:dyDescent="0.25">
      <c r="A8" s="960"/>
      <c r="B8" s="962" t="s">
        <v>298</v>
      </c>
      <c r="C8" s="891"/>
      <c r="D8" s="970"/>
      <c r="E8" s="970"/>
      <c r="F8" s="891"/>
      <c r="G8" s="891"/>
      <c r="H8" s="970">
        <f t="shared" ref="H8" si="18">I7-H7</f>
        <v>58.19999999999709</v>
      </c>
      <c r="I8" s="970">
        <f t="shared" ref="I8" si="19">J7-I7</f>
        <v>194.19999999999709</v>
      </c>
      <c r="J8" s="970">
        <f t="shared" ref="J8" si="20">K7-J7</f>
        <v>42.700000000011642</v>
      </c>
      <c r="K8" s="970">
        <f t="shared" ref="K8" si="21">L7-K7</f>
        <v>65.69999999999709</v>
      </c>
      <c r="L8" s="970">
        <f t="shared" ref="L8" si="22">M7-L7</f>
        <v>-576.69999999999709</v>
      </c>
      <c r="M8" s="970">
        <f t="shared" ref="M8" si="23">N7-M7</f>
        <v>-1032.1000000000058</v>
      </c>
      <c r="N8" s="970">
        <f t="shared" ref="N8" si="24">O7-N7</f>
        <v>26.600000000005821</v>
      </c>
      <c r="O8" s="970">
        <f t="shared" ref="O8" si="25">P7-O7</f>
        <v>348.89999999997963</v>
      </c>
      <c r="P8" s="970">
        <f t="shared" ref="P8" si="26">Q7-P7</f>
        <v>177.70000000001164</v>
      </c>
      <c r="Q8" s="970">
        <f t="shared" ref="Q8" si="27">R7-Q7</f>
        <v>30.19999999999709</v>
      </c>
      <c r="R8" s="970">
        <f t="shared" ref="R8" si="28">S7-R7</f>
        <v>84.80000000000291</v>
      </c>
      <c r="S8" s="970">
        <f t="shared" ref="S8" si="29">T7-S7</f>
        <v>451.5</v>
      </c>
      <c r="T8" s="970">
        <f t="shared" ref="T8" si="30">U7-T7</f>
        <v>103.19999999999709</v>
      </c>
      <c r="U8" s="970">
        <f t="shared" ref="U8" si="31">V7-U7</f>
        <v>135</v>
      </c>
      <c r="V8" s="970">
        <f t="shared" ref="V8" si="32">W7-V7</f>
        <v>0</v>
      </c>
      <c r="W8" s="970">
        <f t="shared" ref="W8" si="33">X7-W7</f>
        <v>0</v>
      </c>
      <c r="X8" s="970">
        <f t="shared" ref="X8" si="34">Y7-X7</f>
        <v>360.20000000001164</v>
      </c>
      <c r="Y8" s="970">
        <f>Z7-Y7</f>
        <v>0</v>
      </c>
      <c r="Z8" s="891"/>
    </row>
    <row r="9" spans="1:40" x14ac:dyDescent="0.25">
      <c r="A9" s="960" t="s">
        <v>13</v>
      </c>
      <c r="B9" s="961" t="s">
        <v>102</v>
      </c>
      <c r="C9" s="891"/>
      <c r="D9" s="970">
        <f>H9/AVERAGE(H10:Z10)</f>
        <v>-89.571199307982141</v>
      </c>
      <c r="E9" s="970">
        <f>Table!F4</f>
        <v>181998.8</v>
      </c>
      <c r="F9" s="971">
        <f>H9/E9</f>
        <v>0.24022246300525049</v>
      </c>
      <c r="G9" s="891">
        <f>Table!F5</f>
        <v>138278.6</v>
      </c>
      <c r="H9" s="970">
        <f>Table!F9</f>
        <v>43720.199999999983</v>
      </c>
      <c r="I9" s="970">
        <f>Table!F23</f>
        <v>43780.099999999977</v>
      </c>
      <c r="J9" s="970">
        <f>Table!F37</f>
        <v>43874.199999999983</v>
      </c>
      <c r="K9" s="970">
        <f>Table!F51</f>
        <v>34187.399999999994</v>
      </c>
      <c r="L9" s="970">
        <f>Table!F65</f>
        <v>34383.399999999994</v>
      </c>
      <c r="M9" s="970">
        <f>Table!F79</f>
        <v>34657.5</v>
      </c>
      <c r="N9" s="970">
        <f>Table!F93</f>
        <v>30556.799999999988</v>
      </c>
      <c r="O9" s="970">
        <f>Table!F107</f>
        <v>30641</v>
      </c>
      <c r="P9" s="970">
        <f>Table!F121</f>
        <v>30858.200000000012</v>
      </c>
      <c r="Q9" s="970">
        <f>Table!F135</f>
        <v>31213.899999999994</v>
      </c>
      <c r="R9" s="970">
        <f>Table!F149</f>
        <v>31466.399999999994</v>
      </c>
      <c r="S9" s="970">
        <f>Table!F163</f>
        <v>31600.699999999983</v>
      </c>
      <c r="T9" s="970">
        <f>Table!F177</f>
        <v>31790.799999999988</v>
      </c>
      <c r="U9" s="970">
        <f>Table!F191</f>
        <v>32038.399999999994</v>
      </c>
      <c r="V9" s="970">
        <f>Table!F205</f>
        <v>34934.299999999988</v>
      </c>
      <c r="W9" s="970">
        <f>Table!F205</f>
        <v>34934.299999999988</v>
      </c>
      <c r="X9" s="970">
        <f>Table!F205</f>
        <v>34934.299999999988</v>
      </c>
      <c r="Y9" s="970">
        <f>Table!F205</f>
        <v>34934.299999999988</v>
      </c>
      <c r="Z9" s="891">
        <v>34934.299999999988</v>
      </c>
    </row>
    <row r="10" spans="1:40" s="743" customFormat="1" x14ac:dyDescent="0.25">
      <c r="A10" s="960"/>
      <c r="B10" s="961" t="s">
        <v>298</v>
      </c>
      <c r="C10" s="891"/>
      <c r="D10" s="970"/>
      <c r="E10" s="970"/>
      <c r="F10" s="891"/>
      <c r="G10" s="891"/>
      <c r="H10" s="970">
        <f t="shared" ref="H10" si="35">I9-H9</f>
        <v>59.899999999994179</v>
      </c>
      <c r="I10" s="970">
        <f t="shared" ref="I10" si="36">J9-I9</f>
        <v>94.100000000005821</v>
      </c>
      <c r="J10" s="970">
        <f t="shared" ref="J10" si="37">K9-J9</f>
        <v>-9686.7999999999884</v>
      </c>
      <c r="K10" s="970">
        <f t="shared" ref="K10" si="38">L9-K9</f>
        <v>196</v>
      </c>
      <c r="L10" s="970">
        <f t="shared" ref="L10" si="39">M9-L9</f>
        <v>274.10000000000582</v>
      </c>
      <c r="M10" s="970">
        <f t="shared" ref="M10" si="40">N9-M9</f>
        <v>-4100.7000000000116</v>
      </c>
      <c r="N10" s="970">
        <f t="shared" ref="N10" si="41">O9-N9</f>
        <v>84.200000000011642</v>
      </c>
      <c r="O10" s="970">
        <f t="shared" ref="O10" si="42">P9-O9</f>
        <v>217.20000000001164</v>
      </c>
      <c r="P10" s="970">
        <f t="shared" ref="P10" si="43">Q9-P9</f>
        <v>355.69999999998254</v>
      </c>
      <c r="Q10" s="970">
        <f t="shared" ref="Q10" si="44">R9-Q9</f>
        <v>252.5</v>
      </c>
      <c r="R10" s="970">
        <f t="shared" ref="R10" si="45">S9-R9</f>
        <v>134.29999999998836</v>
      </c>
      <c r="S10" s="970">
        <f t="shared" ref="S10" si="46">T9-S9</f>
        <v>190.10000000000582</v>
      </c>
      <c r="T10" s="970">
        <f t="shared" ref="T10" si="47">U9-T9</f>
        <v>247.60000000000582</v>
      </c>
      <c r="U10" s="970">
        <f t="shared" ref="U10" si="48">V9-U9</f>
        <v>2895.8999999999942</v>
      </c>
      <c r="V10" s="970">
        <f t="shared" ref="V10" si="49">W9-V9</f>
        <v>0</v>
      </c>
      <c r="W10" s="970">
        <f t="shared" ref="W10" si="50">X9-W9</f>
        <v>0</v>
      </c>
      <c r="X10" s="970">
        <f t="shared" ref="X10" si="51">Y9-X9</f>
        <v>0</v>
      </c>
      <c r="Y10" s="970">
        <f>Z9-Y9</f>
        <v>0</v>
      </c>
      <c r="Z10" s="891"/>
    </row>
    <row r="11" spans="1:40" x14ac:dyDescent="0.25">
      <c r="A11" s="960" t="s">
        <v>13</v>
      </c>
      <c r="B11" s="962" t="s">
        <v>97</v>
      </c>
      <c r="C11" s="891"/>
      <c r="D11" s="970">
        <f>H11/AVERAGE(H12:Z12)</f>
        <v>623.1706434782609</v>
      </c>
      <c r="E11" s="970">
        <f>Table!G4</f>
        <v>165765.70000000001</v>
      </c>
      <c r="F11" s="971">
        <f>H11/E11</f>
        <v>0.30022555932861866</v>
      </c>
      <c r="G11" s="891">
        <f>Table!G5</f>
        <v>115998.6</v>
      </c>
      <c r="H11" s="970">
        <f>Table!G9</f>
        <v>49767.100000000006</v>
      </c>
      <c r="I11" s="970">
        <f>Table!G23</f>
        <v>50177.600000000006</v>
      </c>
      <c r="J11" s="970">
        <f>Table!G37</f>
        <v>50280.400000000009</v>
      </c>
      <c r="K11" s="970">
        <f>Table!G51</f>
        <v>51040.700000000012</v>
      </c>
      <c r="L11" s="970">
        <f>Table!G65</f>
        <v>51372.800000000017</v>
      </c>
      <c r="M11" s="970">
        <f>Table!G79</f>
        <v>51841.600000000006</v>
      </c>
      <c r="N11" s="970">
        <f>Table!G93</f>
        <v>51947.300000000017</v>
      </c>
      <c r="O11" s="970">
        <f>Table!G107</f>
        <v>52735.700000000012</v>
      </c>
      <c r="P11" s="970">
        <f>Table!G121</f>
        <v>54543.3</v>
      </c>
      <c r="Q11" s="970">
        <f>Table!G135</f>
        <v>54291.500000000015</v>
      </c>
      <c r="R11" s="970">
        <f>Table!G149</f>
        <v>53144.500000000015</v>
      </c>
      <c r="S11" s="970">
        <f>Table!G163</f>
        <v>50523.100000000006</v>
      </c>
      <c r="T11" s="970">
        <f>Table!G177</f>
        <v>50767.000000000015</v>
      </c>
      <c r="U11" s="970">
        <f>Table!G191</f>
        <v>51205.100000000006</v>
      </c>
      <c r="V11" s="970">
        <f>Table!G205</f>
        <v>51204.600000000006</v>
      </c>
      <c r="W11" s="970">
        <f>Table!G205</f>
        <v>51204.600000000006</v>
      </c>
      <c r="X11" s="970">
        <f>Table!G205</f>
        <v>51204.600000000006</v>
      </c>
      <c r="Y11" s="970">
        <f>Table!G205</f>
        <v>51204.600000000006</v>
      </c>
      <c r="Z11" s="891">
        <v>51204.600000000006</v>
      </c>
    </row>
    <row r="12" spans="1:40" s="743" customFormat="1" x14ac:dyDescent="0.25">
      <c r="A12" s="960"/>
      <c r="B12" s="962" t="s">
        <v>298</v>
      </c>
      <c r="C12" s="891"/>
      <c r="D12" s="970"/>
      <c r="E12" s="970"/>
      <c r="F12" s="891"/>
      <c r="G12" s="891"/>
      <c r="H12" s="970">
        <f t="shared" ref="H12" si="52">I11-H11</f>
        <v>410.5</v>
      </c>
      <c r="I12" s="970">
        <f t="shared" ref="I12" si="53">J11-I11</f>
        <v>102.80000000000291</v>
      </c>
      <c r="J12" s="970">
        <f t="shared" ref="J12" si="54">K11-J11</f>
        <v>760.30000000000291</v>
      </c>
      <c r="K12" s="970">
        <f t="shared" ref="K12" si="55">L11-K11</f>
        <v>332.10000000000582</v>
      </c>
      <c r="L12" s="970">
        <f t="shared" ref="L12" si="56">M11-L11</f>
        <v>468.79999999998836</v>
      </c>
      <c r="M12" s="970">
        <f t="shared" ref="M12" si="57">N11-M11</f>
        <v>105.70000000001164</v>
      </c>
      <c r="N12" s="970">
        <f t="shared" ref="N12" si="58">O11-N11</f>
        <v>788.39999999999418</v>
      </c>
      <c r="O12" s="970">
        <f t="shared" ref="O12" si="59">P11-O11</f>
        <v>1807.5999999999913</v>
      </c>
      <c r="P12" s="970">
        <f t="shared" ref="P12" si="60">Q11-P11</f>
        <v>-251.79999999998836</v>
      </c>
      <c r="Q12" s="970">
        <f t="shared" ref="Q12" si="61">R11-Q11</f>
        <v>-1147</v>
      </c>
      <c r="R12" s="970">
        <f t="shared" ref="R12" si="62">S11-R11</f>
        <v>-2621.4000000000087</v>
      </c>
      <c r="S12" s="970">
        <f t="shared" ref="S12" si="63">T11-S11</f>
        <v>243.90000000000873</v>
      </c>
      <c r="T12" s="970">
        <f t="shared" ref="T12" si="64">U11-T11</f>
        <v>438.09999999999127</v>
      </c>
      <c r="U12" s="970">
        <f t="shared" ref="U12" si="65">V11-U11</f>
        <v>-0.5</v>
      </c>
      <c r="V12" s="970">
        <f t="shared" ref="V12" si="66">W11-V11</f>
        <v>0</v>
      </c>
      <c r="W12" s="970">
        <f t="shared" ref="W12" si="67">X11-W11</f>
        <v>0</v>
      </c>
      <c r="X12" s="970">
        <f t="shared" ref="X12" si="68">Y11-X11</f>
        <v>0</v>
      </c>
      <c r="Y12" s="970">
        <f>Z11-Y11</f>
        <v>0</v>
      </c>
      <c r="Z12" s="891"/>
    </row>
    <row r="13" spans="1:40" x14ac:dyDescent="0.25">
      <c r="A13" s="960" t="s">
        <v>13</v>
      </c>
      <c r="B13" s="961" t="s">
        <v>104</v>
      </c>
      <c r="C13" s="891"/>
      <c r="D13" s="970">
        <f>H13/AVERAGE(H14:Z14)</f>
        <v>235.12371841781643</v>
      </c>
      <c r="E13" s="970">
        <f>Table!H4</f>
        <v>389505</v>
      </c>
      <c r="F13" s="971">
        <f>H13/E13</f>
        <v>0.44452266338044438</v>
      </c>
      <c r="G13" s="891">
        <f>Table!H5</f>
        <v>216361.2</v>
      </c>
      <c r="H13" s="970">
        <f>Table!H9</f>
        <v>173143.8</v>
      </c>
      <c r="I13" s="970">
        <f>Table!H23</f>
        <v>173842.4</v>
      </c>
      <c r="J13" s="970">
        <f>Table!H37</f>
        <v>174661.6</v>
      </c>
      <c r="K13" s="970">
        <f>Table!H51</f>
        <v>175251.7</v>
      </c>
      <c r="L13" s="970">
        <f>Table!H65</f>
        <v>175672.5</v>
      </c>
      <c r="M13" s="970">
        <f>Table!H79</f>
        <v>176340.9</v>
      </c>
      <c r="N13" s="970">
        <f>Table!H93</f>
        <v>177412.2</v>
      </c>
      <c r="O13" s="970">
        <f>Table!H107</f>
        <v>178584.8</v>
      </c>
      <c r="P13" s="970">
        <f>Table!H121</f>
        <v>179093.1</v>
      </c>
      <c r="Q13" s="970">
        <f>Table!H135</f>
        <v>180376.6</v>
      </c>
      <c r="R13" s="970">
        <f>Table!H149</f>
        <v>181250.5</v>
      </c>
      <c r="S13" s="970">
        <f>Table!H163</f>
        <v>182902.2</v>
      </c>
      <c r="T13" s="970">
        <f>Table!H177</f>
        <v>183386.7</v>
      </c>
      <c r="U13" s="970">
        <f>Table!H191</f>
        <v>183935</v>
      </c>
      <c r="V13" s="970">
        <f>Table!H205</f>
        <v>186398.9</v>
      </c>
      <c r="W13" s="970">
        <f>Table!H205</f>
        <v>186398.9</v>
      </c>
      <c r="X13" s="970">
        <f>Table!H205</f>
        <v>186398.9</v>
      </c>
      <c r="Y13" s="970">
        <f>Table!H205</f>
        <v>186398.9</v>
      </c>
      <c r="Z13" s="891">
        <v>186398.9</v>
      </c>
    </row>
    <row r="14" spans="1:40" s="743" customFormat="1" x14ac:dyDescent="0.25">
      <c r="A14" s="960"/>
      <c r="B14" s="961" t="s">
        <v>298</v>
      </c>
      <c r="C14" s="891"/>
      <c r="D14" s="970"/>
      <c r="E14" s="970"/>
      <c r="F14" s="891"/>
      <c r="G14" s="891"/>
      <c r="H14" s="970">
        <f t="shared" ref="H14" si="69">I13-H13</f>
        <v>698.60000000000582</v>
      </c>
      <c r="I14" s="970">
        <f t="shared" ref="I14" si="70">J13-I13</f>
        <v>819.20000000001164</v>
      </c>
      <c r="J14" s="970">
        <f t="shared" ref="J14" si="71">K13-J13</f>
        <v>590.10000000000582</v>
      </c>
      <c r="K14" s="970">
        <f t="shared" ref="K14" si="72">L13-K13</f>
        <v>420.79999999998836</v>
      </c>
      <c r="L14" s="970">
        <f t="shared" ref="L14" si="73">M13-L13</f>
        <v>668.39999999999418</v>
      </c>
      <c r="M14" s="970">
        <f t="shared" ref="M14" si="74">N13-M13</f>
        <v>1071.3000000000175</v>
      </c>
      <c r="N14" s="970">
        <f t="shared" ref="N14" si="75">O13-N13</f>
        <v>1172.5999999999767</v>
      </c>
      <c r="O14" s="970">
        <f t="shared" ref="O14" si="76">P13-O13</f>
        <v>508.30000000001746</v>
      </c>
      <c r="P14" s="970">
        <f t="shared" ref="P14" si="77">Q13-P13</f>
        <v>1283.5</v>
      </c>
      <c r="Q14" s="970">
        <f t="shared" ref="Q14" si="78">R13-Q13</f>
        <v>873.89999999999418</v>
      </c>
      <c r="R14" s="970">
        <f t="shared" ref="R14" si="79">S13-R13</f>
        <v>1651.7000000000116</v>
      </c>
      <c r="S14" s="970">
        <f t="shared" ref="S14" si="80">T13-S13</f>
        <v>484.5</v>
      </c>
      <c r="T14" s="970">
        <f t="shared" ref="T14" si="81">U13-T13</f>
        <v>548.29999999998836</v>
      </c>
      <c r="U14" s="970">
        <f t="shared" ref="U14" si="82">V13-U13</f>
        <v>2463.8999999999942</v>
      </c>
      <c r="V14" s="970">
        <f t="shared" ref="V14" si="83">W13-V13</f>
        <v>0</v>
      </c>
      <c r="W14" s="970">
        <f t="shared" ref="W14" si="84">X13-W13</f>
        <v>0</v>
      </c>
      <c r="X14" s="970">
        <f t="shared" ref="X14" si="85">Y13-X13</f>
        <v>0</v>
      </c>
      <c r="Y14" s="970">
        <f>Z13-Y13</f>
        <v>0</v>
      </c>
      <c r="Z14" s="891"/>
    </row>
    <row r="15" spans="1:40" ht="15.75" customHeight="1" x14ac:dyDescent="0.25">
      <c r="A15" s="960" t="s">
        <v>13</v>
      </c>
      <c r="B15" s="962" t="s">
        <v>103</v>
      </c>
      <c r="C15" s="891"/>
      <c r="D15" s="970">
        <f>H15/AVERAGE(H16:Z16)</f>
        <v>225.90414704541982</v>
      </c>
      <c r="E15" s="970">
        <f>Table!I4</f>
        <v>171975.5</v>
      </c>
      <c r="F15" s="971">
        <f>H15/E15</f>
        <v>0.28824396498338423</v>
      </c>
      <c r="G15" s="891">
        <f>Table!I5</f>
        <v>122404.6</v>
      </c>
      <c r="H15" s="970">
        <f>Table!I9</f>
        <v>49570.899999999994</v>
      </c>
      <c r="I15" s="970">
        <f>Table!I23</f>
        <v>49765.399999999994</v>
      </c>
      <c r="J15" s="970">
        <f>Table!I37</f>
        <v>49966.399999999994</v>
      </c>
      <c r="K15" s="970">
        <f>Table!I51</f>
        <v>50174.899999999994</v>
      </c>
      <c r="L15" s="970">
        <f>Table!I65</f>
        <v>51073.3</v>
      </c>
      <c r="M15" s="970">
        <f>Table!I79</f>
        <v>48514.600000000006</v>
      </c>
      <c r="N15" s="970">
        <f>Table!I93</f>
        <v>46066.100000000006</v>
      </c>
      <c r="O15" s="970">
        <f>Table!I107</f>
        <v>46780.899999999994</v>
      </c>
      <c r="P15" s="970">
        <f>Table!I121</f>
        <v>46963.3</v>
      </c>
      <c r="Q15" s="970">
        <f>Table!I135</f>
        <v>47158.3</v>
      </c>
      <c r="R15" s="970">
        <f>Table!I149</f>
        <v>49485.100000000006</v>
      </c>
      <c r="S15" s="970">
        <f>Table!I163</f>
        <v>50603.600000000006</v>
      </c>
      <c r="T15" s="970">
        <f>Table!I177</f>
        <v>51093.7</v>
      </c>
      <c r="U15" s="970">
        <f>Table!I191</f>
        <v>51993.100000000006</v>
      </c>
      <c r="V15" s="970">
        <f>Table!I205</f>
        <v>53520.7</v>
      </c>
      <c r="W15" s="970">
        <f>Table!I205</f>
        <v>53520.7</v>
      </c>
      <c r="X15" s="970">
        <f>Table!I205</f>
        <v>53520.7</v>
      </c>
      <c r="Y15" s="970">
        <f>Table!I205</f>
        <v>53520.7</v>
      </c>
      <c r="Z15" s="891">
        <v>53520.7</v>
      </c>
    </row>
    <row r="16" spans="1:40" s="743" customFormat="1" ht="15.75" customHeight="1" x14ac:dyDescent="0.25">
      <c r="A16" s="960"/>
      <c r="B16" s="962" t="s">
        <v>298</v>
      </c>
      <c r="C16" s="891"/>
      <c r="D16" s="970"/>
      <c r="E16" s="970"/>
      <c r="F16" s="891"/>
      <c r="G16" s="891"/>
      <c r="H16" s="970">
        <f t="shared" ref="H16" si="86">I15-H15</f>
        <v>194.5</v>
      </c>
      <c r="I16" s="970">
        <f t="shared" ref="I16" si="87">J15-I15</f>
        <v>201</v>
      </c>
      <c r="J16" s="970">
        <f t="shared" ref="J16" si="88">K15-J15</f>
        <v>208.5</v>
      </c>
      <c r="K16" s="970">
        <f t="shared" ref="K16" si="89">L15-K15</f>
        <v>898.40000000000873</v>
      </c>
      <c r="L16" s="970">
        <f t="shared" ref="L16" si="90">M15-L15</f>
        <v>-2558.6999999999971</v>
      </c>
      <c r="M16" s="970">
        <f t="shared" ref="M16" si="91">N15-M15</f>
        <v>-2448.5</v>
      </c>
      <c r="N16" s="970">
        <f t="shared" ref="N16" si="92">O15-N15</f>
        <v>714.79999999998836</v>
      </c>
      <c r="O16" s="970">
        <f t="shared" ref="O16" si="93">P15-O15</f>
        <v>182.40000000000873</v>
      </c>
      <c r="P16" s="970">
        <f t="shared" ref="P16" si="94">Q15-P15</f>
        <v>195</v>
      </c>
      <c r="Q16" s="970">
        <f t="shared" ref="Q16" si="95">R15-Q15</f>
        <v>2326.8000000000029</v>
      </c>
      <c r="R16" s="970">
        <f t="shared" ref="R16" si="96">S15-R15</f>
        <v>1118.5</v>
      </c>
      <c r="S16" s="970">
        <f t="shared" ref="S16" si="97">T15-S15</f>
        <v>490.09999999999127</v>
      </c>
      <c r="T16" s="970">
        <f t="shared" ref="T16" si="98">U15-T15</f>
        <v>899.40000000000873</v>
      </c>
      <c r="U16" s="970">
        <f t="shared" ref="U16" si="99">V15-U15</f>
        <v>1527.5999999999913</v>
      </c>
      <c r="V16" s="970">
        <f t="shared" ref="V16" si="100">W15-V15</f>
        <v>0</v>
      </c>
      <c r="W16" s="970">
        <f t="shared" ref="W16" si="101">X15-W15</f>
        <v>0</v>
      </c>
      <c r="X16" s="970">
        <f t="shared" ref="X16" si="102">Y15-X15</f>
        <v>0</v>
      </c>
      <c r="Y16" s="970">
        <f>Z15-Y15</f>
        <v>0</v>
      </c>
      <c r="Z16" s="891"/>
    </row>
    <row r="17" spans="1:26" ht="15.75" customHeight="1" x14ac:dyDescent="0.25">
      <c r="A17" s="960" t="s">
        <v>13</v>
      </c>
      <c r="B17" s="962" t="s">
        <v>178</v>
      </c>
      <c r="C17" s="891"/>
      <c r="D17" s="970">
        <f>H17/AVERAGE(H18:Z18)</f>
        <v>218.13808561224178</v>
      </c>
      <c r="E17" s="970">
        <f>Table!J4</f>
        <v>166078</v>
      </c>
      <c r="F17" s="971">
        <f>H17/E17</f>
        <v>0.69669974349402086</v>
      </c>
      <c r="G17" s="891">
        <f>Table!J5</f>
        <v>50371.5</v>
      </c>
      <c r="H17" s="970">
        <f>Table!J9</f>
        <v>115706.5</v>
      </c>
      <c r="I17" s="970">
        <f>Table!J23</f>
        <v>115831.1</v>
      </c>
      <c r="J17" s="970">
        <f>Table!J37</f>
        <v>116008.3</v>
      </c>
      <c r="K17" s="970">
        <f>Table!J51</f>
        <v>116071</v>
      </c>
      <c r="L17" s="970">
        <f>Table!J65</f>
        <v>116746.6</v>
      </c>
      <c r="M17" s="970">
        <f>Table!J79</f>
        <v>116889.3</v>
      </c>
      <c r="N17" s="970">
        <f>Table!J93</f>
        <v>117070.1</v>
      </c>
      <c r="O17" s="970">
        <f>Table!J107</f>
        <v>117462</v>
      </c>
      <c r="P17" s="970">
        <f>Table!J121</f>
        <v>118434.6</v>
      </c>
      <c r="Q17" s="970">
        <f>Table!J135</f>
        <v>120343.29999999999</v>
      </c>
      <c r="R17" s="970">
        <f>Table!J149</f>
        <v>121385.79999999999</v>
      </c>
      <c r="S17" s="970">
        <f>Table!J163</f>
        <v>121456.2</v>
      </c>
      <c r="T17" s="970">
        <f>Table!J177</f>
        <v>122795.79999999999</v>
      </c>
      <c r="U17" s="970">
        <f>Table!J191</f>
        <v>122961.59999999999</v>
      </c>
      <c r="V17" s="970">
        <f>Table!J205</f>
        <v>125254.2</v>
      </c>
      <c r="W17" s="970">
        <f>Table!J205</f>
        <v>125254.2</v>
      </c>
      <c r="X17" s="970">
        <f>Table!J205</f>
        <v>125254.2</v>
      </c>
      <c r="Y17" s="970">
        <f>Table!J205</f>
        <v>125254.2</v>
      </c>
      <c r="Z17" s="891">
        <v>125254.2</v>
      </c>
    </row>
    <row r="18" spans="1:26" s="743" customFormat="1" ht="15.75" customHeight="1" x14ac:dyDescent="0.25">
      <c r="A18" s="960"/>
      <c r="B18" s="962" t="s">
        <v>298</v>
      </c>
      <c r="C18" s="891"/>
      <c r="D18" s="970"/>
      <c r="E18" s="970"/>
      <c r="F18" s="891"/>
      <c r="G18" s="891"/>
      <c r="H18" s="970">
        <f t="shared" ref="H18" si="103">I17-H17</f>
        <v>124.60000000000582</v>
      </c>
      <c r="I18" s="970">
        <f t="shared" ref="I18" si="104">J17-I17</f>
        <v>177.19999999999709</v>
      </c>
      <c r="J18" s="970">
        <f t="shared" ref="J18" si="105">K17-J17</f>
        <v>62.69999999999709</v>
      </c>
      <c r="K18" s="970">
        <f t="shared" ref="K18" si="106">L17-K17</f>
        <v>675.60000000000582</v>
      </c>
      <c r="L18" s="970">
        <f t="shared" ref="L18" si="107">M17-L17</f>
        <v>142.69999999999709</v>
      </c>
      <c r="M18" s="970">
        <f t="shared" ref="M18" si="108">N17-M17</f>
        <v>180.80000000000291</v>
      </c>
      <c r="N18" s="970">
        <f t="shared" ref="N18" si="109">O17-N17</f>
        <v>391.89999999999418</v>
      </c>
      <c r="O18" s="970">
        <f t="shared" ref="O18" si="110">P17-O17</f>
        <v>972.60000000000582</v>
      </c>
      <c r="P18" s="970">
        <f t="shared" ref="P18" si="111">Q17-P17</f>
        <v>1908.6999999999825</v>
      </c>
      <c r="Q18" s="970">
        <f t="shared" ref="Q18" si="112">R17-Q17</f>
        <v>1042.5</v>
      </c>
      <c r="R18" s="970">
        <f t="shared" ref="R18" si="113">S17-R17</f>
        <v>70.400000000008731</v>
      </c>
      <c r="S18" s="970">
        <f t="shared" ref="S18" si="114">T17-S17</f>
        <v>1339.5999999999913</v>
      </c>
      <c r="T18" s="970">
        <f t="shared" ref="T18" si="115">U17-T17</f>
        <v>165.80000000000291</v>
      </c>
      <c r="U18" s="970">
        <f t="shared" ref="U18" si="116">V17-U17</f>
        <v>2292.6000000000058</v>
      </c>
      <c r="V18" s="970">
        <f t="shared" ref="V18" si="117">W17-V17</f>
        <v>0</v>
      </c>
      <c r="W18" s="970">
        <f t="shared" ref="W18" si="118">X17-W17</f>
        <v>0</v>
      </c>
      <c r="X18" s="970">
        <f t="shared" ref="X18" si="119">Y17-X17</f>
        <v>0</v>
      </c>
      <c r="Y18" s="970">
        <f>Z17-Y17</f>
        <v>0</v>
      </c>
      <c r="Z18" s="891"/>
    </row>
    <row r="19" spans="1:26" ht="15.75" customHeight="1" x14ac:dyDescent="0.25">
      <c r="A19" s="960" t="s">
        <v>13</v>
      </c>
      <c r="B19" s="962" t="s">
        <v>200</v>
      </c>
      <c r="C19" s="891"/>
      <c r="D19" s="970">
        <f>H19/AVERAGE(H20:Z20)</f>
        <v>37.974085098931894</v>
      </c>
      <c r="E19" s="970">
        <f>Table!K4</f>
        <v>124019.2</v>
      </c>
      <c r="F19" s="971">
        <f>H19/E19</f>
        <v>0.32059148905975848</v>
      </c>
      <c r="G19" s="891">
        <f>Table!K5</f>
        <v>84259.7</v>
      </c>
      <c r="H19" s="970">
        <f>Table!K9</f>
        <v>39759.5</v>
      </c>
      <c r="I19" s="970">
        <f>Table!K23</f>
        <v>40253.300000000003</v>
      </c>
      <c r="J19" s="970">
        <f>Table!K37</f>
        <v>40676.800000000003</v>
      </c>
      <c r="K19" s="970">
        <f>Table!K51</f>
        <v>41353.199999999997</v>
      </c>
      <c r="L19" s="970">
        <f>Table!K65</f>
        <v>41469.300000000003</v>
      </c>
      <c r="M19" s="970">
        <f>Table!K79</f>
        <v>41680.899999999994</v>
      </c>
      <c r="N19" s="970">
        <f>Table!K93</f>
        <v>41911.300000000003</v>
      </c>
      <c r="O19" s="970">
        <f>Table!K107</f>
        <v>42155.899999999994</v>
      </c>
      <c r="P19" s="970">
        <f>Table!K121</f>
        <v>42408.7</v>
      </c>
      <c r="Q19" s="970">
        <f>Table!K135</f>
        <v>46258</v>
      </c>
      <c r="R19" s="970">
        <f>Table!K149</f>
        <v>46914.8</v>
      </c>
      <c r="S19" s="970">
        <f>Table!K163</f>
        <v>47212.3</v>
      </c>
      <c r="T19" s="970">
        <f>Table!K177</f>
        <v>47917.5</v>
      </c>
      <c r="U19" s="970">
        <f>Table!K191</f>
        <v>48446.2</v>
      </c>
      <c r="V19" s="970">
        <f>Table!K205</f>
        <v>58605.799999999996</v>
      </c>
      <c r="W19" s="970">
        <f>Table!K205</f>
        <v>58605.799999999996</v>
      </c>
      <c r="X19" s="970">
        <f>Table!K205</f>
        <v>58605.799999999996</v>
      </c>
      <c r="Y19" s="970">
        <f>Table!K205</f>
        <v>58605.799999999996</v>
      </c>
      <c r="Z19" s="891">
        <v>58605.799999999996</v>
      </c>
    </row>
    <row r="20" spans="1:26" s="743" customFormat="1" ht="15.75" customHeight="1" x14ac:dyDescent="0.25">
      <c r="A20" s="960"/>
      <c r="B20" s="962" t="s">
        <v>298</v>
      </c>
      <c r="C20" s="891"/>
      <c r="D20" s="970"/>
      <c r="E20" s="970"/>
      <c r="F20" s="891"/>
      <c r="G20" s="891"/>
      <c r="H20" s="970">
        <f t="shared" ref="H20" si="120">I19-H19</f>
        <v>493.80000000000291</v>
      </c>
      <c r="I20" s="970">
        <f t="shared" ref="I20" si="121">J19-I19</f>
        <v>423.5</v>
      </c>
      <c r="J20" s="970">
        <f t="shared" ref="J20" si="122">K19-J19</f>
        <v>676.39999999999418</v>
      </c>
      <c r="K20" s="970">
        <f t="shared" ref="K20" si="123">L19-K19</f>
        <v>116.10000000000582</v>
      </c>
      <c r="L20" s="970">
        <f t="shared" ref="L20" si="124">M19-L19</f>
        <v>211.59999999999127</v>
      </c>
      <c r="M20" s="970">
        <f t="shared" ref="M20" si="125">N19-M19</f>
        <v>230.40000000000873</v>
      </c>
      <c r="N20" s="970">
        <f t="shared" ref="N20" si="126">O19-N19</f>
        <v>244.59999999999127</v>
      </c>
      <c r="O20" s="970">
        <f t="shared" ref="O20" si="127">P19-O19</f>
        <v>252.80000000000291</v>
      </c>
      <c r="P20" s="970">
        <f t="shared" ref="P20" si="128">Q19-P19</f>
        <v>3849.3000000000029</v>
      </c>
      <c r="Q20" s="970">
        <f t="shared" ref="Q20" si="129">R19-Q19</f>
        <v>656.80000000000291</v>
      </c>
      <c r="R20" s="970">
        <f t="shared" ref="R20" si="130">S19-R19</f>
        <v>297.5</v>
      </c>
      <c r="S20" s="970">
        <f t="shared" ref="S20" si="131">T19-S19</f>
        <v>705.19999999999709</v>
      </c>
      <c r="T20" s="970">
        <f t="shared" ref="T20" si="132">U19-T19</f>
        <v>528.69999999999709</v>
      </c>
      <c r="U20" s="970">
        <f t="shared" ref="U20" si="133">V19-U19</f>
        <v>10159.599999999999</v>
      </c>
      <c r="V20" s="970">
        <f t="shared" ref="V20" si="134">W19-V19</f>
        <v>0</v>
      </c>
      <c r="W20" s="970">
        <f t="shared" ref="W20" si="135">X19-W19</f>
        <v>0</v>
      </c>
      <c r="X20" s="970">
        <f t="shared" ref="X20" si="136">Y19-X19</f>
        <v>0</v>
      </c>
      <c r="Y20" s="970">
        <f>Z19-Y19</f>
        <v>0</v>
      </c>
      <c r="Z20" s="891"/>
    </row>
    <row r="21" spans="1:26" ht="15.75" customHeight="1" x14ac:dyDescent="0.25">
      <c r="A21" s="960" t="s">
        <v>13</v>
      </c>
      <c r="B21" s="961" t="s">
        <v>207</v>
      </c>
      <c r="C21" s="891"/>
      <c r="D21" s="970">
        <f>H21/AVERAGE(H22:Z22)</f>
        <v>51.519274818081236</v>
      </c>
      <c r="E21" s="970">
        <f>Table!L4</f>
        <v>224071.2</v>
      </c>
      <c r="F21" s="971">
        <f>H21/E21</f>
        <v>0.65581386630678107</v>
      </c>
      <c r="G21" s="891">
        <f>Table!L5</f>
        <v>77122.2</v>
      </c>
      <c r="H21" s="970">
        <f>Table!L9</f>
        <v>146949</v>
      </c>
      <c r="I21" s="970">
        <f>Table!L23</f>
        <v>148286.70000000001</v>
      </c>
      <c r="J21" s="970">
        <f>Table!L37</f>
        <v>151604.90000000002</v>
      </c>
      <c r="K21" s="970">
        <f>Table!L51</f>
        <v>152563.5</v>
      </c>
      <c r="L21" s="970">
        <f>Table!L65</f>
        <v>157165.1</v>
      </c>
      <c r="M21" s="970">
        <f>Table!L79</f>
        <v>165178.70000000001</v>
      </c>
      <c r="N21" s="970">
        <f>Table!L93</f>
        <v>165779.5</v>
      </c>
      <c r="O21" s="970">
        <f>Table!L107</f>
        <v>169358</v>
      </c>
      <c r="P21" s="970">
        <f>Table!L121</f>
        <v>171892.5</v>
      </c>
      <c r="Q21" s="970">
        <f>Table!L135</f>
        <v>179030.80000000002</v>
      </c>
      <c r="R21" s="970">
        <f>Table!L149</f>
        <v>181874.40000000002</v>
      </c>
      <c r="S21" s="970">
        <f>Table!L163</f>
        <v>188864.1</v>
      </c>
      <c r="T21" s="970">
        <f>Table!L177</f>
        <v>192083.90000000002</v>
      </c>
      <c r="U21" s="970">
        <f>Table!L191</f>
        <v>192497.30000000002</v>
      </c>
      <c r="V21" s="970">
        <f>Table!L205</f>
        <v>198290.6</v>
      </c>
      <c r="W21" s="970">
        <f>Table!L205</f>
        <v>198290.6</v>
      </c>
      <c r="X21" s="970">
        <f>Table!L205</f>
        <v>198290.6</v>
      </c>
      <c r="Y21" s="970">
        <f>Table!L205</f>
        <v>198290.6</v>
      </c>
      <c r="Z21" s="891">
        <v>198290.6</v>
      </c>
    </row>
    <row r="22" spans="1:26" s="743" customFormat="1" ht="15.75" customHeight="1" x14ac:dyDescent="0.25">
      <c r="A22" s="960"/>
      <c r="B22" s="961" t="s">
        <v>298</v>
      </c>
      <c r="C22" s="891"/>
      <c r="D22" s="970"/>
      <c r="E22" s="970"/>
      <c r="F22" s="891"/>
      <c r="G22" s="891"/>
      <c r="H22" s="970">
        <f t="shared" ref="H22" si="137">I21-H21</f>
        <v>1337.7000000000116</v>
      </c>
      <c r="I22" s="970">
        <f t="shared" ref="I22" si="138">J21-I21</f>
        <v>3318.2000000000116</v>
      </c>
      <c r="J22" s="970">
        <f t="shared" ref="J22" si="139">K21-J21</f>
        <v>958.59999999997672</v>
      </c>
      <c r="K22" s="970">
        <f t="shared" ref="K22" si="140">L21-K21</f>
        <v>4601.6000000000058</v>
      </c>
      <c r="L22" s="970">
        <f t="shared" ref="L22" si="141">M21-L21</f>
        <v>8013.6000000000058</v>
      </c>
      <c r="M22" s="970">
        <f t="shared" ref="M22" si="142">N21-M21</f>
        <v>600.79999999998836</v>
      </c>
      <c r="N22" s="970">
        <f t="shared" ref="N22" si="143">O21-N21</f>
        <v>3578.5</v>
      </c>
      <c r="O22" s="970">
        <f t="shared" ref="O22" si="144">P21-O21</f>
        <v>2534.5</v>
      </c>
      <c r="P22" s="970">
        <f t="shared" ref="P22" si="145">Q21-P21</f>
        <v>7138.3000000000175</v>
      </c>
      <c r="Q22" s="970">
        <f t="shared" ref="Q22" si="146">R21-Q21</f>
        <v>2843.6000000000058</v>
      </c>
      <c r="R22" s="970">
        <f t="shared" ref="R22" si="147">S21-R21</f>
        <v>6989.6999999999825</v>
      </c>
      <c r="S22" s="970">
        <f t="shared" ref="S22" si="148">T21-S21</f>
        <v>3219.8000000000175</v>
      </c>
      <c r="T22" s="970">
        <f t="shared" ref="T22" si="149">U21-T21</f>
        <v>413.39999999999418</v>
      </c>
      <c r="U22" s="970">
        <f t="shared" ref="U22" si="150">V21-U21</f>
        <v>5793.2999999999884</v>
      </c>
      <c r="V22" s="970">
        <f t="shared" ref="V22" si="151">W21-V21</f>
        <v>0</v>
      </c>
      <c r="W22" s="970">
        <f t="shared" ref="W22" si="152">X21-W21</f>
        <v>0</v>
      </c>
      <c r="X22" s="970">
        <f t="shared" ref="X22" si="153">Y21-X21</f>
        <v>0</v>
      </c>
      <c r="Y22" s="970">
        <f>Z21-Y21</f>
        <v>0</v>
      </c>
      <c r="Z22" s="891"/>
    </row>
    <row r="23" spans="1:26" ht="15.75" customHeight="1" x14ac:dyDescent="0.25">
      <c r="A23" s="963" t="s">
        <v>2</v>
      </c>
      <c r="B23" s="961" t="s">
        <v>105</v>
      </c>
      <c r="C23" s="891"/>
      <c r="D23" s="970">
        <f>H23/AVERAGE(H24:Z24)</f>
        <v>-49.905372638792755</v>
      </c>
      <c r="E23" s="970">
        <f>Table!M4</f>
        <v>193029.1</v>
      </c>
      <c r="F23" s="971">
        <f>H23/E23</f>
        <v>0.29677442416713334</v>
      </c>
      <c r="G23" s="891">
        <f>Table!M5</f>
        <v>135743</v>
      </c>
      <c r="H23" s="970">
        <f>Table!M9</f>
        <v>57286.100000000006</v>
      </c>
      <c r="I23" s="970">
        <f>Table!M23</f>
        <v>57425.600000000006</v>
      </c>
      <c r="J23" s="970">
        <f>Table!M37</f>
        <v>57778.300000000017</v>
      </c>
      <c r="K23" s="970">
        <f>Table!M51</f>
        <v>45751.800000000017</v>
      </c>
      <c r="L23" s="970">
        <f>Table!M65</f>
        <v>46007.700000000012</v>
      </c>
      <c r="M23" s="970">
        <f>Table!M79</f>
        <v>39037.600000000006</v>
      </c>
      <c r="N23" s="970">
        <f>Table!M93</f>
        <v>33103.399999999994</v>
      </c>
      <c r="O23" s="970">
        <f>Table!M107</f>
        <v>33202.800000000017</v>
      </c>
      <c r="P23" s="970">
        <f>Table!M121</f>
        <v>33400.100000000006</v>
      </c>
      <c r="Q23" s="970">
        <f>Table!M135</f>
        <v>33780.800000000017</v>
      </c>
      <c r="R23" s="970">
        <f>Table!M149</f>
        <v>34240.800000000017</v>
      </c>
      <c r="S23" s="970">
        <f>Table!M163</f>
        <v>34533.5</v>
      </c>
      <c r="T23" s="970">
        <f>Table!M177</f>
        <v>34656.399999999994</v>
      </c>
      <c r="U23" s="970">
        <f>Table!M191</f>
        <v>34790.600000000006</v>
      </c>
      <c r="V23" s="970">
        <f>Table!M205</f>
        <v>36624</v>
      </c>
      <c r="W23" s="970">
        <f>Table!M205</f>
        <v>36624</v>
      </c>
      <c r="X23" s="970">
        <f>Table!M205</f>
        <v>36624</v>
      </c>
      <c r="Y23" s="970">
        <f>Table!M205</f>
        <v>36624</v>
      </c>
      <c r="Z23" s="891">
        <v>36624</v>
      </c>
    </row>
    <row r="24" spans="1:26" s="743" customFormat="1" ht="15.75" customHeight="1" x14ac:dyDescent="0.25">
      <c r="A24" s="963"/>
      <c r="B24" s="961" t="s">
        <v>298</v>
      </c>
      <c r="C24" s="891"/>
      <c r="D24" s="970"/>
      <c r="E24" s="970"/>
      <c r="F24" s="891"/>
      <c r="G24" s="891"/>
      <c r="H24" s="970">
        <f t="shared" ref="H24" si="154">I23-H23</f>
        <v>139.5</v>
      </c>
      <c r="I24" s="970">
        <f t="shared" ref="I24" si="155">J23-I23</f>
        <v>352.70000000001164</v>
      </c>
      <c r="J24" s="970">
        <f t="shared" ref="J24" si="156">K23-J23</f>
        <v>-12026.5</v>
      </c>
      <c r="K24" s="970">
        <f t="shared" ref="K24" si="157">L23-K23</f>
        <v>255.89999999999418</v>
      </c>
      <c r="L24" s="970">
        <f t="shared" ref="L24" si="158">M23-L23</f>
        <v>-6970.1000000000058</v>
      </c>
      <c r="M24" s="970">
        <f t="shared" ref="M24" si="159">N23-M23</f>
        <v>-5934.2000000000116</v>
      </c>
      <c r="N24" s="970">
        <f t="shared" ref="N24" si="160">O23-N23</f>
        <v>99.400000000023283</v>
      </c>
      <c r="O24" s="970">
        <f t="shared" ref="O24" si="161">P23-O23</f>
        <v>197.29999999998836</v>
      </c>
      <c r="P24" s="970">
        <f t="shared" ref="P24" si="162">Q23-P23</f>
        <v>380.70000000001164</v>
      </c>
      <c r="Q24" s="970">
        <f t="shared" ref="Q24" si="163">R23-Q23</f>
        <v>460</v>
      </c>
      <c r="R24" s="970">
        <f t="shared" ref="R24" si="164">S23-R23</f>
        <v>292.69999999998254</v>
      </c>
      <c r="S24" s="970">
        <f t="shared" ref="S24" si="165">T23-S23</f>
        <v>122.89999999999418</v>
      </c>
      <c r="T24" s="970">
        <f t="shared" ref="T24" si="166">U23-T23</f>
        <v>134.20000000001164</v>
      </c>
      <c r="U24" s="970">
        <f t="shared" ref="U24" si="167">V23-U23</f>
        <v>1833.3999999999942</v>
      </c>
      <c r="V24" s="970">
        <f t="shared" ref="V24" si="168">W23-V23</f>
        <v>0</v>
      </c>
      <c r="W24" s="970">
        <f t="shared" ref="W24" si="169">X23-W23</f>
        <v>0</v>
      </c>
      <c r="X24" s="970">
        <f t="shared" ref="X24" si="170">Y23-X23</f>
        <v>0</v>
      </c>
      <c r="Y24" s="970">
        <f>Z23-Y23</f>
        <v>0</v>
      </c>
      <c r="Z24" s="891"/>
    </row>
    <row r="25" spans="1:26" ht="15.75" customHeight="1" x14ac:dyDescent="0.25">
      <c r="A25" s="960" t="s">
        <v>2</v>
      </c>
      <c r="B25" s="961" t="s">
        <v>107</v>
      </c>
      <c r="C25" s="891"/>
      <c r="D25" s="970">
        <f>H25/AVERAGE(H26:Z26)</f>
        <v>397.51301594746701</v>
      </c>
      <c r="E25" s="970">
        <f>Table!N4</f>
        <v>438219.9</v>
      </c>
      <c r="F25" s="971">
        <f>H25/E25</f>
        <v>0.51572144487276828</v>
      </c>
      <c r="G25" s="891">
        <f>Table!N5</f>
        <v>212220.5</v>
      </c>
      <c r="H25" s="970">
        <f>Table!N9</f>
        <v>225999.40000000002</v>
      </c>
      <c r="I25" s="970">
        <f>Table!N23</f>
        <v>226318.30000000002</v>
      </c>
      <c r="J25" s="970">
        <f>Table!N37</f>
        <v>226784.40000000002</v>
      </c>
      <c r="K25" s="970">
        <f>Table!N51</f>
        <v>227141.40000000002</v>
      </c>
      <c r="L25" s="970">
        <f>Table!N65</f>
        <v>227517.10000000003</v>
      </c>
      <c r="M25" s="970">
        <f>Table!N79</f>
        <v>228113.10000000003</v>
      </c>
      <c r="N25" s="970">
        <f>Table!N93</f>
        <v>228951.7</v>
      </c>
      <c r="O25" s="970">
        <f>Table!N107</f>
        <v>229545.50000000003</v>
      </c>
      <c r="P25" s="970">
        <f>Table!N121</f>
        <v>230049.5</v>
      </c>
      <c r="Q25" s="970">
        <f>Table!N135</f>
        <v>231265.80000000002</v>
      </c>
      <c r="R25" s="970">
        <f>Table!N149</f>
        <v>231893.90000000002</v>
      </c>
      <c r="S25" s="970">
        <f>Table!N163</f>
        <v>233340.10000000003</v>
      </c>
      <c r="T25" s="970">
        <f>Table!N177</f>
        <v>234481.30000000002</v>
      </c>
      <c r="U25" s="970">
        <f>Table!N191</f>
        <v>234767.00000000003</v>
      </c>
      <c r="V25" s="970">
        <f>Table!N205</f>
        <v>236233.00000000003</v>
      </c>
      <c r="W25" s="970">
        <f>Table!N205</f>
        <v>236233.00000000003</v>
      </c>
      <c r="X25" s="970">
        <f>Table!N205</f>
        <v>236233.00000000003</v>
      </c>
      <c r="Y25" s="970">
        <f>Table!N205</f>
        <v>236233.00000000003</v>
      </c>
      <c r="Z25" s="891">
        <v>236233.00000000003</v>
      </c>
    </row>
    <row r="26" spans="1:26" s="743" customFormat="1" ht="15.75" customHeight="1" x14ac:dyDescent="0.25">
      <c r="A26" s="960"/>
      <c r="B26" s="961" t="s">
        <v>298</v>
      </c>
      <c r="C26" s="891"/>
      <c r="D26" s="970"/>
      <c r="E26" s="970"/>
      <c r="F26" s="891"/>
      <c r="G26" s="891"/>
      <c r="H26" s="970">
        <f t="shared" ref="H26" si="171">I25-H25</f>
        <v>318.89999999999418</v>
      </c>
      <c r="I26" s="970">
        <f t="shared" ref="I26" si="172">J25-I25</f>
        <v>466.10000000000582</v>
      </c>
      <c r="J26" s="970">
        <f t="shared" ref="J26" si="173">K25-J25</f>
        <v>357</v>
      </c>
      <c r="K26" s="970">
        <f t="shared" ref="K26" si="174">L25-K25</f>
        <v>375.70000000001164</v>
      </c>
      <c r="L26" s="970">
        <f t="shared" ref="L26" si="175">M25-L25</f>
        <v>596</v>
      </c>
      <c r="M26" s="970">
        <f t="shared" ref="M26" si="176">N25-M25</f>
        <v>838.59999999997672</v>
      </c>
      <c r="N26" s="970">
        <f t="shared" ref="N26" si="177">O25-N25</f>
        <v>593.80000000001746</v>
      </c>
      <c r="O26" s="970">
        <f t="shared" ref="O26" si="178">P25-O25</f>
        <v>503.9999999999709</v>
      </c>
      <c r="P26" s="970">
        <f t="shared" ref="P26" si="179">Q25-P25</f>
        <v>1216.3000000000175</v>
      </c>
      <c r="Q26" s="970">
        <f t="shared" ref="Q26" si="180">R25-Q25</f>
        <v>628.10000000000582</v>
      </c>
      <c r="R26" s="970">
        <f t="shared" ref="R26" si="181">S25-R25</f>
        <v>1446.2000000000116</v>
      </c>
      <c r="S26" s="970">
        <f t="shared" ref="S26" si="182">T25-S25</f>
        <v>1141.1999999999825</v>
      </c>
      <c r="T26" s="970">
        <f t="shared" ref="T26" si="183">U25-T25</f>
        <v>285.70000000001164</v>
      </c>
      <c r="U26" s="970">
        <f t="shared" ref="U26" si="184">V25-U25</f>
        <v>1466</v>
      </c>
      <c r="V26" s="970">
        <f t="shared" ref="V26" si="185">W25-V25</f>
        <v>0</v>
      </c>
      <c r="W26" s="970">
        <f t="shared" ref="W26" si="186">X25-W25</f>
        <v>0</v>
      </c>
      <c r="X26" s="970">
        <f t="shared" ref="X26" si="187">Y25-X25</f>
        <v>0</v>
      </c>
      <c r="Y26" s="970">
        <f>Z25-Y25</f>
        <v>0</v>
      </c>
      <c r="Z26" s="891"/>
    </row>
    <row r="27" spans="1:26" ht="15.75" customHeight="1" x14ac:dyDescent="0.25">
      <c r="A27" s="960" t="s">
        <v>2</v>
      </c>
      <c r="B27" s="962" t="s">
        <v>98</v>
      </c>
      <c r="C27" s="891"/>
      <c r="D27" s="970">
        <f>H27/AVERAGE(H28:Z28)</f>
        <v>-720.46757065839085</v>
      </c>
      <c r="E27" s="970">
        <f>Table!O4</f>
        <v>83038.8</v>
      </c>
      <c r="F27" s="971">
        <f>H27/E27</f>
        <v>0.29504159501341543</v>
      </c>
      <c r="G27" s="891">
        <f>Table!O5</f>
        <v>58538.9</v>
      </c>
      <c r="H27" s="970">
        <f>Table!O9</f>
        <v>24499.9</v>
      </c>
      <c r="I27" s="970">
        <f>Table!O23</f>
        <v>24700.600000000006</v>
      </c>
      <c r="J27" s="970">
        <f>Table!O37</f>
        <v>24747.5</v>
      </c>
      <c r="K27" s="970">
        <f>Table!O51</f>
        <v>25123.9</v>
      </c>
      <c r="L27" s="970">
        <f>Table!O65</f>
        <v>25281.200000000004</v>
      </c>
      <c r="M27" s="970">
        <f>Table!O79</f>
        <v>25483.200000000004</v>
      </c>
      <c r="N27" s="970">
        <f>Table!O93</f>
        <v>25673.9</v>
      </c>
      <c r="O27" s="970">
        <f>Table!O107</f>
        <v>26055</v>
      </c>
      <c r="P27" s="970">
        <f>Table!O121</f>
        <v>26940.800000000003</v>
      </c>
      <c r="Q27" s="970">
        <f>Table!O135</f>
        <v>26937</v>
      </c>
      <c r="R27" s="970">
        <f>Table!O149</f>
        <v>25159.4</v>
      </c>
      <c r="S27" s="970">
        <f>Table!O163</f>
        <v>23850.100000000006</v>
      </c>
      <c r="T27" s="970">
        <f>Table!O177</f>
        <v>23465.600000000006</v>
      </c>
      <c r="U27" s="970">
        <f>Table!O191</f>
        <v>23679.800000000003</v>
      </c>
      <c r="V27" s="970">
        <f>Table!O205</f>
        <v>23887.800000000003</v>
      </c>
      <c r="W27" s="970">
        <f>Table!O205</f>
        <v>23887.800000000003</v>
      </c>
      <c r="X27" s="970">
        <f>Table!O205</f>
        <v>23887.800000000003</v>
      </c>
      <c r="Y27" s="970">
        <f>Table!O205</f>
        <v>23887.800000000003</v>
      </c>
      <c r="Z27" s="891">
        <v>23887.800000000003</v>
      </c>
    </row>
    <row r="28" spans="1:26" s="743" customFormat="1" ht="15.75" customHeight="1" x14ac:dyDescent="0.25">
      <c r="A28" s="960"/>
      <c r="B28" s="962" t="s">
        <v>298</v>
      </c>
      <c r="C28" s="891"/>
      <c r="D28" s="970"/>
      <c r="E28" s="970"/>
      <c r="F28" s="891"/>
      <c r="G28" s="891"/>
      <c r="H28" s="970">
        <f t="shared" ref="H28" si="188">I27-H27</f>
        <v>200.70000000000437</v>
      </c>
      <c r="I28" s="970">
        <f t="shared" ref="I28" si="189">J27-I27</f>
        <v>46.899999999994179</v>
      </c>
      <c r="J28" s="970">
        <f t="shared" ref="J28" si="190">K27-J27</f>
        <v>376.40000000000146</v>
      </c>
      <c r="K28" s="970">
        <f t="shared" ref="K28" si="191">L27-K27</f>
        <v>157.30000000000291</v>
      </c>
      <c r="L28" s="970">
        <f t="shared" ref="L28" si="192">M27-L27</f>
        <v>202</v>
      </c>
      <c r="M28" s="970">
        <f t="shared" ref="M28" si="193">N27-M27</f>
        <v>190.69999999999709</v>
      </c>
      <c r="N28" s="970">
        <f t="shared" ref="N28" si="194">O27-N27</f>
        <v>381.09999999999854</v>
      </c>
      <c r="O28" s="970">
        <f t="shared" ref="O28" si="195">P27-O27</f>
        <v>885.80000000000291</v>
      </c>
      <c r="P28" s="970">
        <f t="shared" ref="P28" si="196">Q27-P27</f>
        <v>-3.8000000000029104</v>
      </c>
      <c r="Q28" s="970">
        <f t="shared" ref="Q28" si="197">R27-Q27</f>
        <v>-1777.5999999999985</v>
      </c>
      <c r="R28" s="970">
        <f t="shared" ref="R28" si="198">S27-R27</f>
        <v>-1309.2999999999956</v>
      </c>
      <c r="S28" s="970">
        <f t="shared" ref="S28" si="199">T27-S27</f>
        <v>-384.5</v>
      </c>
      <c r="T28" s="970">
        <f t="shared" ref="T28" si="200">U27-T27</f>
        <v>214.19999999999709</v>
      </c>
      <c r="U28" s="970">
        <f t="shared" ref="U28" si="201">V27-U27</f>
        <v>208</v>
      </c>
      <c r="V28" s="970">
        <f t="shared" ref="V28" si="202">W27-V27</f>
        <v>0</v>
      </c>
      <c r="W28" s="970">
        <f t="shared" ref="W28" si="203">X27-W27</f>
        <v>0</v>
      </c>
      <c r="X28" s="970">
        <f t="shared" ref="X28" si="204">Y27-X27</f>
        <v>0</v>
      </c>
      <c r="Y28" s="970">
        <f>Z27-Y27</f>
        <v>0</v>
      </c>
      <c r="Z28" s="891"/>
    </row>
    <row r="29" spans="1:26" ht="15.75" customHeight="1" x14ac:dyDescent="0.25">
      <c r="A29" s="960" t="s">
        <v>2</v>
      </c>
      <c r="B29" s="962" t="s">
        <v>106</v>
      </c>
      <c r="C29" s="891"/>
      <c r="D29" s="970">
        <f>H29/AVERAGE(H30:Z30)</f>
        <v>110.18636419676984</v>
      </c>
      <c r="E29" s="970">
        <f>Table!P4</f>
        <v>276130.40000000002</v>
      </c>
      <c r="F29" s="971">
        <f>H29/E29</f>
        <v>0.17981069813392517</v>
      </c>
      <c r="G29" s="891">
        <f>Table!P5</f>
        <v>226479.2</v>
      </c>
      <c r="H29" s="970">
        <f>Table!P9</f>
        <v>49651.200000000012</v>
      </c>
      <c r="I29" s="970">
        <f>Table!P23</f>
        <v>49973.000000000029</v>
      </c>
      <c r="J29" s="970">
        <f>Table!P37</f>
        <v>50495.400000000023</v>
      </c>
      <c r="K29" s="970">
        <f>Table!P51</f>
        <v>50903.200000000012</v>
      </c>
      <c r="L29" s="970">
        <f>Table!P65</f>
        <v>52659.000000000029</v>
      </c>
      <c r="M29" s="970">
        <f>Table!P79</f>
        <v>47523.500000000029</v>
      </c>
      <c r="N29" s="970">
        <f>Table!P93</f>
        <v>42619.100000000035</v>
      </c>
      <c r="O29" s="970">
        <f>Table!P107</f>
        <v>43883.900000000023</v>
      </c>
      <c r="P29" s="970">
        <f>Table!P121</f>
        <v>44227</v>
      </c>
      <c r="Q29" s="970">
        <f>Table!P135</f>
        <v>46025.400000000023</v>
      </c>
      <c r="R29" s="970">
        <f>Table!P149</f>
        <v>50341.200000000012</v>
      </c>
      <c r="S29" s="970">
        <f>Table!P163</f>
        <v>52545.200000000012</v>
      </c>
      <c r="T29" s="970">
        <f>Table!P177</f>
        <v>53245.700000000012</v>
      </c>
      <c r="U29" s="970">
        <f>Table!P191</f>
        <v>55029.500000000029</v>
      </c>
      <c r="V29" s="970">
        <f>Table!P205</f>
        <v>57762.200000000012</v>
      </c>
      <c r="W29" s="970">
        <f>Table!P205</f>
        <v>57762.200000000012</v>
      </c>
      <c r="X29" s="970">
        <f>Table!P205</f>
        <v>57762.200000000012</v>
      </c>
      <c r="Y29" s="970">
        <f>Table!P205</f>
        <v>57762.200000000012</v>
      </c>
      <c r="Z29" s="891">
        <v>57762.200000000012</v>
      </c>
    </row>
    <row r="30" spans="1:26" s="743" customFormat="1" ht="15.75" customHeight="1" x14ac:dyDescent="0.25">
      <c r="A30" s="960"/>
      <c r="B30" s="962" t="s">
        <v>298</v>
      </c>
      <c r="C30" s="891"/>
      <c r="D30" s="970"/>
      <c r="E30" s="970"/>
      <c r="F30" s="891"/>
      <c r="G30" s="891"/>
      <c r="H30" s="970">
        <f t="shared" ref="H30" si="205">I29-H29</f>
        <v>321.80000000001746</v>
      </c>
      <c r="I30" s="970">
        <f t="shared" ref="I30" si="206">J29-I29</f>
        <v>522.39999999999418</v>
      </c>
      <c r="J30" s="970">
        <f t="shared" ref="J30" si="207">K29-J29</f>
        <v>407.79999999998836</v>
      </c>
      <c r="K30" s="970">
        <f t="shared" ref="K30" si="208">L29-K29</f>
        <v>1755.8000000000175</v>
      </c>
      <c r="L30" s="970">
        <f t="shared" ref="L30" si="209">M29-L29</f>
        <v>-5135.5</v>
      </c>
      <c r="M30" s="970">
        <f t="shared" ref="M30" si="210">N29-M29</f>
        <v>-4904.3999999999942</v>
      </c>
      <c r="N30" s="970">
        <f t="shared" ref="N30" si="211">O29-N29</f>
        <v>1264.7999999999884</v>
      </c>
      <c r="O30" s="970">
        <f t="shared" ref="O30" si="212">P29-O29</f>
        <v>343.09999999997672</v>
      </c>
      <c r="P30" s="970">
        <f t="shared" ref="P30" si="213">Q29-P29</f>
        <v>1798.4000000000233</v>
      </c>
      <c r="Q30" s="970">
        <f t="shared" ref="Q30" si="214">R29-Q29</f>
        <v>4315.7999999999884</v>
      </c>
      <c r="R30" s="970">
        <f t="shared" ref="R30" si="215">S29-R29</f>
        <v>2204</v>
      </c>
      <c r="S30" s="970">
        <f t="shared" ref="S30" si="216">T29-S29</f>
        <v>700.5</v>
      </c>
      <c r="T30" s="970">
        <f t="shared" ref="T30" si="217">U29-T29</f>
        <v>1783.8000000000175</v>
      </c>
      <c r="U30" s="970">
        <f t="shared" ref="U30" si="218">V29-U29</f>
        <v>2732.6999999999825</v>
      </c>
      <c r="V30" s="970">
        <f t="shared" ref="V30" si="219">W29-V29</f>
        <v>0</v>
      </c>
      <c r="W30" s="970">
        <f t="shared" ref="W30" si="220">X29-W29</f>
        <v>0</v>
      </c>
      <c r="X30" s="970">
        <f t="shared" ref="X30" si="221">Y29-X29</f>
        <v>0</v>
      </c>
      <c r="Y30" s="970">
        <f>Z29-Y29</f>
        <v>0</v>
      </c>
      <c r="Z30" s="891"/>
    </row>
    <row r="31" spans="1:26" ht="15.75" customHeight="1" x14ac:dyDescent="0.25">
      <c r="A31" s="960" t="s">
        <v>2</v>
      </c>
      <c r="B31" s="962" t="s">
        <v>179</v>
      </c>
      <c r="C31" s="891"/>
      <c r="D31" s="970">
        <f>H31/AVERAGE(H32:Z32)</f>
        <v>210.30539953261464</v>
      </c>
      <c r="E31" s="970">
        <f>Table!Q4</f>
        <v>83038.8</v>
      </c>
      <c r="F31" s="971">
        <f>H31/E31</f>
        <v>0.68636709586362044</v>
      </c>
      <c r="G31" s="891">
        <f>Table!Q5</f>
        <v>26043.7</v>
      </c>
      <c r="H31" s="970">
        <f>Table!Q9</f>
        <v>56995.100000000006</v>
      </c>
      <c r="I31" s="970">
        <f>Table!Q23</f>
        <v>57057.5</v>
      </c>
      <c r="J31" s="970">
        <f>Table!Q37</f>
        <v>57146.600000000006</v>
      </c>
      <c r="K31" s="970">
        <f>Table!Q51</f>
        <v>57178</v>
      </c>
      <c r="L31" s="970">
        <f>Table!Q65</f>
        <v>57515.8</v>
      </c>
      <c r="M31" s="970">
        <f>Table!Q79</f>
        <v>57587.200000000004</v>
      </c>
      <c r="N31" s="970">
        <f>Table!Q93</f>
        <v>57678.3</v>
      </c>
      <c r="O31" s="970">
        <f>Table!Q107</f>
        <v>57875.600000000006</v>
      </c>
      <c r="P31" s="970">
        <f>Table!Q121</f>
        <v>58398.9</v>
      </c>
      <c r="Q31" s="970">
        <f>Table!Q135</f>
        <v>59353.200000000004</v>
      </c>
      <c r="R31" s="970">
        <f>Table!Q149</f>
        <v>59874.400000000001</v>
      </c>
      <c r="S31" s="970">
        <f>Table!Q163</f>
        <v>59919.700000000004</v>
      </c>
      <c r="T31" s="970">
        <f>Table!Q177</f>
        <v>60590</v>
      </c>
      <c r="U31" s="970">
        <f>Table!Q191</f>
        <v>60722.600000000006</v>
      </c>
      <c r="V31" s="970">
        <f>Table!Q205</f>
        <v>61873.3</v>
      </c>
      <c r="W31" s="970">
        <f>Table!Q205</f>
        <v>61873.3</v>
      </c>
      <c r="X31" s="970">
        <f>Table!Q205</f>
        <v>61873.3</v>
      </c>
      <c r="Y31" s="970">
        <f>Table!Q205</f>
        <v>61873.3</v>
      </c>
      <c r="Z31" s="891">
        <v>61873.3</v>
      </c>
    </row>
    <row r="32" spans="1:26" s="743" customFormat="1" ht="15.75" customHeight="1" x14ac:dyDescent="0.25">
      <c r="A32" s="960"/>
      <c r="B32" s="962" t="s">
        <v>298</v>
      </c>
      <c r="C32" s="891"/>
      <c r="D32" s="970"/>
      <c r="E32" s="970"/>
      <c r="F32" s="891"/>
      <c r="G32" s="891"/>
      <c r="H32" s="970">
        <f t="shared" ref="H32" si="222">I31-H31</f>
        <v>62.399999999994179</v>
      </c>
      <c r="I32" s="970">
        <f t="shared" ref="I32" si="223">J31-I31</f>
        <v>89.100000000005821</v>
      </c>
      <c r="J32" s="970">
        <f t="shared" ref="J32" si="224">K31-J31</f>
        <v>31.399999999994179</v>
      </c>
      <c r="K32" s="970">
        <f t="shared" ref="K32" si="225">L31-K31</f>
        <v>337.80000000000291</v>
      </c>
      <c r="L32" s="970">
        <f t="shared" ref="L32" si="226">M31-L31</f>
        <v>71.400000000001455</v>
      </c>
      <c r="M32" s="970">
        <f t="shared" ref="M32" si="227">N31-M31</f>
        <v>91.099999999998545</v>
      </c>
      <c r="N32" s="970">
        <f t="shared" ref="N32" si="228">O31-N31</f>
        <v>197.30000000000291</v>
      </c>
      <c r="O32" s="970">
        <f t="shared" ref="O32" si="229">P31-O31</f>
        <v>523.29999999999563</v>
      </c>
      <c r="P32" s="970">
        <f t="shared" ref="P32" si="230">Q31-P31</f>
        <v>954.30000000000291</v>
      </c>
      <c r="Q32" s="970">
        <f t="shared" ref="Q32" si="231">R31-Q31</f>
        <v>521.19999999999709</v>
      </c>
      <c r="R32" s="970">
        <f t="shared" ref="R32" si="232">S31-R31</f>
        <v>45.30000000000291</v>
      </c>
      <c r="S32" s="970">
        <f t="shared" ref="S32" si="233">T31-S31</f>
        <v>670.29999999999563</v>
      </c>
      <c r="T32" s="970">
        <f t="shared" ref="T32" si="234">U31-T31</f>
        <v>132.60000000000582</v>
      </c>
      <c r="U32" s="970">
        <f t="shared" ref="U32" si="235">V31-U31</f>
        <v>1150.6999999999971</v>
      </c>
      <c r="V32" s="970">
        <f t="shared" ref="V32" si="236">W31-V31</f>
        <v>0</v>
      </c>
      <c r="W32" s="970">
        <f t="shared" ref="W32" si="237">X31-W31</f>
        <v>0</v>
      </c>
      <c r="X32" s="970">
        <f t="shared" ref="X32" si="238">Y31-X31</f>
        <v>0</v>
      </c>
      <c r="Y32" s="970">
        <f>Z31-Y31</f>
        <v>0</v>
      </c>
      <c r="Z32" s="891"/>
    </row>
    <row r="33" spans="1:26" x14ac:dyDescent="0.25">
      <c r="A33" s="960" t="s">
        <v>2</v>
      </c>
      <c r="B33" s="962" t="s">
        <v>199</v>
      </c>
      <c r="C33" s="891"/>
      <c r="D33" s="970">
        <f>H33/AVERAGE(H34:Z34)</f>
        <v>40.764940053544414</v>
      </c>
      <c r="E33" s="970">
        <f>Table!R4</f>
        <v>191618.2</v>
      </c>
      <c r="F33" s="971">
        <f>H33/E33</f>
        <v>0.30460885239502306</v>
      </c>
      <c r="G33" s="891">
        <f>Table!R5</f>
        <v>133249.60000000001</v>
      </c>
      <c r="H33" s="970">
        <f>Table!R9</f>
        <v>58368.600000000006</v>
      </c>
      <c r="I33" s="970">
        <f>Table!R23</f>
        <v>59137.5</v>
      </c>
      <c r="J33" s="970">
        <f>Table!R37</f>
        <v>59900.5</v>
      </c>
      <c r="K33" s="970">
        <f>Table!R51</f>
        <v>65681.200000000012</v>
      </c>
      <c r="L33" s="970">
        <f>Table!R65</f>
        <v>65877.300000000017</v>
      </c>
      <c r="M33" s="970">
        <f>Table!R79</f>
        <v>62304.400000000009</v>
      </c>
      <c r="N33" s="970">
        <f>Table!R93</f>
        <v>62747.100000000006</v>
      </c>
      <c r="O33" s="970">
        <f>Table!R107</f>
        <v>65607.800000000017</v>
      </c>
      <c r="P33" s="970">
        <f>Table!R121</f>
        <v>65894.899999999994</v>
      </c>
      <c r="Q33" s="970">
        <f>Table!R135</f>
        <v>72302.000000000015</v>
      </c>
      <c r="R33" s="970">
        <f>Table!R149</f>
        <v>73514.600000000006</v>
      </c>
      <c r="S33" s="970">
        <f>Table!R163</f>
        <v>73619.100000000006</v>
      </c>
      <c r="T33" s="970">
        <f>Table!R177</f>
        <v>75805.200000000012</v>
      </c>
      <c r="U33" s="970">
        <f>Table!R191</f>
        <v>76091.900000000009</v>
      </c>
      <c r="V33" s="970">
        <f>Table!R205</f>
        <v>84141.6</v>
      </c>
      <c r="W33" s="970">
        <f>Table!R205</f>
        <v>84141.6</v>
      </c>
      <c r="X33" s="970">
        <f>Table!R205</f>
        <v>84141.6</v>
      </c>
      <c r="Y33" s="970">
        <f>Table!R205</f>
        <v>84141.6</v>
      </c>
      <c r="Z33" s="891">
        <v>84141.6</v>
      </c>
    </row>
    <row r="34" spans="1:26" s="743" customFormat="1" x14ac:dyDescent="0.25">
      <c r="A34" s="960"/>
      <c r="B34" s="962" t="s">
        <v>298</v>
      </c>
      <c r="C34" s="891"/>
      <c r="D34" s="970"/>
      <c r="E34" s="970"/>
      <c r="F34" s="891"/>
      <c r="G34" s="891"/>
      <c r="H34" s="970">
        <f t="shared" ref="H34" si="239">I33-H33</f>
        <v>768.89999999999418</v>
      </c>
      <c r="I34" s="970">
        <f t="shared" ref="I34" si="240">J33-I33</f>
        <v>763</v>
      </c>
      <c r="J34" s="970">
        <f t="shared" ref="J34" si="241">K33-J33</f>
        <v>5780.7000000000116</v>
      </c>
      <c r="K34" s="970">
        <f t="shared" ref="K34" si="242">L33-K33</f>
        <v>196.10000000000582</v>
      </c>
      <c r="L34" s="970">
        <f t="shared" ref="L34" si="243">M33-L33</f>
        <v>-3572.9000000000087</v>
      </c>
      <c r="M34" s="970">
        <f t="shared" ref="M34" si="244">N33-M33</f>
        <v>442.69999999999709</v>
      </c>
      <c r="N34" s="970">
        <f t="shared" ref="N34" si="245">O33-N33</f>
        <v>2860.7000000000116</v>
      </c>
      <c r="O34" s="970">
        <f t="shared" ref="O34" si="246">P33-O33</f>
        <v>287.09999999997672</v>
      </c>
      <c r="P34" s="970">
        <f t="shared" ref="P34" si="247">Q33-P33</f>
        <v>6407.1000000000204</v>
      </c>
      <c r="Q34" s="970">
        <f t="shared" ref="Q34" si="248">R33-Q33</f>
        <v>1212.5999999999913</v>
      </c>
      <c r="R34" s="970">
        <f t="shared" ref="R34" si="249">S33-R33</f>
        <v>104.5</v>
      </c>
      <c r="S34" s="970">
        <f t="shared" ref="S34" si="250">T33-S33</f>
        <v>2186.1000000000058</v>
      </c>
      <c r="T34" s="970">
        <f t="shared" ref="T34" si="251">U33-T33</f>
        <v>286.69999999999709</v>
      </c>
      <c r="U34" s="970">
        <f t="shared" ref="U34" si="252">V33-U33</f>
        <v>8049.6999999999971</v>
      </c>
      <c r="V34" s="970">
        <f t="shared" ref="V34" si="253">W33-V33</f>
        <v>0</v>
      </c>
      <c r="W34" s="970">
        <f t="shared" ref="W34" si="254">X33-W33</f>
        <v>0</v>
      </c>
      <c r="X34" s="970">
        <f t="shared" ref="X34" si="255">Y33-X33</f>
        <v>0</v>
      </c>
      <c r="Y34" s="970">
        <f>Z33-Y33</f>
        <v>0</v>
      </c>
      <c r="Z34" s="891"/>
    </row>
    <row r="35" spans="1:26" x14ac:dyDescent="0.25">
      <c r="A35" s="960" t="s">
        <v>2</v>
      </c>
      <c r="B35" s="961" t="s">
        <v>208</v>
      </c>
      <c r="C35" s="891"/>
      <c r="D35" s="970">
        <f>H35/AVERAGE(H36:Z36)</f>
        <v>63.816816804228743</v>
      </c>
      <c r="E35" s="970">
        <f>Table!S4</f>
        <v>257886.5</v>
      </c>
      <c r="F35" s="971">
        <f>H35/E35</f>
        <v>0.32796676057102647</v>
      </c>
      <c r="G35" s="891">
        <f>Table!S5</f>
        <v>173308.3</v>
      </c>
      <c r="H35" s="970">
        <f>Table!S9</f>
        <v>84578.200000000012</v>
      </c>
      <c r="I35" s="970">
        <f>Table!S23</f>
        <v>85951.6</v>
      </c>
      <c r="J35" s="970">
        <f>Table!S37</f>
        <v>86425.1</v>
      </c>
      <c r="K35" s="970">
        <f>Table!S51</f>
        <v>90199.200000000012</v>
      </c>
      <c r="L35" s="970">
        <f>Table!S65</f>
        <v>91734.399999999994</v>
      </c>
      <c r="M35" s="970">
        <f>Table!S79</f>
        <v>94531</v>
      </c>
      <c r="N35" s="970">
        <f>Table!S93</f>
        <v>98935.700000000012</v>
      </c>
      <c r="O35" s="970">
        <f>Table!S107</f>
        <v>71374.800000000017</v>
      </c>
      <c r="P35" s="970">
        <f>Table!S121</f>
        <v>73936.100000000006</v>
      </c>
      <c r="Q35" s="970">
        <f>Table!S135</f>
        <v>79342.900000000023</v>
      </c>
      <c r="R35" s="970">
        <f>Table!S149</f>
        <v>81272.5</v>
      </c>
      <c r="S35" s="970">
        <f>Table!S163</f>
        <v>84041.800000000017</v>
      </c>
      <c r="T35" s="970">
        <f>Table!S177</f>
        <v>98797.500000000015</v>
      </c>
      <c r="U35" s="970">
        <f>Table!S191</f>
        <v>104038.00000000001</v>
      </c>
      <c r="V35" s="970">
        <f>Table!S205</f>
        <v>108434.1</v>
      </c>
      <c r="W35" s="970">
        <f>Table!S205</f>
        <v>108434.1</v>
      </c>
      <c r="X35" s="970">
        <f>Table!S205</f>
        <v>108434.1</v>
      </c>
      <c r="Y35" s="970">
        <f>Table!S205</f>
        <v>108434.1</v>
      </c>
      <c r="Z35" s="891">
        <v>108434.1</v>
      </c>
    </row>
    <row r="36" spans="1:26" s="743" customFormat="1" x14ac:dyDescent="0.25">
      <c r="A36" s="960"/>
      <c r="B36" s="961" t="s">
        <v>298</v>
      </c>
      <c r="C36" s="891"/>
      <c r="D36" s="970"/>
      <c r="E36" s="970"/>
      <c r="F36" s="891"/>
      <c r="G36" s="891"/>
      <c r="H36" s="970">
        <f t="shared" ref="H36" si="256">I35-H35</f>
        <v>1373.3999999999942</v>
      </c>
      <c r="I36" s="970">
        <f t="shared" ref="I36" si="257">J35-I35</f>
        <v>473.5</v>
      </c>
      <c r="J36" s="970">
        <f t="shared" ref="J36" si="258">K35-J35</f>
        <v>3774.1000000000058</v>
      </c>
      <c r="K36" s="970">
        <f t="shared" ref="K36" si="259">L35-K35</f>
        <v>1535.1999999999825</v>
      </c>
      <c r="L36" s="970">
        <f t="shared" ref="L36" si="260">M35-L35</f>
        <v>2796.6000000000058</v>
      </c>
      <c r="M36" s="970">
        <f t="shared" ref="M36" si="261">N35-M35</f>
        <v>4404.7000000000116</v>
      </c>
      <c r="N36" s="970">
        <f t="shared" ref="N36" si="262">O35-N35</f>
        <v>-27560.899999999994</v>
      </c>
      <c r="O36" s="970">
        <f t="shared" ref="O36" si="263">P35-O35</f>
        <v>2561.2999999999884</v>
      </c>
      <c r="P36" s="970">
        <f t="shared" ref="P36" si="264">Q35-P35</f>
        <v>5406.8000000000175</v>
      </c>
      <c r="Q36" s="970">
        <f t="shared" ref="Q36" si="265">R35-Q35</f>
        <v>1929.5999999999767</v>
      </c>
      <c r="R36" s="970">
        <f t="shared" ref="R36" si="266">S35-R35</f>
        <v>2769.3000000000175</v>
      </c>
      <c r="S36" s="970">
        <f t="shared" ref="S36" si="267">T35-S35</f>
        <v>14755.699999999997</v>
      </c>
      <c r="T36" s="970">
        <f t="shared" ref="T36" si="268">U35-T35</f>
        <v>5240.5</v>
      </c>
      <c r="U36" s="970">
        <f t="shared" ref="U36" si="269">V35-U35</f>
        <v>4396.0999999999913</v>
      </c>
      <c r="V36" s="970">
        <f t="shared" ref="V36" si="270">W35-V35</f>
        <v>0</v>
      </c>
      <c r="W36" s="970">
        <f t="shared" ref="W36" si="271">X35-W35</f>
        <v>0</v>
      </c>
      <c r="X36" s="970">
        <f t="shared" ref="X36" si="272">Y35-X35</f>
        <v>0</v>
      </c>
      <c r="Y36" s="970">
        <f>Z35-Y35</f>
        <v>0</v>
      </c>
      <c r="Z36" s="891"/>
    </row>
    <row r="37" spans="1:26" x14ac:dyDescent="0.25">
      <c r="A37" s="892" t="s">
        <v>183</v>
      </c>
      <c r="B37" s="961" t="s">
        <v>182</v>
      </c>
      <c r="C37" s="891"/>
      <c r="D37" s="970">
        <f>H37/AVERAGE(H38:Z38)</f>
        <v>277.8793241511853</v>
      </c>
      <c r="E37" s="970">
        <f>Table!T4</f>
        <v>55151</v>
      </c>
      <c r="F37" s="971">
        <f>H37/E37</f>
        <v>0.6991224093851427</v>
      </c>
      <c r="G37" s="891">
        <f>Table!T5</f>
        <v>16593.7</v>
      </c>
      <c r="H37" s="970">
        <f>Table!T9</f>
        <v>38557.300000000003</v>
      </c>
      <c r="I37" s="970">
        <f>Table!T23</f>
        <v>38557.300000000003</v>
      </c>
      <c r="J37" s="970">
        <f>Table!T37</f>
        <v>38557.300000000003</v>
      </c>
      <c r="K37" s="970">
        <f>Table!T51</f>
        <v>38557.300000000003</v>
      </c>
      <c r="L37" s="970">
        <f>Table!T65</f>
        <v>38557.300000000003</v>
      </c>
      <c r="M37" s="970">
        <f>Table!T79</f>
        <v>38557.300000000003</v>
      </c>
      <c r="N37" s="970">
        <f>Table!T93</f>
        <v>38557.300000000003</v>
      </c>
      <c r="O37" s="970">
        <f>Table!T107</f>
        <v>39160.6</v>
      </c>
      <c r="P37" s="970">
        <f>Table!T121</f>
        <v>39160.6</v>
      </c>
      <c r="Q37" s="970">
        <f>Table!T135</f>
        <v>39160.6</v>
      </c>
      <c r="R37" s="970">
        <f>Table!T149</f>
        <v>39160.6</v>
      </c>
      <c r="S37" s="970">
        <f>Table!T163</f>
        <v>41054.9</v>
      </c>
      <c r="T37" s="970">
        <f>Table!T177</f>
        <v>41054.9</v>
      </c>
      <c r="U37" s="970">
        <f>Table!T191</f>
        <v>41054.9</v>
      </c>
      <c r="V37" s="970">
        <f>Table!T205</f>
        <v>41054.9</v>
      </c>
      <c r="W37" s="970">
        <f>Table!T205</f>
        <v>41054.9</v>
      </c>
      <c r="X37" s="970">
        <f>Table!T205</f>
        <v>41054.9</v>
      </c>
      <c r="Y37" s="970">
        <f>Table!T205</f>
        <v>41054.9</v>
      </c>
      <c r="Z37" s="891">
        <v>41054.9</v>
      </c>
    </row>
    <row r="38" spans="1:26" s="743" customFormat="1" x14ac:dyDescent="0.25">
      <c r="A38" s="892"/>
      <c r="B38" s="961" t="s">
        <v>298</v>
      </c>
      <c r="C38" s="891"/>
      <c r="D38" s="970"/>
      <c r="E38" s="970"/>
      <c r="F38" s="891"/>
      <c r="G38" s="891"/>
      <c r="H38" s="970">
        <f t="shared" ref="H38" si="273">I37-H37</f>
        <v>0</v>
      </c>
      <c r="I38" s="970">
        <f t="shared" ref="I38" si="274">J37-I37</f>
        <v>0</v>
      </c>
      <c r="J38" s="970">
        <f t="shared" ref="J38" si="275">K37-J37</f>
        <v>0</v>
      </c>
      <c r="K38" s="970">
        <f t="shared" ref="K38" si="276">L37-K37</f>
        <v>0</v>
      </c>
      <c r="L38" s="970">
        <f t="shared" ref="L38" si="277">M37-L37</f>
        <v>0</v>
      </c>
      <c r="M38" s="970">
        <f t="shared" ref="M38" si="278">N37-M37</f>
        <v>0</v>
      </c>
      <c r="N38" s="970">
        <f t="shared" ref="N38" si="279">O37-N37</f>
        <v>603.29999999999563</v>
      </c>
      <c r="O38" s="970">
        <f t="shared" ref="O38" si="280">P37-O37</f>
        <v>0</v>
      </c>
      <c r="P38" s="970">
        <f t="shared" ref="P38" si="281">Q37-P37</f>
        <v>0</v>
      </c>
      <c r="Q38" s="970">
        <f t="shared" ref="Q38" si="282">R37-Q37</f>
        <v>0</v>
      </c>
      <c r="R38" s="970">
        <f t="shared" ref="R38" si="283">S37-R37</f>
        <v>1894.3000000000029</v>
      </c>
      <c r="S38" s="970">
        <f t="shared" ref="S38" si="284">T37-S37</f>
        <v>0</v>
      </c>
      <c r="T38" s="970">
        <f t="shared" ref="T38" si="285">U37-T37</f>
        <v>0</v>
      </c>
      <c r="U38" s="970">
        <f t="shared" ref="U38" si="286">V37-U37</f>
        <v>0</v>
      </c>
      <c r="V38" s="970">
        <f t="shared" ref="V38" si="287">W37-V37</f>
        <v>0</v>
      </c>
      <c r="W38" s="970">
        <f t="shared" ref="W38" si="288">X37-W37</f>
        <v>0</v>
      </c>
      <c r="X38" s="970">
        <f t="shared" ref="X38" si="289">Y37-X37</f>
        <v>0</v>
      </c>
      <c r="Y38" s="970">
        <f>Z37-Y37</f>
        <v>0</v>
      </c>
      <c r="Z38" s="891"/>
    </row>
    <row r="39" spans="1:26" x14ac:dyDescent="0.25">
      <c r="A39" s="892" t="s">
        <v>183</v>
      </c>
      <c r="B39" s="961" t="s">
        <v>184</v>
      </c>
      <c r="C39" s="891"/>
      <c r="D39" s="970">
        <f>H39/AVERAGE(H40:Z40)</f>
        <v>141.56726634790692</v>
      </c>
      <c r="E39" s="970">
        <f>Table!U4</f>
        <v>33090.5</v>
      </c>
      <c r="F39" s="971">
        <f>H39/E39</f>
        <v>0.69095057493842649</v>
      </c>
      <c r="G39" s="891">
        <f>Table!U5</f>
        <v>10226.6</v>
      </c>
      <c r="H39" s="970">
        <f>Table!U9</f>
        <v>22863.9</v>
      </c>
      <c r="I39" s="970">
        <f>Table!U23</f>
        <v>22863.9</v>
      </c>
      <c r="J39" s="970">
        <f>Table!U37</f>
        <v>22863.9</v>
      </c>
      <c r="K39" s="970">
        <f>Table!U51</f>
        <v>22863.9</v>
      </c>
      <c r="L39" s="970">
        <f>Table!U65</f>
        <v>22863.9</v>
      </c>
      <c r="M39" s="970">
        <f>Table!U79</f>
        <v>22863.9</v>
      </c>
      <c r="N39" s="970">
        <f>Table!U93</f>
        <v>22863.9</v>
      </c>
      <c r="O39" s="970">
        <f>Table!U107</f>
        <v>23634.1</v>
      </c>
      <c r="P39" s="970">
        <f>Table!U121</f>
        <v>23634.6</v>
      </c>
      <c r="Q39" s="970">
        <f>Table!U135</f>
        <v>23634.1</v>
      </c>
      <c r="R39" s="970">
        <f>Table!U149</f>
        <v>23634.1</v>
      </c>
      <c r="S39" s="970">
        <f>Table!U163</f>
        <v>25771</v>
      </c>
      <c r="T39" s="970">
        <f>Table!U177</f>
        <v>25771</v>
      </c>
      <c r="U39" s="970">
        <f>Table!U191</f>
        <v>25771</v>
      </c>
      <c r="V39" s="970">
        <f>Table!U205</f>
        <v>25771</v>
      </c>
      <c r="W39" s="970">
        <f>Table!U205</f>
        <v>25771</v>
      </c>
      <c r="X39" s="970">
        <f>Table!U205</f>
        <v>25771</v>
      </c>
      <c r="Y39" s="970">
        <f>Table!U205</f>
        <v>25771</v>
      </c>
      <c r="Z39" s="891">
        <v>25771</v>
      </c>
    </row>
    <row r="40" spans="1:26" s="743" customFormat="1" x14ac:dyDescent="0.25">
      <c r="A40" s="892"/>
      <c r="B40" s="961" t="s">
        <v>298</v>
      </c>
      <c r="C40" s="891"/>
      <c r="D40" s="970"/>
      <c r="E40" s="970"/>
      <c r="F40" s="891"/>
      <c r="G40" s="891"/>
      <c r="H40" s="970">
        <f t="shared" ref="H40" si="290">I39-H39</f>
        <v>0</v>
      </c>
      <c r="I40" s="970">
        <f t="shared" ref="I40" si="291">J39-I39</f>
        <v>0</v>
      </c>
      <c r="J40" s="970">
        <f t="shared" ref="J40" si="292">K39-J39</f>
        <v>0</v>
      </c>
      <c r="K40" s="970">
        <f t="shared" ref="K40" si="293">L39-K39</f>
        <v>0</v>
      </c>
      <c r="L40" s="970">
        <f t="shared" ref="L40" si="294">M39-L39</f>
        <v>0</v>
      </c>
      <c r="M40" s="970">
        <f t="shared" ref="M40" si="295">N39-M39</f>
        <v>0</v>
      </c>
      <c r="N40" s="970">
        <f t="shared" ref="N40" si="296">O39-N39</f>
        <v>770.19999999999709</v>
      </c>
      <c r="O40" s="970">
        <f t="shared" ref="O40" si="297">P39-O39</f>
        <v>0.5</v>
      </c>
      <c r="P40" s="970">
        <f t="shared" ref="P40" si="298">Q39-P39</f>
        <v>-0.5</v>
      </c>
      <c r="Q40" s="970">
        <f t="shared" ref="Q40" si="299">R39-Q39</f>
        <v>0</v>
      </c>
      <c r="R40" s="970">
        <f t="shared" ref="R40" si="300">S39-R39</f>
        <v>2136.9000000000015</v>
      </c>
      <c r="S40" s="970">
        <f t="shared" ref="S40" si="301">T39-S39</f>
        <v>0</v>
      </c>
      <c r="T40" s="970">
        <f t="shared" ref="T40" si="302">U39-T39</f>
        <v>0</v>
      </c>
      <c r="U40" s="970">
        <f t="shared" ref="U40" si="303">V39-U39</f>
        <v>0</v>
      </c>
      <c r="V40" s="970">
        <f t="shared" ref="V40" si="304">W39-V39</f>
        <v>0</v>
      </c>
      <c r="W40" s="970">
        <f t="shared" ref="W40" si="305">X39-W39</f>
        <v>0</v>
      </c>
      <c r="X40" s="970">
        <f t="shared" ref="X40" si="306">Y39-X39</f>
        <v>0</v>
      </c>
      <c r="Y40" s="970">
        <f>Z39-Y39</f>
        <v>0</v>
      </c>
      <c r="Z40" s="891"/>
    </row>
    <row r="41" spans="1:26" x14ac:dyDescent="0.25">
      <c r="A41" s="892" t="s">
        <v>2</v>
      </c>
      <c r="B41" s="962" t="s">
        <v>222</v>
      </c>
      <c r="C41" s="891"/>
      <c r="D41" s="970">
        <f>H41/AVERAGE(H42:Z42)</f>
        <v>134.93387351507232</v>
      </c>
      <c r="E41" s="970">
        <f>Table!V4</f>
        <v>102196.5</v>
      </c>
      <c r="F41" s="971">
        <f>H41/E41</f>
        <v>0.85458112557670762</v>
      </c>
      <c r="G41" s="891">
        <f>Table!V5</f>
        <v>14861.3</v>
      </c>
      <c r="H41" s="970">
        <f>Table!V9</f>
        <v>87335.2</v>
      </c>
      <c r="I41" s="970">
        <f>Table!V23</f>
        <v>87399.2</v>
      </c>
      <c r="J41" s="970">
        <f>Table!V37</f>
        <v>87450.5</v>
      </c>
      <c r="K41" s="970">
        <f>Table!V51</f>
        <v>87765.4</v>
      </c>
      <c r="L41" s="970">
        <f>Table!V65</f>
        <v>89683.1</v>
      </c>
      <c r="M41" s="970">
        <f>Table!V79</f>
        <v>89748.4</v>
      </c>
      <c r="N41" s="970">
        <f>Table!V93</f>
        <v>90074.3</v>
      </c>
      <c r="O41" s="970">
        <f>Table!V107</f>
        <v>90940</v>
      </c>
      <c r="P41" s="970">
        <f>Table!V121</f>
        <v>92679.6</v>
      </c>
      <c r="Q41" s="970">
        <f>Table!V135</f>
        <v>94472.3</v>
      </c>
      <c r="R41" s="970">
        <f>Table!V149</f>
        <v>95024.8</v>
      </c>
      <c r="S41" s="970">
        <f>Table!V163</f>
        <v>95056.2</v>
      </c>
      <c r="T41" s="970">
        <f>Table!V177</f>
        <v>95060.5</v>
      </c>
      <c r="U41" s="970">
        <f>Table!V191</f>
        <v>95917.8</v>
      </c>
      <c r="V41" s="970">
        <f>Table!V205</f>
        <v>98985.600000000006</v>
      </c>
      <c r="W41" s="970">
        <f>Table!V205</f>
        <v>98985.600000000006</v>
      </c>
      <c r="X41" s="970">
        <f>Table!V205</f>
        <v>98985.600000000006</v>
      </c>
      <c r="Y41" s="970">
        <f>Table!V205</f>
        <v>98985.600000000006</v>
      </c>
      <c r="Z41" s="891">
        <v>98985.600000000006</v>
      </c>
    </row>
    <row r="42" spans="1:26" s="743" customFormat="1" x14ac:dyDescent="0.25">
      <c r="A42" s="892"/>
      <c r="B42" s="962" t="s">
        <v>298</v>
      </c>
      <c r="C42" s="891"/>
      <c r="D42" s="970"/>
      <c r="E42" s="970"/>
      <c r="F42" s="891"/>
      <c r="G42" s="891"/>
      <c r="H42" s="970">
        <f t="shared" ref="H42" si="307">I41-H41</f>
        <v>64</v>
      </c>
      <c r="I42" s="970">
        <f t="shared" ref="I42" si="308">J41-I41</f>
        <v>51.30000000000291</v>
      </c>
      <c r="J42" s="970">
        <f t="shared" ref="J42" si="309">K41-J41</f>
        <v>314.89999999999418</v>
      </c>
      <c r="K42" s="970">
        <f t="shared" ref="K42" si="310">L41-K41</f>
        <v>1917.7000000000116</v>
      </c>
      <c r="L42" s="970">
        <f t="shared" ref="L42" si="311">M41-L41</f>
        <v>65.299999999988358</v>
      </c>
      <c r="M42" s="970">
        <f t="shared" ref="M42" si="312">N41-M41</f>
        <v>325.90000000000873</v>
      </c>
      <c r="N42" s="970">
        <f t="shared" ref="N42" si="313">O41-N41</f>
        <v>865.69999999999709</v>
      </c>
      <c r="O42" s="970">
        <f t="shared" ref="O42" si="314">P41-O41</f>
        <v>1739.6000000000058</v>
      </c>
      <c r="P42" s="970">
        <f t="shared" ref="P42" si="315">Q41-P41</f>
        <v>1792.6999999999971</v>
      </c>
      <c r="Q42" s="970">
        <f t="shared" ref="Q42" si="316">R41-Q41</f>
        <v>552.5</v>
      </c>
      <c r="R42" s="970">
        <f t="shared" ref="R42" si="317">S41-R41</f>
        <v>31.399999999994179</v>
      </c>
      <c r="S42" s="970">
        <f t="shared" ref="S42" si="318">T41-S41</f>
        <v>4.3000000000029104</v>
      </c>
      <c r="T42" s="970">
        <f t="shared" ref="T42" si="319">U41-T41</f>
        <v>857.30000000000291</v>
      </c>
      <c r="U42" s="970">
        <f t="shared" ref="U42" si="320">V41-U41</f>
        <v>3067.8000000000029</v>
      </c>
      <c r="V42" s="970">
        <f t="shared" ref="V42" si="321">W41-V41</f>
        <v>0</v>
      </c>
      <c r="W42" s="970">
        <f t="shared" ref="W42" si="322">X41-W41</f>
        <v>0</v>
      </c>
      <c r="X42" s="970">
        <f t="shared" ref="X42" si="323">Y41-X41</f>
        <v>0</v>
      </c>
      <c r="Y42" s="970">
        <f>Z41-Y41</f>
        <v>0</v>
      </c>
      <c r="Z42" s="891"/>
    </row>
    <row r="43" spans="1:26" x14ac:dyDescent="0.25">
      <c r="A43" s="892" t="s">
        <v>13</v>
      </c>
      <c r="B43" s="962" t="s">
        <v>223</v>
      </c>
      <c r="C43" s="891"/>
      <c r="D43" s="970">
        <f>H43/AVERAGE(H44:Z44)</f>
        <v>138.87718394726349</v>
      </c>
      <c r="E43" s="970">
        <f>Table!W4</f>
        <v>209496.5</v>
      </c>
      <c r="F43" s="971">
        <f>H43/E43</f>
        <v>0.85812507607525668</v>
      </c>
      <c r="G43" s="891">
        <f>Table!W5</f>
        <v>29722.3</v>
      </c>
      <c r="H43" s="970">
        <f>Table!W9</f>
        <v>179774.2</v>
      </c>
      <c r="I43" s="970">
        <f>Table!W23</f>
        <v>179902</v>
      </c>
      <c r="J43" s="970">
        <f>Table!W37</f>
        <v>180004.6</v>
      </c>
      <c r="K43" s="970">
        <f>Table!W51</f>
        <v>180634.3</v>
      </c>
      <c r="L43" s="970">
        <f>Table!W65</f>
        <v>184469.8</v>
      </c>
      <c r="M43" s="970">
        <f>Table!W79</f>
        <v>184600.3</v>
      </c>
      <c r="N43" s="970">
        <f>Table!W93</f>
        <v>185251.4</v>
      </c>
      <c r="O43" s="970">
        <f>Table!W107</f>
        <v>186983.7</v>
      </c>
      <c r="P43" s="970">
        <f>Table!W121</f>
        <v>190462.4</v>
      </c>
      <c r="Q43" s="970">
        <f>Table!W135</f>
        <v>194048.4</v>
      </c>
      <c r="R43" s="970">
        <f>Table!W149</f>
        <v>195153.2</v>
      </c>
      <c r="S43" s="970">
        <f>Table!W163</f>
        <v>195216</v>
      </c>
      <c r="T43" s="970">
        <f>Table!W177</f>
        <v>195224.6</v>
      </c>
      <c r="U43" s="970">
        <f>Table!W191</f>
        <v>196939.2</v>
      </c>
      <c r="V43" s="970">
        <f>Table!W205</f>
        <v>203074.9</v>
      </c>
      <c r="W43" s="970">
        <f>Table!W205</f>
        <v>203074.9</v>
      </c>
      <c r="X43" s="970">
        <f>Table!W205</f>
        <v>203074.9</v>
      </c>
      <c r="Y43" s="970">
        <f>Table!W205</f>
        <v>203074.9</v>
      </c>
      <c r="Z43" s="891">
        <v>203074.9</v>
      </c>
    </row>
    <row r="44" spans="1:26" s="743" customFormat="1" x14ac:dyDescent="0.25">
      <c r="A44" s="892"/>
      <c r="B44" s="962" t="s">
        <v>298</v>
      </c>
      <c r="C44" s="891"/>
      <c r="D44" s="970"/>
      <c r="E44" s="970"/>
      <c r="F44" s="891"/>
      <c r="G44" s="891"/>
      <c r="H44" s="970">
        <f t="shared" ref="H44" si="324">I43-H43</f>
        <v>127.79999999998836</v>
      </c>
      <c r="I44" s="970">
        <f t="shared" ref="I44" si="325">J43-I43</f>
        <v>102.60000000000582</v>
      </c>
      <c r="J44" s="970">
        <f t="shared" ref="J44" si="326">K43-J43</f>
        <v>629.69999999998254</v>
      </c>
      <c r="K44" s="970">
        <f t="shared" ref="K44" si="327">L43-K43</f>
        <v>3835.5</v>
      </c>
      <c r="L44" s="970">
        <f t="shared" ref="L44" si="328">M43-L43</f>
        <v>130.5</v>
      </c>
      <c r="M44" s="970">
        <f t="shared" ref="M44" si="329">N43-M43</f>
        <v>651.10000000000582</v>
      </c>
      <c r="N44" s="970">
        <f t="shared" ref="N44" si="330">O43-N43</f>
        <v>1732.3000000000175</v>
      </c>
      <c r="O44" s="970">
        <f t="shared" ref="O44" si="331">P43-O43</f>
        <v>3478.6999999999825</v>
      </c>
      <c r="P44" s="970">
        <f t="shared" ref="P44" si="332">Q43-P43</f>
        <v>3586</v>
      </c>
      <c r="Q44" s="970">
        <f t="shared" ref="Q44" si="333">R43-Q43</f>
        <v>1104.8000000000175</v>
      </c>
      <c r="R44" s="970">
        <f t="shared" ref="R44" si="334">S43-R43</f>
        <v>62.799999999988358</v>
      </c>
      <c r="S44" s="970">
        <f t="shared" ref="S44" si="335">T43-S43</f>
        <v>8.6000000000058208</v>
      </c>
      <c r="T44" s="970">
        <f t="shared" ref="T44" si="336">U43-T43</f>
        <v>1714.6000000000058</v>
      </c>
      <c r="U44" s="970">
        <f t="shared" ref="U44" si="337">V43-U43</f>
        <v>6135.6999999999825</v>
      </c>
      <c r="V44" s="970">
        <f t="shared" ref="V44" si="338">W43-V43</f>
        <v>0</v>
      </c>
      <c r="W44" s="970">
        <f t="shared" ref="W44" si="339">X43-W43</f>
        <v>0</v>
      </c>
      <c r="X44" s="970">
        <f t="shared" ref="X44" si="340">Y43-X43</f>
        <v>0</v>
      </c>
      <c r="Y44" s="970">
        <f>Z43-Y43</f>
        <v>0</v>
      </c>
      <c r="Z44" s="891"/>
    </row>
    <row r="45" spans="1:26" x14ac:dyDescent="0.25">
      <c r="A45" s="892" t="s">
        <v>13</v>
      </c>
      <c r="B45" s="962" t="s">
        <v>256</v>
      </c>
      <c r="C45" s="891"/>
      <c r="D45" s="970">
        <f>H45/AVERAGE(H46:Z46)</f>
        <v>100.98326002587321</v>
      </c>
      <c r="E45" s="970">
        <f>Table!X4</f>
        <v>102196.5</v>
      </c>
      <c r="F45" s="971">
        <f>H45/E45</f>
        <v>0.84869246989867553</v>
      </c>
      <c r="G45" s="891">
        <f>Table!X5</f>
        <v>15463.1</v>
      </c>
      <c r="H45" s="970">
        <f>Table!X9</f>
        <v>86733.4</v>
      </c>
      <c r="I45" s="970">
        <f>Table!X23</f>
        <v>86743.4</v>
      </c>
      <c r="J45" s="970">
        <f>Table!X37</f>
        <v>87070.6</v>
      </c>
      <c r="K45" s="970">
        <f>Table!X51</f>
        <v>94159.2</v>
      </c>
      <c r="L45" s="970">
        <f>Table!X65</f>
        <v>95340.3</v>
      </c>
      <c r="M45" s="970">
        <f>Table!X79</f>
        <v>95590.399999999994</v>
      </c>
      <c r="N45" s="970">
        <f>Table!X93</f>
        <v>98423.9</v>
      </c>
      <c r="O45" s="970">
        <f>Table!X107</f>
        <v>100894.1</v>
      </c>
      <c r="P45" s="970">
        <f>Table!X121</f>
        <v>100910.39999999999</v>
      </c>
      <c r="Q45" s="970">
        <f>Table!X135</f>
        <v>100917.1</v>
      </c>
      <c r="R45" s="970">
        <f>Table!X149</f>
        <v>102193.4</v>
      </c>
      <c r="S45" s="970">
        <v>102193.4</v>
      </c>
      <c r="T45" s="970"/>
      <c r="U45" s="970"/>
      <c r="V45" s="970"/>
      <c r="W45" s="970"/>
      <c r="X45" s="970"/>
      <c r="Y45" s="970"/>
      <c r="Z45" s="891"/>
    </row>
    <row r="46" spans="1:26" s="743" customFormat="1" x14ac:dyDescent="0.25">
      <c r="A46" s="892"/>
      <c r="B46" s="962" t="s">
        <v>298</v>
      </c>
      <c r="C46" s="891"/>
      <c r="D46" s="970"/>
      <c r="E46" s="970"/>
      <c r="F46" s="891"/>
      <c r="G46" s="891"/>
      <c r="H46" s="970">
        <f t="shared" ref="H46" si="341">I45-H45</f>
        <v>10</v>
      </c>
      <c r="I46" s="970">
        <f t="shared" ref="I46" si="342">J45-I45</f>
        <v>327.20000000001164</v>
      </c>
      <c r="J46" s="970">
        <f t="shared" ref="J46" si="343">K45-J45</f>
        <v>7088.5999999999913</v>
      </c>
      <c r="K46" s="970">
        <f t="shared" ref="K46" si="344">L45-K45</f>
        <v>1181.1000000000058</v>
      </c>
      <c r="L46" s="970">
        <f t="shared" ref="L46" si="345">M45-L45</f>
        <v>250.09999999999127</v>
      </c>
      <c r="M46" s="970">
        <f t="shared" ref="M46" si="346">N45-M45</f>
        <v>2833.5</v>
      </c>
      <c r="N46" s="970">
        <f t="shared" ref="N46" si="347">O45-N45</f>
        <v>2470.2000000000116</v>
      </c>
      <c r="O46" s="970">
        <f t="shared" ref="O46" si="348">P45-O45</f>
        <v>16.299999999988358</v>
      </c>
      <c r="P46" s="970">
        <f t="shared" ref="P46" si="349">Q45-P45</f>
        <v>6.7000000000116415</v>
      </c>
      <c r="Q46" s="970">
        <f t="shared" ref="Q46" si="350">R45-Q45</f>
        <v>1276.2999999999884</v>
      </c>
      <c r="R46" s="970">
        <f t="shared" ref="R46" si="351">S45-R45</f>
        <v>0</v>
      </c>
      <c r="S46" s="974">
        <v>0</v>
      </c>
      <c r="T46" s="970">
        <f t="shared" ref="T46" si="352">U45-T45</f>
        <v>0</v>
      </c>
      <c r="U46" s="970">
        <f t="shared" ref="U46" si="353">V45-U45</f>
        <v>0</v>
      </c>
      <c r="V46" s="970">
        <f t="shared" ref="V46" si="354">W45-V45</f>
        <v>0</v>
      </c>
      <c r="W46" s="970">
        <f t="shared" ref="W46" si="355">X45-W45</f>
        <v>0</v>
      </c>
      <c r="X46" s="970">
        <f t="shared" ref="X46" si="356">Y45-X45</f>
        <v>0</v>
      </c>
      <c r="Y46" s="970">
        <f>Z45-Y45</f>
        <v>0</v>
      </c>
      <c r="Z46" s="891"/>
    </row>
    <row r="47" spans="1:26" x14ac:dyDescent="0.25">
      <c r="A47" s="892" t="s">
        <v>2</v>
      </c>
      <c r="B47" s="962" t="s">
        <v>257</v>
      </c>
      <c r="C47" s="891"/>
      <c r="D47" s="970">
        <f>H47/AVERAGE(H48:Z48)</f>
        <v>103.98434932260196</v>
      </c>
      <c r="E47" s="970">
        <f>Table!Y4</f>
        <v>209496.5</v>
      </c>
      <c r="F47" s="971">
        <f>H47/E47</f>
        <v>0.85241567281553632</v>
      </c>
      <c r="G47" s="891">
        <f>Table!Y5</f>
        <v>30918.400000000001</v>
      </c>
      <c r="H47" s="970">
        <f>Table!Y9</f>
        <v>178578.1</v>
      </c>
      <c r="I47" s="970">
        <f>Table!Y23</f>
        <v>178599.6</v>
      </c>
      <c r="J47" s="970">
        <f>Table!Y37</f>
        <v>179260</v>
      </c>
      <c r="K47" s="970">
        <f>Table!Y51</f>
        <v>193437.3</v>
      </c>
      <c r="L47" s="970">
        <f>Table!Y65</f>
        <v>195799.9</v>
      </c>
      <c r="M47" s="970">
        <f>Table!Y79</f>
        <v>196303.5</v>
      </c>
      <c r="N47" s="970">
        <f>Table!Y93</f>
        <v>201961</v>
      </c>
      <c r="O47" s="970">
        <f>Table!Y107</f>
        <v>206902.5</v>
      </c>
      <c r="P47" s="970">
        <f>Table!Y121</f>
        <v>206934.6</v>
      </c>
      <c r="Q47" s="970">
        <f>Table!Y135</f>
        <v>206948.4</v>
      </c>
      <c r="R47" s="970">
        <f>Table!Y149</f>
        <v>209490.5</v>
      </c>
      <c r="S47" s="970"/>
      <c r="T47" s="970"/>
      <c r="U47" s="970"/>
      <c r="V47" s="970"/>
      <c r="W47" s="970"/>
      <c r="X47" s="970"/>
      <c r="Y47" s="970"/>
      <c r="Z47" s="891"/>
    </row>
    <row r="48" spans="1:26" s="743" customFormat="1" x14ac:dyDescent="0.25">
      <c r="A48" s="892"/>
      <c r="B48" s="962" t="s">
        <v>298</v>
      </c>
      <c r="C48" s="891"/>
      <c r="D48" s="970"/>
      <c r="E48" s="970"/>
      <c r="F48" s="891"/>
      <c r="G48" s="891"/>
      <c r="H48" s="970">
        <f t="shared" ref="H48" si="357">I47-H47</f>
        <v>21.5</v>
      </c>
      <c r="I48" s="970">
        <f t="shared" ref="I48" si="358">J47-I47</f>
        <v>660.39999999999418</v>
      </c>
      <c r="J48" s="970">
        <f t="shared" ref="J48" si="359">K47-J47</f>
        <v>14177.299999999988</v>
      </c>
      <c r="K48" s="970">
        <f t="shared" ref="K48" si="360">L47-K47</f>
        <v>2362.6000000000058</v>
      </c>
      <c r="L48" s="970">
        <f t="shared" ref="L48" si="361">M47-L47</f>
        <v>503.60000000000582</v>
      </c>
      <c r="M48" s="970">
        <f t="shared" ref="M48" si="362">N47-M47</f>
        <v>5657.5</v>
      </c>
      <c r="N48" s="970">
        <f t="shared" ref="N48" si="363">O47-N47</f>
        <v>4941.5</v>
      </c>
      <c r="O48" s="970">
        <f t="shared" ref="O48" si="364">P47-O47</f>
        <v>32.100000000005821</v>
      </c>
      <c r="P48" s="970">
        <f t="shared" ref="P48" si="365">Q47-P47</f>
        <v>13.799999999988358</v>
      </c>
      <c r="Q48" s="970">
        <f t="shared" ref="Q48" si="366">R47-Q47</f>
        <v>2542.1000000000058</v>
      </c>
      <c r="R48" s="974">
        <v>0</v>
      </c>
      <c r="S48" s="970">
        <f t="shared" ref="S48" si="367">T47-S47</f>
        <v>0</v>
      </c>
      <c r="T48" s="970">
        <f t="shared" ref="T48" si="368">U47-T47</f>
        <v>0</v>
      </c>
      <c r="U48" s="970">
        <f t="shared" ref="U48" si="369">V47-U47</f>
        <v>0</v>
      </c>
      <c r="V48" s="970">
        <f t="shared" ref="V48" si="370">W47-V47</f>
        <v>0</v>
      </c>
      <c r="W48" s="970">
        <f t="shared" ref="W48" si="371">X47-W47</f>
        <v>0</v>
      </c>
      <c r="X48" s="970">
        <f t="shared" ref="X48" si="372">Y47-X47</f>
        <v>0</v>
      </c>
      <c r="Y48" s="970">
        <f>Z47-Y47</f>
        <v>0</v>
      </c>
      <c r="Z48" s="891"/>
    </row>
    <row r="49" spans="1:26" x14ac:dyDescent="0.25">
      <c r="A49" s="892" t="s">
        <v>13</v>
      </c>
      <c r="B49" s="962" t="s">
        <v>267</v>
      </c>
      <c r="C49" s="891"/>
      <c r="D49" s="970">
        <f>H49/AVERAGE(H50:Z50)</f>
        <v>3678962.4</v>
      </c>
      <c r="E49" s="970">
        <f>Table!Z4</f>
        <v>102196.5</v>
      </c>
      <c r="F49" s="971">
        <f>H49/E49</f>
        <v>0.99996966628015627</v>
      </c>
      <c r="G49" s="891">
        <f>Table!Z5</f>
        <v>3.1</v>
      </c>
      <c r="H49" s="970">
        <f>Table!Z9</f>
        <v>102193.4</v>
      </c>
      <c r="I49" s="970">
        <f>Table!Z23</f>
        <v>102193.4</v>
      </c>
      <c r="J49" s="970">
        <f>Table!Z37</f>
        <v>102193.4</v>
      </c>
      <c r="K49" s="970">
        <f>Table!Z51</f>
        <v>102193.4</v>
      </c>
      <c r="L49" s="970">
        <f>Table!Z65</f>
        <v>102193.4</v>
      </c>
      <c r="M49" s="970">
        <f>Table!Z79</f>
        <v>102193.4</v>
      </c>
      <c r="N49" s="970">
        <f>Table!Z93</f>
        <v>102193.4</v>
      </c>
      <c r="O49" s="970">
        <f>Table!Z107</f>
        <v>102193.4</v>
      </c>
      <c r="P49" s="970">
        <f>Table!Z121</f>
        <v>102193.9</v>
      </c>
      <c r="Q49" s="970"/>
      <c r="R49" s="970"/>
      <c r="S49" s="970"/>
      <c r="T49" s="970"/>
      <c r="U49" s="970"/>
      <c r="V49" s="970"/>
      <c r="W49" s="970"/>
      <c r="X49" s="970"/>
      <c r="Y49" s="970"/>
      <c r="Z49" s="891"/>
    </row>
    <row r="50" spans="1:26" s="743" customFormat="1" x14ac:dyDescent="0.25">
      <c r="A50" s="892"/>
      <c r="B50" s="962" t="s">
        <v>298</v>
      </c>
      <c r="C50" s="891"/>
      <c r="D50" s="970"/>
      <c r="E50" s="970"/>
      <c r="F50" s="891"/>
      <c r="G50" s="891"/>
      <c r="H50" s="970">
        <f t="shared" ref="H50" si="373">I49-H49</f>
        <v>0</v>
      </c>
      <c r="I50" s="970">
        <f t="shared" ref="I50" si="374">J49-I49</f>
        <v>0</v>
      </c>
      <c r="J50" s="970">
        <f t="shared" ref="J50" si="375">K49-J49</f>
        <v>0</v>
      </c>
      <c r="K50" s="970">
        <f t="shared" ref="K50" si="376">L49-K49</f>
        <v>0</v>
      </c>
      <c r="L50" s="970">
        <f t="shared" ref="L50" si="377">M49-L49</f>
        <v>0</v>
      </c>
      <c r="M50" s="970">
        <f t="shared" ref="M50" si="378">N49-M49</f>
        <v>0</v>
      </c>
      <c r="N50" s="970">
        <f t="shared" ref="N50" si="379">O49-N49</f>
        <v>0</v>
      </c>
      <c r="O50" s="970">
        <f t="shared" ref="O50" si="380">P49-O49</f>
        <v>0.5</v>
      </c>
      <c r="P50" s="974">
        <v>0</v>
      </c>
      <c r="Q50" s="970">
        <f t="shared" ref="Q50" si="381">R49-Q49</f>
        <v>0</v>
      </c>
      <c r="R50" s="970">
        <f t="shared" ref="R50" si="382">S49-R49</f>
        <v>0</v>
      </c>
      <c r="S50" s="970">
        <f t="shared" ref="S50" si="383">T49-S49</f>
        <v>0</v>
      </c>
      <c r="T50" s="970">
        <f t="shared" ref="T50" si="384">U49-T49</f>
        <v>0</v>
      </c>
      <c r="U50" s="970">
        <f t="shared" ref="U50" si="385">V49-U49</f>
        <v>0</v>
      </c>
      <c r="V50" s="970">
        <f t="shared" ref="V50" si="386">W49-V49</f>
        <v>0</v>
      </c>
      <c r="W50" s="970">
        <f t="shared" ref="W50" si="387">X49-W49</f>
        <v>0</v>
      </c>
      <c r="X50" s="970">
        <f t="shared" ref="X50" si="388">Y49-X49</f>
        <v>0</v>
      </c>
      <c r="Y50" s="970">
        <f>Z49-Y49</f>
        <v>0</v>
      </c>
      <c r="Z50" s="891"/>
    </row>
    <row r="51" spans="1:26" x14ac:dyDescent="0.25">
      <c r="A51" s="892" t="s">
        <v>2</v>
      </c>
      <c r="B51" s="962" t="s">
        <v>268</v>
      </c>
      <c r="C51" s="891"/>
      <c r="D51" s="970">
        <f>H51/AVERAGE(H52:Z52)</f>
        <v>7541658</v>
      </c>
      <c r="E51" s="970">
        <f>Table!AA4</f>
        <v>209496.5</v>
      </c>
      <c r="F51" s="971">
        <f>H51/E51</f>
        <v>0.99997135990338737</v>
      </c>
      <c r="G51" s="891">
        <f>Table!AA5</f>
        <v>6</v>
      </c>
      <c r="H51" s="970">
        <f>Table!AA9</f>
        <v>209490.5</v>
      </c>
      <c r="I51" s="970">
        <f>Table!AA23</f>
        <v>209490.5</v>
      </c>
      <c r="J51" s="970">
        <f>Table!AA37</f>
        <v>209490.5</v>
      </c>
      <c r="K51" s="970">
        <f>Table!AA51</f>
        <v>209490.5</v>
      </c>
      <c r="L51" s="970">
        <f>Table!AA65</f>
        <v>209490.5</v>
      </c>
      <c r="M51" s="970">
        <f>Table!AA79</f>
        <v>209490.5</v>
      </c>
      <c r="N51" s="970">
        <f>Table!AA93</f>
        <v>209490.5</v>
      </c>
      <c r="O51" s="970">
        <f>Table!AA107</f>
        <v>209490.5</v>
      </c>
      <c r="P51" s="970">
        <f>Table!AA121</f>
        <v>209491</v>
      </c>
      <c r="Q51" s="970"/>
      <c r="R51" s="970"/>
      <c r="S51" s="970"/>
      <c r="T51" s="970"/>
      <c r="U51" s="970"/>
      <c r="V51" s="970"/>
      <c r="W51" s="970"/>
      <c r="X51" s="970"/>
      <c r="Y51" s="970"/>
      <c r="Z51" s="891"/>
    </row>
    <row r="52" spans="1:26" s="743" customFormat="1" x14ac:dyDescent="0.25">
      <c r="A52" s="892"/>
      <c r="B52" s="962" t="s">
        <v>298</v>
      </c>
      <c r="C52" s="891"/>
      <c r="D52" s="970"/>
      <c r="E52" s="970"/>
      <c r="F52" s="891"/>
      <c r="G52" s="891"/>
      <c r="H52" s="970">
        <f t="shared" ref="H52" si="389">I51-H51</f>
        <v>0</v>
      </c>
      <c r="I52" s="970">
        <f t="shared" ref="I52" si="390">J51-I51</f>
        <v>0</v>
      </c>
      <c r="J52" s="970">
        <f t="shared" ref="J52" si="391">K51-J51</f>
        <v>0</v>
      </c>
      <c r="K52" s="970">
        <f t="shared" ref="K52" si="392">L51-K51</f>
        <v>0</v>
      </c>
      <c r="L52" s="970">
        <f t="shared" ref="L52" si="393">M51-L51</f>
        <v>0</v>
      </c>
      <c r="M52" s="970">
        <f t="shared" ref="M52" si="394">N51-M51</f>
        <v>0</v>
      </c>
      <c r="N52" s="970">
        <f t="shared" ref="N52" si="395">O51-N51</f>
        <v>0</v>
      </c>
      <c r="O52" s="970">
        <f t="shared" ref="O52" si="396">P51-O51</f>
        <v>0.5</v>
      </c>
      <c r="P52" s="974">
        <v>0</v>
      </c>
      <c r="Q52" s="970">
        <f t="shared" ref="Q52" si="397">R51-Q51</f>
        <v>0</v>
      </c>
      <c r="R52" s="970">
        <f t="shared" ref="R52" si="398">S51-R51</f>
        <v>0</v>
      </c>
      <c r="S52" s="970">
        <f t="shared" ref="S52" si="399">T51-S51</f>
        <v>0</v>
      </c>
      <c r="T52" s="970">
        <f t="shared" ref="T52" si="400">U51-T51</f>
        <v>0</v>
      </c>
      <c r="U52" s="970">
        <f t="shared" ref="U52" si="401">V51-U51</f>
        <v>0</v>
      </c>
      <c r="V52" s="970">
        <f t="shared" ref="V52" si="402">W51-V51</f>
        <v>0</v>
      </c>
      <c r="W52" s="970">
        <f t="shared" ref="W52" si="403">X51-W51</f>
        <v>0</v>
      </c>
      <c r="X52" s="970">
        <f t="shared" ref="X52" si="404">Y51-X51</f>
        <v>0</v>
      </c>
      <c r="Y52" s="970">
        <f>Z51-Y51</f>
        <v>0</v>
      </c>
      <c r="Z52" s="891"/>
    </row>
    <row r="53" spans="1:26" x14ac:dyDescent="0.25">
      <c r="A53" s="892" t="s">
        <v>2</v>
      </c>
      <c r="B53" s="893" t="s">
        <v>269</v>
      </c>
      <c r="C53" s="891"/>
      <c r="D53" s="970">
        <f>H53/AVERAGE(H54:Z54)</f>
        <v>304.18493507068627</v>
      </c>
      <c r="E53" s="970">
        <f>Table!AB4</f>
        <v>328695.2</v>
      </c>
      <c r="F53" s="971">
        <f>H53/E53</f>
        <v>0.92881459784018749</v>
      </c>
      <c r="G53" s="891">
        <f>Table!AB5</f>
        <v>23398.3</v>
      </c>
      <c r="H53" s="970">
        <f>Table!AB9</f>
        <v>305296.90000000002</v>
      </c>
      <c r="I53" s="970">
        <f>Table!AB23</f>
        <v>305321.5</v>
      </c>
      <c r="J53" s="970">
        <f>Table!AB37</f>
        <v>244293.40000000002</v>
      </c>
      <c r="K53" s="970">
        <f>Table!AB51</f>
        <v>210423.4</v>
      </c>
      <c r="L53" s="970">
        <f>Table!AB65</f>
        <v>213753.4</v>
      </c>
      <c r="M53" s="970">
        <f>Table!AB79</f>
        <v>222447.80000000002</v>
      </c>
      <c r="N53" s="970">
        <f>Table!AB93</f>
        <v>228464.6</v>
      </c>
      <c r="O53" s="970"/>
      <c r="P53" s="970"/>
      <c r="Q53" s="970"/>
      <c r="R53" s="970"/>
      <c r="S53" s="970"/>
      <c r="T53" s="970"/>
      <c r="U53" s="970"/>
      <c r="V53" s="970"/>
      <c r="W53" s="970"/>
      <c r="X53" s="970"/>
      <c r="Y53" s="970"/>
      <c r="Z53" s="891"/>
    </row>
    <row r="54" spans="1:26" s="743" customFormat="1" x14ac:dyDescent="0.25">
      <c r="A54" s="892"/>
      <c r="B54" s="893" t="s">
        <v>298</v>
      </c>
      <c r="C54" s="891"/>
      <c r="D54" s="970"/>
      <c r="E54" s="970"/>
      <c r="F54" s="891"/>
      <c r="G54" s="891"/>
      <c r="H54" s="970">
        <f t="shared" ref="H54" si="405">I53-H53</f>
        <v>24.599999999976717</v>
      </c>
      <c r="I54" s="974">
        <v>0</v>
      </c>
      <c r="J54" s="974">
        <v>0</v>
      </c>
      <c r="K54" s="970">
        <f t="shared" ref="K54" si="406">L53-K53</f>
        <v>3330</v>
      </c>
      <c r="L54" s="970">
        <f t="shared" ref="L54" si="407">M53-L53</f>
        <v>8694.4000000000233</v>
      </c>
      <c r="M54" s="970">
        <f t="shared" ref="M54" si="408">N53-M53</f>
        <v>6016.7999999999884</v>
      </c>
      <c r="N54" s="974">
        <v>0</v>
      </c>
      <c r="O54" s="970">
        <f t="shared" ref="O54" si="409">P53-O53</f>
        <v>0</v>
      </c>
      <c r="P54" s="970">
        <f t="shared" ref="P54" si="410">Q53-P53</f>
        <v>0</v>
      </c>
      <c r="Q54" s="970">
        <f t="shared" ref="Q54" si="411">R53-Q53</f>
        <v>0</v>
      </c>
      <c r="R54" s="970">
        <f t="shared" ref="R54" si="412">S53-R53</f>
        <v>0</v>
      </c>
      <c r="S54" s="970">
        <f t="shared" ref="S54" si="413">T53-S53</f>
        <v>0</v>
      </c>
      <c r="T54" s="970">
        <f t="shared" ref="T54" si="414">U53-T53</f>
        <v>0</v>
      </c>
      <c r="U54" s="970">
        <f t="shared" ref="U54" si="415">V53-U53</f>
        <v>0</v>
      </c>
      <c r="V54" s="970">
        <f t="shared" ref="V54" si="416">W53-V53</f>
        <v>0</v>
      </c>
      <c r="W54" s="970">
        <f t="shared" ref="W54" si="417">X53-W53</f>
        <v>0</v>
      </c>
      <c r="X54" s="970">
        <f t="shared" ref="X54" si="418">Y53-X53</f>
        <v>0</v>
      </c>
      <c r="Y54" s="970">
        <f>Z53-Y53</f>
        <v>0</v>
      </c>
      <c r="Z54" s="891"/>
    </row>
    <row r="55" spans="1:26" x14ac:dyDescent="0.25">
      <c r="A55" s="892" t="s">
        <v>2</v>
      </c>
      <c r="B55" s="893" t="s">
        <v>270</v>
      </c>
      <c r="C55" s="891"/>
      <c r="D55" s="970" t="e">
        <f>H55/AVERAGE(H56:Z56)</f>
        <v>#DIV/0!</v>
      </c>
      <c r="E55" s="970">
        <f>Table!AC4</f>
        <v>190871.2</v>
      </c>
      <c r="F55" s="971">
        <f>H55/E55</f>
        <v>0.99997432823809984</v>
      </c>
      <c r="G55" s="891">
        <f>Table!AC5</f>
        <v>4.9000000000000004</v>
      </c>
      <c r="H55" s="970">
        <f>Table!AC9</f>
        <v>190866.30000000002</v>
      </c>
      <c r="I55" s="970">
        <f>Table!AC23</f>
        <v>190866.30000000002</v>
      </c>
      <c r="J55" s="970">
        <f>Table!AC37</f>
        <v>190866.30000000002</v>
      </c>
      <c r="K55" s="970"/>
      <c r="L55" s="970"/>
      <c r="M55" s="970"/>
      <c r="N55" s="970"/>
      <c r="O55" s="970"/>
      <c r="P55" s="970"/>
      <c r="Q55" s="970"/>
      <c r="R55" s="970"/>
      <c r="S55" s="970"/>
      <c r="T55" s="970"/>
      <c r="U55" s="970"/>
      <c r="V55" s="970"/>
      <c r="W55" s="970"/>
      <c r="X55" s="970"/>
      <c r="Y55" s="970"/>
      <c r="Z55" s="891"/>
    </row>
    <row r="56" spans="1:26" s="743" customFormat="1" x14ac:dyDescent="0.25">
      <c r="A56" s="892"/>
      <c r="B56" s="893" t="s">
        <v>298</v>
      </c>
      <c r="C56" s="891"/>
      <c r="D56" s="970"/>
      <c r="E56" s="970"/>
      <c r="F56" s="891"/>
      <c r="G56" s="891"/>
      <c r="H56" s="970">
        <f t="shared" ref="H56" si="419">I55-H55</f>
        <v>0</v>
      </c>
      <c r="I56" s="970">
        <f t="shared" ref="I56" si="420">J55-I55</f>
        <v>0</v>
      </c>
      <c r="J56" s="974">
        <v>0</v>
      </c>
      <c r="K56" s="970">
        <f t="shared" ref="K56" si="421">L55-K55</f>
        <v>0</v>
      </c>
      <c r="L56" s="970">
        <f t="shared" ref="L56" si="422">M55-L55</f>
        <v>0</v>
      </c>
      <c r="M56" s="970">
        <f t="shared" ref="M56" si="423">N55-M55</f>
        <v>0</v>
      </c>
      <c r="N56" s="970">
        <f t="shared" ref="N56" si="424">O55-N55</f>
        <v>0</v>
      </c>
      <c r="O56" s="970">
        <f t="shared" ref="O56" si="425">P55-O55</f>
        <v>0</v>
      </c>
      <c r="P56" s="970">
        <f t="shared" ref="P56" si="426">Q55-P55</f>
        <v>0</v>
      </c>
      <c r="Q56" s="970">
        <f t="shared" ref="Q56" si="427">R55-Q55</f>
        <v>0</v>
      </c>
      <c r="R56" s="970">
        <f t="shared" ref="R56" si="428">S55-R55</f>
        <v>0</v>
      </c>
      <c r="S56" s="970">
        <f t="shared" ref="S56" si="429">T55-S55</f>
        <v>0</v>
      </c>
      <c r="T56" s="970">
        <f t="shared" ref="T56" si="430">U55-T55</f>
        <v>0</v>
      </c>
      <c r="U56" s="970">
        <f t="shared" ref="U56" si="431">V55-U55</f>
        <v>0</v>
      </c>
      <c r="V56" s="970">
        <f t="shared" ref="V56" si="432">W55-V55</f>
        <v>0</v>
      </c>
      <c r="W56" s="970">
        <f t="shared" ref="W56" si="433">X55-W55</f>
        <v>0</v>
      </c>
      <c r="X56" s="970">
        <f t="shared" ref="X56" si="434">Y55-X55</f>
        <v>0</v>
      </c>
      <c r="Y56" s="970">
        <f>Z55-Y55</f>
        <v>0</v>
      </c>
      <c r="Z56" s="891"/>
    </row>
    <row r="57" spans="1:26" s="743" customFormat="1" x14ac:dyDescent="0.25">
      <c r="A57" s="892"/>
      <c r="B57" s="893"/>
      <c r="C57" s="891"/>
      <c r="D57" s="970"/>
      <c r="E57" s="970"/>
      <c r="F57" s="891"/>
      <c r="G57" s="891"/>
      <c r="H57" s="970"/>
      <c r="I57" s="970"/>
      <c r="J57" s="970"/>
      <c r="K57" s="970"/>
      <c r="L57" s="970"/>
      <c r="M57" s="970"/>
      <c r="N57" s="970"/>
      <c r="O57" s="891"/>
      <c r="P57" s="970"/>
      <c r="Q57" s="970"/>
      <c r="R57" s="970"/>
      <c r="S57" s="970"/>
      <c r="T57" s="970"/>
      <c r="U57" s="970"/>
      <c r="V57" s="970"/>
      <c r="W57" s="970"/>
      <c r="X57" s="970"/>
      <c r="Y57" s="970"/>
      <c r="Z57" s="891"/>
    </row>
    <row r="58" spans="1:26" s="38" customFormat="1" x14ac:dyDescent="0.25">
      <c r="A58" s="972"/>
      <c r="B58" s="972"/>
      <c r="C58" s="972"/>
      <c r="D58" s="973"/>
      <c r="E58" s="973">
        <f>SUM(E3:E55)</f>
        <v>5040313.8</v>
      </c>
      <c r="F58" s="972"/>
      <c r="G58" s="973">
        <f>SUM(G3:G55)</f>
        <v>2183317.5</v>
      </c>
      <c r="H58" s="973">
        <f>SUM(H3:H55)</f>
        <v>2864126.9999999995</v>
      </c>
      <c r="I58" s="973">
        <f>SUM(I3:I55)</f>
        <v>2873909.5</v>
      </c>
      <c r="J58" s="973">
        <f>SUM(J3:J55)</f>
        <v>2827405.3000000003</v>
      </c>
      <c r="K58" s="973">
        <f>SUM(K3:K55)</f>
        <v>2627816.6999999997</v>
      </c>
      <c r="L58" s="973">
        <f t="shared" ref="L58:Y58" si="435">SUM(L3:L55)</f>
        <v>2630020.0000000005</v>
      </c>
      <c r="M58" s="973">
        <f t="shared" si="435"/>
        <v>2634186.8999999994</v>
      </c>
      <c r="N58" s="973">
        <f t="shared" si="435"/>
        <v>2630768.2000000007</v>
      </c>
      <c r="O58" s="973">
        <f t="shared" si="435"/>
        <v>2420137.5000000009</v>
      </c>
      <c r="P58" s="973">
        <f t="shared" si="435"/>
        <v>2455569.6</v>
      </c>
      <c r="Q58" s="973">
        <f t="shared" si="435"/>
        <v>2162882.4000000008</v>
      </c>
      <c r="R58" s="973">
        <f t="shared" si="435"/>
        <v>2180458.5</v>
      </c>
      <c r="S58" s="973">
        <f t="shared" si="435"/>
        <v>1998646</v>
      </c>
      <c r="T58" s="973">
        <f t="shared" si="435"/>
        <v>1911068.2000000002</v>
      </c>
      <c r="U58" s="973">
        <f t="shared" si="435"/>
        <v>1968246.5999999999</v>
      </c>
      <c r="V58" s="973">
        <f t="shared" si="435"/>
        <v>1968821.0000000002</v>
      </c>
      <c r="W58" s="973">
        <f t="shared" si="435"/>
        <v>1969215.6</v>
      </c>
      <c r="X58" s="973">
        <f t="shared" si="435"/>
        <v>1969572.9000000001</v>
      </c>
      <c r="Y58" s="973">
        <f t="shared" si="435"/>
        <v>1969572.9000000001</v>
      </c>
      <c r="Z58" s="972"/>
    </row>
    <row r="59" spans="1:26" x14ac:dyDescent="0.25">
      <c r="A59" s="891"/>
      <c r="B59" s="891"/>
      <c r="C59" s="891"/>
      <c r="D59" s="970"/>
      <c r="E59" s="891"/>
      <c r="F59" s="891"/>
      <c r="G59" s="891"/>
      <c r="H59" s="970"/>
      <c r="I59" s="972"/>
      <c r="J59" s="972"/>
      <c r="K59" s="972"/>
      <c r="L59" s="970"/>
      <c r="M59" s="972"/>
      <c r="N59" s="972"/>
      <c r="O59" s="891"/>
      <c r="P59" s="972"/>
      <c r="Q59" s="972"/>
      <c r="R59" s="972"/>
      <c r="S59" s="972"/>
      <c r="T59" s="972"/>
      <c r="U59" s="972"/>
      <c r="V59" s="972"/>
      <c r="W59" s="972"/>
      <c r="X59" s="972"/>
      <c r="Y59" s="972"/>
      <c r="Z59" s="891"/>
    </row>
    <row r="60" spans="1:26" x14ac:dyDescent="0.25">
      <c r="A60" s="891"/>
      <c r="B60" s="891"/>
      <c r="C60" s="891"/>
      <c r="D60" s="970"/>
      <c r="E60" s="891"/>
      <c r="F60" s="891"/>
      <c r="G60" s="891"/>
      <c r="H60" s="970"/>
      <c r="I60" s="891"/>
      <c r="J60" s="891"/>
      <c r="K60" s="891"/>
      <c r="L60" s="973"/>
      <c r="M60" s="891"/>
      <c r="N60" s="891"/>
      <c r="O60" s="891"/>
      <c r="P60" s="891"/>
      <c r="Q60" s="891"/>
      <c r="R60" s="891"/>
      <c r="S60" s="891"/>
      <c r="T60" s="891"/>
      <c r="U60" s="891"/>
      <c r="V60" s="891"/>
      <c r="W60" s="891"/>
      <c r="X60" s="891"/>
      <c r="Y60" s="891"/>
      <c r="Z60" s="891"/>
    </row>
    <row r="61" spans="1:26" x14ac:dyDescent="0.25">
      <c r="H61" s="594"/>
      <c r="L61" s="38"/>
    </row>
  </sheetData>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J349"/>
  <sheetViews>
    <sheetView showGridLines="0" zoomScale="50" zoomScaleNormal="50" workbookViewId="0">
      <selection activeCell="AB3" sqref="AB3"/>
    </sheetView>
  </sheetViews>
  <sheetFormatPr defaultRowHeight="15" x14ac:dyDescent="0.25"/>
  <cols>
    <col min="1" max="1" width="13" style="4" customWidth="1"/>
    <col min="2" max="3" width="21.7109375" style="25" bestFit="1" customWidth="1"/>
    <col min="4" max="8" width="21.5703125" style="25" bestFit="1" customWidth="1"/>
    <col min="9" max="9" width="21.5703125" style="269" customWidth="1"/>
    <col min="10" max="10" width="21.5703125" style="373" customWidth="1"/>
    <col min="11" max="13" width="21.42578125" style="25" bestFit="1" customWidth="1"/>
    <col min="14" max="14" width="22.7109375" style="25" bestFit="1" customWidth="1"/>
    <col min="15" max="15" width="23.140625" style="25" bestFit="1" customWidth="1"/>
    <col min="16" max="16" width="23.140625" style="373" bestFit="1" customWidth="1"/>
    <col min="17" max="18" width="19.28515625" customWidth="1"/>
    <col min="20" max="20" width="9.140625" style="23"/>
    <col min="21" max="21" width="9.140625" style="591"/>
    <col min="22" max="28" width="9.140625" style="743"/>
    <col min="29" max="32" width="9.140625" style="23"/>
  </cols>
  <sheetData>
    <row r="1" spans="1:36" x14ac:dyDescent="0.25">
      <c r="B1" s="28" t="s">
        <v>99</v>
      </c>
      <c r="C1" s="28" t="s">
        <v>100</v>
      </c>
      <c r="D1" s="28" t="s">
        <v>101</v>
      </c>
      <c r="E1" s="28" t="s">
        <v>102</v>
      </c>
      <c r="F1" s="28" t="s">
        <v>97</v>
      </c>
      <c r="G1" s="28" t="s">
        <v>104</v>
      </c>
      <c r="H1" s="275" t="s">
        <v>103</v>
      </c>
      <c r="I1" s="275" t="s">
        <v>178</v>
      </c>
      <c r="J1" s="275" t="s">
        <v>200</v>
      </c>
      <c r="K1" s="275" t="s">
        <v>207</v>
      </c>
      <c r="L1" s="28" t="s">
        <v>105</v>
      </c>
      <c r="M1" s="28" t="s">
        <v>107</v>
      </c>
      <c r="N1" s="28" t="s">
        <v>98</v>
      </c>
      <c r="O1" s="28" t="s">
        <v>106</v>
      </c>
      <c r="P1" s="275" t="s">
        <v>179</v>
      </c>
      <c r="Q1" s="275" t="s">
        <v>199</v>
      </c>
      <c r="R1" s="275" t="s">
        <v>208</v>
      </c>
      <c r="S1" s="275" t="s">
        <v>182</v>
      </c>
      <c r="T1" s="275" t="s">
        <v>184</v>
      </c>
      <c r="U1" s="275" t="s">
        <v>222</v>
      </c>
      <c r="V1" s="275" t="s">
        <v>223</v>
      </c>
      <c r="W1" s="275" t="s">
        <v>256</v>
      </c>
      <c r="X1" s="275" t="s">
        <v>257</v>
      </c>
      <c r="Y1" s="275" t="s">
        <v>267</v>
      </c>
      <c r="Z1" s="275" t="s">
        <v>268</v>
      </c>
      <c r="AA1" s="275" t="s">
        <v>269</v>
      </c>
      <c r="AB1" s="275" t="s">
        <v>270</v>
      </c>
      <c r="AG1" s="23"/>
      <c r="AH1" s="23"/>
    </row>
    <row r="2" spans="1:36" ht="15.75" customHeight="1" x14ac:dyDescent="0.25">
      <c r="B2" s="127" t="s">
        <v>166</v>
      </c>
      <c r="C2" s="127" t="s">
        <v>167</v>
      </c>
      <c r="D2" s="127" t="s">
        <v>168</v>
      </c>
      <c r="E2" s="127" t="s">
        <v>169</v>
      </c>
      <c r="F2" s="127" t="s">
        <v>170</v>
      </c>
      <c r="G2" s="127" t="s">
        <v>171</v>
      </c>
      <c r="H2" s="127" t="s">
        <v>172</v>
      </c>
      <c r="I2" s="269" t="s">
        <v>215</v>
      </c>
      <c r="J2" s="373" t="s">
        <v>202</v>
      </c>
      <c r="K2" s="384" t="s">
        <v>209</v>
      </c>
      <c r="L2" s="127" t="s">
        <v>173</v>
      </c>
      <c r="M2" s="127" t="s">
        <v>174</v>
      </c>
      <c r="N2" s="127" t="s">
        <v>190</v>
      </c>
      <c r="O2" s="127" t="s">
        <v>175</v>
      </c>
      <c r="P2" s="269" t="s">
        <v>216</v>
      </c>
      <c r="Q2" s="373" t="s">
        <v>201</v>
      </c>
      <c r="R2" s="384" t="s">
        <v>210</v>
      </c>
      <c r="S2" s="269" t="s">
        <v>185</v>
      </c>
      <c r="T2" s="269" t="s">
        <v>186</v>
      </c>
      <c r="U2" s="697" t="s">
        <v>225</v>
      </c>
      <c r="V2" s="697" t="s">
        <v>224</v>
      </c>
      <c r="W2" s="275" t="s">
        <v>278</v>
      </c>
      <c r="X2" s="275" t="s">
        <v>280</v>
      </c>
      <c r="Y2" s="275" t="s">
        <v>279</v>
      </c>
      <c r="Z2" s="275" t="s">
        <v>281</v>
      </c>
      <c r="AA2" s="275" t="s">
        <v>282</v>
      </c>
      <c r="AB2" s="275" t="s">
        <v>291</v>
      </c>
      <c r="AC2" s="23" t="s">
        <v>96</v>
      </c>
      <c r="AD2" s="23" t="s">
        <v>3</v>
      </c>
      <c r="AE2" s="23">
        <f>MATCH(AD2,Table!$B:$B,0)</f>
        <v>6</v>
      </c>
      <c r="AG2" s="23" t="s">
        <v>96</v>
      </c>
      <c r="AH2" s="23" t="s">
        <v>0</v>
      </c>
      <c r="AI2" s="23">
        <f>MATCH(AH2,Table!$A:$A,0)</f>
        <v>3</v>
      </c>
      <c r="AJ2" t="s">
        <v>113</v>
      </c>
    </row>
    <row r="3" spans="1:36" s="591" customFormat="1" ht="15.75" customHeight="1" x14ac:dyDescent="0.25">
      <c r="A3" s="592">
        <v>41822</v>
      </c>
      <c r="B3" s="596">
        <f ca="1">IF(ISERROR(MATCH(B$1,INDIRECT("Table!A"&amp;$AG3):INDIRECT("Table!" &amp; $AJ$91 &amp; $AG3),0)),"",INDIRECT(CONCATENATE("Table!",ADDRESS($AC3,MATCH(B$1,INDIRECT("Table!A" &amp; $AG3):INDIRECT("Table!" &amp; $AJ$90 &amp; $AG3),0)))))</f>
        <v>0.41327078327035133</v>
      </c>
      <c r="C3" s="596">
        <f ca="1">IF(ISERROR(MATCH(C$1,INDIRECT("Table!A"&amp;$AG3):INDIRECT("Table!" &amp; $AJ$90 &amp; $AG3),0)),"",INDIRECT(CONCATENATE("Table!",ADDRESS($AC3,MATCH(C$1,INDIRECT("Table!A" &amp; $AG3):INDIRECT("Table!" &amp; $AJ$90 &amp; $AG3),0)))))</f>
        <v>0.55710030847075431</v>
      </c>
      <c r="D3" s="596">
        <f ca="1">IF(ISERROR(MATCH(D$1,INDIRECT("Table!A"&amp;$AG3):INDIRECT("Table!" &amp; $AJ$90 &amp; $AG3),0)),"",INDIRECT(CONCATENATE("Table!",ADDRESS($AC3,MATCH(D$1,INDIRECT("Table!A" &amp; $AG3):INDIRECT("Table!" &amp; $AJ$90 &amp; $AG3),0)))))</f>
        <v>0.56181141361722653</v>
      </c>
      <c r="E3" s="596">
        <f ca="1">IF(ISERROR(MATCH(E$1,INDIRECT("Table!A"&amp;$AG3):INDIRECT("Table!" &amp; $AJ$90 &amp; $AG3),0)),"",INDIRECT(CONCATENATE("Table!",ADDRESS($AC3,MATCH(E$1,INDIRECT("Table!A" &amp; $AG3):INDIRECT("Table!" &amp; $AJ$90 &amp; $AG3),0)))))</f>
        <v>0.75977753699474948</v>
      </c>
      <c r="F3" s="596">
        <f ca="1">IF(ISERROR(MATCH(F$1,INDIRECT("Table!A"&amp;$AG3):INDIRECT("Table!" &amp; $AJ$90 &amp; $AG3),0)),"",INDIRECT(CONCATENATE("Table!",ADDRESS($AC3,MATCH(F$1,INDIRECT("Table!A" &amp; $AG3):INDIRECT("Table!" &amp; $AJ$90 &amp; $AG3),0)))))</f>
        <v>0.69977444067138139</v>
      </c>
      <c r="G3" s="596">
        <f ca="1">IF(ISERROR(MATCH(G$1,INDIRECT("Table!A"&amp;$AG3):INDIRECT("Table!" &amp; $AJ$90 &amp; $AG3),0)),"",INDIRECT(CONCATENATE("Table!",ADDRESS($AC3,MATCH(G$1,INDIRECT("Table!A" &amp; $AG3):INDIRECT("Table!" &amp; $AJ$90 &amp; $AG3),0)))))</f>
        <v>0.55547733661955567</v>
      </c>
      <c r="H3" s="596">
        <f ca="1">IF(ISERROR(MATCH(H$1,INDIRECT("Table!A"&amp;$AG3):INDIRECT("Table!" &amp; $AJ$90 &amp; $AG3),0)),"",INDIRECT(CONCATENATE("Table!",ADDRESS($AC3,MATCH(H$1,INDIRECT("Table!A" &amp; $AG3):INDIRECT("Table!" &amp; $AJ$90 &amp; $AG3),0)))))</f>
        <v>0.71175603501661577</v>
      </c>
      <c r="I3" s="596">
        <f ca="1">IF(ISERROR(MATCH(I$1,INDIRECT("Table!A"&amp;$AG3):INDIRECT("Table!" &amp; $AJ$69 &amp; $AG3),0)),"",INDIRECT(CONCATENATE("Table!",ADDRESS($AC3,MATCH(I$1,INDIRECT("Table!A" &amp; $AG3):INDIRECT("Table!" &amp; $AJ$69 &amp; $AG3),0)))))</f>
        <v>0.30330025650597914</v>
      </c>
      <c r="J3" s="596">
        <f ca="1">IF(ISERROR(MATCH(J$1,INDIRECT("Table!A"&amp;$AG3):INDIRECT("Table!" &amp; $AJ$69 &amp; $AG3),0)),"",INDIRECT(CONCATENATE("Table!",ADDRESS($AC3,MATCH(J$1,INDIRECT("Table!A" &amp; $AG3):INDIRECT("Table!" &amp; $AJ$69 &amp; $AG3),0)))))</f>
        <v>0.67940851094024146</v>
      </c>
      <c r="K3" s="596">
        <f ca="1">IF(ISERROR(MATCH(K$1,INDIRECT("Table!A"&amp;$AG3):INDIRECT("Table!" &amp; $AJ$69 &amp; $AG3),0)),"",INDIRECT(CONCATENATE("Table!",ADDRESS($AC3,MATCH(K$1,INDIRECT("Table!A" &amp; $AG3):INDIRECT("Table!" &amp; $AJ$69 &amp; $AG3),0)))))</f>
        <v>0.34418613369321893</v>
      </c>
      <c r="L3" s="596">
        <f ca="1">IF(ISERROR(MATCH(L$1,INDIRECT("Table!A"&amp;$AG3):INDIRECT("Table!" &amp; $AJ$69 &amp; $AG3),0)),"",INDIRECT(CONCATENATE("Table!",ADDRESS($AC3,MATCH(L$1,INDIRECT("Table!A" &amp; $AG3):INDIRECT("Table!" &amp; $AJ$69 &amp; $AG3),0)))))</f>
        <v>0.7032255758328666</v>
      </c>
      <c r="M3" s="596">
        <f ca="1">IF(ISERROR(MATCH(M$1,INDIRECT("Table!A"&amp;$AG3):INDIRECT("Table!" &amp; $AJ$69 &amp; $AG3),0)),"",INDIRECT(CONCATENATE("Table!",ADDRESS($AC3,MATCH(M$1,INDIRECT("Table!A" &amp; $AG3):INDIRECT("Table!" &amp; $AJ$69 &amp; $AG3),0)))))</f>
        <v>0.48427855512723178</v>
      </c>
      <c r="N3" s="596">
        <f ca="1">IF(ISERROR(MATCH(N$1,INDIRECT("Table!A"&amp;$AG3):INDIRECT("Table!" &amp; $AJ$69 &amp; $AG3),0)),"",INDIRECT(CONCATENATE("Table!",ADDRESS($AC3,MATCH(N$1,INDIRECT("Table!A" &amp; $AG3):INDIRECT("Table!" &amp; $AJ$69 &amp; $AG3),0)))))</f>
        <v>0.70495840498658457</v>
      </c>
      <c r="O3" s="596">
        <f ca="1">IF(ISERROR(MATCH(O$1,INDIRECT("Table!A"&amp;$AG3):INDIRECT("Table!" &amp; $AJ$69 &amp; $AG3),0)),"",INDIRECT(CONCATENATE("Table!",ADDRESS($AC3,MATCH(O$1,INDIRECT("Table!A" &amp; $AG3):INDIRECT("Table!" &amp; $AJ$69 &amp; $AG3),0)))))</f>
        <v>0.82018930186607486</v>
      </c>
      <c r="P3" s="596">
        <f ca="1">IF(ISERROR(MATCH(P$1,INDIRECT("Table!A"&amp;$AG3):INDIRECT("Table!" &amp; $AJ$69 &amp; $AG3),0)),"",INDIRECT(CONCATENATE("Table!",ADDRESS($AC3,MATCH(P$1,INDIRECT("Table!A" &amp; $AG3):INDIRECT("Table!" &amp; $AJ$69 &amp; $AG3),0)))))</f>
        <v>0.31363290413637962</v>
      </c>
      <c r="Q3" s="596">
        <f ca="1">IF(ISERROR(MATCH(Q$1,INDIRECT("Table!A"&amp;$AG3):INDIRECT("Table!" &amp; $AJ$69 &amp; $AG3),0)),"",INDIRECT(CONCATENATE("Table!",ADDRESS($AC3,MATCH(Q$1,INDIRECT("Table!A" &amp; $AG3):INDIRECT("Table!" &amp; $AJ$69 &amp; $AG3),0)))))</f>
        <v>0.695391147604977</v>
      </c>
      <c r="R3" s="596">
        <f ca="1">IF(ISERROR(MATCH(R$1,INDIRECT("Table!A"&amp;$AG3):INDIRECT("Table!" &amp; $AJ$69 &amp; $AG3),0)),"",INDIRECT(CONCATENATE("Table!",ADDRESS($AC3,MATCH(R$1,INDIRECT("Table!A" &amp; $AG3):INDIRECT("Table!" &amp; $AJ$69 &amp; $AG3),0)))))</f>
        <v>0.67203323942897353</v>
      </c>
      <c r="S3" s="596">
        <f ca="1">IF(ISERROR(MATCH(S$1,INDIRECT("Table!A"&amp;$AG3):INDIRECT("Table!" &amp; $AJ$43 &amp; $AG3),0)),"",INDIRECT(CONCATENATE("Table!",ADDRESS($AC3,MATCH(S$1,INDIRECT("Table!A" &amp; $AG3):INDIRECT("Table!" &amp; $AJ$43 &amp; $AG3),0)))))</f>
        <v>0.30087759061485742</v>
      </c>
      <c r="T3" s="596">
        <f ca="1">IF(ISERROR(MATCH(T$1,INDIRECT("Table!A"&amp;$AG3):INDIRECT("Table!" &amp; $AJ$43 &amp; $AG3),0)),"",INDIRECT(CONCATENATE("Table!",ADDRESS($AC3,MATCH(T$1,INDIRECT("Table!A" &amp; $AG3):INDIRECT("Table!" &amp; $AJ$43 &amp; $AG3),0)))))</f>
        <v>0.30904942506157357</v>
      </c>
      <c r="U3" s="596">
        <f ca="1">IF(ISERROR(MATCH(U$1,INDIRECT("Table!A"&amp;$AG3):INDIRECT("Table!" &amp; $AJ$43 &amp; $AG3),0)),"",INDIRECT(CONCATENATE("Table!",ADDRESS($AC3,MATCH(U$1,INDIRECT("Table!A" &amp; $AG3):INDIRECT("Table!" &amp; $AJ$43 &amp; $AG3),0)))))</f>
        <v>0.14541887442329238</v>
      </c>
      <c r="V3" s="596">
        <f ca="1">IF(ISERROR(MATCH(V$1,INDIRECT("Table!A"&amp;$AG3):INDIRECT("Table!" &amp; $AJ$43 &amp; $AG3),0)),"",INDIRECT(CONCATENATE("Table!",ADDRESS($AC3,MATCH(V$1,INDIRECT("Table!A" &amp; $AG3):INDIRECT("Table!" &amp; $AJ$43 &amp; $AG3),0)))))</f>
        <v>0.14187492392474338</v>
      </c>
      <c r="W3" s="596">
        <f ca="1">IF(ISERROR(MATCH(W$1,INDIRECT("Table!A"&amp;$AG3):INDIRECT("Table!" &amp; $AJ$43 &amp; $AG3),0)),"",INDIRECT(CONCATENATE("Table!",ADDRESS($AC3,MATCH(W$1,INDIRECT("Table!A" &amp; $AG3):INDIRECT("Table!" &amp; $AJ$43 &amp; $AG3),0)))))</f>
        <v>0.15130753010132442</v>
      </c>
      <c r="X3" s="596">
        <f ca="1">IF(ISERROR(MATCH(X$1,INDIRECT("Table!A"&amp;$AG3):INDIRECT("Table!" &amp; $AJ$43 &amp; $AG3),0)),"",INDIRECT(CONCATENATE("Table!",ADDRESS($AC3,MATCH(X$1,INDIRECT("Table!A" &amp; $AG3):INDIRECT("Table!" &amp; $AJ$43 &amp; $AG3),0)))))</f>
        <v>0.14758432718446371</v>
      </c>
      <c r="Y3" s="596">
        <f ca="1">IF(ISERROR(MATCH(Y$1,INDIRECT("Table!A"&amp;$AG3):INDIRECT("Table!" &amp; $AJ$43 &amp; $AG3),0)),"",INDIRECT(CONCATENATE("Table!",ADDRESS($AC3,MATCH(Y$1,INDIRECT("Table!A" &amp; $AG3):INDIRECT("Table!" &amp; $AJ$43 &amp; $AG3),0)))))</f>
        <v>3.0333719843634569E-5</v>
      </c>
      <c r="Z3" s="596">
        <f ca="1">IF(ISERROR(MATCH(Z$1,INDIRECT("Table!A"&amp;$AG3):INDIRECT("Table!" &amp; $AJ$43 &amp; $AG3),0)),"",INDIRECT(CONCATENATE("Table!",ADDRESS($AC3,MATCH(Z$1,INDIRECT("Table!A" &amp; $AG3):INDIRECT("Table!" &amp; $AJ$43 &amp; $AG3),0)))))</f>
        <v>2.8640096612592574E-5</v>
      </c>
      <c r="AA3" s="596">
        <f ca="1">IF(ISERROR(MATCH(AA$1,INDIRECT("Table!A"&amp;$AG3):INDIRECT("Table!" &amp; $AJ$43 &amp; $AG3),0)),"",INDIRECT(CONCATENATE("Table!",ADDRESS($AC3,MATCH(AA$1,INDIRECT("Table!A" &amp; $AG3):INDIRECT("Table!" &amp; $AJ$43 &amp; $AG3),0)))))</f>
        <v>7.1185402159812491E-2</v>
      </c>
      <c r="AB3" s="596" t="str">
        <f ca="1">IF(ISERROR(MATCH(AB$1,INDIRECT("Table!A"&amp;$AG3):INDIRECT("Table!" &amp; $AJ$43 &amp; $AG3),0)),"",INDIRECT(CONCATENATE("Table!",ADDRESS($AC3,MATCH(AB$1,INDIRECT("Table!A" &amp; $AG3):INDIRECT("Table!" &amp; $AJ$43 &amp; $AG3),0)))))</f>
        <v/>
      </c>
      <c r="AC3" s="595">
        <f>MATCH($A3,Table!$A:$A,0)+$AE$2-1</f>
        <v>6</v>
      </c>
      <c r="AD3" s="697"/>
      <c r="AE3" s="697"/>
      <c r="AF3" s="697"/>
      <c r="AG3" s="595">
        <f>MATCH($A3,Table!$A:$A,0)+$AI$2-1</f>
        <v>3</v>
      </c>
      <c r="AH3" s="697"/>
      <c r="AJ3" s="591" t="s">
        <v>285</v>
      </c>
    </row>
    <row r="4" spans="1:36" s="743" customFormat="1" ht="15.75" customHeight="1" x14ac:dyDescent="0.25">
      <c r="A4" s="592">
        <v>41815</v>
      </c>
      <c r="B4" s="596">
        <f ca="1">IF(ISERROR(MATCH(B$1,INDIRECT("Table!A"&amp;$AG4):INDIRECT("Table!" &amp; $AJ$91 &amp; $AG4),0)),"",INDIRECT(CONCATENATE("Table!",ADDRESS($AC4,MATCH(B$1,INDIRECT("Table!A" &amp; $AG4):INDIRECT("Table!" &amp; $AJ$90 &amp; $AG4),0)))))</f>
        <v>0.41222686010309645</v>
      </c>
      <c r="C4" s="596">
        <f ca="1">IF(ISERROR(MATCH(C$1,INDIRECT("Table!A"&amp;$AG4):INDIRECT("Table!" &amp; $AJ$90 &amp; $AG4),0)),"",INDIRECT(CONCATENATE("Table!",ADDRESS($AC4,MATCH(C$1,INDIRECT("Table!A" &amp; $AG4):INDIRECT("Table!" &amp; $AJ$90 &amp; $AG4),0)))))</f>
        <v>0.55671231165711177</v>
      </c>
      <c r="D4" s="596">
        <f ca="1">IF(ISERROR(MATCH(D$1,INDIRECT("Table!A"&amp;$AG4):INDIRECT("Table!" &amp; $AJ$90 &amp; $AG4),0)),"",INDIRECT(CONCATENATE("Table!",ADDRESS($AC4,MATCH(D$1,INDIRECT("Table!A" &amp; $AG4):INDIRECT("Table!" &amp; $AJ$90 &amp; $AG4),0)))))</f>
        <v>0.56142474555979505</v>
      </c>
      <c r="E4" s="596">
        <f ca="1">IF(ISERROR(MATCH(E$1,INDIRECT("Table!A"&amp;$AG4):INDIRECT("Table!" &amp; $AJ$90 &amp; $AG4),0)),"",INDIRECT(CONCATENATE("Table!",ADDRESS($AC4,MATCH(E$1,INDIRECT("Table!A" &amp; $AG4):INDIRECT("Table!" &amp; $AJ$90 &amp; $AG4),0)))))</f>
        <v>0.7594484139455866</v>
      </c>
      <c r="F4" s="596">
        <f ca="1">IF(ISERROR(MATCH(F$1,INDIRECT("Table!A"&amp;$AG4):INDIRECT("Table!" &amp; $AJ$90 &amp; $AG4),0)),"",INDIRECT(CONCATENATE("Table!",ADDRESS($AC4,MATCH(F$1,INDIRECT("Table!A" &amp; $AG4):INDIRECT("Table!" &amp; $AJ$90 &amp; $AG4),0)))))</f>
        <v>0.69729805381933652</v>
      </c>
      <c r="G4" s="596">
        <f ca="1">IF(ISERROR(MATCH(G$1,INDIRECT("Table!A"&amp;$AG4):INDIRECT("Table!" &amp; $AJ$90 &amp; $AG4),0)),"",INDIRECT(CONCATENATE("Table!",ADDRESS($AC4,MATCH(G$1,INDIRECT("Table!A" &amp; $AG4):INDIRECT("Table!" &amp; $AJ$90 &amp; $AG4),0)))))</f>
        <v>0.55368377812865044</v>
      </c>
      <c r="H4" s="596">
        <f ca="1">IF(ISERROR(MATCH(H$1,INDIRECT("Table!A"&amp;$AG4):INDIRECT("Table!" &amp; $AJ$90 &amp; $AG4),0)),"",INDIRECT(CONCATENATE("Table!",ADDRESS($AC4,MATCH(H$1,INDIRECT("Table!A" &amp; $AG4):INDIRECT("Table!" &amp; $AJ$90 &amp; $AG4),0)))))</f>
        <v>0.71062505996493686</v>
      </c>
      <c r="I4" s="596">
        <f ca="1">IF(ISERROR(MATCH(I$1,INDIRECT("Table!A"&amp;$AG4):INDIRECT("Table!" &amp; $AJ$69 &amp; $AG4),0)),"",INDIRECT(CONCATENATE("Table!",ADDRESS($AC4,MATCH(I$1,INDIRECT("Table!A" &amp; $AG4):INDIRECT("Table!" &amp; $AJ$69 &amp; $AG4),0)))))</f>
        <v>0.30255000662339382</v>
      </c>
      <c r="J4" s="596">
        <f ca="1">IF(ISERROR(MATCH(J$1,INDIRECT("Table!A"&amp;$AG4):INDIRECT("Table!" &amp; $AJ$69 &amp; $AG4),0)),"",INDIRECT(CONCATENATE("Table!",ADDRESS($AC4,MATCH(J$1,INDIRECT("Table!A" &amp; $AG4):INDIRECT("Table!" &amp; $AJ$69 &amp; $AG4),0)))))</f>
        <v>0.6754268693879657</v>
      </c>
      <c r="K4" s="596">
        <f ca="1">IF(ISERROR(MATCH(K$1,INDIRECT("Table!A"&amp;$AG4):INDIRECT("Table!" &amp; $AJ$69 &amp; $AG4),0)),"",INDIRECT(CONCATENATE("Table!",ADDRESS($AC4,MATCH(K$1,INDIRECT("Table!A" &amp; $AG4):INDIRECT("Table!" &amp; $AJ$69 &amp; $AG4),0)))))</f>
        <v>0.33821615629317825</v>
      </c>
      <c r="L4" s="596">
        <f ca="1">IF(ISERROR(MATCH(L$1,INDIRECT("Table!A"&amp;$AG4):INDIRECT("Table!" &amp; $AJ$69 &amp; $AG4),0)),"",INDIRECT(CONCATENATE("Table!",ADDRESS($AC4,MATCH(L$1,INDIRECT("Table!A" &amp; $AG4):INDIRECT("Table!" &amp; $AJ$69 &amp; $AG4),0)))))</f>
        <v>0.70250288687042517</v>
      </c>
      <c r="M4" s="596">
        <f ca="1">IF(ISERROR(MATCH(M$1,INDIRECT("Table!A"&amp;$AG4):INDIRECT("Table!" &amp; $AJ$69 &amp; $AG4),0)),"",INDIRECT(CONCATENATE("Table!",ADDRESS($AC4,MATCH(M$1,INDIRECT("Table!A" &amp; $AG4):INDIRECT("Table!" &amp; $AJ$69 &amp; $AG4),0)))))</f>
        <v>0.48355083828917855</v>
      </c>
      <c r="N4" s="596">
        <f ca="1">IF(ISERROR(MATCH(N$1,INDIRECT("Table!A"&amp;$AG4):INDIRECT("Table!" &amp; $AJ$69 &amp; $AG4),0)),"",INDIRECT(CONCATENATE("Table!",ADDRESS($AC4,MATCH(N$1,INDIRECT("Table!A" &amp; $AG4):INDIRECT("Table!" &amp; $AJ$69 &amp; $AG4),0)))))</f>
        <v>0.70254146254521976</v>
      </c>
      <c r="O4" s="596">
        <f ca="1">IF(ISERROR(MATCH(O$1,INDIRECT("Table!A"&amp;$AG4):INDIRECT("Table!" &amp; $AJ$69 &amp; $AG4),0)),"",INDIRECT(CONCATENATE("Table!",ADDRESS($AC4,MATCH(O$1,INDIRECT("Table!A" &amp; $AG4):INDIRECT("Table!" &amp; $AJ$69 &amp; $AG4),0)))))</f>
        <v>0.81902391044231271</v>
      </c>
      <c r="P4" s="596">
        <f ca="1">IF(ISERROR(MATCH(P$1,INDIRECT("Table!A"&amp;$AG4):INDIRECT("Table!" &amp; $AJ$69 &amp; $AG4),0)),"",INDIRECT(CONCATENATE("Table!",ADDRESS($AC4,MATCH(P$1,INDIRECT("Table!A" &amp; $AG4):INDIRECT("Table!" &amp; $AJ$69 &amp; $AG4),0)))))</f>
        <v>0.31288144819048441</v>
      </c>
      <c r="Q4" s="596">
        <f ca="1">IF(ISERROR(MATCH(Q$1,INDIRECT("Table!A"&amp;$AG4):INDIRECT("Table!" &amp; $AJ$69 &amp; $AG4),0)),"",INDIRECT(CONCATENATE("Table!",ADDRESS($AC4,MATCH(Q$1,INDIRECT("Table!A" &amp; $AG4):INDIRECT("Table!" &amp; $AJ$69 &amp; $AG4),0)))))</f>
        <v>0.69137848074974095</v>
      </c>
      <c r="R4" s="596">
        <f ca="1">IF(ISERROR(MATCH(R$1,INDIRECT("Table!A"&amp;$AG4):INDIRECT("Table!" &amp; $AJ$69 &amp; $AG4),0)),"",INDIRECT(CONCATENATE("Table!",ADDRESS($AC4,MATCH(R$1,INDIRECT("Table!A" &amp; $AG4):INDIRECT("Table!" &amp; $AJ$69 &amp; $AG4),0)))))</f>
        <v>0.66670764076444478</v>
      </c>
      <c r="S4" s="596">
        <f ca="1">IF(ISERROR(MATCH(S$1,INDIRECT("Table!A"&amp;$AG4):INDIRECT("Table!" &amp; $AJ$43 &amp; $AG4),0)),"",INDIRECT(CONCATENATE("Table!",ADDRESS($AC4,MATCH(S$1,INDIRECT("Table!A" &amp; $AG4):INDIRECT("Table!" &amp; $AJ$43 &amp; $AG4),0)))))</f>
        <v>0.30087759061485742</v>
      </c>
      <c r="T4" s="596">
        <f ca="1">IF(ISERROR(MATCH(T$1,INDIRECT("Table!A"&amp;$AG4):INDIRECT("Table!" &amp; $AJ$43 &amp; $AG4),0)),"",INDIRECT(CONCATENATE("Table!",ADDRESS($AC4,MATCH(T$1,INDIRECT("Table!A" &amp; $AG4):INDIRECT("Table!" &amp; $AJ$43 &amp; $AG4),0)))))</f>
        <v>0.30904942506157357</v>
      </c>
      <c r="U4" s="596">
        <f ca="1">IF(ISERROR(MATCH(U$1,INDIRECT("Table!A"&amp;$AG4):INDIRECT("Table!" &amp; $AJ$43 &amp; $AG4),0)),"",INDIRECT(CONCATENATE("Table!",ADDRESS($AC4,MATCH(U$1,INDIRECT("Table!A" &amp; $AG4):INDIRECT("Table!" &amp; $AJ$43 &amp; $AG4),0)))))</f>
        <v>0.14479262988458508</v>
      </c>
      <c r="V4" s="596">
        <f ca="1">IF(ISERROR(MATCH(V$1,INDIRECT("Table!A"&amp;$AG4):INDIRECT("Table!" &amp; $AJ$43 &amp; $AG4),0)),"",INDIRECT(CONCATENATE("Table!",ADDRESS($AC4,MATCH(V$1,INDIRECT("Table!A" &amp; $AG4):INDIRECT("Table!" &amp; $AJ$43 &amp; $AG4),0)))))</f>
        <v>0.14126488986689514</v>
      </c>
      <c r="W4" s="596">
        <f ca="1">IF(ISERROR(MATCH(W$1,INDIRECT("Table!A"&amp;$AG4):INDIRECT("Table!" &amp; $AJ$43 &amp; $AG4),0)),"",INDIRECT(CONCATENATE("Table!",ADDRESS($AC4,MATCH(W$1,INDIRECT("Table!A" &amp; $AG4):INDIRECT("Table!" &amp; $AJ$43 &amp; $AG4),0)))))</f>
        <v>0.15120967939215141</v>
      </c>
      <c r="X4" s="596">
        <f ca="1">IF(ISERROR(MATCH(X$1,INDIRECT("Table!A"&amp;$AG4):INDIRECT("Table!" &amp; $AJ$43 &amp; $AG4),0)),"",INDIRECT(CONCATENATE("Table!",ADDRESS($AC4,MATCH(X$1,INDIRECT("Table!A" &amp; $AG4):INDIRECT("Table!" &amp; $AJ$43 &amp; $AG4),0)))))</f>
        <v>0.14748170017160192</v>
      </c>
      <c r="Y4" s="596">
        <f ca="1">IF(ISERROR(MATCH(Y$1,INDIRECT("Table!A"&amp;$AG4):INDIRECT("Table!" &amp; $AJ$43 &amp; $AG4),0)),"",INDIRECT(CONCATENATE("Table!",ADDRESS($AC4,MATCH(Y$1,INDIRECT("Table!A" &amp; $AG4):INDIRECT("Table!" &amp; $AJ$43 &amp; $AG4),0)))))</f>
        <v>3.0333719843634569E-5</v>
      </c>
      <c r="Z4" s="596">
        <f ca="1">IF(ISERROR(MATCH(Z$1,INDIRECT("Table!A"&amp;$AG4):INDIRECT("Table!" &amp; $AJ$43 &amp; $AG4),0)),"",INDIRECT(CONCATENATE("Table!",ADDRESS($AC4,MATCH(Z$1,INDIRECT("Table!A" &amp; $AG4):INDIRECT("Table!" &amp; $AJ$43 &amp; $AG4),0)))))</f>
        <v>2.8640096612592574E-5</v>
      </c>
      <c r="AA4" s="596">
        <f ca="1">IF(ISERROR(MATCH(AA$1,INDIRECT("Table!A"&amp;$AG4):INDIRECT("Table!" &amp; $AJ$43 &amp; $AG4),0)),"",INDIRECT(CONCATENATE("Table!",ADDRESS($AC4,MATCH(AA$1,INDIRECT("Table!A" &amp; $AG4):INDIRECT("Table!" &amp; $AJ$43 &amp; $AG4),0)))))</f>
        <v>7.1110560787014845E-2</v>
      </c>
      <c r="AB4" s="596" t="str">
        <f ca="1">IF(ISERROR(MATCH(AB$1,INDIRECT("Table!A"&amp;$AG4):INDIRECT("Table!" &amp; $AJ$43 &amp; $AG4),0)),"",INDIRECT(CONCATENATE("Table!",ADDRESS($AC4,MATCH(AB$1,INDIRECT("Table!A" &amp; $AG4):INDIRECT("Table!" &amp; $AJ$43 &amp; $AG4),0)))))</f>
        <v/>
      </c>
      <c r="AC4" s="595">
        <f>MATCH($A4,Table!$A:$A,0)+$AE$2-1</f>
        <v>20</v>
      </c>
      <c r="AD4" s="915"/>
      <c r="AE4" s="915"/>
      <c r="AF4" s="915"/>
      <c r="AG4" s="595">
        <f>MATCH($A4,Table!$A:$A,0)+$AI$2-1</f>
        <v>17</v>
      </c>
      <c r="AH4" s="915"/>
      <c r="AJ4" s="743" t="s">
        <v>285</v>
      </c>
    </row>
    <row r="5" spans="1:36" s="743" customFormat="1" ht="15.75" customHeight="1" x14ac:dyDescent="0.25">
      <c r="A5" s="592">
        <v>41808</v>
      </c>
      <c r="B5" s="596">
        <f ca="1">IF(ISERROR(MATCH(B$1,INDIRECT("Table!A"&amp;$AG5):INDIRECT("Table!" &amp; $AJ$91 &amp; $AG5),0)),"",INDIRECT(CONCATENATE("Table!",ADDRESS($AC5,MATCH(B$1,INDIRECT("Table!A" &amp; $AG5):INDIRECT("Table!" &amp; $AJ$90 &amp; $AG5),0)))))</f>
        <v>0.41078536619704786</v>
      </c>
      <c r="C5" s="596">
        <f ca="1">IF(ISERROR(MATCH(C$1,INDIRECT("Table!A"&amp;$AG5):INDIRECT("Table!" &amp; $AJ$90 &amp; $AG5),0)),"",INDIRECT(CONCATENATE("Table!",ADDRESS($AC5,MATCH(C$1,INDIRECT("Table!A" &amp; $AG5):INDIRECT("Table!" &amp; $AJ$90 &amp; $AG5),0)))))</f>
        <v>0.55513972868126926</v>
      </c>
      <c r="D5" s="596">
        <f ca="1">IF(ISERROR(MATCH(D$1,INDIRECT("Table!A"&amp;$AG5):INDIRECT("Table!" &amp; $AJ$90 &amp; $AG5),0)),"",INDIRECT(CONCATENATE("Table!",ADDRESS($AC5,MATCH(D$1,INDIRECT("Table!A" &amp; $AG5):INDIRECT("Table!" &amp; $AJ$90 &amp; $AG5),0)))))</f>
        <v>0.5601345232788123</v>
      </c>
      <c r="E5" s="596">
        <f ca="1">IF(ISERROR(MATCH(E$1,INDIRECT("Table!A"&amp;$AG5):INDIRECT("Table!" &amp; $AJ$90 &amp; $AG5),0)),"",INDIRECT(CONCATENATE("Table!",ADDRESS($AC5,MATCH(E$1,INDIRECT("Table!A" &amp; $AG5):INDIRECT("Table!" &amp; $AJ$90 &amp; $AG5),0)))))</f>
        <v>0.75893137756952256</v>
      </c>
      <c r="F5" s="596">
        <f ca="1">IF(ISERROR(MATCH(F$1,INDIRECT("Table!A"&amp;$AG5):INDIRECT("Table!" &amp; $AJ$90 &amp; $AG5),0)),"",INDIRECT(CONCATENATE("Table!",ADDRESS($AC5,MATCH(F$1,INDIRECT("Table!A" &amp; $AG5):INDIRECT("Table!" &amp; $AJ$90 &amp; $AG5),0)))))</f>
        <v>0.69667790139938479</v>
      </c>
      <c r="G5" s="596">
        <f ca="1">IF(ISERROR(MATCH(G$1,INDIRECT("Table!A"&amp;$AG5):INDIRECT("Table!" &amp; $AJ$90 &amp; $AG5),0)),"",INDIRECT(CONCATENATE("Table!",ADDRESS($AC5,MATCH(G$1,INDIRECT("Table!A" &amp; $AG5):INDIRECT("Table!" &amp; $AJ$90 &amp; $AG5),0)))))</f>
        <v>0.55158059588452013</v>
      </c>
      <c r="H5" s="596">
        <f ca="1">IF(ISERROR(MATCH(H$1,INDIRECT("Table!A"&amp;$AG5):INDIRECT("Table!" &amp; $AJ$90 &amp; $AG5),0)),"",INDIRECT(CONCATENATE("Table!",ADDRESS($AC5,MATCH(H$1,INDIRECT("Table!A" &amp; $AG5):INDIRECT("Table!" &amp; $AJ$90 &amp; $AG5),0)))))</f>
        <v>0.70945628883183942</v>
      </c>
      <c r="I5" s="596">
        <f ca="1">IF(ISERROR(MATCH(I$1,INDIRECT("Table!A"&amp;$AG5):INDIRECT("Table!" &amp; $AJ$69 &amp; $AG5),0)),"",INDIRECT(CONCATENATE("Table!",ADDRESS($AC5,MATCH(I$1,INDIRECT("Table!A" &amp; $AG5):INDIRECT("Table!" &amp; $AJ$69 &amp; $AG5),0)))))</f>
        <v>0.30148303809053578</v>
      </c>
      <c r="J5" s="596">
        <f ca="1">IF(ISERROR(MATCH(J$1,INDIRECT("Table!A"&amp;$AG5):INDIRECT("Table!" &amp; $AJ$69 &amp; $AG5),0)),"",INDIRECT(CONCATENATE("Table!",ADDRESS($AC5,MATCH(J$1,INDIRECT("Table!A" &amp; $AG5):INDIRECT("Table!" &amp; $AJ$69 &amp; $AG5),0)))))</f>
        <v>0.6720120755495923</v>
      </c>
      <c r="K5" s="596">
        <f ca="1">IF(ISERROR(MATCH(K$1,INDIRECT("Table!A"&amp;$AG5):INDIRECT("Table!" &amp; $AJ$69 &amp; $AG5),0)),"",INDIRECT(CONCATENATE("Table!",ADDRESS($AC5,MATCH(K$1,INDIRECT("Table!A" &amp; $AG5):INDIRECT("Table!" &amp; $AJ$69 &amp; $AG5),0)))))</f>
        <v>0.3234074704825966</v>
      </c>
      <c r="L5" s="596">
        <f ca="1">IF(ISERROR(MATCH(L$1,INDIRECT("Table!A"&amp;$AG5):INDIRECT("Table!" &amp; $AJ$69 &amp; $AG5),0)),"",INDIRECT(CONCATENATE("Table!",ADDRESS($AC5,MATCH(L$1,INDIRECT("Table!A" &amp; $AG5):INDIRECT("Table!" &amp; $AJ$69 &amp; $AG5),0)))))</f>
        <v>0.70067570122846756</v>
      </c>
      <c r="M5" s="596">
        <f ca="1">IF(ISERROR(MATCH(M$1,INDIRECT("Table!A"&amp;$AG5):INDIRECT("Table!" &amp; $AJ$69 &amp; $AG5),0)),"",INDIRECT(CONCATENATE("Table!",ADDRESS($AC5,MATCH(M$1,INDIRECT("Table!A" &amp; $AG5):INDIRECT("Table!" &amp; $AJ$69 &amp; $AG5),0)))))</f>
        <v>0.48248721703418762</v>
      </c>
      <c r="N5" s="596">
        <f ca="1">IF(ISERROR(MATCH(N$1,INDIRECT("Table!A"&amp;$AG5):INDIRECT("Table!" &amp; $AJ$69 &amp; $AG5),0)),"",INDIRECT(CONCATENATE("Table!",ADDRESS($AC5,MATCH(N$1,INDIRECT("Table!A" &amp; $AG5):INDIRECT("Table!" &amp; $AJ$69 &amp; $AG5),0)))))</f>
        <v>0.70197666632947486</v>
      </c>
      <c r="O5" s="596">
        <f ca="1">IF(ISERROR(MATCH(O$1,INDIRECT("Table!A"&amp;$AG5):INDIRECT("Table!" &amp; $AJ$69 &amp; $AG5),0)),"",INDIRECT(CONCATENATE("Table!",ADDRESS($AC5,MATCH(O$1,INDIRECT("Table!A" &amp; $AG5):INDIRECT("Table!" &amp; $AJ$69 &amp; $AG5),0)))))</f>
        <v>0.81713205065432848</v>
      </c>
      <c r="P5" s="596">
        <f ca="1">IF(ISERROR(MATCH(P$1,INDIRECT("Table!A"&amp;$AG5):INDIRECT("Table!" &amp; $AJ$69 &amp; $AG5),0)),"",INDIRECT(CONCATENATE("Table!",ADDRESS($AC5,MATCH(P$1,INDIRECT("Table!A" &amp; $AG5):INDIRECT("Table!" &amp; $AJ$69 &amp; $AG5),0)))))</f>
        <v>0.31180845580620142</v>
      </c>
      <c r="Q5" s="596">
        <f ca="1">IF(ISERROR(MATCH(Q$1,INDIRECT("Table!A"&amp;$AG5):INDIRECT("Table!" &amp; $AJ$69 &amp; $AG5),0)),"",INDIRECT(CONCATENATE("Table!",ADDRESS($AC5,MATCH(Q$1,INDIRECT("Table!A" &amp; $AG5):INDIRECT("Table!" &amp; $AJ$69 &amp; $AG5),0)))))</f>
        <v>0.68739660428915417</v>
      </c>
      <c r="R5" s="596">
        <f ca="1">IF(ISERROR(MATCH(R$1,INDIRECT("Table!A"&amp;$AG5):INDIRECT("Table!" &amp; $AJ$69 &amp; $AG5),0)),"",INDIRECT(CONCATENATE("Table!",ADDRESS($AC5,MATCH(R$1,INDIRECT("Table!A" &amp; $AG5):INDIRECT("Table!" &amp; $AJ$69 &amp; $AG5),0)))))</f>
        <v>0.66487156171416495</v>
      </c>
      <c r="S5" s="596">
        <f ca="1">IF(ISERROR(MATCH(S$1,INDIRECT("Table!A"&amp;$AG5):INDIRECT("Table!" &amp; $AJ$43 &amp; $AG5),0)),"",INDIRECT(CONCATENATE("Table!",ADDRESS($AC5,MATCH(S$1,INDIRECT("Table!A" &amp; $AG5):INDIRECT("Table!" &amp; $AJ$43 &amp; $AG5),0)))))</f>
        <v>0.30087759061485742</v>
      </c>
      <c r="T5" s="596">
        <f ca="1">IF(ISERROR(MATCH(T$1,INDIRECT("Table!A"&amp;$AG5):INDIRECT("Table!" &amp; $AJ$43 &amp; $AG5),0)),"",INDIRECT(CONCATENATE("Table!",ADDRESS($AC5,MATCH(T$1,INDIRECT("Table!A" &amp; $AG5):INDIRECT("Table!" &amp; $AJ$43 &amp; $AG5),0)))))</f>
        <v>0.30904942506157357</v>
      </c>
      <c r="U5" s="596">
        <f ca="1">IF(ISERROR(MATCH(U$1,INDIRECT("Table!A"&amp;$AG5):INDIRECT("Table!" &amp; $AJ$43 &amp; $AG5),0)),"",INDIRECT(CONCATENATE("Table!",ADDRESS($AC5,MATCH(U$1,INDIRECT("Table!A" &amp; $AG5):INDIRECT("Table!" &amp; $AJ$43 &amp; $AG5),0)))))</f>
        <v>0.14429065574652752</v>
      </c>
      <c r="V5" s="596">
        <f ca="1">IF(ISERROR(MATCH(V$1,INDIRECT("Table!A"&amp;$AG5):INDIRECT("Table!" &amp; $AJ$43 &amp; $AG5),0)),"",INDIRECT(CONCATENATE("Table!",ADDRESS($AC5,MATCH(V$1,INDIRECT("Table!A" &amp; $AG5):INDIRECT("Table!" &amp; $AJ$43 &amp; $AG5),0)))))</f>
        <v>0.14077514421481982</v>
      </c>
      <c r="W5" s="596">
        <f ca="1">IF(ISERROR(MATCH(W$1,INDIRECT("Table!A"&amp;$AG5):INDIRECT("Table!" &amp; $AJ$43 &amp; $AG5),0)),"",INDIRECT(CONCATENATE("Table!",ADDRESS($AC5,MATCH(W$1,INDIRECT("Table!A" &amp; $AG5):INDIRECT("Table!" &amp; $AJ$43 &amp; $AG5),0)))))</f>
        <v>0.14800800418801036</v>
      </c>
      <c r="X5" s="596">
        <f ca="1">IF(ISERROR(MATCH(X$1,INDIRECT("Table!A"&amp;$AG5):INDIRECT("Table!" &amp; $AJ$43 &amp; $AG5),0)),"",INDIRECT(CONCATENATE("Table!",ADDRESS($AC5,MATCH(X$1,INDIRECT("Table!A" &amp; $AG5):INDIRECT("Table!" &amp; $AJ$43 &amp; $AG5),0)))))</f>
        <v>0.14432938020444255</v>
      </c>
      <c r="Y5" s="596">
        <f ca="1">IF(ISERROR(MATCH(Y$1,INDIRECT("Table!A"&amp;$AG5):INDIRECT("Table!" &amp; $AJ$43 &amp; $AG5),0)),"",INDIRECT(CONCATENATE("Table!",ADDRESS($AC5,MATCH(Y$1,INDIRECT("Table!A" &amp; $AG5):INDIRECT("Table!" &amp; $AJ$43 &amp; $AG5),0)))))</f>
        <v>3.0333719843634569E-5</v>
      </c>
      <c r="Z5" s="596">
        <f ca="1">IF(ISERROR(MATCH(Z$1,INDIRECT("Table!A"&amp;$AG5):INDIRECT("Table!" &amp; $AJ$43 &amp; $AG5),0)),"",INDIRECT(CONCATENATE("Table!",ADDRESS($AC5,MATCH(Z$1,INDIRECT("Table!A" &amp; $AG5):INDIRECT("Table!" &amp; $AJ$43 &amp; $AG5),0)))))</f>
        <v>2.8640096612592574E-5</v>
      </c>
      <c r="AA5" s="596">
        <f ca="1">IF(ISERROR(MATCH(AA$1,INDIRECT("Table!A"&amp;$AG5):INDIRECT("Table!" &amp; $AJ$43 &amp; $AG5),0)),"",INDIRECT(CONCATENATE("Table!",ADDRESS($AC5,MATCH(AA$1,INDIRECT("Table!A" &amp; $AG5):INDIRECT("Table!" &amp; $AJ$43 &amp; $AG5),0)))))</f>
        <v>6.9917942692757376E-2</v>
      </c>
      <c r="AB5" s="596" t="str">
        <f ca="1">IF(ISERROR(MATCH(AB$1,INDIRECT("Table!A"&amp;$AG5):INDIRECT("Table!" &amp; $AJ$43 &amp; $AG5),0)),"",INDIRECT(CONCATENATE("Table!",ADDRESS($AC5,MATCH(AB$1,INDIRECT("Table!A" &amp; $AG5):INDIRECT("Table!" &amp; $AJ$43 &amp; $AG5),0)))))</f>
        <v/>
      </c>
      <c r="AC5" s="595">
        <f>MATCH($A5,Table!$A:$A,0)+$AE$2-1</f>
        <v>34</v>
      </c>
      <c r="AD5" s="912"/>
      <c r="AE5" s="912"/>
      <c r="AF5" s="912"/>
      <c r="AG5" s="595">
        <f>MATCH($A5,Table!$A:$A,0)+$AI$2-1</f>
        <v>31</v>
      </c>
      <c r="AH5" s="912"/>
      <c r="AJ5" s="743" t="s">
        <v>285</v>
      </c>
    </row>
    <row r="6" spans="1:36" s="743" customFormat="1" ht="15.75" customHeight="1" x14ac:dyDescent="0.25">
      <c r="A6" s="592">
        <v>41801</v>
      </c>
      <c r="B6" s="596">
        <f ca="1">IF(ISERROR(MATCH(B$1,INDIRECT("Table!A"&amp;$AG6):INDIRECT("Table!" &amp; $AJ$91 &amp; $AG6),0)),"",INDIRECT(CONCATENATE("Table!",ADDRESS($AC6,MATCH(B$1,INDIRECT("Table!A" &amp; $AG6):INDIRECT("Table!" &amp; $AJ$90 &amp; $AG6),0)))))</f>
        <v>0.41078536619704786</v>
      </c>
      <c r="C6" s="596">
        <f ca="1">IF(ISERROR(MATCH(C$1,INDIRECT("Table!A"&amp;$AG6):INDIRECT("Table!" &amp; $AJ$90 &amp; $AG6),0)),"",INDIRECT(CONCATENATE("Table!",ADDRESS($AC6,MATCH(C$1,INDIRECT("Table!A" &amp; $AG6):INDIRECT("Table!" &amp; $AJ$90 &amp; $AG6),0)))))</f>
        <v>0.55513972868126926</v>
      </c>
      <c r="D6" s="596">
        <f ca="1">IF(ISERROR(MATCH(D$1,INDIRECT("Table!A"&amp;$AG6):INDIRECT("Table!" &amp; $AJ$90 &amp; $AG6),0)),"",INDIRECT(CONCATENATE("Table!",ADDRESS($AC6,MATCH(D$1,INDIRECT("Table!A" &amp; $AG6):INDIRECT("Table!" &amp; $AJ$90 &amp; $AG6),0)))))</f>
        <v>0.55985083382774126</v>
      </c>
      <c r="E6" s="596">
        <f ca="1">IF(ISERROR(MATCH(E$1,INDIRECT("Table!A"&amp;$AG6):INDIRECT("Table!" &amp; $AJ$90 &amp; $AG6),0)),"",INDIRECT(CONCATENATE("Table!",ADDRESS($AC6,MATCH(E$1,INDIRECT("Table!A" &amp; $AG6):INDIRECT("Table!" &amp; $AJ$90 &amp; $AG6),0)))))</f>
        <v>0.81215590432464391</v>
      </c>
      <c r="F6" s="596">
        <f ca="1">IF(ISERROR(MATCH(F$1,INDIRECT("Table!A"&amp;$AG6):INDIRECT("Table!" &amp; $AJ$90 &amp; $AG6),0)),"",INDIRECT(CONCATENATE("Table!",ADDRESS($AC6,MATCH(F$1,INDIRECT("Table!A" &amp; $AG6):INDIRECT("Table!" &amp; $AJ$90 &amp; $AG6),0)))))</f>
        <v>0.69209130718839895</v>
      </c>
      <c r="G6" s="596">
        <f ca="1">IF(ISERROR(MATCH(G$1,INDIRECT("Table!A"&amp;$AG6):INDIRECT("Table!" &amp; $AJ$90 &amp; $AG6),0)),"",INDIRECT(CONCATENATE("Table!",ADDRESS($AC6,MATCH(G$1,INDIRECT("Table!A" &amp; $AG6):INDIRECT("Table!" &amp; $AJ$90 &amp; $AG6),0)))))</f>
        <v>0.55006559607707217</v>
      </c>
      <c r="H6" s="596">
        <f ca="1">IF(ISERROR(MATCH(H$1,INDIRECT("Table!A"&amp;$AG6):INDIRECT("Table!" &amp; $AJ$90 &amp; $AG6),0)),"",INDIRECT(CONCATENATE("Table!",ADDRESS($AC6,MATCH(H$1,INDIRECT("Table!A" &amp; $AG6):INDIRECT("Table!" &amp; $AJ$90 &amp; $AG6),0)))))</f>
        <v>0.70824390683556671</v>
      </c>
      <c r="I6" s="596">
        <f ca="1">IF(ISERROR(MATCH(I$1,INDIRECT("Table!A"&amp;$AG6):INDIRECT("Table!" &amp; $AJ$69 &amp; $AG6),0)),"",INDIRECT(CONCATENATE("Table!",ADDRESS($AC6,MATCH(I$1,INDIRECT("Table!A" &amp; $AG6):INDIRECT("Table!" &amp; $AJ$69 &amp; $AG6),0)))))</f>
        <v>0.30110550464239694</v>
      </c>
      <c r="J6" s="596">
        <f ca="1">IF(ISERROR(MATCH(J$1,INDIRECT("Table!A"&amp;$AG6):INDIRECT("Table!" &amp; $AJ$69 &amp; $AG6),0)),"",INDIRECT(CONCATENATE("Table!",ADDRESS($AC6,MATCH(J$1,INDIRECT("Table!A" &amp; $AG6):INDIRECT("Table!" &amp; $AJ$69 &amp; $AG6),0)))))</f>
        <v>0.66655808132934258</v>
      </c>
      <c r="K6" s="596">
        <f ca="1">IF(ISERROR(MATCH(K$1,INDIRECT("Table!A"&amp;$AG6):INDIRECT("Table!" &amp; $AJ$69 &amp; $AG6),0)),"",INDIRECT(CONCATENATE("Table!",ADDRESS($AC6,MATCH(K$1,INDIRECT("Table!A" &amp; $AG6):INDIRECT("Table!" &amp; $AJ$69 &amp; $AG6),0)))))</f>
        <v>0.31912936602294267</v>
      </c>
      <c r="L6" s="596">
        <f ca="1">IF(ISERROR(MATCH(L$1,INDIRECT("Table!A"&amp;$AG6):INDIRECT("Table!" &amp; $AJ$69 &amp; $AG6),0)),"",INDIRECT(CONCATENATE("Table!",ADDRESS($AC6,MATCH(L$1,INDIRECT("Table!A" &amp; $AG6):INDIRECT("Table!" &amp; $AJ$69 &amp; $AG6),0)))))</f>
        <v>0.76297977869657985</v>
      </c>
      <c r="M6" s="596">
        <f ca="1">IF(ISERROR(MATCH(M$1,INDIRECT("Table!A"&amp;$AG6):INDIRECT("Table!" &amp; $AJ$69 &amp; $AG6),0)),"",INDIRECT(CONCATENATE("Table!",ADDRESS($AC6,MATCH(M$1,INDIRECT("Table!A" &amp; $AG6):INDIRECT("Table!" &amp; $AJ$69 &amp; $AG6),0)))))</f>
        <v>0.48167255754473948</v>
      </c>
      <c r="N6" s="596">
        <f ca="1">IF(ISERROR(MATCH(N$1,INDIRECT("Table!A"&amp;$AG6):INDIRECT("Table!" &amp; $AJ$69 &amp; $AG6),0)),"",INDIRECT(CONCATENATE("Table!",ADDRESS($AC6,MATCH(N$1,INDIRECT("Table!A" &amp; $AG6):INDIRECT("Table!" &amp; $AJ$69 &amp; $AG6),0)))))</f>
        <v>0.69744384552763283</v>
      </c>
      <c r="O6" s="596">
        <f ca="1">IF(ISERROR(MATCH(O$1,INDIRECT("Table!A"&amp;$AG6):INDIRECT("Table!" &amp; $AJ$69 &amp; $AG6),0)),"",INDIRECT(CONCATENATE("Table!",ADDRESS($AC6,MATCH(O$1,INDIRECT("Table!A" &amp; $AG6):INDIRECT("Table!" &amp; $AJ$69 &amp; $AG6),0)))))</f>
        <v>0.81565521217511727</v>
      </c>
      <c r="P6" s="596">
        <f ca="1">IF(ISERROR(MATCH(P$1,INDIRECT("Table!A"&amp;$AG6):INDIRECT("Table!" &amp; $AJ$69 &amp; $AG6),0)),"",INDIRECT(CONCATENATE("Table!",ADDRESS($AC6,MATCH(P$1,INDIRECT("Table!A" &amp; $AG6):INDIRECT("Table!" &amp; $AJ$69 &amp; $AG6),0)))))</f>
        <v>0.31143031932060672</v>
      </c>
      <c r="Q6" s="596">
        <f ca="1">IF(ISERROR(MATCH(Q$1,INDIRECT("Table!A"&amp;$AG6):INDIRECT("Table!" &amp; $AJ$69 &amp; $AG6),0)),"",INDIRECT(CONCATENATE("Table!",ADDRESS($AC6,MATCH(Q$1,INDIRECT("Table!A" &amp; $AG6):INDIRECT("Table!" &amp; $AJ$69 &amp; $AG6),0)))))</f>
        <v>0.65722880185702603</v>
      </c>
      <c r="R6" s="596">
        <f ca="1">IF(ISERROR(MATCH(R$1,INDIRECT("Table!A"&amp;$AG6):INDIRECT("Table!" &amp; $AJ$69 &amp; $AG6),0)),"",INDIRECT(CONCATENATE("Table!",ADDRESS($AC6,MATCH(R$1,INDIRECT("Table!A" &amp; $AG6):INDIRECT("Table!" &amp; $AJ$69 &amp; $AG6),0)))))</f>
        <v>0.65023682899259938</v>
      </c>
      <c r="S6" s="596">
        <f ca="1">IF(ISERROR(MATCH(S$1,INDIRECT("Table!A"&amp;$AG6):INDIRECT("Table!" &amp; $AJ$43 &amp; $AG6),0)),"",INDIRECT(CONCATENATE("Table!",ADDRESS($AC6,MATCH(S$1,INDIRECT("Table!A" &amp; $AG6):INDIRECT("Table!" &amp; $AJ$43 &amp; $AG6),0)))))</f>
        <v>0.30087759061485742</v>
      </c>
      <c r="T6" s="596">
        <f ca="1">IF(ISERROR(MATCH(T$1,INDIRECT("Table!A"&amp;$AG6):INDIRECT("Table!" &amp; $AJ$43 &amp; $AG6),0)),"",INDIRECT(CONCATENATE("Table!",ADDRESS($AC6,MATCH(T$1,INDIRECT("Table!A" &amp; $AG6):INDIRECT("Table!" &amp; $AJ$43 &amp; $AG6),0)))))</f>
        <v>0.30904942506157357</v>
      </c>
      <c r="U6" s="596">
        <f ca="1">IF(ISERROR(MATCH(U$1,INDIRECT("Table!A"&amp;$AG6):INDIRECT("Table!" &amp; $AJ$43 &amp; $AG6),0)),"",INDIRECT(CONCATENATE("Table!",ADDRESS($AC6,MATCH(U$1,INDIRECT("Table!A" &amp; $AG6):INDIRECT("Table!" &amp; $AJ$43 &amp; $AG6),0)))))</f>
        <v>0.1412093369146693</v>
      </c>
      <c r="V6" s="596">
        <f ca="1">IF(ISERROR(MATCH(V$1,INDIRECT("Table!A"&amp;$AG6):INDIRECT("Table!" &amp; $AJ$43 &amp; $AG6),0)),"",INDIRECT(CONCATENATE("Table!",ADDRESS($AC6,MATCH(V$1,INDIRECT("Table!A" &amp; $AG6):INDIRECT("Table!" &amp; $AJ$43 &amp; $AG6),0)))))</f>
        <v>0.13776936607532822</v>
      </c>
      <c r="W6" s="596">
        <f ca="1">IF(ISERROR(MATCH(W$1,INDIRECT("Table!A"&amp;$AG6):INDIRECT("Table!" &amp; $AJ$43 &amp; $AG6),0)),"",INDIRECT(CONCATENATE("Table!",ADDRESS($AC6,MATCH(W$1,INDIRECT("Table!A" &amp; $AG6):INDIRECT("Table!" &amp; $AJ$43 &amp; $AG6),0)))))</f>
        <v>7.8645550483627133E-2</v>
      </c>
      <c r="X6" s="596">
        <f ca="1">IF(ISERROR(MATCH(X$1,INDIRECT("Table!A"&amp;$AG6):INDIRECT("Table!" &amp; $AJ$43 &amp; $AG6),0)),"",INDIRECT(CONCATENATE("Table!",ADDRESS($AC6,MATCH(X$1,INDIRECT("Table!A" &amp; $AG6):INDIRECT("Table!" &amp; $AJ$43 &amp; $AG6),0)))))</f>
        <v>7.6656173253491111E-2</v>
      </c>
      <c r="Y6" s="596">
        <f ca="1">IF(ISERROR(MATCH(Y$1,INDIRECT("Table!A"&amp;$AG6):INDIRECT("Table!" &amp; $AJ$43 &amp; $AG6),0)),"",INDIRECT(CONCATENATE("Table!",ADDRESS($AC6,MATCH(Y$1,INDIRECT("Table!A" &amp; $AG6):INDIRECT("Table!" &amp; $AJ$43 &amp; $AG6),0)))))</f>
        <v>3.0333719843634569E-5</v>
      </c>
      <c r="Z6" s="596">
        <f ca="1">IF(ISERROR(MATCH(Z$1,INDIRECT("Table!A"&amp;$AG6):INDIRECT("Table!" &amp; $AJ$43 &amp; $AG6),0)),"",INDIRECT(CONCATENATE("Table!",ADDRESS($AC6,MATCH(Z$1,INDIRECT("Table!A" &amp; $AG6):INDIRECT("Table!" &amp; $AJ$43 &amp; $AG6),0)))))</f>
        <v>2.8640096612592574E-5</v>
      </c>
      <c r="AA6" s="596">
        <f ca="1">IF(ISERROR(MATCH(AA$1,INDIRECT("Table!A"&amp;$AG6):INDIRECT("Table!" &amp; $AJ$43 &amp; $AG6),0)),"",INDIRECT(CONCATENATE("Table!",ADDRESS($AC6,MATCH(AA$1,INDIRECT("Table!A" &amp; $AG6):INDIRECT("Table!" &amp; $AJ$43 &amp; $AG6),0)))))</f>
        <v>7.9003438471665868E-2</v>
      </c>
      <c r="AB6" s="596" t="str">
        <f ca="1">IF(ISERROR(MATCH(AB$1,INDIRECT("Table!A"&amp;$AG6):INDIRECT("Table!" &amp; $AJ$43 &amp; $AG6),0)),"",INDIRECT(CONCATENATE("Table!",ADDRESS($AC6,MATCH(AB$1,INDIRECT("Table!A" &amp; $AG6):INDIRECT("Table!" &amp; $AJ$43 &amp; $AG6),0)))))</f>
        <v/>
      </c>
      <c r="AC6" s="595">
        <f>MATCH($A6,Table!$A:$A,0)+$AE$2-1</f>
        <v>48</v>
      </c>
      <c r="AD6" s="903"/>
      <c r="AE6" s="903"/>
      <c r="AF6" s="903"/>
      <c r="AG6" s="595">
        <f>MATCH($A6,Table!$A:$A,0)+$AI$2-1</f>
        <v>45</v>
      </c>
      <c r="AH6" s="903"/>
      <c r="AJ6" s="743" t="s">
        <v>285</v>
      </c>
    </row>
    <row r="7" spans="1:36" s="743" customFormat="1" ht="15.75" customHeight="1" x14ac:dyDescent="0.25">
      <c r="A7" s="592">
        <v>41794</v>
      </c>
      <c r="B7" s="596">
        <f ca="1">IF(ISERROR(MATCH(B$1,INDIRECT("Table!A"&amp;$AG7):INDIRECT("Table!" &amp; $AJ$91 &amp; $AG7),0)),"",INDIRECT(CONCATENATE("Table!",ADDRESS($AC7,MATCH(B$1,INDIRECT("Table!A" &amp; $AG7):INDIRECT("Table!" &amp; $AJ$90 &amp; $AG7),0)))))</f>
        <v>0.40852113284462266</v>
      </c>
      <c r="C7" s="596">
        <f ca="1">IF(ISERROR(MATCH(C$1,INDIRECT("Table!A"&amp;$AG7):INDIRECT("Table!" &amp; $AJ$90 &amp; $AG7),0)),"",INDIRECT(CONCATENATE("Table!",ADDRESS($AC7,MATCH(C$1,INDIRECT("Table!A" &amp; $AG7):INDIRECT("Table!" &amp; $AJ$90 &amp; $AG7),0)))))</f>
        <v>0.55490985385674807</v>
      </c>
      <c r="D7" s="596">
        <f ca="1">IF(ISERROR(MATCH(D$1,INDIRECT("Table!A"&amp;$AG7):INDIRECT("Table!" &amp; $AJ$90 &amp; $AG7),0)),"",INDIRECT(CONCATENATE("Table!",ADDRESS($AC7,MATCH(D$1,INDIRECT("Table!A" &amp; $AG7):INDIRECT("Table!" &amp; $AJ$90 &amp; $AG7),0)))))</f>
        <v>0.55941433741239333</v>
      </c>
      <c r="E7" s="596">
        <f ca="1">IF(ISERROR(MATCH(E$1,INDIRECT("Table!A"&amp;$AG7):INDIRECT("Table!" &amp; $AJ$90 &amp; $AG7),0)),"",INDIRECT(CONCATENATE("Table!",ADDRESS($AC7,MATCH(E$1,INDIRECT("Table!A" &amp; $AG7):INDIRECT("Table!" &amp; $AJ$90 &amp; $AG7),0)))))</f>
        <v>0.8110789741470823</v>
      </c>
      <c r="F7" s="596">
        <f ca="1">IF(ISERROR(MATCH(F$1,INDIRECT("Table!A"&amp;$AG7):INDIRECT("Table!" &amp; $AJ$90 &amp; $AG7),0)),"",INDIRECT(CONCATENATE("Table!",ADDRESS($AC7,MATCH(F$1,INDIRECT("Table!A" &amp; $AG7):INDIRECT("Table!" &amp; $AJ$90 &amp; $AG7),0)))))</f>
        <v>0.69008787704573371</v>
      </c>
      <c r="G7" s="596">
        <f ca="1">IF(ISERROR(MATCH(G$1,INDIRECT("Table!A"&amp;$AG7):INDIRECT("Table!" &amp; $AJ$90 &amp; $AG7),0)),"",INDIRECT(CONCATENATE("Table!",ADDRESS($AC7,MATCH(G$1,INDIRECT("Table!A" &amp; $AG7):INDIRECT("Table!" &amp; $AJ$90 &amp; $AG7),0)))))</f>
        <v>0.54898525051026303</v>
      </c>
      <c r="H7" s="596">
        <f ca="1">IF(ISERROR(MATCH(H$1,INDIRECT("Table!A"&amp;$AG7):INDIRECT("Table!" &amp; $AJ$90 &amp; $AG7),0)),"",INDIRECT(CONCATENATE("Table!",ADDRESS($AC7,MATCH(H$1,INDIRECT("Table!A" &amp; $AG7):INDIRECT("Table!" &amp; $AJ$90 &amp; $AG7),0)))))</f>
        <v>0.70301990690534411</v>
      </c>
      <c r="I7" s="596">
        <f ca="1">IF(ISERROR(MATCH(I$1,INDIRECT("Table!A"&amp;$AG7):INDIRECT("Table!" &amp; $AJ$69 &amp; $AG7),0)),"",INDIRECT(CONCATENATE("Table!",ADDRESS($AC7,MATCH(I$1,INDIRECT("Table!A" &amp; $AG7):INDIRECT("Table!" &amp; $AJ$69 &amp; $AG7),0)))))</f>
        <v>0.29703753657919774</v>
      </c>
      <c r="J7" s="596">
        <f ca="1">IF(ISERROR(MATCH(J$1,INDIRECT("Table!A"&amp;$AG7):INDIRECT("Table!" &amp; $AJ$69 &amp; $AG7),0)),"",INDIRECT(CONCATENATE("Table!",ADDRESS($AC7,MATCH(J$1,INDIRECT("Table!A" &amp; $AG7):INDIRECT("Table!" &amp; $AJ$69 &amp; $AG7),0)))))</f>
        <v>0.66562193595830321</v>
      </c>
      <c r="K7" s="596">
        <f ca="1">IF(ISERROR(MATCH(K$1,INDIRECT("Table!A"&amp;$AG7):INDIRECT("Table!" &amp; $AJ$69 &amp; $AG7),0)),"",INDIRECT(CONCATENATE("Table!",ADDRESS($AC7,MATCH(K$1,INDIRECT("Table!A" &amp; $AG7):INDIRECT("Table!" &amp; $AJ$69 &amp; $AG7),0)))))</f>
        <v>0.29859303649911278</v>
      </c>
      <c r="L7" s="596">
        <f ca="1">IF(ISERROR(MATCH(L$1,INDIRECT("Table!A"&amp;$AG7):INDIRECT("Table!" &amp; $AJ$69 &amp; $AG7),0)),"",INDIRECT(CONCATENATE("Table!",ADDRESS($AC7,MATCH(L$1,INDIRECT("Table!A" &amp; $AG7):INDIRECT("Table!" &amp; $AJ$69 &amp; $AG7),0)))))</f>
        <v>0.76165407184719813</v>
      </c>
      <c r="M7" s="596">
        <f ca="1">IF(ISERROR(MATCH(M$1,INDIRECT("Table!A"&amp;$AG7):INDIRECT("Table!" &amp; $AJ$69 &amp; $AG7),0)),"",INDIRECT(CONCATENATE("Table!",ADDRESS($AC7,MATCH(M$1,INDIRECT("Table!A" &amp; $AG7):INDIRECT("Table!" &amp; $AJ$69 &amp; $AG7),0)))))</f>
        <v>0.48081522541536792</v>
      </c>
      <c r="N7" s="596">
        <f ca="1">IF(ISERROR(MATCH(N$1,INDIRECT("Table!A"&amp;$AG7):INDIRECT("Table!" &amp; $AJ$69 &amp; $AG7),0)),"",INDIRECT(CONCATENATE("Table!",ADDRESS($AC7,MATCH(N$1,INDIRECT("Table!A" &amp; $AG7):INDIRECT("Table!" &amp; $AJ$69 &amp; $AG7),0)))))</f>
        <v>0.69554955033068877</v>
      </c>
      <c r="O7" s="596">
        <f ca="1">IF(ISERROR(MATCH(O$1,INDIRECT("Table!A"&amp;$AG7):INDIRECT("Table!" &amp; $AJ$69 &amp; $AG7),0)),"",INDIRECT(CONCATENATE("Table!",ADDRESS($AC7,MATCH(O$1,INDIRECT("Table!A" &amp; $AG7):INDIRECT("Table!" &amp; $AJ$69 &amp; $AG7),0)))))</f>
        <v>0.80929662217560971</v>
      </c>
      <c r="P7" s="596">
        <f ca="1">IF(ISERROR(MATCH(P$1,INDIRECT("Table!A"&amp;$AG7):INDIRECT("Table!" &amp; $AJ$69 &amp; $AG7),0)),"",INDIRECT(CONCATENATE("Table!",ADDRESS($AC7,MATCH(P$1,INDIRECT("Table!A" &amp; $AG7):INDIRECT("Table!" &amp; $AJ$69 &amp; $AG7),0)))))</f>
        <v>0.30736234145965502</v>
      </c>
      <c r="Q7" s="596">
        <f ca="1">IF(ISERROR(MATCH(Q$1,INDIRECT("Table!A"&amp;$AG7):INDIRECT("Table!" &amp; $AJ$69 &amp; $AG7),0)),"",INDIRECT(CONCATENATE("Table!",ADDRESS($AC7,MATCH(Q$1,INDIRECT("Table!A" &amp; $AG7):INDIRECT("Table!" &amp; $AJ$69 &amp; $AG7),0)))))</f>
        <v>0.6562054126382566</v>
      </c>
      <c r="R7" s="596">
        <f ca="1">IF(ISERROR(MATCH(R$1,INDIRECT("Table!A"&amp;$AG7):INDIRECT("Table!" &amp; $AJ$69 &amp; $AG7),0)),"",INDIRECT(CONCATENATE("Table!",ADDRESS($AC7,MATCH(R$1,INDIRECT("Table!A" &amp; $AG7):INDIRECT("Table!" &amp; $AJ$69 &amp; $AG7),0)))))</f>
        <v>0.64428382253433203</v>
      </c>
      <c r="S7" s="596">
        <f ca="1">IF(ISERROR(MATCH(S$1,INDIRECT("Table!A"&amp;$AG7):INDIRECT("Table!" &amp; $AJ$43 &amp; $AG7),0)),"",INDIRECT(CONCATENATE("Table!",ADDRESS($AC7,MATCH(S$1,INDIRECT("Table!A" &amp; $AG7):INDIRECT("Table!" &amp; $AJ$43 &amp; $AG7),0)))))</f>
        <v>0.30087759061485742</v>
      </c>
      <c r="T7" s="596">
        <f ca="1">IF(ISERROR(MATCH(T$1,INDIRECT("Table!A"&amp;$AG7):INDIRECT("Table!" &amp; $AJ$43 &amp; $AG7),0)),"",INDIRECT(CONCATENATE("Table!",ADDRESS($AC7,MATCH(T$1,INDIRECT("Table!A" &amp; $AG7):INDIRECT("Table!" &amp; $AJ$43 &amp; $AG7),0)))))</f>
        <v>0.30904942506157357</v>
      </c>
      <c r="U7" s="596">
        <f ca="1">IF(ISERROR(MATCH(U$1,INDIRECT("Table!A"&amp;$AG7):INDIRECT("Table!" &amp; $AJ$43 &amp; $AG7),0)),"",INDIRECT(CONCATENATE("Table!",ADDRESS($AC7,MATCH(U$1,INDIRECT("Table!A" &amp; $AG7):INDIRECT("Table!" &amp; $AJ$43 &amp; $AG7),0)))))</f>
        <v>0.12244450641656025</v>
      </c>
      <c r="V7" s="596">
        <f ca="1">IF(ISERROR(MATCH(V$1,INDIRECT("Table!A"&amp;$AG7):INDIRECT("Table!" &amp; $AJ$43 &amp; $AG7),0)),"",INDIRECT(CONCATENATE("Table!",ADDRESS($AC7,MATCH(V$1,INDIRECT("Table!A" &amp; $AG7):INDIRECT("Table!" &amp; $AJ$43 &amp; $AG7),0)))))</f>
        <v>0.11946118431572843</v>
      </c>
      <c r="W7" s="596">
        <f ca="1">IF(ISERROR(MATCH(W$1,INDIRECT("Table!A"&amp;$AG7):INDIRECT("Table!" &amp; $AJ$43 &amp; $AG7),0)),"",INDIRECT(CONCATENATE("Table!",ADDRESS($AC7,MATCH(W$1,INDIRECT("Table!A" &amp; $AG7):INDIRECT("Table!" &amp; $AJ$43 &amp; $AG7),0)))))</f>
        <v>6.7088403223202364E-2</v>
      </c>
      <c r="X7" s="596">
        <f ca="1">IF(ISERROR(MATCH(X$1,INDIRECT("Table!A"&amp;$AG7):INDIRECT("Table!" &amp; $AJ$43 &amp; $AG7),0)),"",INDIRECT(CONCATENATE("Table!",ADDRESS($AC7,MATCH(X$1,INDIRECT("Table!A" &amp; $AG7):INDIRECT("Table!" &amp; $AJ$43 &amp; $AG7),0)))))</f>
        <v>6.5378657877339236E-2</v>
      </c>
      <c r="Y7" s="596">
        <f ca="1">IF(ISERROR(MATCH(Y$1,INDIRECT("Table!A"&amp;$AG7):INDIRECT("Table!" &amp; $AJ$43 &amp; $AG7),0)),"",INDIRECT(CONCATENATE("Table!",ADDRESS($AC7,MATCH(Y$1,INDIRECT("Table!A" &amp; $AG7):INDIRECT("Table!" &amp; $AJ$43 &amp; $AG7),0)))))</f>
        <v>3.0333719843634569E-5</v>
      </c>
      <c r="Z7" s="596">
        <f ca="1">IF(ISERROR(MATCH(Z$1,INDIRECT("Table!A"&amp;$AG7):INDIRECT("Table!" &amp; $AJ$43 &amp; $AG7),0)),"",INDIRECT(CONCATENATE("Table!",ADDRESS($AC7,MATCH(Z$1,INDIRECT("Table!A" &amp; $AG7):INDIRECT("Table!" &amp; $AJ$43 &amp; $AG7),0)))))</f>
        <v>2.8640096612592574E-5</v>
      </c>
      <c r="AA7" s="596">
        <f ca="1">IF(ISERROR(MATCH(AA$1,INDIRECT("Table!A"&amp;$AG7):INDIRECT("Table!" &amp; $AJ$43 &amp; $AG7),0)),"",INDIRECT(CONCATENATE("Table!",ADDRESS($AC7,MATCH(AA$1,INDIRECT("Table!A" &amp; $AG7):INDIRECT("Table!" &amp; $AJ$43 &amp; $AG7),0)))))</f>
        <v>6.4428450376761259E-2</v>
      </c>
      <c r="AB7" s="596" t="str">
        <f ca="1">IF(ISERROR(MATCH(AB$1,INDIRECT("Table!A"&amp;$AG7):INDIRECT("Table!" &amp; $AJ$43 &amp; $AG7),0)),"",INDIRECT(CONCATENATE("Table!",ADDRESS($AC7,MATCH(AB$1,INDIRECT("Table!A" &amp; $AG7):INDIRECT("Table!" &amp; $AJ$43 &amp; $AG7),0)))))</f>
        <v/>
      </c>
      <c r="AC7" s="595">
        <f>MATCH($A7,Table!$A:$A,0)+$AE$2-1</f>
        <v>62</v>
      </c>
      <c r="AD7" s="900"/>
      <c r="AE7" s="900"/>
      <c r="AF7" s="900"/>
      <c r="AG7" s="595">
        <f>MATCH($A7,Table!$A:$A,0)+$AI$2-1</f>
        <v>59</v>
      </c>
      <c r="AH7" s="900"/>
      <c r="AJ7" s="743" t="s">
        <v>285</v>
      </c>
    </row>
    <row r="8" spans="1:36" s="743" customFormat="1" ht="15.75" customHeight="1" x14ac:dyDescent="0.25">
      <c r="A8" s="592">
        <v>41787</v>
      </c>
      <c r="B8" s="596">
        <f ca="1">IF(ISERROR(MATCH(B$1,INDIRECT("Table!A"&amp;$AG8):INDIRECT("Table!" &amp; $AJ$91 &amp; $AG8),0)),"",INDIRECT(CONCATENATE("Table!",ADDRESS($AC8,MATCH(B$1,INDIRECT("Table!A" &amp; $AG8):INDIRECT("Table!" &amp; $AJ$90 &amp; $AG8),0)))))</f>
        <v>0.41715289754674056</v>
      </c>
      <c r="C8" s="596">
        <f ca="1">IF(ISERROR(MATCH(C$1,INDIRECT("Table!A"&amp;$AG8):INDIRECT("Table!" &amp; $AJ$90 &amp; $AG8),0)),"",INDIRECT(CONCATENATE("Table!",ADDRESS($AC8,MATCH(C$1,INDIRECT("Table!A" &amp; $AG8):INDIRECT("Table!" &amp; $AJ$90 &amp; $AG8),0)))))</f>
        <v>0.55433715992976196</v>
      </c>
      <c r="D8" s="596">
        <f ca="1">IF(ISERROR(MATCH(D$1,INDIRECT("Table!A"&amp;$AG8):INDIRECT("Table!" &amp; $AJ$90 &amp; $AG8),0)),"",INDIRECT(CONCATENATE("Table!",ADDRESS($AC8,MATCH(D$1,INDIRECT("Table!A" &amp; $AG8):INDIRECT("Table!" &amp; $AJ$90 &amp; $AG8),0)))))</f>
        <v>0.56324580594711404</v>
      </c>
      <c r="E8" s="596">
        <f ca="1">IF(ISERROR(MATCH(E$1,INDIRECT("Table!A"&amp;$AG8):INDIRECT("Table!" &amp; $AJ$90 &amp; $AG8),0)),"",INDIRECT(CONCATENATE("Table!",ADDRESS($AC8,MATCH(E$1,INDIRECT("Table!A" &amp; $AG8):INDIRECT("Table!" &amp; $AJ$90 &amp; $AG8),0)))))</f>
        <v>0.80957292026101269</v>
      </c>
      <c r="F8" s="596">
        <f ca="1">IF(ISERROR(MATCH(F$1,INDIRECT("Table!A"&amp;$AG8):INDIRECT("Table!" &amp; $AJ$90 &amp; $AG8),0)),"",INDIRECT(CONCATENATE("Table!",ADDRESS($AC8,MATCH(F$1,INDIRECT("Table!A" &amp; $AG8):INDIRECT("Table!" &amp; $AJ$90 &amp; $AG8),0)))))</f>
        <v>0.68725978896719886</v>
      </c>
      <c r="G8" s="596">
        <f ca="1">IF(ISERROR(MATCH(G$1,INDIRECT("Table!A"&amp;$AG8):INDIRECT("Table!" &amp; $AJ$90 &amp; $AG8),0)),"",INDIRECT(CONCATENATE("Table!",ADDRESS($AC8,MATCH(G$1,INDIRECT("Table!A" &amp; $AG8):INDIRECT("Table!" &amp; $AJ$90 &amp; $AG8),0)))))</f>
        <v>0.54726922632572117</v>
      </c>
      <c r="H8" s="596">
        <f ca="1">IF(ISERROR(MATCH(H$1,INDIRECT("Table!A"&amp;$AG8):INDIRECT("Table!" &amp; $AJ$90 &amp; $AG8),0)),"",INDIRECT(CONCATENATE("Table!",ADDRESS($AC8,MATCH(H$1,INDIRECT("Table!A" &amp; $AG8):INDIRECT("Table!" &amp; $AJ$90 &amp; $AG8),0)))))</f>
        <v>0.71789818898622182</v>
      </c>
      <c r="I8" s="596">
        <f ca="1">IF(ISERROR(MATCH(I$1,INDIRECT("Table!A"&amp;$AG8):INDIRECT("Table!" &amp; $AJ$69 &amp; $AG8),0)),"",INDIRECT(CONCATENATE("Table!",ADDRESS($AC8,MATCH(I$1,INDIRECT("Table!A" &amp; $AG8):INDIRECT("Table!" &amp; $AJ$69 &amp; $AG8),0)))))</f>
        <v>0.29617830176182275</v>
      </c>
      <c r="J8" s="596">
        <f ca="1">IF(ISERROR(MATCH(J$1,INDIRECT("Table!A"&amp;$AG8):INDIRECT("Table!" &amp; $AJ$69 &amp; $AG8),0)),"",INDIRECT(CONCATENATE("Table!",ADDRESS($AC8,MATCH(J$1,INDIRECT("Table!A" &amp; $AG8):INDIRECT("Table!" &amp; $AJ$69 &amp; $AG8),0)))))</f>
        <v>0.66391574852926005</v>
      </c>
      <c r="K8" s="596">
        <f ca="1">IF(ISERROR(MATCH(K$1,INDIRECT("Table!A"&amp;$AG8):INDIRECT("Table!" &amp; $AJ$69 &amp; $AG8),0)),"",INDIRECT(CONCATENATE("Table!",ADDRESS($AC8,MATCH(K$1,INDIRECT("Table!A" &amp; $AG8):INDIRECT("Table!" &amp; $AJ$69 &amp; $AG8),0)))))</f>
        <v>0.26282940422508561</v>
      </c>
      <c r="L8" s="596">
        <f ca="1">IF(ISERROR(MATCH(L$1,INDIRECT("Table!A"&amp;$AG8):INDIRECT("Table!" &amp; $AJ$69 &amp; $AG8),0)),"",INDIRECT(CONCATENATE("Table!",ADDRESS($AC8,MATCH(L$1,INDIRECT("Table!A" &amp; $AG8):INDIRECT("Table!" &amp; $AJ$69 &amp; $AG8),0)))))</f>
        <v>0.79776313519567776</v>
      </c>
      <c r="M8" s="596">
        <f ca="1">IF(ISERROR(MATCH(M$1,INDIRECT("Table!A"&amp;$AG8):INDIRECT("Table!" &amp; $AJ$69 &amp; $AG8),0)),"",INDIRECT(CONCATENATE("Table!",ADDRESS($AC8,MATCH(M$1,INDIRECT("Table!A" &amp; $AG8):INDIRECT("Table!" &amp; $AJ$69 &amp; $AG8),0)))))</f>
        <v>0.47945517764026685</v>
      </c>
      <c r="N8" s="596">
        <f ca="1">IF(ISERROR(MATCH(N$1,INDIRECT("Table!A"&amp;$AG8):INDIRECT("Table!" &amp; $AJ$69 &amp; $AG8),0)),"",INDIRECT(CONCATENATE("Table!",ADDRESS($AC8,MATCH(N$1,INDIRECT("Table!A" &amp; $AG8):INDIRECT("Table!" &amp; $AJ$69 &amp; $AG8),0)))))</f>
        <v>0.6931169525571178</v>
      </c>
      <c r="O8" s="596">
        <f ca="1">IF(ISERROR(MATCH(O$1,INDIRECT("Table!A"&amp;$AG8):INDIRECT("Table!" &amp; $AJ$69 &amp; $AG8),0)),"",INDIRECT(CONCATENATE("Table!",ADDRESS($AC8,MATCH(O$1,INDIRECT("Table!A" &amp; $AG8):INDIRECT("Table!" &amp; $AJ$69 &amp; $AG8),0)))))</f>
        <v>0.82789471930653047</v>
      </c>
      <c r="P8" s="596">
        <f ca="1">IF(ISERROR(MATCH(P$1,INDIRECT("Table!A"&amp;$AG8):INDIRECT("Table!" &amp; $AJ$69 &amp; $AG8),0)),"",INDIRECT(CONCATENATE("Table!",ADDRESS($AC8,MATCH(P$1,INDIRECT("Table!A" &amp; $AG8):INDIRECT("Table!" &amp; $AJ$69 &amp; $AG8),0)))))</f>
        <v>0.30650250244464033</v>
      </c>
      <c r="Q8" s="596">
        <f ca="1">IF(ISERROR(MATCH(Q$1,INDIRECT("Table!A"&amp;$AG8):INDIRECT("Table!" &amp; $AJ$69 &amp; $AG8),0)),"",INDIRECT(CONCATENATE("Table!",ADDRESS($AC8,MATCH(Q$1,INDIRECT("Table!A" &amp; $AG8):INDIRECT("Table!" &amp; $AJ$69 &amp; $AG8),0)))))</f>
        <v>0.67485134501837507</v>
      </c>
      <c r="R8" s="596">
        <f ca="1">IF(ISERROR(MATCH(R$1,INDIRECT("Table!A"&amp;$AG8):INDIRECT("Table!" &amp; $AJ$69 &amp; $AG8),0)),"",INDIRECT(CONCATENATE("Table!",ADDRESS($AC8,MATCH(R$1,INDIRECT("Table!A" &amp; $AG8):INDIRECT("Table!" &amp; $AJ$69 &amp; $AG8),0)))))</f>
        <v>0.63343951699681833</v>
      </c>
      <c r="S8" s="596">
        <f ca="1">IF(ISERROR(MATCH(S$1,INDIRECT("Table!A"&amp;$AG8):INDIRECT("Table!" &amp; $AJ$43 &amp; $AG8),0)),"",INDIRECT(CONCATENATE("Table!",ADDRESS($AC8,MATCH(S$1,INDIRECT("Table!A" &amp; $AG8):INDIRECT("Table!" &amp; $AJ$43 &amp; $AG8),0)))))</f>
        <v>0.30087759061485742</v>
      </c>
      <c r="T8" s="596">
        <f ca="1">IF(ISERROR(MATCH(T$1,INDIRECT("Table!A"&amp;$AG8):INDIRECT("Table!" &amp; $AJ$43 &amp; $AG8),0)),"",INDIRECT(CONCATENATE("Table!",ADDRESS($AC8,MATCH(T$1,INDIRECT("Table!A" &amp; $AG8):INDIRECT("Table!" &amp; $AJ$43 &amp; $AG8),0)))))</f>
        <v>0.30904942506157357</v>
      </c>
      <c r="U8" s="596">
        <f ca="1">IF(ISERROR(MATCH(U$1,INDIRECT("Table!A"&amp;$AG8):INDIRECT("Table!" &amp; $AJ$43 &amp; $AG8),0)),"",INDIRECT(CONCATENATE("Table!",ADDRESS($AC8,MATCH(U$1,INDIRECT("Table!A" &amp; $AG8):INDIRECT("Table!" &amp; $AJ$43 &amp; $AG8),0)))))</f>
        <v>0.12180554128566047</v>
      </c>
      <c r="V8" s="596">
        <f ca="1">IF(ISERROR(MATCH(V$1,INDIRECT("Table!A"&amp;$AG8):INDIRECT("Table!" &amp; $AJ$43 &amp; $AG8),0)),"",INDIRECT(CONCATENATE("Table!",ADDRESS($AC8,MATCH(V$1,INDIRECT("Table!A" &amp; $AG8):INDIRECT("Table!" &amp; $AJ$43 &amp; $AG8),0)))))</f>
        <v>0.11883826221440454</v>
      </c>
      <c r="W8" s="596">
        <f ca="1">IF(ISERROR(MATCH(W$1,INDIRECT("Table!A"&amp;$AG8):INDIRECT("Table!" &amp; $AJ$43 &amp; $AG8),0)),"",INDIRECT(CONCATENATE("Table!",ADDRESS($AC8,MATCH(W$1,INDIRECT("Table!A" &amp; $AG8):INDIRECT("Table!" &amp; $AJ$43 &amp; $AG8),0)))))</f>
        <v>6.464115698678527E-2</v>
      </c>
      <c r="X8" s="596">
        <f ca="1">IF(ISERROR(MATCH(X$1,INDIRECT("Table!A"&amp;$AG8):INDIRECT("Table!" &amp; $AJ$43 &amp; $AG8),0)),"",INDIRECT(CONCATENATE("Table!",ADDRESS($AC8,MATCH(X$1,INDIRECT("Table!A" &amp; $AG8):INDIRECT("Table!" &amp; $AJ$43 &amp; $AG8),0)))))</f>
        <v>6.297479910165564E-2</v>
      </c>
      <c r="Y8" s="596">
        <f ca="1">IF(ISERROR(MATCH(Y$1,INDIRECT("Table!A"&amp;$AG8):INDIRECT("Table!" &amp; $AJ$43 &amp; $AG8),0)),"",INDIRECT(CONCATENATE("Table!",ADDRESS($AC8,MATCH(Y$1,INDIRECT("Table!A" &amp; $AG8):INDIRECT("Table!" &amp; $AJ$43 &amp; $AG8),0)))))</f>
        <v>3.0333719843634569E-5</v>
      </c>
      <c r="Z8" s="596">
        <f ca="1">IF(ISERROR(MATCH(Z$1,INDIRECT("Table!A"&amp;$AG8):INDIRECT("Table!" &amp; $AJ$43 &amp; $AG8),0)),"",INDIRECT(CONCATENATE("Table!",ADDRESS($AC8,MATCH(Z$1,INDIRECT("Table!A" &amp; $AG8):INDIRECT("Table!" &amp; $AJ$43 &amp; $AG8),0)))))</f>
        <v>2.8640096612592574E-5</v>
      </c>
      <c r="AA8" s="596">
        <f ca="1">IF(ISERROR(MATCH(AA$1,INDIRECT("Table!A"&amp;$AG8):INDIRECT("Table!" &amp; $AJ$43 &amp; $AG8),0)),"",INDIRECT(CONCATENATE("Table!",ADDRESS($AC8,MATCH(AA$1,INDIRECT("Table!A" &amp; $AG8):INDIRECT("Table!" &amp; $AJ$43 &amp; $AG8),0)))))</f>
        <v>2.63741631418247E-2</v>
      </c>
      <c r="AB8" s="596" t="str">
        <f ca="1">IF(ISERROR(MATCH(AB$1,INDIRECT("Table!A"&amp;$AG8):INDIRECT("Table!" &amp; $AJ$43 &amp; $AG8),0)),"",INDIRECT(CONCATENATE("Table!",ADDRESS($AC8,MATCH(AB$1,INDIRECT("Table!A" &amp; $AG8):INDIRECT("Table!" &amp; $AJ$43 &amp; $AG8),0)))))</f>
        <v/>
      </c>
      <c r="AC8" s="595">
        <f>MATCH($A8,Table!$A:$A,0)+$AE$2-1</f>
        <v>76</v>
      </c>
      <c r="AD8" s="897"/>
      <c r="AE8" s="897"/>
      <c r="AF8" s="897"/>
      <c r="AG8" s="595">
        <f>MATCH($A8,Table!$A:$A,0)+$AI$2-1</f>
        <v>73</v>
      </c>
      <c r="AH8" s="897"/>
      <c r="AJ8" s="743" t="s">
        <v>285</v>
      </c>
    </row>
    <row r="9" spans="1:36" s="743" customFormat="1" ht="15.75" customHeight="1" x14ac:dyDescent="0.25">
      <c r="A9" s="592">
        <v>41780</v>
      </c>
      <c r="B9" s="596">
        <f ca="1">IF(ISERROR(MATCH(B$1,INDIRECT("Table!A"&amp;$AG9):INDIRECT("Table!" &amp; $AJ$91 &amp; $AG9),0)),"",INDIRECT(CONCATENATE("Table!",ADDRESS($AC9,MATCH(B$1,INDIRECT("Table!A" &amp; $AG9):INDIRECT("Table!" &amp; $AJ$90 &amp; $AG9),0)))))</f>
        <v>0.41723449154142256</v>
      </c>
      <c r="C9" s="596">
        <f ca="1">IF(ISERROR(MATCH(C$1,INDIRECT("Table!A"&amp;$AG9):INDIRECT("Table!" &amp; $AJ$90 &amp; $AG9),0)),"",INDIRECT(CONCATENATE("Table!",ADDRESS($AC9,MATCH(C$1,INDIRECT("Table!A" &amp; $AG9):INDIRECT("Table!" &amp; $AJ$90 &amp; $AG9),0)))))</f>
        <v>0.56120948705359597</v>
      </c>
      <c r="D9" s="596">
        <f ca="1">IF(ISERROR(MATCH(D$1,INDIRECT("Table!A"&amp;$AG9):INDIRECT("Table!" &amp; $AJ$90 &amp; $AG9),0)),"",INDIRECT(CONCATENATE("Table!",ADDRESS($AC9,MATCH(D$1,INDIRECT("Table!A" &amp; $AG9):INDIRECT("Table!" &amp; $AJ$90 &amp; $AG9),0)))))</f>
        <v>0.57010285237452052</v>
      </c>
      <c r="E9" s="596">
        <f ca="1">IF(ISERROR(MATCH(E$1,INDIRECT("Table!A"&amp;$AG9):INDIRECT("Table!" &amp; $AJ$90 &amp; $AG9),0)),"",INDIRECT(CONCATENATE("Table!",ADDRESS($AC9,MATCH(E$1,INDIRECT("Table!A" &amp; $AG9):INDIRECT("Table!" &amp; $AJ$90 &amp; $AG9),0)))))</f>
        <v>0.8321043875014561</v>
      </c>
      <c r="F9" s="596">
        <f ca="1">IF(ISERROR(MATCH(F$1,INDIRECT("Table!A"&amp;$AG9):INDIRECT("Table!" &amp; $AJ$90 &amp; $AG9),0)),"",INDIRECT(CONCATENATE("Table!",ADDRESS($AC9,MATCH(F$1,INDIRECT("Table!A" &amp; $AG9):INDIRECT("Table!" &amp; $AJ$90 &amp; $AG9),0)))))</f>
        <v>0.68662214197508886</v>
      </c>
      <c r="G9" s="596">
        <f ca="1">IF(ISERROR(MATCH(G$1,INDIRECT("Table!A"&amp;$AG9):INDIRECT("Table!" &amp; $AJ$90 &amp; $AG9),0)),"",INDIRECT(CONCATENATE("Table!",ADDRESS($AC9,MATCH(G$1,INDIRECT("Table!A" &amp; $AG9):INDIRECT("Table!" &amp; $AJ$90 &amp; $AG9),0)))))</f>
        <v>0.54451881233873756</v>
      </c>
      <c r="H9" s="596">
        <f ca="1">IF(ISERROR(MATCH(H$1,INDIRECT("Table!A"&amp;$AG9):INDIRECT("Table!" &amp; $AJ$90 &amp; $AG9),0)),"",INDIRECT(CONCATENATE("Table!",ADDRESS($AC9,MATCH(H$1,INDIRECT("Table!A" &amp; $AG9):INDIRECT("Table!" &amp; $AJ$90 &amp; $AG9),0)))))</f>
        <v>0.7321356821175109</v>
      </c>
      <c r="I9" s="596">
        <f ca="1">IF(ISERROR(MATCH(I$1,INDIRECT("Table!A"&amp;$AG9):INDIRECT("Table!" &amp; $AJ$69 &amp; $AG9),0)),"",INDIRECT(CONCATENATE("Table!",ADDRESS($AC9,MATCH(I$1,INDIRECT("Table!A" &amp; $AG9):INDIRECT("Table!" &amp; $AJ$69 &amp; $AG9),0)))))</f>
        <v>0.2950896566673491</v>
      </c>
      <c r="J9" s="596">
        <f ca="1">IF(ISERROR(MATCH(J$1,INDIRECT("Table!A"&amp;$AG9):INDIRECT("Table!" &amp; $AJ$69 &amp; $AG9),0)),"",INDIRECT(CONCATENATE("Table!",ADDRESS($AC9,MATCH(J$1,INDIRECT("Table!A" &amp; $AG9):INDIRECT("Table!" &amp; $AJ$69 &amp; $AG9),0)))))</f>
        <v>0.6620579716689029</v>
      </c>
      <c r="K9" s="596">
        <f ca="1">IF(ISERROR(MATCH(K$1,INDIRECT("Table!A"&amp;$AG9):INDIRECT("Table!" &amp; $AJ$69 &amp; $AG9),0)),"",INDIRECT(CONCATENATE("Table!",ADDRESS($AC9,MATCH(K$1,INDIRECT("Table!A" &amp; $AG9):INDIRECT("Table!" &amp; $AJ$69 &amp; $AG9),0)))))</f>
        <v>0.26014811363530876</v>
      </c>
      <c r="L9" s="596">
        <f ca="1">IF(ISERROR(MATCH(L$1,INDIRECT("Table!A"&amp;$AG9):INDIRECT("Table!" &amp; $AJ$69 &amp; $AG9),0)),"",INDIRECT(CONCATENATE("Table!",ADDRESS($AC9,MATCH(L$1,INDIRECT("Table!A" &amp; $AG9):INDIRECT("Table!" &amp; $AJ$69 &amp; $AG9),0)))))</f>
        <v>0.82850565018435052</v>
      </c>
      <c r="M9" s="596">
        <f ca="1">IF(ISERROR(MATCH(M$1,INDIRECT("Table!A"&amp;$AG9):INDIRECT("Table!" &amp; $AJ$69 &amp; $AG9),0)),"",INDIRECT(CONCATENATE("Table!",ADDRESS($AC9,MATCH(M$1,INDIRECT("Table!A" &amp; $AG9):INDIRECT("Table!" &amp; $AJ$69 &amp; $AG9),0)))))</f>
        <v>0.47754152652583781</v>
      </c>
      <c r="N9" s="596">
        <f ca="1">IF(ISERROR(MATCH(N$1,INDIRECT("Table!A"&amp;$AG9):INDIRECT("Table!" &amp; $AJ$69 &amp; $AG9),0)),"",INDIRECT(CONCATENATE("Table!",ADDRESS($AC9,MATCH(N$1,INDIRECT("Table!A" &amp; $AG9):INDIRECT("Table!" &amp; $AJ$69 &amp; $AG9),0)))))</f>
        <v>0.69082043574810814</v>
      </c>
      <c r="O9" s="596">
        <f ca="1">IF(ISERROR(MATCH(O$1,INDIRECT("Table!A"&amp;$AG9):INDIRECT("Table!" &amp; $AJ$69 &amp; $AG9),0)),"",INDIRECT(CONCATENATE("Table!",ADDRESS($AC9,MATCH(O$1,INDIRECT("Table!A" &amp; $AG9):INDIRECT("Table!" &amp; $AJ$69 &amp; $AG9),0)))))</f>
        <v>0.84565589301286626</v>
      </c>
      <c r="P9" s="596">
        <f ca="1">IF(ISERROR(MATCH(P$1,INDIRECT("Table!A"&amp;$AG9):INDIRECT("Table!" &amp; $AJ$69 &amp; $AG9),0)),"",INDIRECT(CONCATENATE("Table!",ADDRESS($AC9,MATCH(P$1,INDIRECT("Table!A" &amp; $AG9):INDIRECT("Table!" &amp; $AJ$69 &amp; $AG9),0)))))</f>
        <v>0.30540542493388634</v>
      </c>
      <c r="Q9" s="596">
        <f ca="1">IF(ISERROR(MATCH(Q$1,INDIRECT("Table!A"&amp;$AG9):INDIRECT("Table!" &amp; $AJ$69 &amp; $AG9),0)),"",INDIRECT(CONCATENATE("Table!",ADDRESS($AC9,MATCH(Q$1,INDIRECT("Table!A" &amp; $AG9):INDIRECT("Table!" &amp; $AJ$69 &amp; $AG9),0)))))</f>
        <v>0.67254102167748153</v>
      </c>
      <c r="R9" s="596">
        <f ca="1">IF(ISERROR(MATCH(R$1,INDIRECT("Table!A"&amp;$AG9):INDIRECT("Table!" &amp; $AJ$69 &amp; $AG9),0)),"",INDIRECT(CONCATENATE("Table!",ADDRESS($AC9,MATCH(R$1,INDIRECT("Table!A" &amp; $AG9):INDIRECT("Table!" &amp; $AJ$69 &amp; $AG9),0)))))</f>
        <v>0.61635952250311665</v>
      </c>
      <c r="S9" s="596">
        <f ca="1">IF(ISERROR(MATCH(S$1,INDIRECT("Table!A"&amp;$AG9):INDIRECT("Table!" &amp; $AJ$43 &amp; $AG9),0)),"",INDIRECT(CONCATENATE("Table!",ADDRESS($AC9,MATCH(S$1,INDIRECT("Table!A" &amp; $AG9):INDIRECT("Table!" &amp; $AJ$43 &amp; $AG9),0)))))</f>
        <v>0.30087759061485742</v>
      </c>
      <c r="T9" s="596">
        <f ca="1">IF(ISERROR(MATCH(T$1,INDIRECT("Table!A"&amp;$AG9):INDIRECT("Table!" &amp; $AJ$43 &amp; $AG9),0)),"",INDIRECT(CONCATENATE("Table!",ADDRESS($AC9,MATCH(T$1,INDIRECT("Table!A" &amp; $AG9):INDIRECT("Table!" &amp; $AJ$43 &amp; $AG9),0)))))</f>
        <v>0.30904942506157357</v>
      </c>
      <c r="U9" s="596">
        <f ca="1">IF(ISERROR(MATCH(U$1,INDIRECT("Table!A"&amp;$AG9):INDIRECT("Table!" &amp; $AJ$43 &amp; $AG9),0)),"",INDIRECT(CONCATENATE("Table!",ADDRESS($AC9,MATCH(U$1,INDIRECT("Table!A" &amp; $AG9):INDIRECT("Table!" &amp; $AJ$43 &amp; $AG9),0)))))</f>
        <v>0.11861658667371193</v>
      </c>
      <c r="V9" s="596">
        <f ca="1">IF(ISERROR(MATCH(V$1,INDIRECT("Table!A"&amp;$AG9):INDIRECT("Table!" &amp; $AJ$43 &amp; $AG9),0)),"",INDIRECT(CONCATENATE("Table!",ADDRESS($AC9,MATCH(V$1,INDIRECT("Table!A" &amp; $AG9):INDIRECT("Table!" &amp; $AJ$43 &amp; $AG9),0)))))</f>
        <v>0.11573033439699469</v>
      </c>
      <c r="W9" s="596">
        <f ca="1">IF(ISERROR(MATCH(W$1,INDIRECT("Table!A"&amp;$AG9):INDIRECT("Table!" &amp; $AJ$43 &amp; $AG9),0)),"",INDIRECT(CONCATENATE("Table!",ADDRESS($AC9,MATCH(W$1,INDIRECT("Table!A" &amp; $AG9):INDIRECT("Table!" &amp; $AJ$43 &amp; $AG9),0)))))</f>
        <v>3.6915158542611536E-2</v>
      </c>
      <c r="X9" s="596">
        <f ca="1">IF(ISERROR(MATCH(X$1,INDIRECT("Table!A"&amp;$AG9):INDIRECT("Table!" &amp; $AJ$43 &amp; $AG9),0)),"",INDIRECT(CONCATENATE("Table!",ADDRESS($AC9,MATCH(X$1,INDIRECT("Table!A" &amp; $AG9):INDIRECT("Table!" &amp; $AJ$43 &amp; $AG9),0)))))</f>
        <v>3.5969574670698556E-2</v>
      </c>
      <c r="Y9" s="596">
        <f ca="1">IF(ISERROR(MATCH(Y$1,INDIRECT("Table!A"&amp;$AG9):INDIRECT("Table!" &amp; $AJ$43 &amp; $AG9),0)),"",INDIRECT(CONCATENATE("Table!",ADDRESS($AC9,MATCH(Y$1,INDIRECT("Table!A" &amp; $AG9):INDIRECT("Table!" &amp; $AJ$43 &amp; $AG9),0)))))</f>
        <v>3.0333719843634569E-5</v>
      </c>
      <c r="Z9" s="596">
        <f ca="1">IF(ISERROR(MATCH(Z$1,INDIRECT("Table!A"&amp;$AG9):INDIRECT("Table!" &amp; $AJ$43 &amp; $AG9),0)),"",INDIRECT(CONCATENATE("Table!",ADDRESS($AC9,MATCH(Z$1,INDIRECT("Table!A" &amp; $AG9):INDIRECT("Table!" &amp; $AJ$43 &amp; $AG9),0)))))</f>
        <v>2.8640096612592574E-5</v>
      </c>
      <c r="AA9" s="596">
        <f ca="1">IF(ISERROR(MATCH(AA$1,INDIRECT("Table!A"&amp;$AG9):INDIRECT("Table!" &amp; $AJ$43 &amp; $AG9),0)),"",INDIRECT(CONCATENATE("Table!",ADDRESS($AC9,MATCH(AA$1,INDIRECT("Table!A" &amp; $AG9):INDIRECT("Table!" &amp; $AJ$43 &amp; $AG9),0)))))</f>
        <v>3.9391859715958426E-5</v>
      </c>
      <c r="AB9" s="596" t="str">
        <f ca="1">IF(ISERROR(MATCH(AB$1,INDIRECT("Table!A"&amp;$AG9):INDIRECT("Table!" &amp; $AJ$43 &amp; $AG9),0)),"",INDIRECT(CONCATENATE("Table!",ADDRESS($AC9,MATCH(AB$1,INDIRECT("Table!A" &amp; $AG9):INDIRECT("Table!" &amp; $AJ$43 &amp; $AG9),0)))))</f>
        <v/>
      </c>
      <c r="AC9" s="595">
        <f>MATCH($A9,Table!$A:$A,0)+$AE$2-1</f>
        <v>90</v>
      </c>
      <c r="AD9" s="897"/>
      <c r="AE9" s="897"/>
      <c r="AF9" s="897"/>
      <c r="AG9" s="595">
        <f>MATCH($A9,Table!$A:$A,0)+$AI$2-1</f>
        <v>87</v>
      </c>
      <c r="AH9" s="897"/>
      <c r="AJ9" s="743" t="s">
        <v>285</v>
      </c>
    </row>
    <row r="10" spans="1:36" s="743" customFormat="1" ht="15.75" customHeight="1" x14ac:dyDescent="0.25">
      <c r="A10" s="592">
        <v>41773</v>
      </c>
      <c r="B10" s="596">
        <f ca="1">IF(ISERROR(MATCH(B$1,INDIRECT("Table!A"&amp;$AG10):INDIRECT("Table!" &amp; $AJ$91 &amp; $AG10),0)),"",INDIRECT(CONCATENATE("Table!",ADDRESS($AC10,MATCH(B$1,INDIRECT("Table!A" &amp; $AG10):INDIRECT("Table!" &amp; $AJ$90 &amp; $AG10),0)))))</f>
        <v>0.41590378948109424</v>
      </c>
      <c r="C10" s="596">
        <f ca="1">IF(ISERROR(MATCH(C$1,INDIRECT("Table!A"&amp;$AG10):INDIRECT("Table!" &amp; $AJ$90 &amp; $AG10),0)),"",INDIRECT(CONCATENATE("Table!",ADDRESS($AC10,MATCH(C$1,INDIRECT("Table!A" &amp; $AG10):INDIRECT("Table!" &amp; $AJ$90 &amp; $AG10),0)))))</f>
        <v>0.56102611869646357</v>
      </c>
      <c r="D10" s="596">
        <f ca="1">IF(ISERROR(MATCH(D$1,INDIRECT("Table!A"&amp;$AG10):INDIRECT("Table!" &amp; $AJ$90 &amp; $AG10),0)),"",INDIRECT(CONCATENATE("Table!",ADDRESS($AC10,MATCH(D$1,INDIRECT("Table!A" &amp; $AG10):INDIRECT("Table!" &amp; $AJ$90 &amp; $AG10),0)))))</f>
        <v>0.56992612779844354</v>
      </c>
      <c r="E10" s="596">
        <f ca="1">IF(ISERROR(MATCH(E$1,INDIRECT("Table!A"&amp;$AG10):INDIRECT("Table!" &amp; $AJ$90 &amp; $AG10),0)),"",INDIRECT(CONCATENATE("Table!",ADDRESS($AC10,MATCH(E$1,INDIRECT("Table!A" &amp; $AG10):INDIRECT("Table!" &amp; $AJ$90 &amp; $AG10),0)))))</f>
        <v>0.8316417470884423</v>
      </c>
      <c r="F10" s="596">
        <f ca="1">IF(ISERROR(MATCH(F$1,INDIRECT("Table!A"&amp;$AG10):INDIRECT("Table!" &amp; $AJ$90 &amp; $AG10),0)),"",INDIRECT(CONCATENATE("Table!",ADDRESS($AC10,MATCH(F$1,INDIRECT("Table!A" &amp; $AG10):INDIRECT("Table!" &amp; $AJ$90 &amp; $AG10),0)))))</f>
        <v>0.68186603139250157</v>
      </c>
      <c r="G10" s="596">
        <f ca="1">IF(ISERROR(MATCH(G$1,INDIRECT("Table!A"&amp;$AG10):INDIRECT("Table!" &amp; $AJ$90 &amp; $AG10),0)),"",INDIRECT(CONCATENATE("Table!",ADDRESS($AC10,MATCH(G$1,INDIRECT("Table!A" &amp; $AG10):INDIRECT("Table!" &amp; $AJ$90 &amp; $AG10),0)))))</f>
        <v>0.54150832466848953</v>
      </c>
      <c r="H10" s="596">
        <f ca="1">IF(ISERROR(MATCH(H$1,INDIRECT("Table!A"&amp;$AG10):INDIRECT("Table!" &amp; $AJ$90 &amp; $AG10),0)),"",INDIRECT(CONCATENATE("Table!",ADDRESS($AC10,MATCH(H$1,INDIRECT("Table!A" &amp; $AG10):INDIRECT("Table!" &amp; $AJ$90 &amp; $AG10),0)))))</f>
        <v>0.7279792761178191</v>
      </c>
      <c r="I10" s="596">
        <f ca="1">IF(ISERROR(MATCH(I$1,INDIRECT("Table!A"&amp;$AG10):INDIRECT("Table!" &amp; $AJ$69 &amp; $AG10),0)),"",INDIRECT(CONCATENATE("Table!",ADDRESS($AC10,MATCH(I$1,INDIRECT("Table!A" &amp; $AG10):INDIRECT("Table!" &amp; $AJ$69 &amp; $AG10),0)))))</f>
        <v>0.29272992208480353</v>
      </c>
      <c r="J10" s="596">
        <f ca="1">IF(ISERROR(MATCH(J$1,INDIRECT("Table!A"&amp;$AG10):INDIRECT("Table!" &amp; $AJ$69 &amp; $AG10),0)),"",INDIRECT(CONCATENATE("Table!",ADDRESS($AC10,MATCH(J$1,INDIRECT("Table!A" &amp; $AG10):INDIRECT("Table!" &amp; $AJ$69 &amp; $AG10),0)))))</f>
        <v>0.66008569640829806</v>
      </c>
      <c r="K10" s="596">
        <f ca="1">IF(ISERROR(MATCH(K$1,INDIRECT("Table!A"&amp;$AG10):INDIRECT("Table!" &amp; $AJ$69 &amp; $AG10),0)),"",INDIRECT(CONCATENATE("Table!",ADDRESS($AC10,MATCH(K$1,INDIRECT("Table!A" &amp; $AG10):INDIRECT("Table!" &amp; $AJ$69 &amp; $AG10),0)))))</f>
        <v>0.24417774350295796</v>
      </c>
      <c r="L10" s="596">
        <f ca="1">IF(ISERROR(MATCH(L$1,INDIRECT("Table!A"&amp;$AG10):INDIRECT("Table!" &amp; $AJ$69 &amp; $AG10),0)),"",INDIRECT(CONCATENATE("Table!",ADDRESS($AC10,MATCH(L$1,INDIRECT("Table!A" &amp; $AG10):INDIRECT("Table!" &amp; $AJ$69 &amp; $AG10),0)))))</f>
        <v>0.82799070192007307</v>
      </c>
      <c r="M10" s="596">
        <f ca="1">IF(ISERROR(MATCH(M$1,INDIRECT("Table!A"&amp;$AG10):INDIRECT("Table!" &amp; $AJ$69 &amp; $AG10),0)),"",INDIRECT(CONCATENATE("Table!",ADDRESS($AC10,MATCH(M$1,INDIRECT("Table!A" &amp; $AG10):INDIRECT("Table!" &amp; $AJ$69 &amp; $AG10),0)))))</f>
        <v>0.47618649906131599</v>
      </c>
      <c r="N10" s="596">
        <f ca="1">IF(ISERROR(MATCH(N$1,INDIRECT("Table!A"&amp;$AG10):INDIRECT("Table!" &amp; $AJ$69 &amp; $AG10),0)),"",INDIRECT(CONCATENATE("Table!",ADDRESS($AC10,MATCH(N$1,INDIRECT("Table!A" &amp; $AG10):INDIRECT("Table!" &amp; $AJ$69 &amp; $AG10),0)))))</f>
        <v>0.68623101489905924</v>
      </c>
      <c r="O10" s="596">
        <f ca="1">IF(ISERROR(MATCH(O$1,INDIRECT("Table!A"&amp;$AG10):INDIRECT("Table!" &amp; $AJ$69 &amp; $AG10),0)),"",INDIRECT(CONCATENATE("Table!",ADDRESS($AC10,MATCH(O$1,INDIRECT("Table!A" &amp; $AG10):INDIRECT("Table!" &amp; $AJ$69 &amp; $AG10),0)))))</f>
        <v>0.8410754484113302</v>
      </c>
      <c r="P10" s="596">
        <f ca="1">IF(ISERROR(MATCH(P$1,INDIRECT("Table!A"&amp;$AG10):INDIRECT("Table!" &amp; $AJ$69 &amp; $AG10),0)),"",INDIRECT(CONCATENATE("Table!",ADDRESS($AC10,MATCH(P$1,INDIRECT("Table!A" &amp; $AG10):INDIRECT("Table!" &amp; $AJ$69 &amp; $AG10),0)))))</f>
        <v>0.30302942720752224</v>
      </c>
      <c r="Q10" s="596">
        <f ca="1">IF(ISERROR(MATCH(Q$1,INDIRECT("Table!A"&amp;$AG10):INDIRECT("Table!" &amp; $AJ$69 &amp; $AG10),0)),"",INDIRECT(CONCATENATE("Table!",ADDRESS($AC10,MATCH(Q$1,INDIRECT("Table!A" &amp; $AG10):INDIRECT("Table!" &amp; $AJ$69 &amp; $AG10),0)))))</f>
        <v>0.65761185524130794</v>
      </c>
      <c r="R10" s="596">
        <f ca="1">IF(ISERROR(MATCH(R$1,INDIRECT("Table!A"&amp;$AG10):INDIRECT("Table!" &amp; $AJ$69 &amp; $AG10),0)),"",INDIRECT(CONCATENATE("Table!",ADDRESS($AC10,MATCH(R$1,INDIRECT("Table!A" &amp; $AG10):INDIRECT("Table!" &amp; $AJ$69 &amp; $AG10),0)))))</f>
        <v>0.68146374902263207</v>
      </c>
      <c r="S10" s="596">
        <f ca="1">IF(ISERROR(MATCH(S$1,INDIRECT("Table!A"&amp;$AG10):INDIRECT("Table!" &amp; $AJ$43 &amp; $AG10),0)),"",INDIRECT(CONCATENATE("Table!",ADDRESS($AC10,MATCH(S$1,INDIRECT("Table!A" &amp; $AG10):INDIRECT("Table!" &amp; $AJ$43 &amp; $AG10),0)))))</f>
        <v>0.28993853239288497</v>
      </c>
      <c r="T10" s="596">
        <f ca="1">IF(ISERROR(MATCH(T$1,INDIRECT("Table!A"&amp;$AG10):INDIRECT("Table!" &amp; $AJ$43 &amp; $AG10),0)),"",INDIRECT(CONCATENATE("Table!",ADDRESS($AC10,MATCH(T$1,INDIRECT("Table!A" &amp; $AG10):INDIRECT("Table!" &amp; $AJ$43 &amp; $AG10),0)))))</f>
        <v>0.28577386258896059</v>
      </c>
      <c r="U10" s="596">
        <f ca="1">IF(ISERROR(MATCH(U$1,INDIRECT("Table!A"&amp;$AG10):INDIRECT("Table!" &amp; $AJ$43 &amp; $AG10),0)),"",INDIRECT(CONCATENATE("Table!",ADDRESS($AC10,MATCH(U$1,INDIRECT("Table!A" &amp; $AG10):INDIRECT("Table!" &amp; $AJ$43 &amp; $AG10),0)))))</f>
        <v>0.11014565078060404</v>
      </c>
      <c r="V10" s="596">
        <f ca="1">IF(ISERROR(MATCH(V$1,INDIRECT("Table!A"&amp;$AG10):INDIRECT("Table!" &amp; $AJ$43 &amp; $AG10),0)),"",INDIRECT(CONCATENATE("Table!",ADDRESS($AC10,MATCH(V$1,INDIRECT("Table!A" &amp; $AG10):INDIRECT("Table!" &amp; $AJ$43 &amp; $AG10),0)))))</f>
        <v>0.10746146116999568</v>
      </c>
      <c r="W10" s="596">
        <f ca="1">IF(ISERROR(MATCH(W$1,INDIRECT("Table!A"&amp;$AG10):INDIRECT("Table!" &amp; $AJ$43 &amp; $AG10),0)),"",INDIRECT(CONCATENATE("Table!",ADDRESS($AC10,MATCH(W$1,INDIRECT("Table!A" &amp; $AG10):INDIRECT("Table!" &amp; $AJ$43 &amp; $AG10),0)))))</f>
        <v>1.274407636269344E-2</v>
      </c>
      <c r="X10" s="596">
        <f ca="1">IF(ISERROR(MATCH(X$1,INDIRECT("Table!A"&amp;$AG10):INDIRECT("Table!" &amp; $AJ$43 &amp; $AG10),0)),"",INDIRECT(CONCATENATE("Table!",ADDRESS($AC10,MATCH(X$1,INDIRECT("Table!A" &amp; $AG10):INDIRECT("Table!" &amp; $AJ$43 &amp; $AG10),0)))))</f>
        <v>1.2382068435510856E-2</v>
      </c>
      <c r="Y10" s="596">
        <f ca="1">IF(ISERROR(MATCH(Y$1,INDIRECT("Table!A"&amp;$AG10):INDIRECT("Table!" &amp; $AJ$43 &amp; $AG10),0)),"",INDIRECT(CONCATENATE("Table!",ADDRESS($AC10,MATCH(Y$1,INDIRECT("Table!A" &amp; $AG10):INDIRECT("Table!" &amp; $AJ$43 &amp; $AG10),0)))))</f>
        <v>3.0333719843634569E-5</v>
      </c>
      <c r="Z10" s="596">
        <f ca="1">IF(ISERROR(MATCH(Z$1,INDIRECT("Table!A"&amp;$AG10):INDIRECT("Table!" &amp; $AJ$43 &amp; $AG10),0)),"",INDIRECT(CONCATENATE("Table!",ADDRESS($AC10,MATCH(Z$1,INDIRECT("Table!A" &amp; $AG10):INDIRECT("Table!" &amp; $AJ$43 &amp; $AG10),0)))))</f>
        <v>2.8640096612592574E-5</v>
      </c>
      <c r="AA10" s="596" t="str">
        <f ca="1">IF(ISERROR(MATCH(AA$1,INDIRECT("Table!A"&amp;$AG10):INDIRECT("Table!" &amp; $AJ$43 &amp; $AG10),0)),"",INDIRECT(CONCATENATE("Table!",ADDRESS($AC10,MATCH(AA$1,INDIRECT("Table!A" &amp; $AG10):INDIRECT("Table!" &amp; $AJ$43 &amp; $AG10),0)))))</f>
        <v/>
      </c>
      <c r="AB10" s="596" t="str">
        <f ca="1">IF(ISERROR(MATCH(AB$1,INDIRECT("Table!A"&amp;$AG10):INDIRECT("Table!" &amp; $AJ$43 &amp; $AG10),0)),"",INDIRECT(CONCATENATE("Table!",ADDRESS($AC10,MATCH(AB$1,INDIRECT("Table!A" &amp; $AG10):INDIRECT("Table!" &amp; $AJ$43 &amp; $AG10),0)))))</f>
        <v/>
      </c>
      <c r="AC10" s="595">
        <f>MATCH($A10,Table!$A:$A,0)+$AE$2-1</f>
        <v>104</v>
      </c>
      <c r="AD10" s="894"/>
      <c r="AE10" s="894"/>
      <c r="AF10" s="894"/>
      <c r="AG10" s="595">
        <f>MATCH($A10,Table!$A:$A,0)+$AI$2-1</f>
        <v>101</v>
      </c>
      <c r="AH10" s="894"/>
      <c r="AJ10" s="743" t="s">
        <v>285</v>
      </c>
    </row>
    <row r="11" spans="1:36" s="743" customFormat="1" ht="15.75" customHeight="1" x14ac:dyDescent="0.25">
      <c r="A11" s="592">
        <v>41766</v>
      </c>
      <c r="B11" s="596">
        <f ca="1">IF(ISERROR(MATCH(B$1,INDIRECT("Table!A"&amp;$AG11):INDIRECT("Table!" &amp; $AJ$91 &amp; $AG11),0)),"",INDIRECT(CONCATENATE("Table!",ADDRESS($AC11,MATCH(B$1,INDIRECT("Table!A" &amp; $AG11):INDIRECT("Table!" &amp; $AJ$90 &amp; $AG11),0)))))</f>
        <v>0.41549999999999998</v>
      </c>
      <c r="C11" s="596">
        <f ca="1">IF(ISERROR(MATCH(C$1,INDIRECT("Table!A"&amp;$AG11):INDIRECT("Table!" &amp; $AJ$90 &amp; $AG11),0)),"",INDIRECT(CONCATENATE("Table!",ADDRESS($AC11,MATCH(C$1,INDIRECT("Table!A" &amp; $AG11):INDIRECT("Table!" &amp; $AJ$90 &amp; $AG11),0)))))</f>
        <v>0.55869999999999997</v>
      </c>
      <c r="D11" s="596">
        <f ca="1">IF(ISERROR(MATCH(D$1,INDIRECT("Table!A"&amp;$AG11):INDIRECT("Table!" &amp; $AJ$90 &amp; $AG11),0)),"",INDIRECT(CONCATENATE("Table!",ADDRESS($AC11,MATCH(D$1,INDIRECT("Table!A" &amp; $AG11):INDIRECT("Table!" &amp; $AJ$90 &amp; $AG11),0)))))</f>
        <v>0.56759999999999999</v>
      </c>
      <c r="E11" s="596">
        <f ca="1">IF(ISERROR(MATCH(E$1,INDIRECT("Table!A"&amp;$AG11):INDIRECT("Table!" &amp; $AJ$90 &amp; $AG11),0)),"",INDIRECT(CONCATENATE("Table!",ADDRESS($AC11,MATCH(E$1,INDIRECT("Table!A" &amp; $AG11):INDIRECT("Table!" &amp; $AJ$90 &amp; $AG11),0)))))</f>
        <v>0.83040000000000003</v>
      </c>
      <c r="F11" s="596">
        <f ca="1">IF(ISERROR(MATCH(F$1,INDIRECT("Table!A"&amp;$AG11):INDIRECT("Table!" &amp; $AJ$90 &amp; $AG11),0)),"",INDIRECT(CONCATENATE("Table!",ADDRESS($AC11,MATCH(F$1,INDIRECT("Table!A" &amp; $AG11):INDIRECT("Table!" &amp; $AJ$90 &amp; $AG11),0)))))</f>
        <v>0.67100000000000004</v>
      </c>
      <c r="G11" s="596">
        <f ca="1">IF(ISERROR(MATCH(G$1,INDIRECT("Table!A"&amp;$AG11):INDIRECT("Table!" &amp; $AJ$90 &amp; $AG11),0)),"",INDIRECT(CONCATENATE("Table!",ADDRESS($AC11,MATCH(G$1,INDIRECT("Table!A" &amp; $AG11):INDIRECT("Table!" &amp; $AJ$90 &amp; $AG11),0)))))</f>
        <v>0.54020000000000001</v>
      </c>
      <c r="H11" s="596">
        <f ca="1">IF(ISERROR(MATCH(H$1,INDIRECT("Table!A"&amp;$AG11):INDIRECT("Table!" &amp; $AJ$90 &amp; $AG11),0)),"",INDIRECT(CONCATENATE("Table!",ADDRESS($AC11,MATCH(H$1,INDIRECT("Table!A" &amp; $AG11):INDIRECT("Table!" &amp; $AJ$90 &amp; $AG11),0)))))</f>
        <v>0.72689999999999999</v>
      </c>
      <c r="I11" s="596">
        <f ca="1">IF(ISERROR(MATCH(I$1,INDIRECT("Table!A"&amp;$AG11):INDIRECT("Table!" &amp; $AJ$69 &amp; $AG11),0)),"",INDIRECT(CONCATENATE("Table!",ADDRESS($AC11,MATCH(I$1,INDIRECT("Table!A" &amp; $AG11):INDIRECT("Table!" &amp; $AJ$69 &amp; $AG11),0)))))</f>
        <v>0.28689999999999999</v>
      </c>
      <c r="J11" s="596">
        <f ca="1">IF(ISERROR(MATCH(J$1,INDIRECT("Table!A"&amp;$AG11):INDIRECT("Table!" &amp; $AJ$69 &amp; $AG11),0)),"",INDIRECT(CONCATENATE("Table!",ADDRESS($AC11,MATCH(J$1,INDIRECT("Table!A" &amp; $AG11):INDIRECT("Table!" &amp; $AJ$69 &amp; $AG11),0)))))</f>
        <v>0.65800000000000003</v>
      </c>
      <c r="K11" s="596">
        <f ca="1">IF(ISERROR(MATCH(K$1,INDIRECT("Table!A"&amp;$AG11):INDIRECT("Table!" &amp; $AJ$69 &amp; $AG11),0)),"",INDIRECT(CONCATENATE("Table!",ADDRESS($AC11,MATCH(K$1,INDIRECT("Table!A" &amp; $AG11):INDIRECT("Table!" &amp; $AJ$69 &amp; $AG11),0)))))</f>
        <v>0.2329</v>
      </c>
      <c r="L11" s="596">
        <f ca="1">IF(ISERROR(MATCH(L$1,INDIRECT("Table!A"&amp;$AG11):INDIRECT("Table!" &amp; $AJ$69 &amp; $AG11),0)),"",INDIRECT(CONCATENATE("Table!",ADDRESS($AC11,MATCH(L$1,INDIRECT("Table!A" &amp; $AG11):INDIRECT("Table!" &amp; $AJ$69 &amp; $AG11),0)))))</f>
        <v>0.82699999999999996</v>
      </c>
      <c r="M11" s="596">
        <f ca="1">IF(ISERROR(MATCH(M$1,INDIRECT("Table!A"&amp;$AG11):INDIRECT("Table!" &amp; $AJ$69 &amp; $AG11),0)),"",INDIRECT(CONCATENATE("Table!",ADDRESS($AC11,MATCH(M$1,INDIRECT("Table!A" &amp; $AG11):INDIRECT("Table!" &amp; $AJ$69 &amp; $AG11),0)))))</f>
        <v>0.47499999999999998</v>
      </c>
      <c r="N11" s="596">
        <f ca="1">IF(ISERROR(MATCH(N$1,INDIRECT("Table!A"&amp;$AG11):INDIRECT("Table!" &amp; $AJ$69 &amp; $AG11),0)),"",INDIRECT(CONCATENATE("Table!",ADDRESS($AC11,MATCH(N$1,INDIRECT("Table!A" &amp; $AG11):INDIRECT("Table!" &amp; $AJ$69 &amp; $AG11),0)))))</f>
        <v>0.67559999999999998</v>
      </c>
      <c r="O11" s="596">
        <f ca="1">IF(ISERROR(MATCH(O$1,INDIRECT("Table!A"&amp;$AG11):INDIRECT("Table!" &amp; $AJ$69 &amp; $AG11),0)),"",INDIRECT(CONCATENATE("Table!",ADDRESS($AC11,MATCH(O$1,INDIRECT("Table!A" &amp; $AG11):INDIRECT("Table!" &amp; $AJ$69 &amp; $AG11),0)))))</f>
        <v>0.83979999999999999</v>
      </c>
      <c r="P11" s="596">
        <f ca="1">IF(ISERROR(MATCH(P$1,INDIRECT("Table!A"&amp;$AG11):INDIRECT("Table!" &amp; $AJ$69 &amp; $AG11),0)),"",INDIRECT(CONCATENATE("Table!",ADDRESS($AC11,MATCH(P$1,INDIRECT("Table!A" &amp; $AG11):INDIRECT("Table!" &amp; $AJ$69 &amp; $AG11),0)))))</f>
        <v>0.29670000000000002</v>
      </c>
      <c r="Q11" s="596">
        <f ca="1">IF(ISERROR(MATCH(Q$1,INDIRECT("Table!A"&amp;$AG11):INDIRECT("Table!" &amp; $AJ$69 &amp; $AG11),0)),"",INDIRECT(CONCATENATE("Table!",ADDRESS($AC11,MATCH(Q$1,INDIRECT("Table!A" &amp; $AG11):INDIRECT("Table!" &amp; $AJ$69 &amp; $AG11),0)))))</f>
        <v>0.65610000000000002</v>
      </c>
      <c r="R11" s="596">
        <f ca="1">IF(ISERROR(MATCH(R$1,INDIRECT("Table!A"&amp;$AG11):INDIRECT("Table!" &amp; $AJ$69 &amp; $AG11),0)),"",INDIRECT(CONCATENATE("Table!",ADDRESS($AC11,MATCH(R$1,INDIRECT("Table!A" &amp; $AG11):INDIRECT("Table!" &amp; $AJ$69 &amp; $AG11),0)))))</f>
        <v>0.67</v>
      </c>
      <c r="S11" s="596">
        <f ca="1">IF(ISERROR(MATCH(S$1,INDIRECT("Table!A"&amp;$AG11):INDIRECT("Table!" &amp; $AJ$43 &amp; $AG11),0)),"",INDIRECT(CONCATENATE("Table!",ADDRESS($AC11,MATCH(S$1,INDIRECT("Table!A" &amp; $AG11):INDIRECT("Table!" &amp; $AJ$43 &amp; $AG11),0)))))</f>
        <v>0.28989999999999999</v>
      </c>
      <c r="T11" s="596">
        <f ca="1">IF(ISERROR(MATCH(T$1,INDIRECT("Table!A"&amp;$AG11):INDIRECT("Table!" &amp; $AJ$43 &amp; $AG11),0)),"",INDIRECT(CONCATENATE("Table!",ADDRESS($AC11,MATCH(T$1,INDIRECT("Table!A" &amp; $AG11):INDIRECT("Table!" &amp; $AJ$43 &amp; $AG11),0)))))</f>
        <v>0.2858</v>
      </c>
      <c r="U11" s="596">
        <f ca="1">IF(ISERROR(MATCH(U$1,INDIRECT("Table!A"&amp;$AG11):INDIRECT("Table!" &amp; $AJ$43 &amp; $AG11),0)),"",INDIRECT(CONCATENATE("Table!",ADDRESS($AC11,MATCH(U$1,INDIRECT("Table!A" &amp; $AG11):INDIRECT("Table!" &amp; $AJ$43 &amp; $AG11),0)))))</f>
        <v>9.3100000000000002E-2</v>
      </c>
      <c r="V11" s="596">
        <f ca="1">IF(ISERROR(MATCH(V$1,INDIRECT("Table!A"&amp;$AG11):INDIRECT("Table!" &amp; $AJ$43 &amp; $AG11),0)),"",INDIRECT(CONCATENATE("Table!",ADDRESS($AC11,MATCH(V$1,INDIRECT("Table!A" &amp; $AG11):INDIRECT("Table!" &amp; $AJ$43 &amp; $AG11),0)))))</f>
        <v>9.0899999999999995E-2</v>
      </c>
      <c r="W11" s="596">
        <f ca="1">IF(ISERROR(MATCH(W$1,INDIRECT("Table!A"&amp;$AG11):INDIRECT("Table!" &amp; $AJ$43 &amp; $AG11),0)),"",INDIRECT(CONCATENATE("Table!",ADDRESS($AC11,MATCH(W$1,INDIRECT("Table!A" &amp; $AG11):INDIRECT("Table!" &amp; $AJ$43 &amp; $AG11),0)))))</f>
        <v>1.26E-2</v>
      </c>
      <c r="X11" s="596">
        <f ca="1">IF(ISERROR(MATCH(X$1,INDIRECT("Table!A"&amp;$AG11):INDIRECT("Table!" &amp; $AJ$43 &amp; $AG11),0)),"",INDIRECT(CONCATENATE("Table!",ADDRESS($AC11,MATCH(X$1,INDIRECT("Table!A" &amp; $AG11):INDIRECT("Table!" &amp; $AJ$43 &amp; $AG11),0)))))</f>
        <v>1.2200000000000001E-2</v>
      </c>
      <c r="Y11" s="596">
        <f ca="1">IF(ISERROR(MATCH(Y$1,INDIRECT("Table!A"&amp;$AG11):INDIRECT("Table!" &amp; $AJ$43 &amp; $AG11),0)),"",INDIRECT(CONCATENATE("Table!",ADDRESS($AC11,MATCH(Y$1,INDIRECT("Table!A" &amp; $AG11):INDIRECT("Table!" &amp; $AJ$43 &amp; $AG11),0)))))</f>
        <v>0</v>
      </c>
      <c r="Z11" s="596">
        <f ca="1">IF(ISERROR(MATCH(Z$1,INDIRECT("Table!A"&amp;$AG11):INDIRECT("Table!" &amp; $AJ$43 &amp; $AG11),0)),"",INDIRECT(CONCATENATE("Table!",ADDRESS($AC11,MATCH(Z$1,INDIRECT("Table!A" &amp; $AG11):INDIRECT("Table!" &amp; $AJ$43 &amp; $AG11),0)))))</f>
        <v>0</v>
      </c>
      <c r="AA11" s="596" t="str">
        <f ca="1">IF(ISERROR(MATCH(AA$1,INDIRECT("Table!A"&amp;$AG11):INDIRECT("Table!" &amp; $AJ$43 &amp; $AG11),0)),"",INDIRECT(CONCATENATE("Table!",ADDRESS($AC11,MATCH(AA$1,INDIRECT("Table!A" &amp; $AG11):INDIRECT("Table!" &amp; $AJ$43 &amp; $AG11),0)))))</f>
        <v/>
      </c>
      <c r="AB11" s="596" t="str">
        <f ca="1">IF(ISERROR(MATCH(AB$1,INDIRECT("Table!A"&amp;$AG11):INDIRECT("Table!" &amp; $AJ$43 &amp; $AG11),0)),"",INDIRECT(CONCATENATE("Table!",ADDRESS($AC11,MATCH(AB$1,INDIRECT("Table!A" &amp; $AG11):INDIRECT("Table!" &amp; $AJ$43 &amp; $AG11),0)))))</f>
        <v/>
      </c>
      <c r="AC11" s="595">
        <f>MATCH($A11,Table!$A:$A,0)+$AE$2-1</f>
        <v>118</v>
      </c>
      <c r="AD11" s="886"/>
      <c r="AE11" s="886"/>
      <c r="AF11" s="886"/>
      <c r="AG11" s="595">
        <f>MATCH($A11,Table!$A:$A,0)+$AI$2-1</f>
        <v>115</v>
      </c>
      <c r="AH11" s="886"/>
      <c r="AJ11" s="743" t="s">
        <v>285</v>
      </c>
    </row>
    <row r="12" spans="1:36" s="743" customFormat="1" ht="15.75" customHeight="1" x14ac:dyDescent="0.25">
      <c r="A12" s="592">
        <v>41752</v>
      </c>
      <c r="B12" s="596">
        <f ca="1">IF(ISERROR(MATCH(B$1,INDIRECT("Table!A"&amp;$AG12):INDIRECT("Table!" &amp; $AJ$91 &amp; $AG12),0)),"",INDIRECT(CONCATENATE("Table!",ADDRESS($AC12,MATCH(B$1,INDIRECT("Table!A" &amp; $AG12):INDIRECT("Table!" &amp; $AJ$90 &amp; $AG12),0)))))</f>
        <v>0.41939273269487365</v>
      </c>
      <c r="C12" s="596">
        <f ca="1">IF(ISERROR(MATCH(C$1,INDIRECT("Table!A"&amp;$AG12):INDIRECT("Table!" &amp; $AJ$90 &amp; $AG12),0)),"",INDIRECT(CONCATENATE("Table!",ADDRESS($AC12,MATCH(C$1,INDIRECT("Table!A" &amp; $AG12):INDIRECT("Table!" &amp; $AJ$90 &amp; $AG12),0)))))</f>
        <v>0.55751155851809131</v>
      </c>
      <c r="D12" s="596">
        <f ca="1">IF(ISERROR(MATCH(D$1,INDIRECT("Table!A"&amp;$AG12):INDIRECT("Table!" &amp; $AJ$90 &amp; $AG12),0)),"",INDIRECT(CONCATENATE("Table!",ADDRESS($AC12,MATCH(D$1,INDIRECT("Table!A" &amp; $AG12):INDIRECT("Table!" &amp; $AJ$90 &amp; $AG12),0)))))</f>
        <v>0.56642751269460467</v>
      </c>
      <c r="E12" s="596">
        <f ca="1">IF(ISERROR(MATCH(E$1,INDIRECT("Table!A"&amp;$AG12):INDIRECT("Table!" &amp; $AJ$90 &amp; $AG12),0)),"",INDIRECT(CONCATENATE("Table!",ADDRESS($AC12,MATCH(E$1,INDIRECT("Table!A" &amp; $AG12):INDIRECT("Table!" &amp; $AJ$90 &amp; $AG12),0)))))</f>
        <v>0.8284939241357635</v>
      </c>
      <c r="F12" s="596">
        <f ca="1">IF(ISERROR(MATCH(F$1,INDIRECT("Table!A"&amp;$AG12):INDIRECT("Table!" &amp; $AJ$90 &amp; $AG12),0)),"",INDIRECT(CONCATENATE("Table!",ADDRESS($AC12,MATCH(F$1,INDIRECT("Table!A" &amp; $AG12):INDIRECT("Table!" &amp; $AJ$90 &amp; $AG12),0)))))</f>
        <v>0.67248049506019636</v>
      </c>
      <c r="G12" s="596">
        <f ca="1">IF(ISERROR(MATCH(G$1,INDIRECT("Table!A"&amp;$AG12):INDIRECT("Table!" &amp; $AJ$90 &amp; $AG12),0)),"",INDIRECT(CONCATENATE("Table!",ADDRESS($AC12,MATCH(G$1,INDIRECT("Table!A" &amp; $AG12):INDIRECT("Table!" &amp; $AJ$90 &amp; $AG12),0)))))</f>
        <v>0.53690812698168189</v>
      </c>
      <c r="H12" s="596">
        <f ca="1">IF(ISERROR(MATCH(H$1,INDIRECT("Table!A"&amp;$AG12):INDIRECT("Table!" &amp; $AJ$90 &amp; $AG12),0)),"",INDIRECT(CONCATENATE("Table!",ADDRESS($AC12,MATCH(H$1,INDIRECT("Table!A" &amp; $AG12):INDIRECT("Table!" &amp; $AJ$90 &amp; $AG12),0)))))</f>
        <v>0.72578477748283909</v>
      </c>
      <c r="I12" s="596">
        <f ca="1">IF(ISERROR(MATCH(I$1,INDIRECT("Table!A"&amp;$AG12):INDIRECT("Table!" &amp; $AJ$69 &amp; $AG12),0)),"",INDIRECT(CONCATENATE("Table!",ADDRESS($AC12,MATCH(I$1,INDIRECT("Table!A" &amp; $AG12):INDIRECT("Table!" &amp; $AJ$69 &amp; $AG12),0)))))</f>
        <v>0.2753804088322408</v>
      </c>
      <c r="J12" s="596">
        <f ca="1">IF(ISERROR(MATCH(J$1,INDIRECT("Table!A"&amp;$AG12):INDIRECT("Table!" &amp; $AJ$69 &amp; $AG12),0)),"",INDIRECT(CONCATENATE("Table!",ADDRESS($AC12,MATCH(J$1,INDIRECT("Table!A" &amp; $AG12):INDIRECT("Table!" &amp; $AJ$69 &amp; $AG12),0)))))</f>
        <v>0.62700936629167092</v>
      </c>
      <c r="K12" s="596">
        <f ca="1">IF(ISERROR(MATCH(K$1,INDIRECT("Table!A"&amp;$AG12):INDIRECT("Table!" &amp; $AJ$69 &amp; $AG12),0)),"",INDIRECT(CONCATENATE("Table!",ADDRESS($AC12,MATCH(K$1,INDIRECT("Table!A" &amp; $AG12):INDIRECT("Table!" &amp; $AJ$69 &amp; $AG12),0)))))</f>
        <v>0.20100932203692398</v>
      </c>
      <c r="L12" s="596">
        <f ca="1">IF(ISERROR(MATCH(L$1,INDIRECT("Table!A"&amp;$AG12):INDIRECT("Table!" &amp; $AJ$69 &amp; $AG12),0)),"",INDIRECT(CONCATENATE("Table!",ADDRESS($AC12,MATCH(L$1,INDIRECT("Table!A" &amp; $AG12):INDIRECT("Table!" &amp; $AJ$69 &amp; $AG12),0)))))</f>
        <v>0.82499633474952727</v>
      </c>
      <c r="M12" s="596">
        <f ca="1">IF(ISERROR(MATCH(M$1,INDIRECT("Table!A"&amp;$AG12):INDIRECT("Table!" &amp; $AJ$69 &amp; $AG12),0)),"",INDIRECT(CONCATENATE("Table!",ADDRESS($AC12,MATCH(M$1,INDIRECT("Table!A" &amp; $AG12):INDIRECT("Table!" &amp; $AJ$69 &amp; $AG12),0)))))</f>
        <v>0.472260844384292</v>
      </c>
      <c r="N12" s="596">
        <f ca="1">IF(ISERROR(MATCH(N$1,INDIRECT("Table!A"&amp;$AG12):INDIRECT("Table!" &amp; $AJ$69 &amp; $AG12),0)),"",INDIRECT(CONCATENATE("Table!",ADDRESS($AC12,MATCH(N$1,INDIRECT("Table!A" &amp; $AG12):INDIRECT("Table!" &amp; $AJ$69 &amp; $AG12),0)))))</f>
        <v>0.67560947412534866</v>
      </c>
      <c r="O12" s="596">
        <f ca="1">IF(ISERROR(MATCH(O$1,INDIRECT("Table!A"&amp;$AG12):INDIRECT("Table!" &amp; $AJ$69 &amp; $AG12),0)),"",INDIRECT(CONCATENATE("Table!",ADDRESS($AC12,MATCH(O$1,INDIRECT("Table!A" &amp; $AG12):INDIRECT("Table!" &amp; $AJ$69 &amp; $AG12),0)))))</f>
        <v>0.83332005458290714</v>
      </c>
      <c r="P12" s="596">
        <f ca="1">IF(ISERROR(MATCH(P$1,INDIRECT("Table!A"&amp;$AG12):INDIRECT("Table!" &amp; $AJ$69 &amp; $AG12),0)),"",INDIRECT(CONCATENATE("Table!",ADDRESS($AC12,MATCH(P$1,INDIRECT("Table!A" &amp; $AG12):INDIRECT("Table!" &amp; $AJ$69 &amp; $AG12),0)))))</f>
        <v>0.28523533577074811</v>
      </c>
      <c r="Q12" s="596">
        <f ca="1">IF(ISERROR(MATCH(Q$1,INDIRECT("Table!A"&amp;$AG12):INDIRECT("Table!" &amp; $AJ$69 &amp; $AG12),0)),"",INDIRECT(CONCATENATE("Table!",ADDRESS($AC12,MATCH(Q$1,INDIRECT("Table!A" &amp; $AG12):INDIRECT("Table!" &amp; $AJ$69 &amp; $AG12),0)))))</f>
        <v>0.6226767603494866</v>
      </c>
      <c r="R12" s="596">
        <f ca="1">IF(ISERROR(MATCH(R$1,INDIRECT("Table!A"&amp;$AG12):INDIRECT("Table!" &amp; $AJ$69 &amp; $AG12),0)),"",INDIRECT(CONCATENATE("Table!",ADDRESS($AC12,MATCH(R$1,INDIRECT("Table!A" &amp; $AG12):INDIRECT("Table!" &amp; $AJ$69 &amp; $AG12),0)))))</f>
        <v>0.6459031772043885</v>
      </c>
      <c r="S12" s="596">
        <f ca="1">IF(ISERROR(MATCH(S$1,INDIRECT("Table!A"&amp;$AG12):INDIRECT("Table!" &amp; $AJ$43 &amp; $AG12),0)),"",INDIRECT(CONCATENATE("Table!",ADDRESS($AC12,MATCH(S$1,INDIRECT("Table!A" &amp; $AG12):INDIRECT("Table!" &amp; $AJ$43 &amp; $AG12),0)))))</f>
        <v>0.28993853239288497</v>
      </c>
      <c r="T12" s="596">
        <f ca="1">IF(ISERROR(MATCH(T$1,INDIRECT("Table!A"&amp;$AG12):INDIRECT("Table!" &amp; $AJ$43 &amp; $AG12),0)),"",INDIRECT(CONCATENATE("Table!",ADDRESS($AC12,MATCH(T$1,INDIRECT("Table!A" &amp; $AG12):INDIRECT("Table!" &amp; $AJ$43 &amp; $AG12),0)))))</f>
        <v>0.28577386258896059</v>
      </c>
      <c r="U12" s="596">
        <f ca="1">IF(ISERROR(MATCH(U$1,INDIRECT("Table!A"&amp;$AG12):INDIRECT("Table!" &amp; $AJ$43 &amp; $AG12),0)),"",INDIRECT(CONCATENATE("Table!",ADDRESS($AC12,MATCH(U$1,INDIRECT("Table!A" &amp; $AG12):INDIRECT("Table!" &amp; $AJ$43 &amp; $AG12),0)))))</f>
        <v>7.5581844779420038E-2</v>
      </c>
      <c r="V12" s="596">
        <f ca="1">IF(ISERROR(MATCH(V$1,INDIRECT("Table!A"&amp;$AG12):INDIRECT("Table!" &amp; $AJ$43 &amp; $AG12),0)),"",INDIRECT(CONCATENATE("Table!",ADDRESS($AC12,MATCH(V$1,INDIRECT("Table!A" &amp; $AG12):INDIRECT("Table!" &amp; $AJ$43 &amp; $AG12),0)))))</f>
        <v>7.3739179413498557E-2</v>
      </c>
      <c r="W12" s="596">
        <f ca="1">IF(ISERROR(MATCH(W$1,INDIRECT("Table!A"&amp;$AG12):INDIRECT("Table!" &amp; $AJ$43 &amp; $AG12),0)),"",INDIRECT(CONCATENATE("Table!",ADDRESS($AC12,MATCH(W$1,INDIRECT("Table!A" &amp; $AG12):INDIRECT("Table!" &amp; $AJ$43 &amp; $AG12),0)))))</f>
        <v>1.2519019731595506E-2</v>
      </c>
      <c r="X12" s="596">
        <f ca="1">IF(ISERROR(MATCH(X$1,INDIRECT("Table!A"&amp;$AG12):INDIRECT("Table!" &amp; $AJ$43 &amp; $AG12),0)),"",INDIRECT(CONCATENATE("Table!",ADDRESS($AC12,MATCH(X$1,INDIRECT("Table!A" &amp; $AG12):INDIRECT("Table!" &amp; $AJ$43 &amp; $AG12),0)))))</f>
        <v>1.2162971696424522E-2</v>
      </c>
      <c r="Y12" s="596" t="str">
        <f ca="1">IF(ISERROR(MATCH(Y$1,INDIRECT("Table!A"&amp;$AG12):INDIRECT("Table!" &amp; $AJ$43 &amp; $AG12),0)),"",INDIRECT(CONCATENATE("Table!",ADDRESS($AC12,MATCH(Y$1,INDIRECT("Table!A" &amp; $AG12):INDIRECT("Table!" &amp; $AJ$43 &amp; $AG12),0)))))</f>
        <v/>
      </c>
      <c r="Z12" s="596" t="str">
        <f ca="1">IF(ISERROR(MATCH(Z$1,INDIRECT("Table!A"&amp;$AG12):INDIRECT("Table!" &amp; $AJ$43 &amp; $AG12),0)),"",INDIRECT(CONCATENATE("Table!",ADDRESS($AC12,MATCH(Z$1,INDIRECT("Table!A" &amp; $AG12):INDIRECT("Table!" &amp; $AJ$43 &amp; $AG12),0)))))</f>
        <v/>
      </c>
      <c r="AA12" s="596" t="str">
        <f ca="1">IF(ISERROR(MATCH(AA$1,INDIRECT("Table!A"&amp;$AG12):INDIRECT("Table!" &amp; $AJ$43 &amp; $AG12),0)),"",INDIRECT(CONCATENATE("Table!",ADDRESS($AC12,MATCH(AA$1,INDIRECT("Table!A" &amp; $AG12):INDIRECT("Table!" &amp; $AJ$43 &amp; $AG12),0)))))</f>
        <v/>
      </c>
      <c r="AB12" s="596" t="str">
        <f ca="1">IF(ISERROR(MATCH(AB$1,INDIRECT("Table!A"&amp;$AG12):INDIRECT("Table!" &amp; $AJ$43 &amp; $AG12),0)),"",INDIRECT(CONCATENATE("Table!",ADDRESS($AC12,MATCH(AB$1,INDIRECT("Table!A" &amp; $AG12):INDIRECT("Table!" &amp; $AJ$43 &amp; $AG12),0)))))</f>
        <v/>
      </c>
      <c r="AC12" s="595">
        <f>MATCH($A12,Table!$A:$A,0)+$AE$2-1</f>
        <v>132</v>
      </c>
      <c r="AD12" s="816"/>
      <c r="AE12" s="816"/>
      <c r="AF12" s="816"/>
      <c r="AG12" s="595">
        <f>MATCH($A12,Table!$A:$A,0)+$AI$2-1</f>
        <v>129</v>
      </c>
      <c r="AH12" s="816"/>
      <c r="AJ12" s="743" t="s">
        <v>285</v>
      </c>
    </row>
    <row r="13" spans="1:36" s="743" customFormat="1" ht="15.75" customHeight="1" x14ac:dyDescent="0.25">
      <c r="A13" s="592">
        <v>41745</v>
      </c>
      <c r="B13" s="596">
        <f ca="1">IF(ISERROR(MATCH(B$1,INDIRECT("Table!A"&amp;$AG13):INDIRECT("Table!" &amp; $AJ$91 &amp; $AG13),0)),"",INDIRECT(CONCATENATE("Table!",ADDRESS($AC13,MATCH(B$1,INDIRECT("Table!A" &amp; $AG13):INDIRECT("Table!" &amp; $AJ$90 &amp; $AG13),0)))))</f>
        <v>0.42210173331242823</v>
      </c>
      <c r="C13" s="596">
        <f ca="1">IF(ISERROR(MATCH(C$1,INDIRECT("Table!A"&amp;$AG13):INDIRECT("Table!" &amp; $AJ$90 &amp; $AG13),0)),"",INDIRECT(CONCATENATE("Table!",ADDRESS($AC13,MATCH(C$1,INDIRECT("Table!A" &amp; $AG13):INDIRECT("Table!" &amp; $AJ$90 &amp; $AG13),0)))))</f>
        <v>0.55731025195210893</v>
      </c>
      <c r="D13" s="596">
        <f ca="1">IF(ISERROR(MATCH(D$1,INDIRECT("Table!A"&amp;$AG13):INDIRECT("Table!" &amp; $AJ$90 &amp; $AG13),0)),"",INDIRECT(CONCATENATE("Table!",ADDRESS($AC13,MATCH(D$1,INDIRECT("Table!A" &amp; $AG13):INDIRECT("Table!" &amp; $AJ$90 &amp; $AG13),0)))))</f>
        <v>0.56622687050672782</v>
      </c>
      <c r="E13" s="596">
        <f ca="1">IF(ISERROR(MATCH(E$1,INDIRECT("Table!A"&amp;$AG13):INDIRECT("Table!" &amp; $AJ$90 &amp; $AG13),0)),"",INDIRECT(CONCATENATE("Table!",ADDRESS($AC13,MATCH(E$1,INDIRECT("Table!A" &amp; $AG13):INDIRECT("Table!" &amp; $AJ$90 &amp; $AG13),0)))))</f>
        <v>0.8271065523508947</v>
      </c>
      <c r="F13" s="596">
        <f ca="1">IF(ISERROR(MATCH(F$1,INDIRECT("Table!A"&amp;$AG13):INDIRECT("Table!" &amp; $AJ$90 &amp; $AG13),0)),"",INDIRECT(CONCATENATE("Table!",ADDRESS($AC13,MATCH(F$1,INDIRECT("Table!A" &amp; $AG13):INDIRECT("Table!" &amp; $AJ$90 &amp; $AG13),0)))))</f>
        <v>0.67939989997930805</v>
      </c>
      <c r="G13" s="596">
        <f ca="1">IF(ISERROR(MATCH(G$1,INDIRECT("Table!A"&amp;$AG13):INDIRECT("Table!" &amp; $AJ$90 &amp; $AG13),0)),"",INDIRECT(CONCATENATE("Table!",ADDRESS($AC13,MATCH(G$1,INDIRECT("Table!A" &amp; $AG13):INDIRECT("Table!" &amp; $AJ$90 &amp; $AG13),0)))))</f>
        <v>0.53466451008331084</v>
      </c>
      <c r="H13" s="596">
        <f ca="1">IF(ISERROR(MATCH(H$1,INDIRECT("Table!A"&amp;$AG13):INDIRECT("Table!" &amp; $AJ$90 &amp; $AG13),0)),"",INDIRECT(CONCATENATE("Table!",ADDRESS($AC13,MATCH(H$1,INDIRECT("Table!A" &amp; $AG13):INDIRECT("Table!" &amp; $AJ$90 &amp; $AG13),0)))))</f>
        <v>0.71225494329134087</v>
      </c>
      <c r="I13" s="596">
        <f ca="1">IF(ISERROR(MATCH(I$1,INDIRECT("Table!A"&amp;$AG13):INDIRECT("Table!" &amp; $AJ$69 &amp; $AG13),0)),"",INDIRECT(CONCATENATE("Table!",ADDRESS($AC13,MATCH(I$1,INDIRECT("Table!A" &amp; $AG13):INDIRECT("Table!" &amp; $AJ$69 &amp; $AG13),0)))))</f>
        <v>0.26910323408472769</v>
      </c>
      <c r="J13" s="596">
        <f ca="1">IF(ISERROR(MATCH(J$1,INDIRECT("Table!A"&amp;$AG13):INDIRECT("Table!" &amp; $AJ$69 &amp; $AG13),0)),"",INDIRECT(CONCATENATE("Table!",ADDRESS($AC13,MATCH(J$1,INDIRECT("Table!A" &amp; $AG13):INDIRECT("Table!" &amp; $AJ$69 &amp; $AG13),0)))))</f>
        <v>0.62171341211683351</v>
      </c>
      <c r="K13" s="596">
        <f ca="1">IF(ISERROR(MATCH(K$1,INDIRECT("Table!A"&amp;$AG13):INDIRECT("Table!" &amp; $AJ$69 &amp; $AG13),0)),"",INDIRECT(CONCATENATE("Table!",ADDRESS($AC13,MATCH(K$1,INDIRECT("Table!A" &amp; $AG13):INDIRECT("Table!" &amp; $AJ$69 &amp; $AG13),0)))))</f>
        <v>0.18831871298051692</v>
      </c>
      <c r="L13" s="596">
        <f ca="1">IF(ISERROR(MATCH(L$1,INDIRECT("Table!A"&amp;$AG13):INDIRECT("Table!" &amp; $AJ$69 &amp; $AG13),0)),"",INDIRECT(CONCATENATE("Table!",ADDRESS($AC13,MATCH(L$1,INDIRECT("Table!A" &amp; $AG13):INDIRECT("Table!" &amp; $AJ$69 &amp; $AG13),0)))))</f>
        <v>0.82261327437158427</v>
      </c>
      <c r="M13" s="596">
        <f ca="1">IF(ISERROR(MATCH(M$1,INDIRECT("Table!A"&amp;$AG13):INDIRECT("Table!" &amp; $AJ$69 &amp; $AG13),0)),"",INDIRECT(CONCATENATE("Table!",ADDRESS($AC13,MATCH(M$1,INDIRECT("Table!A" &amp; $AG13):INDIRECT("Table!" &amp; $AJ$69 &amp; $AG13),0)))))</f>
        <v>0.47082754571392121</v>
      </c>
      <c r="N13" s="596">
        <f ca="1">IF(ISERROR(MATCH(N$1,INDIRECT("Table!A"&amp;$AG13):INDIRECT("Table!" &amp; $AJ$69 &amp; $AG13),0)),"",INDIRECT(CONCATENATE("Table!",ADDRESS($AC13,MATCH(N$1,INDIRECT("Table!A" &amp; $AG13):INDIRECT("Table!" &amp; $AJ$69 &amp; $AG13),0)))))</f>
        <v>0.69701633453277267</v>
      </c>
      <c r="O13" s="596">
        <f ca="1">IF(ISERROR(MATCH(O$1,INDIRECT("Table!A"&amp;$AG13):INDIRECT("Table!" &amp; $AJ$69 &amp; $AG13),0)),"",INDIRECT(CONCATENATE("Table!",ADDRESS($AC13,MATCH(O$1,INDIRECT("Table!A" &amp; $AG13):INDIRECT("Table!" &amp; $AJ$69 &amp; $AG13),0)))))</f>
        <v>0.81769048246770359</v>
      </c>
      <c r="P13" s="596">
        <f ca="1">IF(ISERROR(MATCH(P$1,INDIRECT("Table!A"&amp;$AG13):INDIRECT("Table!" &amp; $AJ$69 &amp; $AG13),0)),"",INDIRECT(CONCATENATE("Table!",ADDRESS($AC13,MATCH(P$1,INDIRECT("Table!A" &amp; $AG13):INDIRECT("Table!" &amp; $AJ$69 &amp; $AG13),0)))))</f>
        <v>0.27895875181240576</v>
      </c>
      <c r="Q13" s="596">
        <f ca="1">IF(ISERROR(MATCH(Q$1,INDIRECT("Table!A"&amp;$AG13):INDIRECT("Table!" &amp; $AJ$69 &amp; $AG13),0)),"",INDIRECT(CONCATENATE("Table!",ADDRESS($AC13,MATCH(Q$1,INDIRECT("Table!A" &amp; $AG13):INDIRECT("Table!" &amp; $AJ$69 &amp; $AG13),0)))))</f>
        <v>0.61634855144239953</v>
      </c>
      <c r="R13" s="596">
        <f ca="1">IF(ISERROR(MATCH(R$1,INDIRECT("Table!A"&amp;$AG13):INDIRECT("Table!" &amp; $AJ$69 &amp; $AG13),0)),"",INDIRECT(CONCATENATE("Table!",ADDRESS($AC13,MATCH(R$1,INDIRECT("Table!A" &amp; $AG13):INDIRECT("Table!" &amp; $AJ$69 &amp; $AG13),0)))))</f>
        <v>0.63729162873229583</v>
      </c>
      <c r="S13" s="596">
        <f ca="1">IF(ISERROR(MATCH(S$1,INDIRECT("Table!A"&amp;$AG13):INDIRECT("Table!" &amp; $AJ$43 &amp; $AG13),0)),"",INDIRECT(CONCATENATE("Table!",ADDRESS($AC13,MATCH(S$1,INDIRECT("Table!A" &amp; $AG13):INDIRECT("Table!" &amp; $AJ$43 &amp; $AG13),0)))))</f>
        <v>0.28993853239288497</v>
      </c>
      <c r="T13" s="596">
        <f ca="1">IF(ISERROR(MATCH(T$1,INDIRECT("Table!A"&amp;$AG13):INDIRECT("Table!" &amp; $AJ$43 &amp; $AG13),0)),"",INDIRECT(CONCATENATE("Table!",ADDRESS($AC13,MATCH(T$1,INDIRECT("Table!A" &amp; $AG13):INDIRECT("Table!" &amp; $AJ$43 &amp; $AG13),0)))))</f>
        <v>0.28577386258896059</v>
      </c>
      <c r="U13" s="596">
        <f ca="1">IF(ISERROR(MATCH(U$1,INDIRECT("Table!A"&amp;$AG13):INDIRECT("Table!" &amp; $AJ$43 &amp; $AG13),0)),"",INDIRECT(CONCATENATE("Table!",ADDRESS($AC13,MATCH(U$1,INDIRECT("Table!A" &amp; $AG13):INDIRECT("Table!" &amp; $AJ$43 &amp; $AG13),0)))))</f>
        <v>7.0175593097610969E-2</v>
      </c>
      <c r="V13" s="596">
        <f ca="1">IF(ISERROR(MATCH(V$1,INDIRECT("Table!A"&amp;$AG13):INDIRECT("Table!" &amp; $AJ$43 &amp; $AG13),0)),"",INDIRECT(CONCATENATE("Table!",ADDRESS($AC13,MATCH(V$1,INDIRECT("Table!A" &amp; $AG13):INDIRECT("Table!" &amp; $AJ$43 &amp; $AG13),0)))))</f>
        <v>6.8465582957233179E-2</v>
      </c>
      <c r="W13" s="596">
        <f ca="1">IF(ISERROR(MATCH(W$1,INDIRECT("Table!A"&amp;$AG13):INDIRECT("Table!" &amp; $AJ$43 &amp; $AG13),0)),"",INDIRECT(CONCATENATE("Table!",ADDRESS($AC13,MATCH(W$1,INDIRECT("Table!A" &amp; $AG13):INDIRECT("Table!" &amp; $AJ$43 &amp; $AG13),0)))))</f>
        <v>3.0333719843634569E-5</v>
      </c>
      <c r="X13" s="596">
        <f ca="1">IF(ISERROR(MATCH(X$1,INDIRECT("Table!A"&amp;$AG13):INDIRECT("Table!" &amp; $AJ$43 &amp; $AG13),0)),"",INDIRECT(CONCATENATE("Table!",ADDRESS($AC13,MATCH(X$1,INDIRECT("Table!A" &amp; $AG13):INDIRECT("Table!" &amp; $AJ$43 &amp; $AG13),0)))))</f>
        <v>2.8640096612592574E-5</v>
      </c>
      <c r="Y13" s="596" t="str">
        <f ca="1">IF(ISERROR(MATCH(Y$1,INDIRECT("Table!A"&amp;$AG13):INDIRECT("Table!" &amp; $AJ$43 &amp; $AG13),0)),"",INDIRECT(CONCATENATE("Table!",ADDRESS($AC13,MATCH(Y$1,INDIRECT("Table!A" &amp; $AG13):INDIRECT("Table!" &amp; $AJ$43 &amp; $AG13),0)))))</f>
        <v/>
      </c>
      <c r="Z13" s="596" t="str">
        <f ca="1">IF(ISERROR(MATCH(Z$1,INDIRECT("Table!A"&amp;$AG13):INDIRECT("Table!" &amp; $AJ$43 &amp; $AG13),0)),"",INDIRECT(CONCATENATE("Table!",ADDRESS($AC13,MATCH(Z$1,INDIRECT("Table!A" &amp; $AG13):INDIRECT("Table!" &amp; $AJ$43 &amp; $AG13),0)))))</f>
        <v/>
      </c>
      <c r="AA13" s="596" t="str">
        <f ca="1">IF(ISERROR(MATCH(AA$1,INDIRECT("Table!A"&amp;$AG13):INDIRECT("Table!" &amp; $AJ$43 &amp; $AG13),0)),"",INDIRECT(CONCATENATE("Table!",ADDRESS($AC13,MATCH(AA$1,INDIRECT("Table!A" &amp; $AG13):INDIRECT("Table!" &amp; $AJ$43 &amp; $AG13),0)))))</f>
        <v/>
      </c>
      <c r="AB13" s="596" t="str">
        <f ca="1">IF(ISERROR(MATCH(AB$1,INDIRECT("Table!A"&amp;$AG13):INDIRECT("Table!" &amp; $AJ$43 &amp; $AG13),0)),"",INDIRECT(CONCATENATE("Table!",ADDRESS($AC13,MATCH(AB$1,INDIRECT("Table!A" &amp; $AG13):INDIRECT("Table!" &amp; $AJ$43 &amp; $AG13),0)))))</f>
        <v/>
      </c>
      <c r="AC13" s="595">
        <f>MATCH($A13,Table!$A:$A,0)+$AE$2-1</f>
        <v>146</v>
      </c>
      <c r="AD13" s="769"/>
      <c r="AE13" s="769"/>
      <c r="AF13" s="769"/>
      <c r="AG13" s="595">
        <f>MATCH($A13,Table!$A:$A,0)+$AI$2-1</f>
        <v>143</v>
      </c>
      <c r="AH13" s="769"/>
      <c r="AJ13" s="743" t="s">
        <v>285</v>
      </c>
    </row>
    <row r="14" spans="1:36" s="743" customFormat="1" ht="15.75" customHeight="1" x14ac:dyDescent="0.25">
      <c r="A14" s="592">
        <v>41739</v>
      </c>
      <c r="B14" s="596">
        <f ca="1">IF(ISERROR(MATCH(B$1,INDIRECT("Table!A"&amp;$AG14):INDIRECT("Table!" &amp; $AJ$91 &amp; $AG14),0)),"",INDIRECT(CONCATENATE("Table!",ADDRESS($AC14,MATCH(B$1,INDIRECT("Table!A" &amp; $AG14):INDIRECT("Table!" &amp; $AJ$90 &amp; $AG14),0)))))</f>
        <v>0.42175055915884591</v>
      </c>
      <c r="C14" s="596">
        <f ca="1">IF(ISERROR(MATCH(C$1,INDIRECT("Table!A"&amp;$AG14):INDIRECT("Table!" &amp; $AJ$90 &amp; $AG14),0)),"",INDIRECT(CONCATENATE("Table!",ADDRESS($AC14,MATCH(C$1,INDIRECT("Table!A" &amp; $AG14):INDIRECT("Table!" &amp; $AJ$90 &amp; $AG14),0)))))</f>
        <v>0.5567475236967061</v>
      </c>
      <c r="D14" s="596">
        <f ca="1">IF(ISERROR(MATCH(D$1,INDIRECT("Table!A"&amp;$AG14):INDIRECT("Table!" &amp; $AJ$90 &amp; $AG14),0)),"",INDIRECT(CONCATENATE("Table!",ADDRESS($AC14,MATCH(D$1,INDIRECT("Table!A" &amp; $AG14):INDIRECT("Table!" &amp; $AJ$90 &amp; $AG14),0)))))</f>
        <v>0.56566347787321936</v>
      </c>
      <c r="E14" s="596">
        <f ca="1">IF(ISERROR(MATCH(E$1,INDIRECT("Table!A"&amp;$AG14):INDIRECT("Table!" &amp; $AJ$90 &amp; $AG14),0)),"",INDIRECT(CONCATENATE("Table!",ADDRESS($AC14,MATCH(E$1,INDIRECT("Table!A" &amp; $AG14):INDIRECT("Table!" &amp; $AJ$90 &amp; $AG14),0)))))</f>
        <v>0.82636863539759609</v>
      </c>
      <c r="F14" s="596">
        <f ca="1">IF(ISERROR(MATCH(F$1,INDIRECT("Table!A"&amp;$AG14):INDIRECT("Table!" &amp; $AJ$90 &amp; $AG14),0)),"",INDIRECT(CONCATENATE("Table!",ADDRESS($AC14,MATCH(F$1,INDIRECT("Table!A" &amp; $AG14):INDIRECT("Table!" &amp; $AJ$90 &amp; $AG14),0)))))</f>
        <v>0.69521378668807843</v>
      </c>
      <c r="G14" s="596">
        <f ca="1">IF(ISERROR(MATCH(G$1,INDIRECT("Table!A"&amp;$AG14):INDIRECT("Table!" &amp; $AJ$90 &amp; $AG14),0)),"",INDIRECT(CONCATENATE("Table!",ADDRESS($AC14,MATCH(G$1,INDIRECT("Table!A" &amp; $AG14):INDIRECT("Table!" &amp; $AJ$90 &amp; $AG14),0)))))</f>
        <v>0.53042399969191667</v>
      </c>
      <c r="H14" s="596">
        <f ca="1">IF(ISERROR(MATCH(H$1,INDIRECT("Table!A"&amp;$AG14):INDIRECT("Table!" &amp; $AJ$90 &amp; $AG14),0)),"",INDIRECT(CONCATENATE("Table!",ADDRESS($AC14,MATCH(H$1,INDIRECT("Table!A" &amp; $AG14):INDIRECT("Table!" &amp; $AJ$90 &amp; $AG14),0)))))</f>
        <v>0.70575110989646783</v>
      </c>
      <c r="I14" s="596">
        <f ca="1">IF(ISERROR(MATCH(I$1,INDIRECT("Table!A"&amp;$AG14):INDIRECT("Table!" &amp; $AJ$69 &amp; $AG14),0)),"",INDIRECT(CONCATENATE("Table!",ADDRESS($AC14,MATCH(I$1,INDIRECT("Table!A" &amp; $AG14):INDIRECT("Table!" &amp; $AJ$69 &amp; $AG14),0)))))</f>
        <v>0.26867933662455989</v>
      </c>
      <c r="J14" s="596">
        <f ca="1">IF(ISERROR(MATCH(J$1,INDIRECT("Table!A"&amp;$AG14):INDIRECT("Table!" &amp; $AJ$69 &amp; $AG14),0)),"",INDIRECT(CONCATENATE("Table!",ADDRESS($AC14,MATCH(J$1,INDIRECT("Table!A" &amp; $AG14):INDIRECT("Table!" &amp; $AJ$69 &amp; $AG14),0)))))</f>
        <v>0.61931458999896782</v>
      </c>
      <c r="K14" s="596">
        <f ca="1">IF(ISERROR(MATCH(K$1,INDIRECT("Table!A"&amp;$AG14):INDIRECT("Table!" &amp; $AJ$69 &amp; $AG14),0)),"",INDIRECT(CONCATENATE("Table!",ADDRESS($AC14,MATCH(K$1,INDIRECT("Table!A" &amp; $AG14):INDIRECT("Table!" &amp; $AJ$69 &amp; $AG14),0)))))</f>
        <v>0.15712461039169692</v>
      </c>
      <c r="L14" s="596">
        <f ca="1">IF(ISERROR(MATCH(L$1,INDIRECT("Table!A"&amp;$AG14):INDIRECT("Table!" &amp; $AJ$69 &amp; $AG14),0)),"",INDIRECT(CONCATENATE("Table!",ADDRESS($AC14,MATCH(L$1,INDIRECT("Table!A" &amp; $AG14):INDIRECT("Table!" &amp; $AJ$69 &amp; $AG14),0)))))</f>
        <v>0.82109692269196721</v>
      </c>
      <c r="M14" s="596">
        <f ca="1">IF(ISERROR(MATCH(M$1,INDIRECT("Table!A"&amp;$AG14):INDIRECT("Table!" &amp; $AJ$69 &amp; $AG14),0)),"",INDIRECT(CONCATENATE("Table!",ADDRESS($AC14,MATCH(M$1,INDIRECT("Table!A" &amp; $AG14):INDIRECT("Table!" &amp; $AJ$69 &amp; $AG14),0)))))</f>
        <v>0.46752737609588241</v>
      </c>
      <c r="N14" s="596">
        <f ca="1">IF(ISERROR(MATCH(N$1,INDIRECT("Table!A"&amp;$AG14):INDIRECT("Table!" &amp; $AJ$69 &amp; $AG14),0)),"",INDIRECT(CONCATENATE("Table!",ADDRESS($AC14,MATCH(N$1,INDIRECT("Table!A" &amp; $AG14):INDIRECT("Table!" &amp; $AJ$69 &amp; $AG14),0)))))</f>
        <v>0.71278366257701209</v>
      </c>
      <c r="O14" s="596">
        <f ca="1">IF(ISERROR(MATCH(O$1,INDIRECT("Table!A"&amp;$AG14):INDIRECT("Table!" &amp; $AJ$69 &amp; $AG14),0)),"",INDIRECT(CONCATENATE("Table!",ADDRESS($AC14,MATCH(O$1,INDIRECT("Table!A" &amp; $AG14):INDIRECT("Table!" &amp; $AJ$69 &amp; $AG14),0)))))</f>
        <v>0.80970874630247158</v>
      </c>
      <c r="P14" s="596">
        <f ca="1">IF(ISERROR(MATCH(P$1,INDIRECT("Table!A"&amp;$AG14):INDIRECT("Table!" &amp; $AJ$69 &amp; $AG14),0)),"",INDIRECT(CONCATENATE("Table!",ADDRESS($AC14,MATCH(P$1,INDIRECT("Table!A" &amp; $AG14):INDIRECT("Table!" &amp; $AJ$69 &amp; $AG14),0)))))</f>
        <v>0.27841322369783761</v>
      </c>
      <c r="Q14" s="596">
        <f ca="1">IF(ISERROR(MATCH(Q$1,INDIRECT("Table!A"&amp;$AG14):INDIRECT("Table!" &amp; $AJ$69 &amp; $AG14),0)),"",INDIRECT(CONCATENATE("Table!",ADDRESS($AC14,MATCH(Q$1,INDIRECT("Table!A" &amp; $AG14):INDIRECT("Table!" &amp; $AJ$69 &amp; $AG14),0)))))</f>
        <v>0.6158031961473388</v>
      </c>
      <c r="R14" s="596">
        <f ca="1">IF(ISERROR(MATCH(R$1,INDIRECT("Table!A"&amp;$AG14):INDIRECT("Table!" &amp; $AJ$69 &amp; $AG14),0)),"",INDIRECT(CONCATENATE("Table!",ADDRESS($AC14,MATCH(R$1,INDIRECT("Table!A" &amp; $AG14):INDIRECT("Table!" &amp; $AJ$69 &amp; $AG14),0)))))</f>
        <v>0.62493261070588269</v>
      </c>
      <c r="S14" s="596">
        <f ca="1">IF(ISERROR(MATCH(S$1,INDIRECT("Table!A"&amp;$AG14):INDIRECT("Table!" &amp; $AJ$43 &amp; $AG14),0)),"",INDIRECT(CONCATENATE("Table!",ADDRESS($AC14,MATCH(S$1,INDIRECT("Table!A" &amp; $AG14):INDIRECT("Table!" &amp; $AJ$43 &amp; $AG14),0)))))</f>
        <v>0.25559101376221649</v>
      </c>
      <c r="T14" s="596">
        <f ca="1">IF(ISERROR(MATCH(T$1,INDIRECT("Table!A"&amp;$AG14):INDIRECT("Table!" &amp; $AJ$43 &amp; $AG14),0)),"",INDIRECT(CONCATENATE("Table!",ADDRESS($AC14,MATCH(T$1,INDIRECT("Table!A" &amp; $AG14):INDIRECT("Table!" &amp; $AJ$43 &amp; $AG14),0)))))</f>
        <v>0.22119641588975689</v>
      </c>
      <c r="U14" s="596">
        <f ca="1">IF(ISERROR(MATCH(U$1,INDIRECT("Table!A"&amp;$AG14):INDIRECT("Table!" &amp; $AJ$43 &amp; $AG14),0)),"",INDIRECT(CONCATENATE("Table!",ADDRESS($AC14,MATCH(U$1,INDIRECT("Table!A" &amp; $AG14):INDIRECT("Table!" &amp; $AJ$43 &amp; $AG14),0)))))</f>
        <v>6.9868341870807704E-2</v>
      </c>
      <c r="V14" s="596">
        <f ca="1">IF(ISERROR(MATCH(V$1,INDIRECT("Table!A"&amp;$AG14):INDIRECT("Table!" &amp; $AJ$43 &amp; $AG14),0)),"",INDIRECT(CONCATENATE("Table!",ADDRESS($AC14,MATCH(V$1,INDIRECT("Table!A" &amp; $AG14):INDIRECT("Table!" &amp; $AJ$43 &amp; $AG14),0)))))</f>
        <v>6.8165816612688043E-2</v>
      </c>
      <c r="W14" s="596" t="str">
        <f ca="1">IF(ISERROR(MATCH(W$1,INDIRECT("Table!A"&amp;$AG14):INDIRECT("Table!" &amp; $AJ$43 &amp; $AG14),0)),"",INDIRECT(CONCATENATE("Table!",ADDRESS($AC14,MATCH(W$1,INDIRECT("Table!A" &amp; $AG14):INDIRECT("Table!" &amp; $AJ$43 &amp; $AG14),0)))))</f>
        <v/>
      </c>
      <c r="X14" s="596" t="str">
        <f ca="1">IF(ISERROR(MATCH(X$1,INDIRECT("Table!A"&amp;$AG14):INDIRECT("Table!" &amp; $AJ$43 &amp; $AG14),0)),"",INDIRECT(CONCATENATE("Table!",ADDRESS($AC14,MATCH(X$1,INDIRECT("Table!A" &amp; $AG14):INDIRECT("Table!" &amp; $AJ$43 &amp; $AG14),0)))))</f>
        <v/>
      </c>
      <c r="Y14" s="596" t="str">
        <f ca="1">IF(ISERROR(MATCH(Y$1,INDIRECT("Table!A"&amp;$AG14):INDIRECT("Table!" &amp; $AJ$43 &amp; $AG14),0)),"",INDIRECT(CONCATENATE("Table!",ADDRESS($AC14,MATCH(Y$1,INDIRECT("Table!A" &amp; $AG14):INDIRECT("Table!" &amp; $AJ$43 &amp; $AG14),0)))))</f>
        <v/>
      </c>
      <c r="Z14" s="596" t="str">
        <f ca="1">IF(ISERROR(MATCH(Z$1,INDIRECT("Table!A"&amp;$AG14):INDIRECT("Table!" &amp; $AJ$43 &amp; $AG14),0)),"",INDIRECT(CONCATENATE("Table!",ADDRESS($AC14,MATCH(Z$1,INDIRECT("Table!A" &amp; $AG14):INDIRECT("Table!" &amp; $AJ$43 &amp; $AG14),0)))))</f>
        <v/>
      </c>
      <c r="AA14" s="596" t="str">
        <f ca="1">IF(ISERROR(MATCH(AA$1,INDIRECT("Table!A"&amp;$AG14):INDIRECT("Table!" &amp; $AJ$43 &amp; $AG14),0)),"",INDIRECT(CONCATENATE("Table!",ADDRESS($AC14,MATCH(AA$1,INDIRECT("Table!A" &amp; $AG14):INDIRECT("Table!" &amp; $AJ$43 &amp; $AG14),0)))))</f>
        <v/>
      </c>
      <c r="AB14" s="596" t="str">
        <f ca="1">IF(ISERROR(MATCH(AB$1,INDIRECT("Table!A"&amp;$AG14):INDIRECT("Table!" &amp; $AJ$43 &amp; $AG14),0)),"",INDIRECT(CONCATENATE("Table!",ADDRESS($AC14,MATCH(AB$1,INDIRECT("Table!A" &amp; $AG14):INDIRECT("Table!" &amp; $AJ$43 &amp; $AG14),0)))))</f>
        <v/>
      </c>
      <c r="AC14" s="595">
        <f>MATCH($A14,Table!$A:$A,0)+$AE$2-1</f>
        <v>160</v>
      </c>
      <c r="AD14" s="764"/>
      <c r="AE14" s="764"/>
      <c r="AF14" s="764"/>
      <c r="AG14" s="595">
        <f>MATCH($A14,Table!$A:$A,0)+$AI$2-1</f>
        <v>157</v>
      </c>
      <c r="AH14" s="764"/>
      <c r="AJ14" s="743" t="s">
        <v>285</v>
      </c>
    </row>
    <row r="15" spans="1:36" s="743" customFormat="1" ht="15.75" customHeight="1" x14ac:dyDescent="0.25">
      <c r="A15" s="592">
        <v>41732</v>
      </c>
      <c r="B15" s="596">
        <f ca="1">IF(ISERROR(MATCH(B$1,INDIRECT("Table!A"&amp;$AG15):INDIRECT("Table!" &amp; $AJ$91 &amp; $AG15),0)),"",INDIRECT(CONCATENATE("Table!",ADDRESS($AC15,MATCH(B$1,INDIRECT("Table!A" &amp; $AG15):INDIRECT("Table!" &amp; $AJ$90 &amp; $AG15),0)))))</f>
        <v>0.41818722142050346</v>
      </c>
      <c r="C15" s="596">
        <f ca="1">IF(ISERROR(MATCH(C$1,INDIRECT("Table!A"&amp;$AG15):INDIRECT("Table!" &amp; $AJ$90 &amp; $AG15),0)),"",INDIRECT(CONCATENATE("Table!",ADDRESS($AC15,MATCH(C$1,INDIRECT("Table!A" &amp; $AG15):INDIRECT("Table!" &amp; $AJ$90 &amp; $AG15),0)))))</f>
        <v>0.55370932262001493</v>
      </c>
      <c r="D15" s="596">
        <f ca="1">IF(ISERROR(MATCH(D$1,INDIRECT("Table!A"&amp;$AG15):INDIRECT("Table!" &amp; $AJ$90 &amp; $AG15),0)),"",INDIRECT(CONCATENATE("Table!",ADDRESS($AC15,MATCH(D$1,INDIRECT("Table!A" &amp; $AG15):INDIRECT("Table!" &amp; $AJ$90 &amp; $AG15),0)))))</f>
        <v>0.56266381072665028</v>
      </c>
      <c r="E15" s="596">
        <f ca="1">IF(ISERROR(MATCH(E$1,INDIRECT("Table!A"&amp;$AG15):INDIRECT("Table!" &amp; $AJ$90 &amp; $AG15),0)),"",INDIRECT(CONCATENATE("Table!",ADDRESS($AC15,MATCH(E$1,INDIRECT("Table!A" &amp; $AG15):INDIRECT("Table!" &amp; $AJ$90 &amp; $AG15),0)))))</f>
        <v>0.82532412301619573</v>
      </c>
      <c r="F15" s="596">
        <f ca="1">IF(ISERROR(MATCH(F$1,INDIRECT("Table!A"&amp;$AG15):INDIRECT("Table!" &amp; $AJ$90 &amp; $AG15),0)),"",INDIRECT(CONCATENATE("Table!",ADDRESS($AC15,MATCH(F$1,INDIRECT("Table!A" &amp; $AG15):INDIRECT("Table!" &amp; $AJ$90 &amp; $AG15),0)))))</f>
        <v>0.69374243284346515</v>
      </c>
      <c r="G15" s="596">
        <f ca="1">IF(ISERROR(MATCH(G$1,INDIRECT("Table!A"&amp;$AG15):INDIRECT("Table!" &amp; $AJ$90 &amp; $AG15),0)),"",INDIRECT(CONCATENATE("Table!",ADDRESS($AC15,MATCH(G$1,INDIRECT("Table!A" &amp; $AG15):INDIRECT("Table!" &amp; $AJ$90 &amp; $AG15),0)))))</f>
        <v>0.52918011322062619</v>
      </c>
      <c r="H15" s="596">
        <f ca="1">IF(ISERROR(MATCH(H$1,INDIRECT("Table!A"&amp;$AG15):INDIRECT("Table!" &amp; $AJ$90 &amp; $AG15),0)),"",INDIRECT(CONCATENATE("Table!",ADDRESS($AC15,MATCH(H$1,INDIRECT("Table!A" &amp; $AG15):INDIRECT("Table!" &amp; $AJ$90 &amp; $AG15),0)))))</f>
        <v>0.70290128535750729</v>
      </c>
      <c r="I15" s="596">
        <f ca="1">IF(ISERROR(MATCH(I$1,INDIRECT("Table!A"&amp;$AG15):INDIRECT("Table!" &amp; $AJ$69 &amp; $AG15),0)),"",INDIRECT(CONCATENATE("Table!",ADDRESS($AC15,MATCH(I$1,INDIRECT("Table!A" &amp; $AG15):INDIRECT("Table!" &amp; $AJ$69 &amp; $AG15),0)))))</f>
        <v>0.26061324233988992</v>
      </c>
      <c r="J15" s="596">
        <f ca="1">IF(ISERROR(MATCH(J$1,INDIRECT("Table!A"&amp;$AG15):INDIRECT("Table!" &amp; $AJ$69 &amp; $AG15),0)),"",INDIRECT(CONCATENATE("Table!",ADDRESS($AC15,MATCH(J$1,INDIRECT("Table!A" &amp; $AG15):INDIRECT("Table!" &amp; $AJ$69 &amp; $AG15),0)))))</f>
        <v>0.61362837367117351</v>
      </c>
      <c r="K15" s="596">
        <f ca="1">IF(ISERROR(MATCH(K$1,INDIRECT("Table!A"&amp;$AG15):INDIRECT("Table!" &amp; $AJ$69 &amp; $AG15),0)),"",INDIRECT(CONCATENATE("Table!",ADDRESS($AC15,MATCH(K$1,INDIRECT("Table!A" &amp; $AG15):INDIRECT("Table!" &amp; $AJ$69 &amp; $AG15),0)))))</f>
        <v>0.14275507070966728</v>
      </c>
      <c r="L15" s="596">
        <f ca="1">IF(ISERROR(MATCH(L$1,INDIRECT("Table!A"&amp;$AG15):INDIRECT("Table!" &amp; $AJ$69 &amp; $AG15),0)),"",INDIRECT(CONCATENATE("Table!",ADDRESS($AC15,MATCH(L$1,INDIRECT("Table!A" &amp; $AG15):INDIRECT("Table!" &amp; $AJ$69 &amp; $AG15),0)))))</f>
        <v>0.82046023112577326</v>
      </c>
      <c r="M15" s="596">
        <f ca="1">IF(ISERROR(MATCH(M$1,INDIRECT("Table!A"&amp;$AG15):INDIRECT("Table!" &amp; $AJ$69 &amp; $AG15),0)),"",INDIRECT(CONCATENATE("Table!",ADDRESS($AC15,MATCH(M$1,INDIRECT("Table!A" &amp; $AG15):INDIRECT("Table!" &amp; $AJ$69 &amp; $AG15),0)))))</f>
        <v>0.46492320408087356</v>
      </c>
      <c r="N15" s="596">
        <f ca="1">IF(ISERROR(MATCH(N$1,INDIRECT("Table!A"&amp;$AG15):INDIRECT("Table!" &amp; $AJ$69 &amp; $AG15),0)),"",INDIRECT(CONCATENATE("Table!",ADDRESS($AC15,MATCH(N$1,INDIRECT("Table!A" &amp; $AG15):INDIRECT("Table!" &amp; $AJ$69 &amp; $AG15),0)))))</f>
        <v>0.7174140281410617</v>
      </c>
      <c r="O15" s="596">
        <f ca="1">IF(ISERROR(MATCH(O$1,INDIRECT("Table!A"&amp;$AG15):INDIRECT("Table!" &amp; $AJ$69 &amp; $AG15),0)),"",INDIRECT(CONCATENATE("Table!",ADDRESS($AC15,MATCH(O$1,INDIRECT("Table!A" &amp; $AG15):INDIRECT("Table!" &amp; $AJ$69 &amp; $AG15),0)))))</f>
        <v>0.8071719013915164</v>
      </c>
      <c r="P15" s="596">
        <f ca="1">IF(ISERROR(MATCH(P$1,INDIRECT("Table!A"&amp;$AG15):INDIRECT("Table!" &amp; $AJ$69 &amp; $AG15),0)),"",INDIRECT(CONCATENATE("Table!",ADDRESS($AC15,MATCH(P$1,INDIRECT("Table!A" &amp; $AG15):INDIRECT("Table!" &amp; $AJ$69 &amp; $AG15),0)))))</f>
        <v>0.27034109356108227</v>
      </c>
      <c r="Q15" s="596">
        <f ca="1">IF(ISERROR(MATCH(Q$1,INDIRECT("Table!A"&amp;$AG15):INDIRECT("Table!" &amp; $AJ$69 &amp; $AG15),0)),"",INDIRECT(CONCATENATE("Table!",ADDRESS($AC15,MATCH(Q$1,INDIRECT("Table!A" &amp; $AG15):INDIRECT("Table!" &amp; $AJ$69 &amp; $AG15),0)))))</f>
        <v>0.60439457212310732</v>
      </c>
      <c r="R15" s="596">
        <f ca="1">IF(ISERROR(MATCH(R$1,INDIRECT("Table!A"&amp;$AG15):INDIRECT("Table!" &amp; $AJ$69 &amp; $AG15),0)),"",INDIRECT(CONCATENATE("Table!",ADDRESS($AC15,MATCH(R$1,INDIRECT("Table!A" &amp; $AG15):INDIRECT("Table!" &amp; $AJ$69 &amp; $AG15),0)))))</f>
        <v>0.55907988175187173</v>
      </c>
      <c r="S15" s="596">
        <f ca="1">IF(ISERROR(MATCH(S$1,INDIRECT("Table!A"&amp;$AG15):INDIRECT("Table!" &amp; $AJ$43 &amp; $AG15),0)),"",INDIRECT(CONCATENATE("Table!",ADDRESS($AC15,MATCH(S$1,INDIRECT("Table!A" &amp; $AG15):INDIRECT("Table!" &amp; $AJ$43 &amp; $AG15),0)))))</f>
        <v>0.25559101376221649</v>
      </c>
      <c r="T15" s="596">
        <f ca="1">IF(ISERROR(MATCH(T$1,INDIRECT("Table!A"&amp;$AG15):INDIRECT("Table!" &amp; $AJ$43 &amp; $AG15),0)),"",INDIRECT(CONCATENATE("Table!",ADDRESS($AC15,MATCH(T$1,INDIRECT("Table!A" &amp; $AG15):INDIRECT("Table!" &amp; $AJ$43 &amp; $AG15),0)))))</f>
        <v>0.22119641588975689</v>
      </c>
      <c r="U15" s="596">
        <f ca="1">IF(ISERROR(MATCH(U$1,INDIRECT("Table!A"&amp;$AG15):INDIRECT("Table!" &amp; $AJ$43 &amp; $AG15),0)),"",INDIRECT(CONCATENATE("Table!",ADDRESS($AC15,MATCH(U$1,INDIRECT("Table!A" &amp; $AG15):INDIRECT("Table!" &amp; $AJ$43 &amp; $AG15),0)))))</f>
        <v>6.9826266065863313E-2</v>
      </c>
      <c r="V15" s="596">
        <f ca="1">IF(ISERROR(MATCH(V$1,INDIRECT("Table!A"&amp;$AG15):INDIRECT("Table!" &amp; $AJ$43 &amp; $AG15),0)),"",INDIRECT(CONCATENATE("Table!",ADDRESS($AC15,MATCH(V$1,INDIRECT("Table!A" &amp; $AG15):INDIRECT("Table!" &amp; $AJ$43 &amp; $AG15),0)))))</f>
        <v>6.8124765807543328E-2</v>
      </c>
      <c r="W15" s="596" t="str">
        <f ca="1">IF(ISERROR(MATCH(W$1,INDIRECT("Table!A"&amp;$AG15):INDIRECT("Table!" &amp; $AJ$43 &amp; $AG15),0)),"",INDIRECT(CONCATENATE("Table!",ADDRESS($AC15,MATCH(W$1,INDIRECT("Table!A" &amp; $AG15):INDIRECT("Table!" &amp; $AJ$43 &amp; $AG15),0)))))</f>
        <v/>
      </c>
      <c r="X15" s="596"/>
      <c r="Y15" s="596"/>
      <c r="Z15" s="596"/>
      <c r="AA15" s="596"/>
      <c r="AB15" s="596"/>
      <c r="AC15" s="595">
        <f>MATCH($A15,Table!$A:$A,0)+$AE$2-1</f>
        <v>174</v>
      </c>
      <c r="AD15" s="759"/>
      <c r="AE15" s="759"/>
      <c r="AF15" s="759"/>
      <c r="AG15" s="595">
        <f>MATCH($A15,Table!$A:$A,0)+$AI$2-1</f>
        <v>171</v>
      </c>
      <c r="AH15" s="759"/>
      <c r="AJ15" s="743" t="s">
        <v>285</v>
      </c>
    </row>
    <row r="16" spans="1:36" s="743" customFormat="1" ht="15.75" customHeight="1" x14ac:dyDescent="0.25">
      <c r="A16" s="592">
        <v>41725</v>
      </c>
      <c r="B16" s="596">
        <f ca="1">IF(ISERROR(MATCH(B$1,INDIRECT("Table!A"&amp;$AG16):INDIRECT("Table!" &amp; $AJ$91 &amp; $AG16),0)),"",INDIRECT(CONCATENATE("Table!",ADDRESS($AC16,MATCH(B$1,INDIRECT("Table!A" &amp; $AG16):INDIRECT("Table!" &amp; $AJ$90 &amp; $AG16),0)))))</f>
        <v>0.41609097570418818</v>
      </c>
      <c r="C16" s="596">
        <f ca="1">IF(ISERROR(MATCH(C$1,INDIRECT("Table!A"&amp;$AG16):INDIRECT("Table!" &amp; $AJ$90 &amp; $AG16),0)),"",INDIRECT(CONCATENATE("Table!",ADDRESS($AC16,MATCH(C$1,INDIRECT("Table!A" &amp; $AG16):INDIRECT("Table!" &amp; $AJ$90 &amp; $AG16),0)))))</f>
        <v>0.55306221834520686</v>
      </c>
      <c r="D16" s="596">
        <f ca="1">IF(ISERROR(MATCH(D$1,INDIRECT("Table!A"&amp;$AG16):INDIRECT("Table!" &amp; $AJ$90 &amp; $AG16),0)),"",INDIRECT(CONCATENATE("Table!",ADDRESS($AC16,MATCH(D$1,INDIRECT("Table!A" &amp; $AG16):INDIRECT("Table!" &amp; $AJ$90 &amp; $AG16),0)))))</f>
        <v>0.56197817252172022</v>
      </c>
      <c r="E16" s="596">
        <f ca="1">IF(ISERROR(MATCH(E$1,INDIRECT("Table!A"&amp;$AG16):INDIRECT("Table!" &amp; $AJ$90 &amp; $AG16),0)),"",INDIRECT(CONCATENATE("Table!",ADDRESS($AC16,MATCH(E$1,INDIRECT("Table!A" &amp; $AG16):INDIRECT("Table!" &amp; $AJ$90 &amp; $AG16),0)))))</f>
        <v>0.82396367448576591</v>
      </c>
      <c r="F16" s="596">
        <f ca="1">IF(ISERROR(MATCH(F$1,INDIRECT("Table!A"&amp;$AG16):INDIRECT("Table!" &amp; $AJ$90 &amp; $AG16),0)),"",INDIRECT(CONCATENATE("Table!",ADDRESS($AC16,MATCH(F$1,INDIRECT("Table!A" &amp; $AG16):INDIRECT("Table!" &amp; $AJ$90 &amp; $AG16),0)))))</f>
        <v>0.69109954592536327</v>
      </c>
      <c r="G16" s="596">
        <f ca="1">IF(ISERROR(MATCH(G$1,INDIRECT("Table!A"&amp;$AG16):INDIRECT("Table!" &amp; $AJ$90 &amp; $AG16),0)),"",INDIRECT(CONCATENATE("Table!",ADDRESS($AC16,MATCH(G$1,INDIRECT("Table!A" &amp; $AG16):INDIRECT("Table!" &amp; $AJ$90 &amp; $AG16),0)))))</f>
        <v>0.52777242910874056</v>
      </c>
      <c r="H16" s="596">
        <f ca="1">IF(ISERROR(MATCH(H$1,INDIRECT("Table!A"&amp;$AG16):INDIRECT("Table!" &amp; $AJ$90 &amp; $AG16),0)),"",INDIRECT(CONCATENATE("Table!",ADDRESS($AC16,MATCH(H$1,INDIRECT("Table!A" &amp; $AG16):INDIRECT("Table!" &amp; $AJ$90 &amp; $AG16),0)))))</f>
        <v>0.69767147064552792</v>
      </c>
      <c r="I16" s="596">
        <f ca="1">IF(ISERROR(MATCH(I$1,INDIRECT("Table!A"&amp;$AG16):INDIRECT("Table!" &amp; $AJ$69 &amp; $AG16),0)),"",INDIRECT(CONCATENATE("Table!",ADDRESS($AC16,MATCH(I$1,INDIRECT("Table!A" &amp; $AG16):INDIRECT("Table!" &amp; $AJ$69 &amp; $AG16),0)))))</f>
        <v>0.25961491565102884</v>
      </c>
      <c r="J16" s="596">
        <f ca="1">IF(ISERROR(MATCH(J$1,INDIRECT("Table!A"&amp;$AG16):INDIRECT("Table!" &amp; $AJ$69 &amp; $AG16),0)),"",INDIRECT(CONCATENATE("Table!",ADDRESS($AC16,MATCH(J$1,INDIRECT("Table!A" &amp; $AG16):INDIRECT("Table!" &amp; $AJ$69 &amp; $AG16),0)))))</f>
        <v>0.60936532407885236</v>
      </c>
      <c r="K16" s="596">
        <f ca="1">IF(ISERROR(MATCH(K$1,INDIRECT("Table!A"&amp;$AG16):INDIRECT("Table!" &amp; $AJ$69 &amp; $AG16),0)),"",INDIRECT(CONCATENATE("Table!",ADDRESS($AC16,MATCH(K$1,INDIRECT("Table!A" &amp; $AG16):INDIRECT("Table!" &amp; $AJ$69 &amp; $AG16),0)))))</f>
        <v>0.14091012142568968</v>
      </c>
      <c r="L16" s="596">
        <f ca="1">IF(ISERROR(MATCH(L$1,INDIRECT("Table!A"&amp;$AG16):INDIRECT("Table!" &amp; $AJ$69 &amp; $AG16),0)),"",INDIRECT(CONCATENATE("Table!",ADDRESS($AC16,MATCH(L$1,INDIRECT("Table!A" &amp; $AG16):INDIRECT("Table!" &amp; $AJ$69 &amp; $AG16),0)))))</f>
        <v>0.81976499916333856</v>
      </c>
      <c r="M16" s="596">
        <f ca="1">IF(ISERROR(MATCH(M$1,INDIRECT("Table!A"&amp;$AG16):INDIRECT("Table!" &amp; $AJ$69 &amp; $AG16),0)),"",INDIRECT(CONCATENATE("Table!",ADDRESS($AC16,MATCH(M$1,INDIRECT("Table!A" &amp; $AG16):INDIRECT("Table!" &amp; $AJ$69 &amp; $AG16),0)))))</f>
        <v>0.46427124829337962</v>
      </c>
      <c r="N16" s="596">
        <f ca="1">IF(ISERROR(MATCH(N$1,INDIRECT("Table!A"&amp;$AG16):INDIRECT("Table!" &amp; $AJ$69 &amp; $AG16),0)),"",INDIRECT(CONCATENATE("Table!",ADDRESS($AC16,MATCH(N$1,INDIRECT("Table!A" &amp; $AG16):INDIRECT("Table!" &amp; $AJ$69 &amp; $AG16),0)))))</f>
        <v>0.7148345110960177</v>
      </c>
      <c r="O16" s="596">
        <f ca="1">IF(ISERROR(MATCH(O$1,INDIRECT("Table!A"&amp;$AG16):INDIRECT("Table!" &amp; $AJ$69 &amp; $AG16),0)),"",INDIRECT(CONCATENATE("Table!",ADDRESS($AC16,MATCH(O$1,INDIRECT("Table!A" &amp; $AG16):INDIRECT("Table!" &amp; $AJ$69 &amp; $AG16),0)))))</f>
        <v>0.80071191002511843</v>
      </c>
      <c r="P16" s="596">
        <f ca="1">IF(ISERROR(MATCH(P$1,INDIRECT("Table!A"&amp;$AG16):INDIRECT("Table!" &amp; $AJ$69 &amp; $AG16),0)),"",INDIRECT(CONCATENATE("Table!",ADDRESS($AC16,MATCH(P$1,INDIRECT("Table!A" &amp; $AG16):INDIRECT("Table!" &amp; $AJ$69 &amp; $AG16),0)))))</f>
        <v>0.26874424967605504</v>
      </c>
      <c r="Q16" s="596">
        <f ca="1">IF(ISERROR(MATCH(Q$1,INDIRECT("Table!A"&amp;$AG16):INDIRECT("Table!" &amp; $AJ$69 &amp; $AG16),0)),"",INDIRECT(CONCATENATE("Table!",ADDRESS($AC16,MATCH(Q$1,INDIRECT("Table!A" &amp; $AG16):INDIRECT("Table!" &amp; $AJ$69 &amp; $AG16),0)))))</f>
        <v>0.60289836769158667</v>
      </c>
      <c r="R16" s="596">
        <f ca="1">IF(ISERROR(MATCH(R$1,INDIRECT("Table!A"&amp;$AG16):INDIRECT("Table!" &amp; $AJ$69 &amp; $AG16),0)),"",INDIRECT(CONCATENATE("Table!",ADDRESS($AC16,MATCH(R$1,INDIRECT("Table!A" &amp; $AG16):INDIRECT("Table!" &amp; $AJ$69 &amp; $AG16),0)))))</f>
        <v>0.5356922263994659</v>
      </c>
      <c r="S16" s="596">
        <f ca="1">IF(ISERROR(MATCH(S$1,INDIRECT("Table!A"&amp;$AG16):INDIRECT("Table!" &amp; $AJ$43 &amp; $AG16),0)),"",INDIRECT(CONCATENATE("Table!",ADDRESS($AC16,MATCH(S$1,INDIRECT("Table!A" &amp; $AG16):INDIRECT("Table!" &amp; $AJ$43 &amp; $AG16),0)))))</f>
        <v>0.25559101376221649</v>
      </c>
      <c r="T16" s="596">
        <f ca="1">IF(ISERROR(MATCH(T$1,INDIRECT("Table!A"&amp;$AG16):INDIRECT("Table!" &amp; $AJ$43 &amp; $AG16),0)),"",INDIRECT(CONCATENATE("Table!",ADDRESS($AC16,MATCH(T$1,INDIRECT("Table!A" &amp; $AG16):INDIRECT("Table!" &amp; $AJ$43 &amp; $AG16),0)))))</f>
        <v>0.22119641588975689</v>
      </c>
      <c r="U16" s="596">
        <f ca="1">IF(ISERROR(MATCH(U$1,INDIRECT("Table!A"&amp;$AG16):INDIRECT("Table!" &amp; $AJ$43 &amp; $AG16),0)),"",INDIRECT(CONCATENATE("Table!",ADDRESS($AC16,MATCH(U$1,INDIRECT("Table!A" &amp; $AG16):INDIRECT("Table!" &amp; $AJ$43 &amp; $AG16),0)))))</f>
        <v>6.1437524768460761E-2</v>
      </c>
      <c r="V16" s="596">
        <f ca="1">IF(ISERROR(MATCH(V$1,INDIRECT("Table!A"&amp;$AG16):INDIRECT("Table!" &amp; $AJ$43 &amp; $AG16),0)),"",INDIRECT(CONCATENATE("Table!",ADDRESS($AC16,MATCH(V$1,INDIRECT("Table!A" &amp; $AG16):INDIRECT("Table!" &amp; $AJ$43 &amp; $AG16),0)))))</f>
        <v>5.9940380865551451E-2</v>
      </c>
      <c r="W16" s="596" t="str">
        <f ca="1">IF(ISERROR(MATCH(W$1,INDIRECT("Table!A"&amp;$AG16):INDIRECT("Table!" &amp; $AJ$43 &amp; $AG16),0)),"",INDIRECT(CONCATENATE("Table!",ADDRESS($AC16,MATCH(W$1,INDIRECT("Table!A" &amp; $AG16):INDIRECT("Table!" &amp; $AJ$43 &amp; $AG16),0)))))</f>
        <v/>
      </c>
      <c r="X16" s="596"/>
      <c r="Y16" s="596"/>
      <c r="Z16" s="596"/>
      <c r="AA16" s="596"/>
      <c r="AB16" s="596"/>
      <c r="AC16" s="595">
        <f>MATCH($A16,Table!$A:$A,0)+$AE$2-1</f>
        <v>188</v>
      </c>
      <c r="AD16" s="742"/>
      <c r="AE16" s="742"/>
      <c r="AF16" s="742"/>
      <c r="AG16" s="595">
        <f>MATCH($A16,Table!$A:$A,0)+$AI$2-1</f>
        <v>185</v>
      </c>
      <c r="AH16" s="742"/>
      <c r="AJ16" s="743" t="s">
        <v>285</v>
      </c>
    </row>
    <row r="17" spans="1:36" s="743" customFormat="1" ht="15.75" customHeight="1" x14ac:dyDescent="0.25">
      <c r="A17" s="592">
        <v>41709</v>
      </c>
      <c r="B17" s="596">
        <f ca="1">IF(ISERROR(MATCH(B$1,INDIRECT("Table!A"&amp;$AG17):INDIRECT("Table!" &amp; $AJ$91 &amp; $AG17),0)),"",INDIRECT(CONCATENATE("Table!",ADDRESS($AC17,MATCH(B$1,INDIRECT("Table!A" &amp; $AG17):INDIRECT("Table!" &amp; $AJ$90 &amp; $AG17),0)))))</f>
        <v>0.4051489810349958</v>
      </c>
      <c r="C17" s="596">
        <f ca="1">IF(ISERROR(MATCH(C$1,INDIRECT("Table!A"&amp;$AG17):INDIRECT("Table!" &amp; $AJ$90 &amp; $AG17),0)),"",INDIRECT(CONCATENATE("Table!",ADDRESS($AC17,MATCH(C$1,INDIRECT("Table!A" &amp; $AG17):INDIRECT("Table!" &amp; $AJ$90 &amp; $AG17),0)))))</f>
        <v>0.55216397914649995</v>
      </c>
      <c r="D17" s="596">
        <f ca="1">IF(ISERROR(MATCH(D$1,INDIRECT("Table!A"&amp;$AG17):INDIRECT("Table!" &amp; $AJ$90 &amp; $AG17),0)),"",INDIRECT(CONCATENATE("Table!",ADDRESS($AC17,MATCH(D$1,INDIRECT("Table!A" &amp; $AG17):INDIRECT("Table!" &amp; $AJ$90 &amp; $AG17),0)))))</f>
        <v>0.56108126207922437</v>
      </c>
      <c r="E17" s="596">
        <f ca="1">IF(ISERROR(MATCH(E$1,INDIRECT("Table!A"&amp;$AG17):INDIRECT("Table!" &amp; $AJ$90 &amp; $AG17),0)),"",INDIRECT(CONCATENATE("Table!",ADDRESS($AC17,MATCH(E$1,INDIRECT("Table!A" &amp; $AG17):INDIRECT("Table!" &amp; $AJ$90 &amp; $AG17),0)))))</f>
        <v>0.80805203111229307</v>
      </c>
      <c r="F17" s="596">
        <f ca="1">IF(ISERROR(MATCH(F$1,INDIRECT("Table!A"&amp;$AG17):INDIRECT("Table!" &amp; $AJ$90 &amp; $AG17),0)),"",INDIRECT(CONCATENATE("Table!",ADDRESS($AC17,MATCH(F$1,INDIRECT("Table!A" &amp; $AG17):INDIRECT("Table!" &amp; $AJ$90 &amp; $AG17),0)))))</f>
        <v>0.69110256223090782</v>
      </c>
      <c r="G17" s="596">
        <f ca="1">IF(ISERROR(MATCH(G$1,INDIRECT("Table!A"&amp;$AG17):INDIRECT("Table!" &amp; $AJ$90 &amp; $AG17),0)),"",INDIRECT(CONCATENATE("Table!",ADDRESS($AC17,MATCH(G$1,INDIRECT("Table!A" &amp; $AG17):INDIRECT("Table!" &amp; $AJ$90 &amp; $AG17),0)))))</f>
        <v>0.52144670800118098</v>
      </c>
      <c r="H17" s="596">
        <f ca="1">IF(ISERROR(MATCH(H$1,INDIRECT("Table!A"&amp;$AG17):INDIRECT("Table!" &amp; $AJ$90 &amp; $AG17),0)),"",INDIRECT(CONCATENATE("Table!",ADDRESS($AC17,MATCH(H$1,INDIRECT("Table!A" &amp; $AG17):INDIRECT("Table!" &amp; $AJ$90 &amp; $AG17),0)))))</f>
        <v>0.6887888100339874</v>
      </c>
      <c r="I17" s="596">
        <f ca="1">IF(ISERROR(MATCH(I$1,INDIRECT("Table!A"&amp;$AG17):INDIRECT("Table!" &amp; $AJ$69 &amp; $AG17),0)),"",INDIRECT(CONCATENATE("Table!",ADDRESS($AC17,MATCH(I$1,INDIRECT("Table!A" &amp; $AG17):INDIRECT("Table!" &amp; $AJ$69 &amp; $AG17),0)))))</f>
        <v>0.245810550350167</v>
      </c>
      <c r="J17" s="596">
        <f ca="1">IF(ISERROR(MATCH(J$1,INDIRECT("Table!A"&amp;$AG17):INDIRECT("Table!" &amp; $AJ$69 &amp; $AG17),0)),"",INDIRECT(CONCATENATE("Table!",ADDRESS($AC17,MATCH(J$1,INDIRECT("Table!A" &amp; $AG17):INDIRECT("Table!" &amp; $AJ$69 &amp; $AG17),0)))))</f>
        <v>0.52744575033543195</v>
      </c>
      <c r="K17" s="596">
        <f ca="1">IF(ISERROR(MATCH(K$1,INDIRECT("Table!A"&amp;$AG17):INDIRECT("Table!" &amp; $AJ$69 &amp; $AG17),0)),"",INDIRECT(CONCATENATE("Table!",ADDRESS($AC17,MATCH(K$1,INDIRECT("Table!A" &amp; $AG17):INDIRECT("Table!" &amp; $AJ$69 &amp; $AG17),0)))))</f>
        <v>0.11505539310719091</v>
      </c>
      <c r="L17" s="596">
        <f ca="1">IF(ISERROR(MATCH(L$1,INDIRECT("Table!A"&amp;$AG17):INDIRECT("Table!" &amp; $AJ$69 &amp; $AG17),0)),"",INDIRECT(CONCATENATE("Table!",ADDRESS($AC17,MATCH(L$1,INDIRECT("Table!A" &amp; $AG17):INDIRECT("Table!" &amp; $AJ$69 &amp; $AG17),0)))))</f>
        <v>0.81026694938742394</v>
      </c>
      <c r="M17" s="596">
        <f ca="1">IF(ISERROR(MATCH(M$1,INDIRECT("Table!A"&amp;$AG17):INDIRECT("Table!" &amp; $AJ$69 &amp; $AG17),0)),"",INDIRECT(CONCATENATE("Table!",ADDRESS($AC17,MATCH(M$1,INDIRECT("Table!A" &amp; $AG17):INDIRECT("Table!" &amp; $AJ$69 &amp; $AG17),0)))))</f>
        <v>0.46092589588012772</v>
      </c>
      <c r="N17" s="596">
        <f ca="1">IF(ISERROR(MATCH(N$1,INDIRECT("Table!A"&amp;$AG17):INDIRECT("Table!" &amp; $AJ$69 &amp; $AG17),0)),"",INDIRECT(CONCATENATE("Table!",ADDRESS($AC17,MATCH(N$1,INDIRECT("Table!A" &amp; $AG17):INDIRECT("Table!" &amp; $AJ$69 &amp; $AG17),0)))))</f>
        <v>0.71232965794303382</v>
      </c>
      <c r="O17" s="596">
        <f ca="1">IF(ISERROR(MATCH(O$1,INDIRECT("Table!A"&amp;$AG17):INDIRECT("Table!" &amp; $AJ$69 &amp; $AG17),0)),"",INDIRECT(CONCATENATE("Table!",ADDRESS($AC17,MATCH(O$1,INDIRECT("Table!A" &amp; $AG17):INDIRECT("Table!" &amp; $AJ$69 &amp; $AG17),0)))))</f>
        <v>0.79081549876435187</v>
      </c>
      <c r="P17" s="596">
        <f ca="1">IF(ISERROR(MATCH(P$1,INDIRECT("Table!A"&amp;$AG17):INDIRECT("Table!" &amp; $AJ$69 &amp; $AG17),0)),"",INDIRECT(CONCATENATE("Table!",ADDRESS($AC17,MATCH(P$1,INDIRECT("Table!A" &amp; $AG17):INDIRECT("Table!" &amp; $AJ$69 &amp; $AG17),0)))))</f>
        <v>0.25488687216096573</v>
      </c>
      <c r="Q17" s="596">
        <f ca="1">IF(ISERROR(MATCH(Q$1,INDIRECT("Table!A"&amp;$AG17):INDIRECT("Table!" &amp; $AJ$69 &amp; $AG17),0)),"",INDIRECT(CONCATENATE("Table!",ADDRESS($AC17,MATCH(Q$1,INDIRECT("Table!A" &amp; $AG17):INDIRECT("Table!" &amp; $AJ$69 &amp; $AG17),0)))))</f>
        <v>0.56088931009684884</v>
      </c>
      <c r="R17" s="596">
        <f ca="1">IF(ISERROR(MATCH(R$1,INDIRECT("Table!A"&amp;$AG17):INDIRECT("Table!" &amp; $AJ$69 &amp; $AG17),0)),"",INDIRECT(CONCATENATE("Table!",ADDRESS($AC17,MATCH(R$1,INDIRECT("Table!A" &amp; $AG17):INDIRECT("Table!" &amp; $AJ$69 &amp; $AG17),0)))))</f>
        <v>0.51607301607703271</v>
      </c>
      <c r="S17" s="596">
        <f ca="1">IF(ISERROR(MATCH(S$1,INDIRECT("Table!A"&amp;$AG17):INDIRECT("Table!" &amp; $AJ$43 &amp; $AG17),0)),"",INDIRECT(CONCATENATE("Table!",ADDRESS($AC17,MATCH(S$1,INDIRECT("Table!A" &amp; $AG17):INDIRECT("Table!" &amp; $AJ$43 &amp; $AG17),0)))))</f>
        <v>0.25559101376221649</v>
      </c>
      <c r="T17" s="596">
        <f ca="1">IF(ISERROR(MATCH(T$1,INDIRECT("Table!A"&amp;$AG17):INDIRECT("Table!" &amp; $AJ$43 &amp; $AG17),0)),"",INDIRECT(CONCATENATE("Table!",ADDRESS($AC17,MATCH(T$1,INDIRECT("Table!A" &amp; $AG17):INDIRECT("Table!" &amp; $AJ$43 &amp; $AG17),0)))))</f>
        <v>0.22119641588975689</v>
      </c>
      <c r="U17" s="596">
        <f ca="1">IF(ISERROR(MATCH(U$1,INDIRECT("Table!A"&amp;$AG17):INDIRECT("Table!" &amp; $AJ$43 &amp; $AG17),0)),"",INDIRECT(CONCATENATE("Table!",ADDRESS($AC17,MATCH(U$1,INDIRECT("Table!A" &amp; $AG17):INDIRECT("Table!" &amp; $AJ$43 &amp; $AG17),0)))))</f>
        <v>3.14188842083633E-2</v>
      </c>
      <c r="V17" s="596">
        <f ca="1">IF(ISERROR(MATCH(V$1,INDIRECT("Table!A"&amp;$AG17):INDIRECT("Table!" &amp; $AJ$43 &amp; $AG17),0)),"",INDIRECT(CONCATENATE("Table!",ADDRESS($AC17,MATCH(V$1,INDIRECT("Table!A" &amp; $AG17):INDIRECT("Table!" &amp; $AJ$43 &amp; $AG17),0)))))</f>
        <v>3.0652540734570747E-2</v>
      </c>
      <c r="W17" s="596" t="str">
        <f ca="1">IF(ISERROR(MATCH(W$1,INDIRECT("Table!A"&amp;$AG17):INDIRECT("Table!" &amp; $AJ$43 &amp; $AG17),0)),"",INDIRECT(CONCATENATE("Table!",ADDRESS($AC17,MATCH(W$1,INDIRECT("Table!A" &amp; $AG17):INDIRECT("Table!" &amp; $AJ$43 &amp; $AG17),0)))))</f>
        <v/>
      </c>
      <c r="X17" s="596"/>
      <c r="Y17" s="596"/>
      <c r="Z17" s="596"/>
      <c r="AA17" s="596"/>
      <c r="AB17" s="596"/>
      <c r="AC17" s="595">
        <f>MATCH($A17,Table!$A:$A,0)+$AE$2-1</f>
        <v>202</v>
      </c>
      <c r="AD17" s="737"/>
      <c r="AE17" s="737"/>
      <c r="AF17" s="737"/>
      <c r="AG17" s="595">
        <f>MATCH($A17,Table!$A:$A,0)+$AI$2-1</f>
        <v>199</v>
      </c>
      <c r="AH17" s="737"/>
      <c r="AJ17" s="743" t="s">
        <v>285</v>
      </c>
    </row>
    <row r="18" spans="1:36" s="591" customFormat="1" ht="15.75" customHeight="1" x14ac:dyDescent="0.25">
      <c r="A18" s="592">
        <v>41704</v>
      </c>
      <c r="B18" s="596">
        <f ca="1">IF(ISERROR(MATCH(B$1,INDIRECT("Table!A"&amp;$AG18):INDIRECT("Table!" &amp; $AJ$91 &amp; $AG18),0)),"",INDIRECT(CONCATENATE("Table!",ADDRESS($AC18,MATCH(B$1,INDIRECT("Table!A" &amp; $AG18):INDIRECT("Table!" &amp; $AJ$90 &amp; $AG18),0)))))</f>
        <v>0.40285155012591073</v>
      </c>
      <c r="C18" s="596">
        <f ca="1">IF(ISERROR(MATCH(C$1,INDIRECT("Table!A"&amp;$AG18):INDIRECT("Table!" &amp; $AJ$90 &amp; $AG18),0)),"",INDIRECT(CONCATENATE("Table!",ADDRESS($AC18,MATCH(C$1,INDIRECT("Table!A" &amp; $AG18):INDIRECT("Table!" &amp; $AJ$90 &amp; $AG18),0)))))</f>
        <v>0.54977952612567238</v>
      </c>
      <c r="D18" s="596">
        <f ca="1">IF(ISERROR(MATCH(D$1,INDIRECT("Table!A"&amp;$AG18):INDIRECT("Table!" &amp; $AJ$90 &amp; $AG18),0)),"",INDIRECT(CONCATENATE("Table!",ADDRESS($AC18,MATCH(D$1,INDIRECT("Table!A" &amp; $AG18):INDIRECT("Table!" &amp; $AJ$90 &amp; $AG18),0)))))</f>
        <v>0.55869548030218574</v>
      </c>
      <c r="E18" s="596">
        <f ca="1">IF(ISERROR(MATCH(E$1,INDIRECT("Table!A"&amp;$AG18):INDIRECT("Table!" &amp; $AJ$90 &amp; $AG18),0)),"",INDIRECT(CONCATENATE("Table!",ADDRESS($AC18,MATCH(E$1,INDIRECT("Table!A" &amp; $AG18):INDIRECT("Table!" &amp; $AJ$90 &amp; $AG18),0)))))</f>
        <v>0.86177326443910629</v>
      </c>
      <c r="F18" s="596">
        <f ca="1">IF(ISERROR(MATCH(F$1,INDIRECT("Table!A"&amp;$AG18):INDIRECT("Table!" &amp; $AJ$90 &amp; $AG18),0)),"",INDIRECT(CONCATENATE("Table!",ADDRESS($AC18,MATCH(F$1,INDIRECT("Table!A" &amp; $AG18):INDIRECT("Table!" &amp; $AJ$90 &amp; $AG18),0)))))</f>
        <v>0.6892740778098243</v>
      </c>
      <c r="G18" s="596">
        <f ca="1">IF(ISERROR(MATCH(G$1,INDIRECT("Table!A"&amp;$AG18):INDIRECT("Table!" &amp; $AJ$90 &amp; $AG18),0)),"",INDIRECT(CONCATENATE("Table!",ADDRESS($AC18,MATCH(G$1,INDIRECT("Table!A" &amp; $AG18):INDIRECT("Table!" &amp; $AJ$90 &amp; $AG18),0)))))</f>
        <v>0.52003363243090595</v>
      </c>
      <c r="H18" s="596">
        <f ca="1">IF(ISERROR(MATCH(H$1,INDIRECT("Table!A"&amp;$AG18):INDIRECT("Table!" &amp; $AJ$90 &amp; $AG18),0)),"",INDIRECT(CONCATENATE("Table!",ADDRESS($AC18,MATCH(H$1,INDIRECT("Table!A" &amp; $AG18):INDIRECT("Table!" &amp; $AJ$90 &amp; $AG18),0)))))</f>
        <v>0.6877875046154831</v>
      </c>
      <c r="I18" s="596">
        <f ca="1">IF(ISERROR(MATCH(I$1,INDIRECT("Table!A"&amp;$AG18):INDIRECT("Table!" &amp; $AJ$69 &amp; $AG18),0)),"",INDIRECT(CONCATENATE("Table!",ADDRESS($AC18,MATCH(I$1,INDIRECT("Table!A" &amp; $AG18):INDIRECT("Table!" &amp; $AJ$69 &amp; $AG18),0)))))</f>
        <v>0.23374091314979295</v>
      </c>
      <c r="J18" s="596">
        <f ca="1">IF(ISERROR(MATCH(J$1,INDIRECT("Table!A"&amp;$AG18):INDIRECT("Table!" &amp; $AJ$69 &amp; $AG18),0)),"",INDIRECT(CONCATENATE("Table!",ADDRESS($AC18,MATCH(J$1,INDIRECT("Table!A" &amp; $AG18):INDIRECT("Table!" &amp; $AJ$69 &amp; $AG18),0)))))</f>
        <v>0.52594275725049022</v>
      </c>
      <c r="K18" s="596">
        <f ca="1">IF(ISERROR(MATCH(K$1,INDIRECT("Table!A"&amp;$AG18):INDIRECT("Table!" &amp; $AJ$69 &amp; $AG18),0)),"",INDIRECT(CONCATENATE("Table!",ADDRESS($AC18,MATCH(K$1,INDIRECT("Table!A" &amp; $AG18):INDIRECT("Table!" &amp; $AJ$69 &amp; $AG18),0)))))</f>
        <v>0.10829504193309983</v>
      </c>
      <c r="L18" s="596">
        <f ca="1">IF(ISERROR(MATCH(L$1,INDIRECT("Table!A"&amp;$AG18):INDIRECT("Table!" &amp; $AJ$69 &amp; $AG18),0)),"",INDIRECT(CONCATENATE("Table!",ADDRESS($AC18,MATCH(L$1,INDIRECT("Table!A" &amp; $AG18):INDIRECT("Table!" &amp; $AJ$69 &amp; $AG18),0)))))</f>
        <v>0.87432672068615558</v>
      </c>
      <c r="M18" s="596">
        <f ca="1">IF(ISERROR(MATCH(M$1,INDIRECT("Table!A"&amp;$AG18):INDIRECT("Table!" &amp; $AJ$69 &amp; $AG18),0)),"",INDIRECT(CONCATENATE("Table!",ADDRESS($AC18,MATCH(M$1,INDIRECT("Table!A" &amp; $AG18):INDIRECT("Table!" &amp; $AJ$69 &amp; $AG18),0)))))</f>
        <v>0.45734572984932903</v>
      </c>
      <c r="N18" s="596">
        <f ca="1">IF(ISERROR(MATCH(N$1,INDIRECT("Table!A"&amp;$AG18):INDIRECT("Table!" &amp; $AJ$69 &amp; $AG18),0)),"",INDIRECT(CONCATENATE("Table!",ADDRESS($AC18,MATCH(N$1,INDIRECT("Table!A" &amp; $AG18):INDIRECT("Table!" &amp; $AJ$69 &amp; $AG18),0)))))</f>
        <v>0.71031734562638182</v>
      </c>
      <c r="O18" s="596">
        <f ca="1">IF(ISERROR(MATCH(O$1,INDIRECT("Table!A"&amp;$AG18):INDIRECT("Table!" &amp; $AJ$69 &amp; $AG18),0)),"",INDIRECT(CONCATENATE("Table!",ADDRESS($AC18,MATCH(O$1,INDIRECT("Table!A" &amp; $AG18):INDIRECT("Table!" &amp; $AJ$69 &amp; $AG18),0)))))</f>
        <v>0.78955413818978271</v>
      </c>
      <c r="P18" s="596">
        <f ca="1">IF(ISERROR(MATCH(P$1,INDIRECT("Table!A"&amp;$AG18):INDIRECT("Table!" &amp; $AJ$69 &amp; $AG18),0)),"",INDIRECT(CONCATENATE("Table!",ADDRESS($AC18,MATCH(P$1,INDIRECT("Table!A" &amp; $AG18):INDIRECT("Table!" &amp; $AJ$69 &amp; $AG18),0)))))</f>
        <v>0.24275278544487638</v>
      </c>
      <c r="Q18" s="596">
        <f ca="1">IF(ISERROR(MATCH(Q$1,INDIRECT("Table!A"&amp;$AG18):INDIRECT("Table!" &amp; $AJ$69 &amp; $AG18),0)),"",INDIRECT(CONCATENATE("Table!",ADDRESS($AC18,MATCH(Q$1,INDIRECT("Table!A" &amp; $AG18):INDIRECT("Table!" &amp; $AJ$69 &amp; $AG18),0)))))</f>
        <v>0.55893959968311979</v>
      </c>
      <c r="R18" s="596">
        <f ca="1">IF(ISERROR(MATCH(R$1,INDIRECT("Table!A"&amp;$AG18):INDIRECT("Table!" &amp; $AJ$69 &amp; $AG18),0)),"",INDIRECT(CONCATENATE("Table!",ADDRESS($AC18,MATCH(R$1,INDIRECT("Table!A" &amp; $AG18):INDIRECT("Table!" &amp; $AJ$69 &amp; $AG18),0)))))</f>
        <v>0.50014370432255462</v>
      </c>
      <c r="S18" s="596">
        <f ca="1">IF(ISERROR(MATCH(S$1,INDIRECT("Table!A"&amp;$AG18):INDIRECT("Table!" &amp; $AJ$43 &amp; $AG18),0)),"",INDIRECT(CONCATENATE("Table!",ADDRESS($AC18,MATCH(S$1,INDIRECT("Table!A" &amp; $AG18):INDIRECT("Table!" &amp; $AJ$43 &amp; $AG18),0)))))</f>
        <v>0.25559101376221649</v>
      </c>
      <c r="T18" s="596">
        <f ca="1">IF(ISERROR(MATCH(T$1,INDIRECT("Table!A"&amp;$AG18):INDIRECT("Table!" &amp; $AJ$43 &amp; $AG18),0)),"",INDIRECT(CONCATENATE("Table!",ADDRESS($AC18,MATCH(T$1,INDIRECT("Table!A" &amp; $AG18):INDIRECT("Table!" &amp; $AJ$43 &amp; $AG18),0)))))</f>
        <v>0.22119641588975689</v>
      </c>
      <c r="U18" s="596">
        <f ca="1">IF(ISERROR(MATCH(U$1,INDIRECT("Table!A"&amp;$AG18):INDIRECT("Table!" &amp; $AJ$43 &amp; $AG18),0)),"",INDIRECT(CONCATENATE("Table!",ADDRESS($AC18,MATCH(U$1,INDIRECT("Table!A" &amp; $AG18):INDIRECT("Table!" &amp; $AJ$43 &amp; $AG18),0)))))</f>
        <v>3.1309291414089523E-2</v>
      </c>
      <c r="V18" s="596">
        <f ca="1">IF(ISERROR(MATCH(V$1,INDIRECT("Table!A"&amp;$AG18):INDIRECT("Table!" &amp; $AJ$43 &amp; $AG18),0)),"",INDIRECT(CONCATENATE("Table!",ADDRESS($AC18,MATCH(V$1,INDIRECT("Table!A" &amp; $AG18):INDIRECT("Table!" &amp; $AJ$43 &amp; $AG18),0)))))</f>
        <v>3.0546095042160611E-2</v>
      </c>
      <c r="W18" s="596" t="str">
        <f ca="1">IF(ISERROR(MATCH(W$1,INDIRECT("Table!A"&amp;$AG18):INDIRECT("Table!" &amp; $AJ$43 &amp; $AG18),0)),"",INDIRECT(CONCATENATE("Table!",ADDRESS($AC18,MATCH(W$1,INDIRECT("Table!A" &amp; $AG18):INDIRECT("Table!" &amp; $AJ$43 &amp; $AG18),0)))))</f>
        <v/>
      </c>
      <c r="X18" s="596"/>
      <c r="Y18" s="596"/>
      <c r="Z18" s="596"/>
      <c r="AA18" s="596"/>
      <c r="AB18" s="596"/>
      <c r="AC18" s="595">
        <f>MATCH($A18,Table!$A:$A,0)+$AE$2-1</f>
        <v>216</v>
      </c>
      <c r="AD18" s="732"/>
      <c r="AE18" s="732"/>
      <c r="AF18" s="732"/>
      <c r="AG18" s="595">
        <f>MATCH($A18,Table!$A:$A,0)+$AI$2-1</f>
        <v>213</v>
      </c>
      <c r="AH18" s="732"/>
      <c r="AJ18" s="743" t="s">
        <v>285</v>
      </c>
    </row>
    <row r="19" spans="1:36" s="591" customFormat="1" ht="15.75" customHeight="1" x14ac:dyDescent="0.25">
      <c r="A19" s="592">
        <v>41703</v>
      </c>
      <c r="B19" s="596">
        <f ca="1">IF(ISERROR(MATCH(B$1,INDIRECT("Table!A"&amp;$AG19):INDIRECT("Table!" &amp; $AJ$91 &amp; $AG19),0)),"",INDIRECT(CONCATENATE("Table!",ADDRESS($AC19,MATCH(B$1,INDIRECT("Table!A" &amp; $AG19):INDIRECT("Table!" &amp; $AJ$90 &amp; $AG19),0)))))</f>
        <v>0.40271356028196326</v>
      </c>
      <c r="C19" s="596">
        <f ca="1">IF(ISERROR(MATCH(C$1,INDIRECT("Table!A"&amp;$AG19):INDIRECT("Table!" &amp; $AJ$90 &amp; $AG19),0)),"",INDIRECT(CONCATENATE("Table!",ADDRESS($AC19,MATCH(C$1,INDIRECT("Table!A" &amp; $AG19):INDIRECT("Table!" &amp; $AJ$90 &amp; $AG19),0)))))</f>
        <v>0.54977155358840579</v>
      </c>
      <c r="D19" s="596">
        <f ca="1">IF(ISERROR(MATCH(D$1,INDIRECT("Table!A"&amp;$AG19):INDIRECT("Table!" &amp; $AJ$90 &amp; $AG19),0)),"",INDIRECT(CONCATENATE("Table!",ADDRESS($AC19,MATCH(D$1,INDIRECT("Table!A" &amp; $AG19):INDIRECT("Table!" &amp; $AJ$90 &amp; $AG19),0)))))</f>
        <v>0.55868817214302458</v>
      </c>
      <c r="E19" s="596">
        <f ca="1">IF(ISERROR(MATCH(E$1,INDIRECT("Table!A"&amp;$AG19):INDIRECT("Table!" &amp; $AJ$90 &amp; $AG19),0)),"",INDIRECT(CONCATENATE("Table!",ADDRESS($AC19,MATCH(E$1,INDIRECT("Table!A" &amp; $AG19):INDIRECT("Table!" &amp; $AJ$90 &amp; $AG19),0)))))</f>
        <v>0.86158699947472184</v>
      </c>
      <c r="F19" s="596">
        <f ca="1">IF(ISERROR(MATCH(F$1,INDIRECT("Table!A"&amp;$AG19):INDIRECT("Table!" &amp; $AJ$90 &amp; $AG19),0)),"",INDIRECT(CONCATENATE("Table!",ADDRESS($AC19,MATCH(F$1,INDIRECT("Table!A" &amp; $AG19):INDIRECT("Table!" &amp; $AJ$90 &amp; $AG19),0)))))</f>
        <v>0.68787873486493278</v>
      </c>
      <c r="G19" s="596">
        <f ca="1">IF(ISERROR(MATCH(G$1,INDIRECT("Table!A"&amp;$AG19):INDIRECT("Table!" &amp; $AJ$90 &amp; $AG19),0)),"",INDIRECT(CONCATENATE("Table!",ADDRESS($AC19,MATCH(G$1,INDIRECT("Table!A" &amp; $AG19):INDIRECT("Table!" &amp; $AJ$90 &amp; $AG19),0)))))</f>
        <v>0.51952734881452101</v>
      </c>
      <c r="H19" s="596">
        <f ca="1">IF(ISERROR(MATCH(H$1,INDIRECT("Table!A"&amp;$AG19):INDIRECT("Table!" &amp; $AJ$90 &amp; $AG19),0)),"",INDIRECT(CONCATENATE("Table!",ADDRESS($AC19,MATCH(H$1,INDIRECT("Table!A" &amp; $AG19):INDIRECT("Table!" &amp; $AJ$90 &amp; $AG19),0)))))</f>
        <v>0.68673037729211428</v>
      </c>
      <c r="I19" s="596">
        <f ca="1">IF(ISERROR(MATCH(I$1,INDIRECT("Table!A"&amp;$AG19):INDIRECT("Table!" &amp; $AJ$69 &amp; $AG19),0)),"",INDIRECT(CONCATENATE("Table!",ADDRESS($AC19,MATCH(I$1,INDIRECT("Table!A" &amp; $AG19):INDIRECT("Table!" &amp; $AJ$69 &amp; $AG19),0)))))</f>
        <v>0.2335012665743004</v>
      </c>
      <c r="J19" s="596">
        <f ca="1">IF(ISERROR(MATCH(J$1,INDIRECT("Table!A"&amp;$AG19):INDIRECT("Table!" &amp; $AJ$69 &amp; $AG19),0)),"",INDIRECT(CONCATENATE("Table!",ADDRESS($AC19,MATCH(J$1,INDIRECT("Table!A" &amp; $AG19):INDIRECT("Table!" &amp; $AJ$69 &amp; $AG19),0)))))</f>
        <v>0.52587341314893177</v>
      </c>
      <c r="K19" s="596">
        <f ca="1">IF(ISERROR(MATCH(K$1,INDIRECT("Table!A"&amp;$AG19):INDIRECT("Table!" &amp; $AJ$69 &amp; $AG19),0)),"",INDIRECT(CONCATENATE("Table!",ADDRESS($AC19,MATCH(K$1,INDIRECT("Table!A" &amp; $AG19):INDIRECT("Table!" &amp; $AJ$69 &amp; $AG19),0)))))</f>
        <v>0.10479303007258406</v>
      </c>
      <c r="L19" s="596">
        <f ca="1">IF(ISERROR(MATCH(L$1,INDIRECT("Table!A"&amp;$AG19):INDIRECT("Table!" &amp; $AJ$69 &amp; $AG19),0)),"",INDIRECT(CONCATENATE("Table!",ADDRESS($AC19,MATCH(L$1,INDIRECT("Table!A" &amp; $AG19):INDIRECT("Table!" &amp; $AJ$69 &amp; $AG19),0)))))</f>
        <v>0.87375012368601424</v>
      </c>
      <c r="M19" s="596">
        <f ca="1">IF(ISERROR(MATCH(M$1,INDIRECT("Table!A"&amp;$AG19):INDIRECT("Table!" &amp; $AJ$69 &amp; $AG19),0)),"",INDIRECT(CONCATENATE("Table!",ADDRESS($AC19,MATCH(M$1,INDIRECT("Table!A" &amp; $AG19):INDIRECT("Table!" &amp; $AJ$69 &amp; $AG19),0)))))</f>
        <v>0.45694684335421554</v>
      </c>
      <c r="N19" s="596">
        <f ca="1">IF(ISERROR(MATCH(N$1,INDIRECT("Table!A"&amp;$AG19):INDIRECT("Table!" &amp; $AJ$69 &amp; $AG19),0)),"",INDIRECT(CONCATENATE("Table!",ADDRESS($AC19,MATCH(N$1,INDIRECT("Table!A" &amp; $AG19):INDIRECT("Table!" &amp; $AJ$69 &amp; $AG19),0)))))</f>
        <v>0.70893606362327</v>
      </c>
      <c r="O19" s="596">
        <f ca="1">IF(ISERROR(MATCH(O$1,INDIRECT("Table!A"&amp;$AG19):INDIRECT("Table!" &amp; $AJ$69 &amp; $AG19),0)),"",INDIRECT(CONCATENATE("Table!",ADDRESS($AC19,MATCH(O$1,INDIRECT("Table!A" &amp; $AG19):INDIRECT("Table!" &amp; $AJ$69 &amp; $AG19),0)))))</f>
        <v>0.78829096687651912</v>
      </c>
      <c r="P19" s="596">
        <f ca="1">IF(ISERROR(MATCH(P$1,INDIRECT("Table!A"&amp;$AG19):INDIRECT("Table!" &amp; $AJ$69 &amp; $AG19),0)),"",INDIRECT(CONCATENATE("Table!",ADDRESS($AC19,MATCH(P$1,INDIRECT("Table!A" &amp; $AG19):INDIRECT("Table!" &amp; $AJ$69 &amp; $AG19),0)))))</f>
        <v>0.24251554694913702</v>
      </c>
      <c r="Q19" s="596">
        <f ca="1">IF(ISERROR(MATCH(Q$1,INDIRECT("Table!A"&amp;$AG19):INDIRECT("Table!" &amp; $AJ$69 &amp; $AG19),0)),"",INDIRECT(CONCATENATE("Table!",ADDRESS($AC19,MATCH(Q$1,INDIRECT("Table!A" &amp; $AG19):INDIRECT("Table!" &amp; $AJ$69 &amp; $AG19),0)))))</f>
        <v>0.55889471876888519</v>
      </c>
      <c r="R19" s="596">
        <f ca="1">IF(ISERROR(MATCH(R$1,INDIRECT("Table!A"&amp;$AG19):INDIRECT("Table!" &amp; $AJ$69 &amp; $AG19),0)),"",INDIRECT(CONCATENATE("Table!",ADDRESS($AC19,MATCH(R$1,INDIRECT("Table!A" &amp; $AG19):INDIRECT("Table!" &amp; $AJ$69 &amp; $AG19),0)))))</f>
        <v>0.48440540328252807</v>
      </c>
      <c r="S19" s="596">
        <f ca="1">IF(ISERROR(MATCH(S$1,INDIRECT("Table!A"&amp;$AG19):INDIRECT("Table!" &amp; $AJ$43 &amp; $AG19),0)),"",INDIRECT(CONCATENATE("Table!",ADDRESS($AC19,MATCH(S$1,INDIRECT("Table!A" &amp; $AG19):INDIRECT("Table!" &amp; $AJ$43 &amp; $AG19),0)))))</f>
        <v>0.25559101376221649</v>
      </c>
      <c r="T19" s="596">
        <f ca="1">IF(ISERROR(MATCH(T$1,INDIRECT("Table!A"&amp;$AG19):INDIRECT("Table!" &amp; $AJ$43 &amp; $AG19),0)),"",INDIRECT(CONCATENATE("Table!",ADDRESS($AC19,MATCH(T$1,INDIRECT("Table!A" &amp; $AG19):INDIRECT("Table!" &amp; $AJ$43 &amp; $AG19),0)))))</f>
        <v>0.22119641588975689</v>
      </c>
      <c r="U19" s="596">
        <f ca="1">IF(ISERROR(MATCH(U$1,INDIRECT("Table!A"&amp;$AG19):INDIRECT("Table!" &amp; $AJ$43 &amp; $AG19),0)),"",INDIRECT(CONCATENATE("Table!",ADDRESS($AC19,MATCH(U$1,INDIRECT("Table!A" &amp; $AG19):INDIRECT("Table!" &amp; $AJ$43 &amp; $AG19),0)))))</f>
        <v>3.1299506343172218E-2</v>
      </c>
      <c r="V19" s="596">
        <f ca="1">IF(ISERROR(MATCH(V$1,INDIRECT("Table!A"&amp;$AG19):INDIRECT("Table!" &amp; $AJ$43 &amp; $AG19),0)),"",INDIRECT(CONCATENATE("Table!",ADDRESS($AC19,MATCH(V$1,INDIRECT("Table!A" &amp; $AG19):INDIRECT("Table!" &amp; $AJ$43 &amp; $AG19),0)))))</f>
        <v>3.0536548343289744E-2</v>
      </c>
      <c r="W19" s="596" t="str">
        <f ca="1">IF(ISERROR(MATCH(W$1,INDIRECT("Table!A"&amp;$AG19):INDIRECT("Table!" &amp; $AJ$43 &amp; $AG19),0)),"",INDIRECT(CONCATENATE("Table!",ADDRESS($AC19,MATCH(W$1,INDIRECT("Table!A" &amp; $AG19):INDIRECT("Table!" &amp; $AJ$43 &amp; $AG19),0)))))</f>
        <v/>
      </c>
      <c r="X19" s="596"/>
      <c r="Y19" s="596"/>
      <c r="Z19" s="596"/>
      <c r="AA19" s="596"/>
      <c r="AB19" s="596"/>
      <c r="AC19" s="595">
        <f>MATCH($A19,Table!$A:$A,0)+$AE$2-1</f>
        <v>230</v>
      </c>
      <c r="AD19" s="723"/>
      <c r="AE19" s="723"/>
      <c r="AF19" s="723"/>
      <c r="AG19" s="595">
        <f>MATCH($A19,Table!$A:$A,0)+$AI$2-1</f>
        <v>227</v>
      </c>
      <c r="AH19" s="723"/>
      <c r="AJ19" s="743" t="s">
        <v>285</v>
      </c>
    </row>
    <row r="20" spans="1:36" s="591" customFormat="1" ht="15.75" customHeight="1" x14ac:dyDescent="0.25">
      <c r="A20" s="592">
        <v>41702</v>
      </c>
      <c r="B20" s="596">
        <f ca="1">IF(ISERROR(MATCH(B$1,INDIRECT("Table!A"&amp;$AG20):INDIRECT("Table!" &amp; $AJ$91 &amp; $AG20),0)),"",INDIRECT(CONCATENATE("Table!",ADDRESS($AC20,MATCH(B$1,INDIRECT("Table!A" &amp; $AG20):INDIRECT("Table!" &amp; $AJ$90 &amp; $AG20),0)))))</f>
        <v>0.40272515942826609</v>
      </c>
      <c r="C20" s="596">
        <f ca="1">IF(ISERROR(MATCH(C$1,INDIRECT("Table!A"&amp;$AG20):INDIRECT("Table!" &amp; $AJ$90 &amp; $AG20),0)),"",INDIRECT(CONCATENATE("Table!",ADDRESS($AC20,MATCH(C$1,INDIRECT("Table!A" &amp; $AG20):INDIRECT("Table!" &amp; $AJ$90 &amp; $AG20),0)))))</f>
        <v>0.54977155358840579</v>
      </c>
      <c r="D20" s="596">
        <f ca="1">IF(ISERROR(MATCH(D$1,INDIRECT("Table!A"&amp;$AG20):INDIRECT("Table!" &amp; $AJ$90 &amp; $AG20),0)),"",INDIRECT(CONCATENATE("Table!",ADDRESS($AC20,MATCH(D$1,INDIRECT("Table!A" &amp; $AG20):INDIRECT("Table!" &amp; $AJ$90 &amp; $AG20),0)))))</f>
        <v>0.55868817214302458</v>
      </c>
      <c r="E20" s="596">
        <f ca="1">IF(ISERROR(MATCH(E$1,INDIRECT("Table!A"&amp;$AG20):INDIRECT("Table!" &amp; $AJ$90 &amp; $AG20),0)),"",INDIRECT(CONCATENATE("Table!",ADDRESS($AC20,MATCH(E$1,INDIRECT("Table!A" &amp; $AG20):INDIRECT("Table!" &amp; $AJ$90 &amp; $AG20),0)))))</f>
        <v>0.86158699947472184</v>
      </c>
      <c r="F20" s="596">
        <f ca="1">IF(ISERROR(MATCH(F$1,INDIRECT("Table!A"&amp;$AG20):INDIRECT("Table!" &amp; $AJ$90 &amp; $AG20),0)),"",INDIRECT(CONCATENATE("Table!",ADDRESS($AC20,MATCH(F$1,INDIRECT("Table!A" &amp; $AG20):INDIRECT("Table!" &amp; $AJ$90 &amp; $AG20),0)))))</f>
        <v>0.68917671732541164</v>
      </c>
      <c r="G20" s="596">
        <f ca="1">IF(ISERROR(MATCH(G$1,INDIRECT("Table!A"&amp;$AG20):INDIRECT("Table!" &amp; $AJ$90 &amp; $AG20),0)),"",INDIRECT(CONCATENATE("Table!",ADDRESS($AC20,MATCH(G$1,INDIRECT("Table!A" &amp; $AG20):INDIRECT("Table!" &amp; $AJ$90 &amp; $AG20),0)))))</f>
        <v>0.51954069909243783</v>
      </c>
      <c r="H20" s="596">
        <f ca="1">IF(ISERROR(MATCH(H$1,INDIRECT("Table!A"&amp;$AG20):INDIRECT("Table!" &amp; $AJ$90 &amp; $AG20),0)),"",INDIRECT(CONCATENATE("Table!",ADDRESS($AC20,MATCH(H$1,INDIRECT("Table!A" &amp; $AG20):INDIRECT("Table!" &amp; $AJ$90 &amp; $AG20),0)))))</f>
        <v>0.69077479724347046</v>
      </c>
      <c r="I20" s="596">
        <f ca="1">IF(ISERROR(MATCH(I$1,INDIRECT("Table!A"&amp;$AG20):INDIRECT("Table!" &amp; $AJ$69 &amp; $AG20),0)),"",INDIRECT(CONCATENATE("Table!",ADDRESS($AC20,MATCH(I$1,INDIRECT("Table!A" &amp; $AG20):INDIRECT("Table!" &amp; $AJ$69 &amp; $AG20),0)))))</f>
        <v>0.23438246999912363</v>
      </c>
      <c r="J20" s="596">
        <f ca="1">IF(ISERROR(MATCH(J$1,INDIRECT("Table!A"&amp;$AG20):INDIRECT("Table!" &amp; $AJ$69 &amp; $AG20),0)),"",INDIRECT(CONCATENATE("Table!",ADDRESS($AC20,MATCH(J$1,INDIRECT("Table!A" &amp; $AG20):INDIRECT("Table!" &amp; $AJ$69 &amp; $AG20),0)))))</f>
        <v>0.53729611987220571</v>
      </c>
      <c r="K20" s="596">
        <f ca="1">IF(ISERROR(MATCH(K$1,INDIRECT("Table!A"&amp;$AG20):INDIRECT("Table!" &amp; $AJ$69 &amp; $AG20),0)),"",INDIRECT(CONCATENATE("Table!",ADDRESS($AC20,MATCH(K$1,INDIRECT("Table!A" &amp; $AG20):INDIRECT("Table!" &amp; $AJ$69 &amp; $AG20),0)))))</f>
        <v>0.10487336168146552</v>
      </c>
      <c r="L20" s="596">
        <f ca="1">IF(ISERROR(MATCH(L$1,INDIRECT("Table!A"&amp;$AG20):INDIRECT("Table!" &amp; $AJ$69 &amp; $AG20),0)),"",INDIRECT(CONCATENATE("Table!",ADDRESS($AC20,MATCH(L$1,INDIRECT("Table!A" &amp; $AG20):INDIRECT("Table!" &amp; $AJ$69 &amp; $AG20),0)))))</f>
        <v>0.87375012368601424</v>
      </c>
      <c r="M20" s="596">
        <f ca="1">IF(ISERROR(MATCH(M$1,INDIRECT("Table!A"&amp;$AG20):INDIRECT("Table!" &amp; $AJ$69 &amp; $AG20),0)),"",INDIRECT(CONCATENATE("Table!",ADDRESS($AC20,MATCH(M$1,INDIRECT("Table!A" &amp; $AG20):INDIRECT("Table!" &amp; $AJ$69 &amp; $AG20),0)))))</f>
        <v>0.45695551479976149</v>
      </c>
      <c r="N20" s="596">
        <f ca="1">IF(ISERROR(MATCH(N$1,INDIRECT("Table!A"&amp;$AG20):INDIRECT("Table!" &amp; $AJ$69 &amp; $AG20),0)),"",INDIRECT(CONCATENATE("Table!",ADDRESS($AC20,MATCH(N$1,INDIRECT("Table!A" &amp; $AG20):INDIRECT("Table!" &amp; $AJ$69 &amp; $AG20),0)))))</f>
        <v>0.71161150101660153</v>
      </c>
      <c r="O20" s="596">
        <f ca="1">IF(ISERROR(MATCH(O$1,INDIRECT("Table!A"&amp;$AG20):INDIRECT("Table!" &amp; $AJ$69 &amp; $AG20),0)),"",INDIRECT(CONCATENATE("Table!",ADDRESS($AC20,MATCH(O$1,INDIRECT("Table!A" &amp; $AG20):INDIRECT("Table!" &amp; $AJ$69 &amp; $AG20),0)))))</f>
        <v>0.78936410944497837</v>
      </c>
      <c r="P20" s="596">
        <f ca="1">IF(ISERROR(MATCH(P$1,INDIRECT("Table!A"&amp;$AG20):INDIRECT("Table!" &amp; $AJ$69 &amp; $AG20),0)),"",INDIRECT(CONCATENATE("Table!",ADDRESS($AC20,MATCH(P$1,INDIRECT("Table!A" &amp; $AG20):INDIRECT("Table!" &amp; $AJ$69 &amp; $AG20),0)))))</f>
        <v>0.24343077075571823</v>
      </c>
      <c r="Q20" s="596">
        <f ca="1">IF(ISERROR(MATCH(Q$1,INDIRECT("Table!A"&amp;$AG20):INDIRECT("Table!" &amp; $AJ$69 &amp; $AG20),0)),"",INDIRECT(CONCATENATE("Table!",ADDRESS($AC20,MATCH(Q$1,INDIRECT("Table!A" &amp; $AG20):INDIRECT("Table!" &amp; $AJ$69 &amp; $AG20),0)))))</f>
        <v>0.56669220707201118</v>
      </c>
      <c r="R20" s="596">
        <f ca="1">IF(ISERROR(MATCH(R$1,INDIRECT("Table!A"&amp;$AG20):INDIRECT("Table!" &amp; $AJ$69 &amp; $AG20),0)),"",INDIRECT(CONCATENATE("Table!",ADDRESS($AC20,MATCH(R$1,INDIRECT("Table!A" &amp; $AG20):INDIRECT("Table!" &amp; $AJ$69 &amp; $AG20),0)))))</f>
        <v>0.48454955389179866</v>
      </c>
      <c r="S20" s="596">
        <f ca="1">IF(ISERROR(MATCH(S$1,INDIRECT("Table!A"&amp;$AG20):INDIRECT("Table!" &amp; $AJ$43 &amp; $AG20),0)),"",INDIRECT(CONCATENATE("Table!",ADDRESS($AC20,MATCH(S$1,INDIRECT("Table!A" &amp; $AG20):INDIRECT("Table!" &amp; $AJ$43 &amp; $AG20),0)))))</f>
        <v>0.25559101376221649</v>
      </c>
      <c r="T20" s="596">
        <f ca="1">IF(ISERROR(MATCH(T$1,INDIRECT("Table!A"&amp;$AG20):INDIRECT("Table!" &amp; $AJ$43 &amp; $AG20),0)),"",INDIRECT(CONCATENATE("Table!",ADDRESS($AC20,MATCH(T$1,INDIRECT("Table!A" &amp; $AG20):INDIRECT("Table!" &amp; $AJ$43 &amp; $AG20),0)))))</f>
        <v>0.22119641588975689</v>
      </c>
      <c r="U20" s="596">
        <f ca="1">IF(ISERROR(MATCH(U$1,INDIRECT("Table!A"&amp;$AG20):INDIRECT("Table!" &amp; $AJ$43 &amp; $AG20),0)),"",INDIRECT(CONCATENATE("Table!",ADDRESS($AC20,MATCH(U$1,INDIRECT("Table!A" &amp; $AG20):INDIRECT("Table!" &amp; $AJ$43 &amp; $AG20),0)))))</f>
        <v>3.1883379018190876E-2</v>
      </c>
      <c r="V20" s="596">
        <f ca="1">IF(ISERROR(MATCH(V$1,INDIRECT("Table!A"&amp;$AG20):INDIRECT("Table!" &amp; $AJ$43 &amp; $AG20),0)),"",INDIRECT(CONCATENATE("Table!",ADDRESS($AC20,MATCH(V$1,INDIRECT("Table!A" &amp; $AG20):INDIRECT("Table!" &amp; $AJ$43 &amp; $AG20),0)))))</f>
        <v>3.0811800120409391E-2</v>
      </c>
      <c r="W20" s="596" t="str">
        <f ca="1">IF(ISERROR(MATCH(W$1,INDIRECT("Table!A"&amp;$AG20):INDIRECT("Table!" &amp; $AJ$43 &amp; $AG20),0)),"",INDIRECT(CONCATENATE("Table!",ADDRESS($AC20,MATCH(W$1,INDIRECT("Table!A" &amp; $AG20):INDIRECT("Table!" &amp; $AJ$43 &amp; $AG20),0)))))</f>
        <v/>
      </c>
      <c r="X20" s="596"/>
      <c r="Y20" s="596"/>
      <c r="Z20" s="596"/>
      <c r="AA20" s="596"/>
      <c r="AB20" s="596"/>
      <c r="AC20" s="595">
        <f>MATCH($A20,Table!$A:$A,0)+$AE$2-1</f>
        <v>244</v>
      </c>
      <c r="AD20" s="698"/>
      <c r="AE20" s="698"/>
      <c r="AF20" s="698"/>
      <c r="AG20" s="595">
        <f>MATCH($A20,Table!$A:$A,0)+$AI$2-1</f>
        <v>241</v>
      </c>
      <c r="AH20" s="698"/>
      <c r="AJ20" s="743" t="s">
        <v>285</v>
      </c>
    </row>
    <row r="21" spans="1:36" s="591" customFormat="1" ht="15.75" customHeight="1" x14ac:dyDescent="0.25">
      <c r="A21" s="592">
        <v>41695</v>
      </c>
      <c r="B21" s="596">
        <f ca="1">IF(ISERROR(MATCH(B$1,INDIRECT("Table!A"&amp;$AG21):INDIRECT("Table!" &amp; $AJ$91 &amp; $AG21),0)),"",INDIRECT(CONCATENATE("Table!",ADDRESS($AC21,MATCH(B$1,INDIRECT("Table!A" &amp; $AG21):INDIRECT("Table!" &amp; $AJ$90 &amp; $AG21),0)))))</f>
        <v>0.36945806280641313</v>
      </c>
      <c r="C21" s="596">
        <f ca="1">IF(ISERROR(MATCH(C$1,INDIRECT("Table!A"&amp;$AG21):INDIRECT("Table!" &amp; $AJ$90 &amp; $AG21),0)),"",INDIRECT(CONCATENATE("Table!",ADDRESS($AC21,MATCH(C$1,INDIRECT("Table!A" &amp; $AG21):INDIRECT("Table!" &amp; $AJ$90 &amp; $AG21),0)))))</f>
        <v>0.54970511577785053</v>
      </c>
      <c r="D21" s="596">
        <f ca="1">IF(ISERROR(MATCH(D$1,INDIRECT("Table!A"&amp;$AG21):INDIRECT("Table!" &amp; $AJ$90 &amp; $AG21),0)),"",INDIRECT(CONCATENATE("Table!",ADDRESS($AC21,MATCH(D$1,INDIRECT("Table!A" &amp; $AG21):INDIRECT("Table!" &amp; $AJ$90 &amp; $AG21),0)))))</f>
        <v>0.55862106995436389</v>
      </c>
      <c r="E21" s="596">
        <f ca="1">IF(ISERROR(MATCH(E$1,INDIRECT("Table!A"&amp;$AG21):INDIRECT("Table!" &amp; $AJ$90 &amp; $AG21),0)),"",INDIRECT(CONCATENATE("Table!",ADDRESS($AC21,MATCH(E$1,INDIRECT("Table!A" &amp; $AG21):INDIRECT("Table!" &amp; $AJ$90 &amp; $AG21),0)))))</f>
        <v>0.86091666538460687</v>
      </c>
      <c r="F21" s="596">
        <f ca="1">IF(ISERROR(MATCH(F$1,INDIRECT("Table!A"&amp;$AG21):INDIRECT("Table!" &amp; $AJ$90 &amp; $AG21),0)),"",INDIRECT(CONCATENATE("Table!",ADDRESS($AC21,MATCH(F$1,INDIRECT("Table!A" &amp; $AG21):INDIRECT("Table!" &amp; $AJ$90 &amp; $AG21),0)))))</f>
        <v>0.6893574327530092</v>
      </c>
      <c r="G21" s="596">
        <f ca="1">IF(ISERROR(MATCH(G$1,INDIRECT("Table!A"&amp;$AG21):INDIRECT("Table!" &amp; $AJ$90 &amp; $AG21),0)),"",INDIRECT(CONCATENATE("Table!",ADDRESS($AC21,MATCH(G$1,INDIRECT("Table!A" &amp; $AG21):INDIRECT("Table!" &amp; $AJ$90 &amp; $AG21),0)))))</f>
        <v>0.50540781289141468</v>
      </c>
      <c r="H21" s="596">
        <f ca="1">IF(ISERROR(MATCH(H$1,INDIRECT("Table!A"&amp;$AG21):INDIRECT("Table!" &amp; $AJ$90 &amp; $AG21),0)),"",INDIRECT(CONCATENATE("Table!",ADDRESS($AC21,MATCH(H$1,INDIRECT("Table!A" &amp; $AG21):INDIRECT("Table!" &amp; $AJ$90 &amp; $AG21),0)))))</f>
        <v>0.68622893326610857</v>
      </c>
      <c r="I21" s="596">
        <f ca="1">IF(ISERROR(MATCH(I$1,INDIRECT("Table!A"&amp;$AG21):INDIRECT("Table!" &amp; $AJ$69 &amp; $AG21),0)),"",INDIRECT(CONCATENATE("Table!",ADDRESS($AC21,MATCH(I$1,INDIRECT("Table!A" &amp; $AG21):INDIRECT("Table!" &amp; $AJ$69 &amp; $AG21),0)))))</f>
        <v>0.22456762776248312</v>
      </c>
      <c r="J21" s="596">
        <f ca="1">IF(ISERROR(MATCH(J$1,INDIRECT("Table!A"&amp;$AG21):INDIRECT("Table!" &amp; $AJ$69 &amp; $AG21),0)),"",INDIRECT(CONCATENATE("Table!",ADDRESS($AC21,MATCH(J$1,INDIRECT("Table!A" &amp; $AG21):INDIRECT("Table!" &amp; $AJ$69 &amp; $AG21),0)))))</f>
        <v>0.5252762751827692</v>
      </c>
      <c r="K21" s="596">
        <f ca="1">IF(ISERROR(MATCH(K$1,INDIRECT("Table!A"&amp;$AG21):INDIRECT("Table!" &amp; $AJ$69 &amp; $AG21),0)),"",INDIRECT(CONCATENATE("Table!",ADDRESS($AC21,MATCH(K$1,INDIRECT("Table!A" &amp; $AG21):INDIRECT("Table!" &amp; $AJ$69 &amp; $AG21),0)))))</f>
        <v>9.8848383517977395E-2</v>
      </c>
      <c r="L21" s="596">
        <f ca="1">IF(ISERROR(MATCH(L$1,INDIRECT("Table!A"&amp;$AG21):INDIRECT("Table!" &amp; $AJ$69 &amp; $AG21),0)),"",INDIRECT(CONCATENATE("Table!",ADDRESS($AC21,MATCH(L$1,INDIRECT("Table!A" &amp; $AG21):INDIRECT("Table!" &amp; $AJ$69 &amp; $AG21),0)))))</f>
        <v>0.88929700236907283</v>
      </c>
      <c r="M21" s="596">
        <f ca="1">IF(ISERROR(MATCH(M$1,INDIRECT("Table!A"&amp;$AG21):INDIRECT("Table!" &amp; $AJ$69 &amp; $AG21),0)),"",INDIRECT(CONCATENATE("Table!",ADDRESS($AC21,MATCH(M$1,INDIRECT("Table!A" &amp; $AG21):INDIRECT("Table!" &amp; $AJ$69 &amp; $AG21),0)))))</f>
        <v>0.51097720552564874</v>
      </c>
      <c r="N21" s="596">
        <f ca="1">IF(ISERROR(MATCH(N$1,INDIRECT("Table!A"&amp;$AG21):INDIRECT("Table!" &amp; $AJ$69 &amp; $AG21),0)),"",INDIRECT(CONCATENATE("Table!",ADDRESS($AC21,MATCH(N$1,INDIRECT("Table!A" &amp; $AG21):INDIRECT("Table!" &amp; $AJ$69 &amp; $AG21),0)))))</f>
        <v>0.71286261009155449</v>
      </c>
      <c r="O21" s="596">
        <f ca="1">IF(ISERROR(MATCH(O$1,INDIRECT("Table!A"&amp;$AG21):INDIRECT("Table!" &amp; $AJ$69 &amp; $AG21),0)),"",INDIRECT(CONCATENATE("Table!",ADDRESS($AC21,MATCH(O$1,INDIRECT("Table!A" &amp; $AG21):INDIRECT("Table!" &amp; $AJ$69 &amp; $AG21),0)))))</f>
        <v>0.78001668147449732</v>
      </c>
      <c r="P21" s="596">
        <f ca="1">IF(ISERROR(MATCH(P$1,INDIRECT("Table!A"&amp;$AG21):INDIRECT("Table!" &amp; $AJ$69 &amp; $AG21),0)),"",INDIRECT(CONCATENATE("Table!",ADDRESS($AC21,MATCH(P$1,INDIRECT("Table!A" &amp; $AG21):INDIRECT("Table!" &amp; $AJ$69 &amp; $AG21),0)))))</f>
        <v>0.2330314554206265</v>
      </c>
      <c r="Q21" s="596">
        <f ca="1">IF(ISERROR(MATCH(Q$1,INDIRECT("Table!A"&amp;$AG21):INDIRECT("Table!" &amp; $AJ$69 &amp; $AG21),0)),"",INDIRECT(CONCATENATE("Table!",ADDRESS($AC21,MATCH(Q$1,INDIRECT("Table!A" &amp; $AG21):INDIRECT("Table!" &amp; $AJ$69 &amp; $AG21),0)))))</f>
        <v>0.55237917342217446</v>
      </c>
      <c r="R21" s="596">
        <f ca="1">IF(ISERROR(MATCH(R$1,INDIRECT("Table!A"&amp;$AG21):INDIRECT("Table!" &amp; $AJ$69 &amp; $AG21),0)),"",INDIRECT(CONCATENATE("Table!",ADDRESS($AC21,MATCH(R$1,INDIRECT("Table!A" &amp; $AG21):INDIRECT("Table!" &amp; $AJ$69 &amp; $AG21),0)))))</f>
        <v>0.70327214857427212</v>
      </c>
      <c r="S21" s="596">
        <f ca="1">IF(ISERROR(MATCH(S$1,INDIRECT("Table!A"&amp;$AG21):INDIRECT("Table!" &amp; $AJ$43 &amp; $AG21),0)),"",INDIRECT(CONCATENATE("Table!",ADDRESS($AC21,MATCH(S$1,INDIRECT("Table!A" &amp; $AG21):INDIRECT("Table!" &amp; $AJ$43 &amp; $AG21),0)))))</f>
        <v>0.25559101376221649</v>
      </c>
      <c r="T21" s="596">
        <f ca="1">IF(ISERROR(MATCH(T$1,INDIRECT("Table!A"&amp;$AG21):INDIRECT("Table!" &amp; $AJ$43 &amp; $AG21),0)),"",INDIRECT(CONCATENATE("Table!",ADDRESS($AC21,MATCH(T$1,INDIRECT("Table!A" &amp; $AG21):INDIRECT("Table!" &amp; $AJ$43 &amp; $AG21),0)))))</f>
        <v>0.22119641588975689</v>
      </c>
      <c r="U21" s="596">
        <f ca="1">IF(ISERROR(MATCH(U$1,INDIRECT("Table!A"&amp;$AG21):INDIRECT("Table!" &amp; $AJ$43 &amp; $AG21),0)),"",INDIRECT(CONCATENATE("Table!",ADDRESS($AC21,MATCH(U$1,INDIRECT("Table!A" &amp; $AG21):INDIRECT("Table!" &amp; $AJ$43 &amp; $AG21),0)))))</f>
        <v>1.4153999501619735E-4</v>
      </c>
      <c r="V21" s="596">
        <f ca="1">IF(ISERROR(MATCH(V$1,INDIRECT("Table!A"&amp;$AG21):INDIRECT("Table!" &amp; $AJ$43 &amp; $AG21),0)),"",INDIRECT(CONCATENATE("Table!",ADDRESS($AC21,MATCH(V$1,INDIRECT("Table!A" &amp; $AG21):INDIRECT("Table!" &amp; $AJ$43 &amp; $AG21),0)))))</f>
        <v>1.3668874172185431E-3</v>
      </c>
      <c r="W21" s="596" t="str">
        <f ca="1">IF(ISERROR(MATCH(W$1,INDIRECT("Table!A"&amp;$AG21):INDIRECT("Table!" &amp; $AJ$43 &amp; $AG21),0)),"",INDIRECT(CONCATENATE("Table!",ADDRESS($AC21,MATCH(W$1,INDIRECT("Table!A" &amp; $AG21):INDIRECT("Table!" &amp; $AJ$43 &amp; $AG21),0)))))</f>
        <v/>
      </c>
      <c r="X21" s="596"/>
      <c r="Y21" s="596"/>
      <c r="Z21" s="596"/>
      <c r="AA21" s="596"/>
      <c r="AB21" s="596"/>
      <c r="AC21" s="595">
        <f>MATCH($A21,Table!$A:$A,0)+$AE$2-1</f>
        <v>258</v>
      </c>
      <c r="AD21" s="697"/>
      <c r="AE21" s="697"/>
      <c r="AF21" s="697"/>
      <c r="AG21" s="595">
        <f>MATCH($A21,Table!$A:$A,0)+$AI$2-1</f>
        <v>255</v>
      </c>
      <c r="AH21" s="697"/>
      <c r="AJ21" s="743" t="s">
        <v>285</v>
      </c>
    </row>
    <row r="22" spans="1:36" s="591" customFormat="1" ht="15.75" customHeight="1" x14ac:dyDescent="0.25">
      <c r="A22" s="592">
        <v>41690</v>
      </c>
      <c r="B22" s="596">
        <f ca="1">IF(ISERROR(MATCH(B$1,INDIRECT("Table!A"&amp;$AG22):INDIRECT("Table!" &amp; $AJ$91 &amp; $AG22),0)),"",INDIRECT(CONCATENATE("Table!",ADDRESS($AC22,MATCH(B$1,INDIRECT("Table!A" &amp; $AG22):INDIRECT("Table!" &amp; $AJ$90 &amp; $AG22),0)))))</f>
        <v>0.36909263353162292</v>
      </c>
      <c r="C22" s="596">
        <f ca="1">IF(ISERROR(MATCH(C$1,INDIRECT("Table!A"&amp;$AG22):INDIRECT("Table!" &amp; $AJ$90 &amp; $AG22),0)),"",INDIRECT(CONCATENATE("Table!",ADDRESS($AC22,MATCH(C$1,INDIRECT("Table!A" &amp; $AG22):INDIRECT("Table!" &amp; $AJ$90 &amp; $AG22),0)))))</f>
        <v>0.54955098005736236</v>
      </c>
      <c r="D22" s="596">
        <f ca="1">IF(ISERROR(MATCH(D$1,INDIRECT("Table!A"&amp;$AG22):INDIRECT("Table!" &amp; $AJ$90 &amp; $AG22),0)),"",INDIRECT(CONCATENATE("Table!",ADDRESS($AC22,MATCH(D$1,INDIRECT("Table!A" &amp; $AG22):INDIRECT("Table!" &amp; $AJ$90 &amp; $AG22),0)))))</f>
        <v>0.55846693423387572</v>
      </c>
      <c r="E22" s="596">
        <f ca="1">IF(ISERROR(MATCH(E$1,INDIRECT("Table!A"&amp;$AG22):INDIRECT("Table!" &amp; $AJ$90 &amp; $AG22),0)),"",INDIRECT(CONCATENATE("Table!",ADDRESS($AC22,MATCH(E$1,INDIRECT("Table!A" &amp; $AG22):INDIRECT("Table!" &amp; $AJ$90 &amp; $AG22),0)))))</f>
        <v>0.85985731774055663</v>
      </c>
      <c r="F22" s="596">
        <f ca="1">IF(ISERROR(MATCH(F$1,INDIRECT("Table!A"&amp;$AG22):INDIRECT("Table!" &amp; $AJ$90 &amp; $AG22),0)),"",INDIRECT(CONCATENATE("Table!",ADDRESS($AC22,MATCH(F$1,INDIRECT("Table!A" &amp; $AG22):INDIRECT("Table!" &amp; $AJ$90 &amp; $AG22),0)))))</f>
        <v>0.68065468545543006</v>
      </c>
      <c r="G22" s="596">
        <f ca="1">IF(ISERROR(MATCH(G$1,INDIRECT("Table!A"&amp;$AG22):INDIRECT("Table!" &amp; $AJ$90 &amp; $AG22),0)),"",INDIRECT(CONCATENATE("Table!",ADDRESS($AC22,MATCH(G$1,INDIRECT("Table!A" &amp; $AG22):INDIRECT("Table!" &amp; $AJ$90 &amp; $AG22),0)))))</f>
        <v>0.50595423244324467</v>
      </c>
      <c r="H22" s="596">
        <f ca="1">IF(ISERROR(MATCH(H$1,INDIRECT("Table!A"&amp;$AG22):INDIRECT("Table!" &amp; $AJ$90 &amp; $AG22),0)),"",INDIRECT(CONCATENATE("Table!",ADDRESS($AC22,MATCH(H$1,INDIRECT("Table!A" &amp; $AG22):INDIRECT("Table!" &amp; $AJ$90 &amp; $AG22),0)))))</f>
        <v>0.68218550072937367</v>
      </c>
      <c r="I22" s="596">
        <f ca="1">IF(ISERROR(MATCH(I$1,INDIRECT("Table!A"&amp;$AG22):INDIRECT("Table!" &amp; $AJ$69 &amp; $AG22),0)),"",INDIRECT(CONCATENATE("Table!",ADDRESS($AC22,MATCH(I$1,INDIRECT("Table!A" &amp; $AG22):INDIRECT("Table!" &amp; $AJ$69 &amp; $AG22),0)))))</f>
        <v>0.21863544742178315</v>
      </c>
      <c r="J22" s="596">
        <f ca="1">IF(ISERROR(MATCH(J$1,INDIRECT("Table!A"&amp;$AG22):INDIRECT("Table!" &amp; $AJ$69 &amp; $AG22),0)),"",INDIRECT(CONCATENATE("Table!",ADDRESS($AC22,MATCH(J$1,INDIRECT("Table!A" &amp; $AG22):INDIRECT("Table!" &amp; $AJ$69 &amp; $AG22),0)))))</f>
        <v>0.5032821837726329</v>
      </c>
      <c r="K22" s="596">
        <f ca="1">IF(ISERROR(MATCH(K$1,INDIRECT("Table!A"&amp;$AG22):INDIRECT("Table!" &amp; $AJ$69 &amp; $AG22),0)),"",INDIRECT(CONCATENATE("Table!",ADDRESS($AC22,MATCH(K$1,INDIRECT("Table!A" &amp; $AG22):INDIRECT("Table!" &amp; $AJ$69 &amp; $AG22),0)))))</f>
        <v>5.3639533583905975E-2</v>
      </c>
      <c r="L22" s="596">
        <f ca="1">IF(ISERROR(MATCH(L$1,INDIRECT("Table!A"&amp;$AG22):INDIRECT("Table!" &amp; $AJ$69 &amp; $AG22),0)),"",INDIRECT(CONCATENATE("Table!",ADDRESS($AC22,MATCH(L$1,INDIRECT("Table!A" &amp; $AG22):INDIRECT("Table!" &amp; $AJ$69 &amp; $AG22),0)))))</f>
        <v>0.89355180125690892</v>
      </c>
      <c r="M22" s="596">
        <f ca="1">IF(ISERROR(MATCH(M$1,INDIRECT("Table!A"&amp;$AG22):INDIRECT("Table!" &amp; $AJ$69 &amp; $AG22),0)),"",INDIRECT(CONCATENATE("Table!",ADDRESS($AC22,MATCH(M$1,INDIRECT("Table!A" &amp; $AG22):INDIRECT("Table!" &amp; $AJ$69 &amp; $AG22),0)))))</f>
        <v>0.50355437593513808</v>
      </c>
      <c r="N22" s="596">
        <f ca="1">IF(ISERROR(MATCH(N$1,INDIRECT("Table!A"&amp;$AG22):INDIRECT("Table!" &amp; $AJ$69 &amp; $AG22),0)),"",INDIRECT(CONCATENATE("Table!",ADDRESS($AC22,MATCH(N$1,INDIRECT("Table!A" &amp; $AG22):INDIRECT("Table!" &amp; $AJ$69 &amp; $AG22),0)))))</f>
        <v>0.70913225008642922</v>
      </c>
      <c r="O22" s="596">
        <f ca="1">IF(ISERROR(MATCH(O$1,INDIRECT("Table!A"&amp;$AG22):INDIRECT("Table!" &amp; $AJ$69 &amp; $AG22),0)),"",INDIRECT(CONCATENATE("Table!",ADDRESS($AC22,MATCH(O$1,INDIRECT("Table!A" &amp; $AG22):INDIRECT("Table!" &amp; $AJ$69 &amp; $AG22),0)))))</f>
        <v>0.77838878714801185</v>
      </c>
      <c r="P22" s="596">
        <f ca="1">IF(ISERROR(MATCH(P$1,INDIRECT("Table!A"&amp;$AG22):INDIRECT("Table!" &amp; $AJ$69 &amp; $AG22),0)),"",INDIRECT(CONCATENATE("Table!",ADDRESS($AC22,MATCH(P$1,INDIRECT("Table!A" &amp; $AG22):INDIRECT("Table!" &amp; $AJ$69 &amp; $AG22),0)))))</f>
        <v>0.23048088522917659</v>
      </c>
      <c r="Q22" s="596">
        <f ca="1">IF(ISERROR(MATCH(Q$1,INDIRECT("Table!A"&amp;$AG22):INDIRECT("Table!" &amp; $AJ$69 &amp; $AG22),0)),"",INDIRECT(CONCATENATE("Table!",ADDRESS($AC22,MATCH(Q$1,INDIRECT("Table!A" &amp; $AG22):INDIRECT("Table!" &amp; $AJ$69 &amp; $AG22),0)))))</f>
        <v>0.53265397266188874</v>
      </c>
      <c r="R22" s="596">
        <f ca="1">IF(ISERROR(MATCH(R$1,INDIRECT("Table!A"&amp;$AG22):INDIRECT("Table!" &amp; $AJ$69 &amp; $AG22),0)),"",INDIRECT(CONCATENATE("Table!",ADDRESS($AC22,MATCH(R$1,INDIRECT("Table!A" &amp; $AG22):INDIRECT("Table!" &amp; $AJ$69 &amp; $AG22),0)))))</f>
        <v>0.60892157204484343</v>
      </c>
      <c r="S22" s="596">
        <f ca="1">IF(ISERROR(MATCH(S$1,INDIRECT("Table!A"&amp;$AG22):INDIRECT("Table!" &amp; $AJ$43 &amp; $AG22),0)),"",INDIRECT(CONCATENATE("Table!",ADDRESS($AC22,MATCH(S$1,INDIRECT("Table!A" &amp; $AG22):INDIRECT("Table!" &amp; $AJ$43 &amp; $AG22),0)))))</f>
        <v>0.25559101376221649</v>
      </c>
      <c r="T22" s="596">
        <f ca="1">IF(ISERROR(MATCH(T$1,INDIRECT("Table!A"&amp;$AG22):INDIRECT("Table!" &amp; $AJ$43 &amp; $AG22),0)),"",INDIRECT(CONCATENATE("Table!",ADDRESS($AC22,MATCH(T$1,INDIRECT("Table!A" &amp; $AG22):INDIRECT("Table!" &amp; $AJ$43 &amp; $AG22),0)))))</f>
        <v>0.22119641588975689</v>
      </c>
      <c r="U22" s="596">
        <f ca="1">IF(ISERROR(MATCH(U$1,INDIRECT("Table!A"&amp;$AG22):INDIRECT("Table!" &amp; $AJ$43 &amp; $AG22),0)),"",INDIRECT(CONCATENATE("Table!",ADDRESS($AC22,MATCH(U$1,INDIRECT("Table!A" &amp; $AG22):INDIRECT("Table!" &amp; $AJ$43 &amp; $AG22),0)))))</f>
        <v>3.089957637677548E-5</v>
      </c>
      <c r="V22" s="596"/>
      <c r="W22" s="596"/>
      <c r="X22" s="596"/>
      <c r="Y22" s="596"/>
      <c r="Z22" s="596"/>
      <c r="AA22" s="596"/>
      <c r="AB22" s="596"/>
      <c r="AC22" s="595">
        <f>MATCH($A22,Table!$A:$A,0)+$AE$2-1</f>
        <v>272</v>
      </c>
      <c r="AD22" s="697"/>
      <c r="AE22" s="697"/>
      <c r="AF22" s="697"/>
      <c r="AG22" s="595">
        <f>MATCH($A22,Table!$A:$A,0)+$AI$2-1</f>
        <v>269</v>
      </c>
      <c r="AH22" s="697"/>
      <c r="AJ22" s="743" t="s">
        <v>285</v>
      </c>
    </row>
    <row r="23" spans="1:36" s="591" customFormat="1" ht="15.75" customHeight="1" x14ac:dyDescent="0.25">
      <c r="A23" s="592">
        <v>41684</v>
      </c>
      <c r="B23" s="596">
        <f ca="1">IF(ISERROR(MATCH(B$1,INDIRECT("Table!A"&amp;$AG23):INDIRECT("Table!" &amp; $AJ$91 &amp; $AG23),0)),"",INDIRECT(CONCATENATE("Table!",ADDRESS($AC23,MATCH(B$1,INDIRECT("Table!A" &amp; $AG23):INDIRECT("Table!" &amp; $AJ$90 &amp; $AG23),0)))))</f>
        <v>0.36909263353162292</v>
      </c>
      <c r="C23" s="596">
        <f ca="1">IF(ISERROR(MATCH(C$1,INDIRECT("Table!A"&amp;$AG23):INDIRECT("Table!" &amp; $AJ$90 &amp; $AG23),0)),"",INDIRECT(CONCATENATE("Table!",ADDRESS($AC23,MATCH(C$1,INDIRECT("Table!A" &amp; $AG23):INDIRECT("Table!" &amp; $AJ$90 &amp; $AG23),0)))))</f>
        <v>0.54955098005736236</v>
      </c>
      <c r="D23" s="596">
        <f ca="1">IF(ISERROR(MATCH(D$1,INDIRECT("Table!A"&amp;$AG23):INDIRECT("Table!" &amp; $AJ$90 &amp; $AG23),0)),"",INDIRECT(CONCATENATE("Table!",ADDRESS($AC23,MATCH(D$1,INDIRECT("Table!A" &amp; $AG23):INDIRECT("Table!" &amp; $AJ$90 &amp; $AG23),0)))))</f>
        <v>0.55846693423387572</v>
      </c>
      <c r="E23" s="596">
        <f ca="1">IF(ISERROR(MATCH(E$1,INDIRECT("Table!A"&amp;$AG23):INDIRECT("Table!" &amp; $AJ$90 &amp; $AG23),0)),"",INDIRECT(CONCATENATE("Table!",ADDRESS($AC23,MATCH(E$1,INDIRECT("Table!A" &amp; $AG23):INDIRECT("Table!" &amp; $AJ$90 &amp; $AG23),0)))))</f>
        <v>0.85985731774055663</v>
      </c>
      <c r="F23" s="596">
        <f ca="1">IF(ISERROR(MATCH(F$1,INDIRECT("Table!A"&amp;$AG23):INDIRECT("Table!" &amp; $AJ$90 &amp; $AG23),0)),"",INDIRECT(CONCATENATE("Table!",ADDRESS($AC23,MATCH(F$1,INDIRECT("Table!A" &amp; $AG23):INDIRECT("Table!" &amp; $AJ$90 &amp; $AG23),0)))))</f>
        <v>0.68065468545543006</v>
      </c>
      <c r="G23" s="596">
        <f ca="1">IF(ISERROR(MATCH(G$1,INDIRECT("Table!A"&amp;$AG23):INDIRECT("Table!" &amp; $AJ$90 &amp; $AG23),0)),"",INDIRECT(CONCATENATE("Table!",ADDRESS($AC23,MATCH(G$1,INDIRECT("Table!A" &amp; $AG23):INDIRECT("Table!" &amp; $AJ$90 &amp; $AG23),0)))))</f>
        <v>0.50595423244324467</v>
      </c>
      <c r="H23" s="596">
        <f ca="1">IF(ISERROR(MATCH(H$1,INDIRECT("Table!A"&amp;$AG23):INDIRECT("Table!" &amp; $AJ$90 &amp; $AG23),0)),"",INDIRECT(CONCATENATE("Table!",ADDRESS($AC23,MATCH(H$1,INDIRECT("Table!A" &amp; $AG23):INDIRECT("Table!" &amp; $AJ$90 &amp; $AG23),0)))))</f>
        <v>0.68218550072937367</v>
      </c>
      <c r="I23" s="596">
        <f ca="1">IF(ISERROR(MATCH(I$1,INDIRECT("Table!A"&amp;$AG23):INDIRECT("Table!" &amp; $AJ$69 &amp; $AG23),0)),"",INDIRECT(CONCATENATE("Table!",ADDRESS($AC23,MATCH(I$1,INDIRECT("Table!A" &amp; $AG23):INDIRECT("Table!" &amp; $AJ$69 &amp; $AG23),0)))))</f>
        <v>0.21863544742178315</v>
      </c>
      <c r="J23" s="596">
        <f ca="1">IF(ISERROR(MATCH(J$1,INDIRECT("Table!A"&amp;$AG23):INDIRECT("Table!" &amp; $AJ$69 &amp; $AG23),0)),"",INDIRECT(CONCATENATE("Table!",ADDRESS($AC23,MATCH(J$1,INDIRECT("Table!A" &amp; $AG23):INDIRECT("Table!" &amp; $AJ$69 &amp; $AG23),0)))))</f>
        <v>0.5032821837726329</v>
      </c>
      <c r="K23" s="596">
        <f ca="1">IF(ISERROR(MATCH(K$1,INDIRECT("Table!A"&amp;$AG23):INDIRECT("Table!" &amp; $AJ$69 &amp; $AG23),0)),"",INDIRECT(CONCATENATE("Table!",ADDRESS($AC23,MATCH(K$1,INDIRECT("Table!A" &amp; $AG23):INDIRECT("Table!" &amp; $AJ$69 &amp; $AG23),0)))))</f>
        <v>5.3639533583905975E-2</v>
      </c>
      <c r="L23" s="596">
        <f ca="1">IF(ISERROR(MATCH(L$1,INDIRECT("Table!A"&amp;$AG23):INDIRECT("Table!" &amp; $AJ$69 &amp; $AG23),0)),"",INDIRECT(CONCATENATE("Table!",ADDRESS($AC23,MATCH(L$1,INDIRECT("Table!A" &amp; $AG23):INDIRECT("Table!" &amp; $AJ$69 &amp; $AG23),0)))))</f>
        <v>0.888112724972556</v>
      </c>
      <c r="M23" s="596">
        <f ca="1">IF(ISERROR(MATCH(M$1,INDIRECT("Table!A"&amp;$AG23):INDIRECT("Table!" &amp; $AJ$69 &amp; $AG23),0)),"",INDIRECT(CONCATENATE("Table!",ADDRESS($AC23,MATCH(M$1,INDIRECT("Table!A" &amp; $AG23):INDIRECT("Table!" &amp; $AJ$69 &amp; $AG23),0)))))</f>
        <v>0.51153649091180176</v>
      </c>
      <c r="N23" s="596">
        <f ca="1">IF(ISERROR(MATCH(N$1,INDIRECT("Table!A"&amp;$AG23):INDIRECT("Table!" &amp; $AJ$69 &amp; $AG23),0)),"",INDIRECT(CONCATENATE("Table!",ADDRESS($AC23,MATCH(N$1,INDIRECT("Table!A" &amp; $AG23):INDIRECT("Table!" &amp; $AJ$69 &amp; $AG23),0)))))</f>
        <v>0.70416528661881417</v>
      </c>
      <c r="O23" s="596">
        <f ca="1">IF(ISERROR(MATCH(O$1,INDIRECT("Table!A"&amp;$AG23):INDIRECT("Table!" &amp; $AJ$69 &amp; $AG23),0)),"",INDIRECT(CONCATENATE("Table!",ADDRESS($AC23,MATCH(O$1,INDIRECT("Table!A" &amp; $AG23):INDIRECT("Table!" &amp; $AJ$69 &amp; $AG23),0)))))</f>
        <v>0.77496291998331845</v>
      </c>
      <c r="P23" s="596">
        <f ca="1">IF(ISERROR(MATCH(P$1,INDIRECT("Table!A"&amp;$AG23):INDIRECT("Table!" &amp; $AJ$69 &amp; $AG23),0)),"",INDIRECT(CONCATENATE("Table!",ADDRESS($AC23,MATCH(P$1,INDIRECT("Table!A" &amp; $AG23):INDIRECT("Table!" &amp; $AJ$69 &amp; $AG23),0)))))</f>
        <v>0.22707327510135794</v>
      </c>
      <c r="Q23" s="596">
        <f ca="1">IF(ISERROR(MATCH(Q$1,INDIRECT("Table!A"&amp;$AG23):INDIRECT("Table!" &amp; $AJ$69 &amp; $AG23),0)),"",INDIRECT(CONCATENATE("Table!",ADDRESS($AC23,MATCH(Q$1,INDIRECT("Table!A" &amp; $AG23):INDIRECT("Table!" &amp; $AJ$69 &amp; $AG23),0)))))</f>
        <v>0.52999604194270766</v>
      </c>
      <c r="R23" s="596">
        <f ca="1">IF(ISERROR(MATCH(R$1,INDIRECT("Table!A"&amp;$AG23):INDIRECT("Table!" &amp; $AJ$69 &amp; $AG23),0)),"",INDIRECT(CONCATENATE("Table!",ADDRESS($AC23,MATCH(R$1,INDIRECT("Table!A" &amp; $AG23):INDIRECT("Table!" &amp; $AJ$69 &amp; $AG23),0)))))</f>
        <v>0.55741795588975918</v>
      </c>
      <c r="S23" s="596">
        <f ca="1">IF(ISERROR(MATCH(S$1,INDIRECT("Table!A"&amp;$AG23):INDIRECT("Table!" &amp; $AJ$43 &amp; $AG23),0)),"",INDIRECT(CONCATENATE("Table!",ADDRESS($AC23,MATCH(S$1,INDIRECT("Table!A" &amp; $AG23):INDIRECT("Table!" &amp; $AJ$43 &amp; $AG23),0)))))</f>
        <v>0.25559101376221649</v>
      </c>
      <c r="T23" s="596">
        <f ca="1">IF(ISERROR(MATCH(T$1,INDIRECT("Table!A"&amp;$AG23):INDIRECT("Table!" &amp; $AJ$43 &amp; $AG23),0)),"",INDIRECT(CONCATENATE("Table!",ADDRESS($AC23,MATCH(T$1,INDIRECT("Table!A" &amp; $AG23):INDIRECT("Table!" &amp; $AJ$43 &amp; $AG23),0)))))</f>
        <v>0.22119641588975689</v>
      </c>
      <c r="U23" s="596" t="str">
        <f ca="1">IF(ISERROR(MATCH(U$1,INDIRECT("Table!A"&amp;$AG23):INDIRECT("Table!" &amp; $AJ$43 &amp; $AG23),0)),"",INDIRECT(CONCATENATE("Table!",ADDRESS($AC23,MATCH(U$1,INDIRECT("Table!A" &amp; $AG23):INDIRECT("Table!" &amp; $AJ$43 &amp; $AG23),0)))))</f>
        <v/>
      </c>
      <c r="V23" s="596"/>
      <c r="W23" s="596"/>
      <c r="X23" s="596"/>
      <c r="Y23" s="596"/>
      <c r="Z23" s="596"/>
      <c r="AA23" s="596"/>
      <c r="AB23" s="596"/>
      <c r="AC23" s="595">
        <f>MATCH($A23,Table!$A:$A,0)+$AE$2-1</f>
        <v>286</v>
      </c>
      <c r="AD23" s="697"/>
      <c r="AE23" s="697"/>
      <c r="AF23" s="697"/>
      <c r="AG23" s="595">
        <f>MATCH($A23,Table!$A:$A,0)+$AI$2-1</f>
        <v>283</v>
      </c>
      <c r="AH23" s="697"/>
      <c r="AJ23" s="743" t="s">
        <v>285</v>
      </c>
    </row>
    <row r="24" spans="1:36" s="591" customFormat="1" ht="15.75" customHeight="1" x14ac:dyDescent="0.25">
      <c r="A24" s="592">
        <v>41676</v>
      </c>
      <c r="B24" s="596">
        <f ca="1">IF(ISERROR(MATCH(B$1,INDIRECT("Table!A"&amp;$AG24):INDIRECT("Table!" &amp; $AJ$91 &amp; $AG24),0)),"",INDIRECT(CONCATENATE("Table!",ADDRESS($AC24,MATCH(B$1,INDIRECT("Table!A" &amp; $AG24):INDIRECT("Table!" &amp; $AJ$90 &amp; $AG24),0)))))</f>
        <v>0.36478140495003242</v>
      </c>
      <c r="C24" s="596">
        <f ca="1">IF(ISERROR(MATCH(C$1,INDIRECT("Table!A"&amp;$AG24):INDIRECT("Table!" &amp; $AJ$90 &amp; $AG24),0)),"",INDIRECT(CONCATENATE("Table!",ADDRESS($AC24,MATCH(C$1,INDIRECT("Table!A" &amp; $AG24):INDIRECT("Table!" &amp; $AJ$90 &amp; $AG24),0)))))</f>
        <v>0.54930316702399129</v>
      </c>
      <c r="D24" s="596">
        <f ca="1">IF(ISERROR(MATCH(D$1,INDIRECT("Table!A"&amp;$AG24):INDIRECT("Table!" &amp; $AJ$90 &amp; $AG24),0)),"",INDIRECT(CONCATENATE("Table!",ADDRESS($AC24,MATCH(D$1,INDIRECT("Table!A" &amp; $AG24):INDIRECT("Table!" &amp; $AJ$90 &amp; $AG24),0)))))</f>
        <v>0.55821912120050465</v>
      </c>
      <c r="E24" s="596">
        <f ca="1">IF(ISERROR(MATCH(E$1,INDIRECT("Table!A"&amp;$AG24):INDIRECT("Table!" &amp; $AJ$90 &amp; $AG24),0)),"",INDIRECT(CONCATENATE("Table!",ADDRESS($AC24,MATCH(E$1,INDIRECT("Table!A" &amp; $AG24):INDIRECT("Table!" &amp; $AJ$90 &amp; $AG24),0)))))</f>
        <v>0.86433207251915944</v>
      </c>
      <c r="F24" s="596">
        <f ca="1">IF(ISERROR(MATCH(F$1,INDIRECT("Table!A"&amp;$AG24):INDIRECT("Table!" &amp; $AJ$90 &amp; $AG24),0)),"",INDIRECT(CONCATENATE("Table!",ADDRESS($AC24,MATCH(F$1,INDIRECT("Table!A" &amp; $AG24):INDIRECT("Table!" &amp; $AJ$90 &amp; $AG24),0)))))</f>
        <v>0.67813857065580352</v>
      </c>
      <c r="G24" s="596">
        <f ca="1">IF(ISERROR(MATCH(G$1,INDIRECT("Table!A"&amp;$AG24):INDIRECT("Table!" &amp; $AJ$90 &amp; $AG24),0)),"",INDIRECT(CONCATENATE("Table!",ADDRESS($AC24,MATCH(G$1,INDIRECT("Table!A" &amp; $AG24):INDIRECT("Table!" &amp; $AJ$90 &amp; $AG24),0)))))</f>
        <v>0.50687527481800521</v>
      </c>
      <c r="H24" s="596">
        <f ca="1">IF(ISERROR(MATCH(H$1,INDIRECT("Table!A"&amp;$AG24):INDIRECT("Table!" &amp; $AJ$90 &amp; $AG24),0)),"",INDIRECT(CONCATENATE("Table!",ADDRESS($AC24,MATCH(H$1,INDIRECT("Table!A" &amp; $AG24):INDIRECT("Table!" &amp; $AJ$90 &amp; $AG24),0)))))</f>
        <v>0.67269779362994131</v>
      </c>
      <c r="I24" s="596">
        <f ca="1">IF(ISERROR(MATCH(I$1,INDIRECT("Table!A"&amp;$AG24):INDIRECT("Table!" &amp; $AJ$69 &amp; $AG24),0)),"",INDIRECT(CONCATENATE("Table!",ADDRESS($AC24,MATCH(I$1,INDIRECT("Table!A" &amp; $AG24):INDIRECT("Table!" &amp; $AJ$69 &amp; $AG24),0)))))</f>
        <v>0.20166270281378154</v>
      </c>
      <c r="J24" s="596">
        <f ca="1">IF(ISERROR(MATCH(J$1,INDIRECT("Table!A"&amp;$AG24):INDIRECT("Table!" &amp; $AJ$69 &amp; $AG24),0)),"",INDIRECT(CONCATENATE("Table!",ADDRESS($AC24,MATCH(J$1,INDIRECT("Table!A" &amp; $AG24):INDIRECT("Table!" &amp; $AJ$69 &amp; $AG24),0)))))</f>
        <v>0.50015900137251956</v>
      </c>
      <c r="K24" s="596">
        <f ca="1">IF(ISERROR(MATCH(K$1,INDIRECT("Table!A"&amp;$AG24):INDIRECT("Table!" &amp; $AJ$69 &amp; $AG24),0)),"",INDIRECT(CONCATENATE("Table!",ADDRESS($AC24,MATCH(K$1,INDIRECT("Table!A" &amp; $AG24):INDIRECT("Table!" &amp; $AJ$69 &amp; $AG24),0)))))</f>
        <v>3.9735035656719486E-2</v>
      </c>
      <c r="L24" s="596">
        <f ca="1">IF(ISERROR(MATCH(L$1,INDIRECT("Table!A"&amp;$AG24):INDIRECT("Table!" &amp; $AJ$69 &amp; $AG24),0)),"",INDIRECT(CONCATENATE("Table!",ADDRESS($AC24,MATCH(L$1,INDIRECT("Table!A" &amp; $AG24):INDIRECT("Table!" &amp; $AJ$69 &amp; $AG24),0)))))</f>
        <v>0.88137229049920451</v>
      </c>
      <c r="M24" s="596">
        <f ca="1">IF(ISERROR(MATCH(M$1,INDIRECT("Table!A"&amp;$AG24):INDIRECT("Table!" &amp; $AJ$69 &amp; $AG24),0)),"",INDIRECT(CONCATENATE("Table!",ADDRESS($AC24,MATCH(M$1,INDIRECT("Table!A" &amp; $AG24):INDIRECT("Table!" &amp; $AJ$69 &amp; $AG24),0)))))</f>
        <v>0.53902169709436487</v>
      </c>
      <c r="N24" s="596">
        <f ca="1">IF(ISERROR(MATCH(N$1,INDIRECT("Table!A"&amp;$AG24):INDIRECT("Table!" &amp; $AJ$69 &amp; $AG24),0)),"",INDIRECT(CONCATENATE("Table!",ADDRESS($AC24,MATCH(N$1,INDIRECT("Table!A" &amp; $AG24):INDIRECT("Table!" &amp; $AJ$69 &amp; $AG24),0)))))</f>
        <v>0.70172592612291573</v>
      </c>
      <c r="O24" s="596">
        <f ca="1">IF(ISERROR(MATCH(O$1,INDIRECT("Table!A"&amp;$AG24):INDIRECT("Table!" &amp; $AJ$69 &amp; $AG24),0)),"",INDIRECT(CONCATENATE("Table!",ADDRESS($AC24,MATCH(O$1,INDIRECT("Table!A" &amp; $AG24):INDIRECT("Table!" &amp; $AJ$69 &amp; $AG24),0)))))</f>
        <v>0.76327573389421777</v>
      </c>
      <c r="P24" s="596">
        <f ca="1">IF(ISERROR(MATCH(P$1,INDIRECT("Table!A"&amp;$AG24):INDIRECT("Table!" &amp; $AJ$69 &amp; $AG24),0)),"",INDIRECT(CONCATENATE("Table!",ADDRESS($AC24,MATCH(P$1,INDIRECT("Table!A" &amp; $AG24):INDIRECT("Table!" &amp; $AJ$69 &amp; $AG24),0)))))</f>
        <v>0.20894005072129157</v>
      </c>
      <c r="Q24" s="596">
        <f ca="1">IF(ISERROR(MATCH(Q$1,INDIRECT("Table!A"&amp;$AG24):INDIRECT("Table!" &amp; $AJ$69 &amp; $AG24),0)),"",INDIRECT(CONCATENATE("Table!",ADDRESS($AC24,MATCH(Q$1,INDIRECT("Table!A" &amp; $AG24):INDIRECT("Table!" &amp; $AJ$69 &amp; $AG24),0)))))</f>
        <v>0.50993059641785232</v>
      </c>
      <c r="R24" s="596">
        <f ca="1">IF(ISERROR(MATCH(R$1,INDIRECT("Table!A"&amp;$AG24):INDIRECT("Table!" &amp; $AJ$69 &amp; $AG24),0)),"",INDIRECT(CONCATENATE("Table!",ADDRESS($AC24,MATCH(R$1,INDIRECT("Table!A" &amp; $AG24):INDIRECT("Table!" &amp; $AJ$69 &amp; $AG24),0)))))</f>
        <v>0.46932007630165351</v>
      </c>
      <c r="S24" s="596">
        <f ca="1">IF(ISERROR(MATCH(S$1,INDIRECT("Table!A"&amp;$AG24):INDIRECT("Table!" &amp; $AJ$43 &amp; $AG24),0)),"",INDIRECT(CONCATENATE("Table!",ADDRESS($AC24,MATCH(S$1,INDIRECT("Table!A" &amp; $AG24):INDIRECT("Table!" &amp; $AJ$43 &amp; $AG24),0)))))</f>
        <v>0.25559101376221649</v>
      </c>
      <c r="T24" s="596">
        <f ca="1">IF(ISERROR(MATCH(T$1,INDIRECT("Table!A"&amp;$AG24):INDIRECT("Table!" &amp; $AJ$43 &amp; $AG24),0)),"",INDIRECT(CONCATENATE("Table!",ADDRESS($AC24,MATCH(T$1,INDIRECT("Table!A" &amp; $AG24):INDIRECT("Table!" &amp; $AJ$43 &amp; $AG24),0)))))</f>
        <v>0.22119641588975689</v>
      </c>
      <c r="U24" s="596" t="str">
        <f ca="1">IF(ISERROR(MATCH(U$1,INDIRECT("Table!A"&amp;$AG24):INDIRECT("Table!" &amp; $AJ$43 &amp; $AG24),0)),"",INDIRECT(CONCATENATE("Table!",ADDRESS($AC24,MATCH(U$1,INDIRECT("Table!A" &amp; $AG24):INDIRECT("Table!" &amp; $AJ$43 &amp; $AG24),0)))))</f>
        <v/>
      </c>
      <c r="V24" s="596"/>
      <c r="W24" s="596"/>
      <c r="X24" s="596"/>
      <c r="Y24" s="596"/>
      <c r="Z24" s="596"/>
      <c r="AA24" s="596"/>
      <c r="AB24" s="596"/>
      <c r="AC24" s="595">
        <f>MATCH($A24,Table!$A:$A,0)+$AE$2-1</f>
        <v>300</v>
      </c>
      <c r="AD24" s="697"/>
      <c r="AE24" s="697"/>
      <c r="AF24" s="697"/>
      <c r="AG24" s="595">
        <f>MATCH($A24,Table!$A:$A,0)+$AI$2-1</f>
        <v>297</v>
      </c>
      <c r="AH24" s="697"/>
      <c r="AJ24" s="743" t="s">
        <v>285</v>
      </c>
    </row>
    <row r="25" spans="1:36" s="591" customFormat="1" ht="15.75" customHeight="1" x14ac:dyDescent="0.25">
      <c r="A25" s="592">
        <v>41642</v>
      </c>
      <c r="B25" s="596">
        <f ca="1">IF(ISERROR(MATCH(B$1,INDIRECT("Table!A"&amp;$AG25):INDIRECT("Table!" &amp; $AJ$91 &amp; $AG25),0)),"",INDIRECT(CONCATENATE("Table!",ADDRESS($AC25,MATCH(B$1,INDIRECT("Table!A" &amp; $AG25):INDIRECT("Table!" &amp; $AJ$90 &amp; $AG25),0)))))</f>
        <v>0.36238868006109087</v>
      </c>
      <c r="C25" s="596">
        <f ca="1">IF(ISERROR(MATCH(C$1,INDIRECT("Table!A"&amp;$AG25):INDIRECT("Table!" &amp; $AJ$90 &amp; $AG25),0)),"",INDIRECT(CONCATENATE("Table!",ADDRESS($AC25,MATCH(C$1,INDIRECT("Table!A" &amp; $AG25):INDIRECT("Table!" &amp; $AJ$90 &amp; $AG25),0)))))</f>
        <v>0.54437946088374245</v>
      </c>
      <c r="D25" s="596">
        <f ca="1">IF(ISERROR(MATCH(D$1,INDIRECT("Table!A"&amp;$AG25):INDIRECT("Table!" &amp; $AJ$90 &amp; $AG25),0)),"",INDIRECT(CONCATENATE("Table!",ADDRESS($AC25,MATCH(D$1,INDIRECT("Table!A" &amp; $AG25):INDIRECT("Table!" &amp; $AJ$90 &amp; $AG25),0)))))</f>
        <v>0.54497607242252843</v>
      </c>
      <c r="E25" s="596">
        <f ca="1">IF(ISERROR(MATCH(E$1,INDIRECT("Table!A"&amp;$AG25):INDIRECT("Table!" &amp; $AJ$90 &amp; $AG25),0)),"",INDIRECT(CONCATENATE("Table!",ADDRESS($AC25,MATCH(E$1,INDIRECT("Table!A" &amp; $AG25):INDIRECT("Table!" &amp; $AJ$90 &amp; $AG25),0)))))</f>
        <v>0.85508256098391866</v>
      </c>
      <c r="F25" s="596">
        <f ca="1">IF(ISERROR(MATCH(F$1,INDIRECT("Table!A"&amp;$AG25):INDIRECT("Table!" &amp; $AJ$90 &amp; $AG25),0)),"",INDIRECT(CONCATENATE("Table!",ADDRESS($AC25,MATCH(F$1,INDIRECT("Table!A" &amp; $AG25):INDIRECT("Table!" &amp; $AJ$90 &amp; $AG25),0)))))</f>
        <v>0.66667069599615603</v>
      </c>
      <c r="G25" s="596">
        <f ca="1">IF(ISERROR(MATCH(G$1,INDIRECT("Table!A"&amp;$AG25):INDIRECT("Table!" &amp; $AJ$90 &amp; $AG25),0)),"",INDIRECT(CONCATENATE("Table!",ADDRESS($AC25,MATCH(G$1,INDIRECT("Table!A" &amp; $AG25):INDIRECT("Table!" &amp; $AJ$90 &amp; $AG25),0)))))</f>
        <v>0.44305619569388099</v>
      </c>
      <c r="H25" s="596">
        <f ca="1">IF(ISERROR(MATCH(H$1,INDIRECT("Table!A"&amp;$AG25):INDIRECT("Table!" &amp; $AJ$90 &amp; $AG25),0)),"",INDIRECT(CONCATENATE("Table!",ADDRESS($AC25,MATCH(H$1,INDIRECT("Table!A" &amp; $AG25):INDIRECT("Table!" &amp; $AJ$90 &amp; $AG25),0)))))</f>
        <v>0.64884429070601268</v>
      </c>
      <c r="I25" s="596">
        <f ca="1">IF(ISERROR(MATCH(I$1,INDIRECT("Table!A"&amp;$AG25):INDIRECT("Table!" &amp; $AJ$69 &amp; $AG25),0)),"",INDIRECT(CONCATENATE("Table!",ADDRESS($AC25,MATCH(I$1,INDIRECT("Table!A" &amp; $AG25):INDIRECT("Table!" &amp; $AJ$69 &amp; $AG25),0)))))</f>
        <v>0.18069548241650979</v>
      </c>
      <c r="J25" s="596">
        <f ca="1">IF(ISERROR(MATCH(J$1,INDIRECT("Table!A"&amp;$AG25):INDIRECT("Table!" &amp; $AJ$69 &amp; $AG25),0)),"",INDIRECT(CONCATENATE("Table!",ADDRESS($AC25,MATCH(J$1,INDIRECT("Table!A" &amp; $AG25):INDIRECT("Table!" &amp; $AJ$69 &amp; $AG25),0)))))</f>
        <v>0.62613892628198187</v>
      </c>
      <c r="K25" s="596">
        <f ca="1">IF(ISERROR(MATCH(K$1,INDIRECT("Table!A"&amp;$AG25):INDIRECT("Table!" &amp; $AJ$69 &amp; $AG25),0)),"",INDIRECT(CONCATENATE("Table!",ADDRESS($AC25,MATCH(K$1,INDIRECT("Table!A" &amp; $AG25):INDIRECT("Table!" &amp; $AJ$69 &amp; $AG25),0)))))</f>
        <v>3.0279063561873692E-2</v>
      </c>
      <c r="L25" s="596">
        <f ca="1">IF(ISERROR(MATCH(L$1,INDIRECT("Table!A"&amp;$AG25):INDIRECT("Table!" &amp; $AJ$69 &amp; $AG25),0)),"",INDIRECT(CONCATENATE("Table!",ADDRESS($AC25,MATCH(L$1,INDIRECT("Table!A" &amp; $AG25):INDIRECT("Table!" &amp; $AJ$69 &amp; $AG25),0)))))</f>
        <v>0.87589902247899409</v>
      </c>
      <c r="M25" s="596">
        <f ca="1">IF(ISERROR(MATCH(M$1,INDIRECT("Table!A"&amp;$AG25):INDIRECT("Table!" &amp; $AJ$69 &amp; $AG25),0)),"",INDIRECT(CONCATENATE("Table!",ADDRESS($AC25,MATCH(M$1,INDIRECT("Table!A" &amp; $AG25):INDIRECT("Table!" &amp; $AJ$69 &amp; $AG25),0)))))</f>
        <v>0.53530195734748875</v>
      </c>
      <c r="N25" s="596">
        <f ca="1">IF(ISERROR(MATCH(N$1,INDIRECT("Table!A"&amp;$AG25):INDIRECT("Table!" &amp; $AJ$69 &amp; $AG25),0)),"",INDIRECT(CONCATENATE("Table!",ADDRESS($AC25,MATCH(N$1,INDIRECT("Table!A" &amp; $AG25):INDIRECT("Table!" &amp; $AJ$69 &amp; $AG25),0)))))</f>
        <v>0.68384292355783982</v>
      </c>
      <c r="O25" s="596">
        <f ca="1">IF(ISERROR(MATCH(O$1,INDIRECT("Table!A"&amp;$AG25):INDIRECT("Table!" &amp; $AJ$69 &amp; $AG25),0)),"",INDIRECT(CONCATENATE("Table!",ADDRESS($AC25,MATCH(O$1,INDIRECT("Table!A" &amp; $AG25):INDIRECT("Table!" &amp; $AJ$69 &amp; $AG25),0)))))</f>
        <v>0.73959493028231582</v>
      </c>
      <c r="P25" s="596">
        <f ca="1">IF(ISERROR(MATCH(P$1,INDIRECT("Table!A"&amp;$AG25):INDIRECT("Table!" &amp; $AJ$69 &amp; $AG25),0)),"",INDIRECT(CONCATENATE("Table!",ADDRESS($AC25,MATCH(P$1,INDIRECT("Table!A" &amp; $AG25):INDIRECT("Table!" &amp; $AJ$69 &amp; $AG25),0)))))</f>
        <v>0.18793229747142998</v>
      </c>
      <c r="Q25" s="596">
        <f ca="1">IF(ISERROR(MATCH(Q$1,INDIRECT("Table!A"&amp;$AG25):INDIRECT("Table!" &amp; $AJ$69 &amp; $AG25),0)),"",INDIRECT(CONCATENATE("Table!",ADDRESS($AC25,MATCH(Q$1,INDIRECT("Table!A" &amp; $AG25):INDIRECT("Table!" &amp; $AJ$69 &amp; $AG25),0)))))</f>
        <v>0.49229660453716129</v>
      </c>
      <c r="R25" s="596">
        <f ca="1">IF(ISERROR(MATCH(R$1,INDIRECT("Table!A"&amp;$AG25):INDIRECT("Table!" &amp; $AJ$69 &amp; $AG25),0)),"",INDIRECT(CONCATENATE("Table!",ADDRESS($AC25,MATCH(R$1,INDIRECT("Table!A" &amp; $AG25):INDIRECT("Table!" &amp; $AJ$69 &amp; $AG25),0)))))</f>
        <v>0.37796122654787906</v>
      </c>
      <c r="S25" s="596">
        <f ca="1">IF(ISERROR(MATCH(S$1,INDIRECT("Table!A"&amp;$AG25):INDIRECT("Table!" &amp; $AJ$43 &amp; $AG25),0)),"",INDIRECT(CONCATENATE("Table!",ADDRESS($AC25,MATCH(S$1,INDIRECT("Table!A" &amp; $AG25):INDIRECT("Table!" &amp; $AJ$43 &amp; $AG25),0)))))</f>
        <v>0.2496781563344273</v>
      </c>
      <c r="T25" s="596">
        <f ca="1">IF(ISERROR(MATCH(T$1,INDIRECT("Table!A"&amp;$AG25):INDIRECT("Table!" &amp; $AJ$43 &amp; $AG25),0)),"",INDIRECT(CONCATENATE("Table!",ADDRESS($AC25,MATCH(T$1,INDIRECT("Table!A" &amp; $AG25):INDIRECT("Table!" &amp; $AJ$43 &amp; $AG25),0)))))</f>
        <v>0.21148063643643947</v>
      </c>
      <c r="U25" s="596" t="str">
        <f ca="1">IF(ISERROR(MATCH(U$1,INDIRECT("Table!A"&amp;$AG25):INDIRECT("Table!" &amp; $AJ$43 &amp; $AG25),0)),"",INDIRECT(CONCATENATE("Table!",ADDRESS($AC25,MATCH(U$1,INDIRECT("Table!A" &amp; $AG25):INDIRECT("Table!" &amp; $AJ$43 &amp; $AG25),0)))))</f>
        <v/>
      </c>
      <c r="V25" s="596"/>
      <c r="W25" s="596"/>
      <c r="X25" s="596"/>
      <c r="Y25" s="596"/>
      <c r="Z25" s="596"/>
      <c r="AA25" s="596"/>
      <c r="AB25" s="596"/>
      <c r="AC25" s="595">
        <f>MATCH($A25,Table!$A:$A,0)+$AE$2-1</f>
        <v>342</v>
      </c>
      <c r="AD25" s="697"/>
      <c r="AE25" s="697"/>
      <c r="AF25" s="697"/>
      <c r="AG25" s="595">
        <f>MATCH($A25,Table!$A:$A,0)+$AI$2-1</f>
        <v>339</v>
      </c>
      <c r="AH25" s="697"/>
      <c r="AJ25" s="743" t="s">
        <v>285</v>
      </c>
    </row>
    <row r="26" spans="1:36" s="591" customFormat="1" ht="15.75" customHeight="1" x14ac:dyDescent="0.25">
      <c r="A26" s="592">
        <v>41626</v>
      </c>
      <c r="B26" s="596">
        <f ca="1">IF(ISERROR(MATCH(B$1,INDIRECT("Table!A"&amp;$AG26):INDIRECT("Table!" &amp; $AJ$91 &amp; $AG26),0)),"",INDIRECT(CONCATENATE("Table!",ADDRESS($AC26,MATCH(B$1,INDIRECT("Table!A" &amp; $AG26):INDIRECT("Table!" &amp; $AJ$90 &amp; $AG26),0)))))</f>
        <v>0.3551847021821149</v>
      </c>
      <c r="C26" s="596">
        <f ca="1">IF(ISERROR(MATCH(C$1,INDIRECT("Table!A"&amp;$AG26):INDIRECT("Table!" &amp; $AJ$90 &amp; $AG26),0)),"",INDIRECT(CONCATENATE("Table!",ADDRESS($AC26,MATCH(C$1,INDIRECT("Table!A" &amp; $AG26):INDIRECT("Table!" &amp; $AJ$90 &amp; $AG26),0)))))</f>
        <v>0.54437946088374245</v>
      </c>
      <c r="D26" s="596">
        <f ca="1">IF(ISERROR(MATCH(D$1,INDIRECT("Table!A"&amp;$AG26):INDIRECT("Table!" &amp; $AJ$90 &amp; $AG26),0)),"",INDIRECT(CONCATENATE("Table!",ADDRESS($AC26,MATCH(D$1,INDIRECT("Table!A" &amp; $AG26):INDIRECT("Table!" &amp; $AJ$90 &amp; $AG26),0)))))</f>
        <v>0.55350668729782138</v>
      </c>
      <c r="E26" s="596">
        <f ca="1">IF(ISERROR(MATCH(E$1,INDIRECT("Table!A"&amp;$AG26):INDIRECT("Table!" &amp; $AJ$90 &amp; $AG26),0)),"",INDIRECT(CONCATENATE("Table!",ADDRESS($AC26,MATCH(E$1,INDIRECT("Table!A" &amp; $AG26):INDIRECT("Table!" &amp; $AJ$90 &amp; $AG26),0)))))</f>
        <v>0.85207265102846841</v>
      </c>
      <c r="F26" s="596">
        <f ca="1">IF(ISERROR(MATCH(F$1,INDIRECT("Table!A"&amp;$AG26):INDIRECT("Table!" &amp; $AJ$90 &amp; $AG26),0)),"",INDIRECT(CONCATENATE("Table!",ADDRESS($AC26,MATCH(F$1,INDIRECT("Table!A" &amp; $AG26):INDIRECT("Table!" &amp; $AJ$90 &amp; $AG26),0)))))</f>
        <v>0.66328122402971224</v>
      </c>
      <c r="G26" s="596">
        <f ca="1">IF(ISERROR(MATCH(G$1,INDIRECT("Table!A"&amp;$AG26):INDIRECT("Table!" &amp; $AJ$90 &amp; $AG26),0)),"",INDIRECT(CONCATENATE("Table!",ADDRESS($AC26,MATCH(G$1,INDIRECT("Table!A" &amp; $AG26):INDIRECT("Table!" &amp; $AJ$90 &amp; $AG26),0)))))</f>
        <v>0.4763075660944398</v>
      </c>
      <c r="H26" s="596">
        <f ca="1">IF(ISERROR(MATCH(H$1,INDIRECT("Table!A"&amp;$AG26):INDIRECT("Table!" &amp; $AJ$90 &amp; $AG26),0)),"",INDIRECT(CONCATENATE("Table!",ADDRESS($AC26,MATCH(H$1,INDIRECT("Table!A" &amp; $AG26):INDIRECT("Table!" &amp; $AJ$90 &amp; $AG26),0)))))</f>
        <v>0.64653743435929167</v>
      </c>
      <c r="I26" s="596">
        <f ca="1">IF(ISERROR(MATCH(I$1,INDIRECT("Table!A"&amp;$AG26):INDIRECT("Table!" &amp; $AJ$69 &amp; $AG26),0)),"",INDIRECT(CONCATENATE("Table!",ADDRESS($AC26,MATCH(I$1,INDIRECT("Table!A" &amp; $AG26):INDIRECT("Table!" &amp; $AJ$69 &amp; $AG26),0)))))</f>
        <v>0.17841689659028065</v>
      </c>
      <c r="J26" s="596">
        <f ca="1">IF(ISERROR(MATCH(J$1,INDIRECT("Table!A"&amp;$AG26):INDIRECT("Table!" &amp; $AJ$69 &amp; $AG26),0)),"",INDIRECT(CONCATENATE("Table!",ADDRESS($AC26,MATCH(J$1,INDIRECT("Table!A" &amp; $AG26):INDIRECT("Table!" &amp; $AJ$69 &amp; $AG26),0)))))</f>
        <v>0.60448580048392186</v>
      </c>
      <c r="K26" s="596">
        <f ca="1">IF(ISERROR(MATCH(K$1,INDIRECT("Table!A"&amp;$AG26):INDIRECT("Table!" &amp; $AJ$69 &amp; $AG26),0)),"",INDIRECT(CONCATENATE("Table!",ADDRESS($AC26,MATCH(K$1,INDIRECT("Table!A" &amp; $AG26):INDIRECT("Table!" &amp; $AJ$69 &amp; $AG26),0)))))</f>
        <v>3.1627684470786489E-2</v>
      </c>
      <c r="L26" s="596">
        <f ca="1">IF(ISERROR(MATCH(L$1,INDIRECT("Table!A"&amp;$AG26):INDIRECT("Table!" &amp; $AJ$69 &amp; $AG26),0)),"",INDIRECT(CONCATENATE("Table!",ADDRESS($AC26,MATCH(L$1,INDIRECT("Table!A" &amp; $AG26):INDIRECT("Table!" &amp; $AJ$69 &amp; $AG26),0)))))</f>
        <v>0.87339162851611485</v>
      </c>
      <c r="M26" s="596">
        <f ca="1">IF(ISERROR(MATCH(M$1,INDIRECT("Table!A"&amp;$AG26):INDIRECT("Table!" &amp; $AJ$69 &amp; $AG26),0)),"",INDIRECT(CONCATENATE("Table!",ADDRESS($AC26,MATCH(M$1,INDIRECT("Table!A" &amp; $AG26):INDIRECT("Table!" &amp; $AJ$69 &amp; $AG26),0)))))</f>
        <v>0.54405829282487561</v>
      </c>
      <c r="N26" s="596">
        <f ca="1">IF(ISERROR(MATCH(N$1,INDIRECT("Table!A"&amp;$AG26):INDIRECT("Table!" &amp; $AJ$69 &amp; $AG26),0)),"",INDIRECT(CONCATENATE("Table!",ADDRESS($AC26,MATCH(N$1,INDIRECT("Table!A" &amp; $AG26):INDIRECT("Table!" &amp; $AJ$69 &amp; $AG26),0)))))</f>
        <v>0.68384292355783982</v>
      </c>
      <c r="O26" s="596">
        <f ca="1">IF(ISERROR(MATCH(O$1,INDIRECT("Table!A"&amp;$AG26):INDIRECT("Table!" &amp; $AJ$69 &amp; $AG26),0)),"",INDIRECT(CONCATENATE("Table!",ADDRESS($AC26,MATCH(O$1,INDIRECT("Table!A" &amp; $AG26):INDIRECT("Table!" &amp; $AJ$69 &amp; $AG26),0)))))</f>
        <v>0.73959493028231582</v>
      </c>
      <c r="P26" s="596">
        <f ca="1">IF(ISERROR(MATCH(P$1,INDIRECT("Table!A"&amp;$AG26):INDIRECT("Table!" &amp; $AJ$69 &amp; $AG26),0)),"",INDIRECT(CONCATENATE("Table!",ADDRESS($AC26,MATCH(P$1,INDIRECT("Table!A" &amp; $AG26):INDIRECT("Table!" &amp; $AJ$69 &amp; $AG26),0)))))</f>
        <v>0.1856597515188585</v>
      </c>
      <c r="Q26" s="596">
        <f ca="1">IF(ISERROR(MATCH(Q$1,INDIRECT("Table!A"&amp;$AG26):INDIRECT("Table!" &amp; $AJ$69 &amp; $AG26),0)),"",INDIRECT(CONCATENATE("Table!",ADDRESS($AC26,MATCH(Q$1,INDIRECT("Table!A" &amp; $AG26):INDIRECT("Table!" &amp; $AJ$69 &amp; $AG26),0)))))</f>
        <v>0.47999381950412101</v>
      </c>
      <c r="R26" s="596">
        <f ca="1">IF(ISERROR(MATCH(R$1,INDIRECT("Table!A"&amp;$AG26):INDIRECT("Table!" &amp; $AJ$69 &amp; $AG26),0)),"",INDIRECT(CONCATENATE("Table!",ADDRESS($AC26,MATCH(R$1,INDIRECT("Table!A" &amp; $AG26):INDIRECT("Table!" &amp; $AJ$69 &amp; $AG26),0)))))</f>
        <v>0.4429438399155729</v>
      </c>
      <c r="S26" s="596">
        <f ca="1">IF(ISERROR(MATCH(S$1,INDIRECT("Table!A"&amp;$AG26):INDIRECT("Table!" &amp; $AJ$43 &amp; $AG26),0)),"",INDIRECT(CONCATENATE("Table!",ADDRESS($AC26,MATCH(S$1,INDIRECT("Table!A" &amp; $AG26):INDIRECT("Table!" &amp; $AJ$43 &amp; $AG26),0)))))</f>
        <v>0.24500009066018749</v>
      </c>
      <c r="T26" s="596">
        <f ca="1">IF(ISERROR(MATCH(T$1,INDIRECT("Table!A"&amp;$AG26):INDIRECT("Table!" &amp; $AJ$43 &amp; $AG26),0)),"",INDIRECT(CONCATENATE("Table!",ADDRESS($AC26,MATCH(T$1,INDIRECT("Table!A" &amp; $AG26):INDIRECT("Table!" &amp; $AJ$43 &amp; $AG26),0)))))</f>
        <v>0.20851603934664026</v>
      </c>
      <c r="U26" s="596" t="str">
        <f ca="1">IF(ISERROR(MATCH(U$1,INDIRECT("Table!A"&amp;$AG26):INDIRECT("Table!" &amp; $AJ$43 &amp; $AG26),0)),"",INDIRECT(CONCATENATE("Table!",ADDRESS($AC26,MATCH(U$1,INDIRECT("Table!A" &amp; $AG26):INDIRECT("Table!" &amp; $AJ$43 &amp; $AG26),0)))))</f>
        <v/>
      </c>
      <c r="V26" s="596"/>
      <c r="W26" s="596"/>
      <c r="X26" s="596"/>
      <c r="Y26" s="596"/>
      <c r="Z26" s="596"/>
      <c r="AA26" s="596"/>
      <c r="AB26" s="596"/>
      <c r="AC26" s="595">
        <f>MATCH($A26,Table!$A:$A,0)+$AE$2-1</f>
        <v>356</v>
      </c>
      <c r="AD26" s="607"/>
      <c r="AE26" s="607"/>
      <c r="AF26" s="607"/>
      <c r="AG26" s="595">
        <f>MATCH($A26,Table!$A:$A,0)+$AI$2-1</f>
        <v>353</v>
      </c>
      <c r="AH26" s="607"/>
      <c r="AJ26" s="743" t="s">
        <v>285</v>
      </c>
    </row>
    <row r="27" spans="1:36" s="591" customFormat="1" ht="15.75" customHeight="1" x14ac:dyDescent="0.25">
      <c r="A27" s="592">
        <v>41617</v>
      </c>
      <c r="B27" s="596">
        <f ca="1">IF(ISERROR(MATCH(B$1,INDIRECT("Table!A"&amp;$AG27):INDIRECT("Table!" &amp; $AJ$91 &amp; $AG27),0)),"",INDIRECT(CONCATENATE("Table!",ADDRESS($AC27,MATCH(B$1,INDIRECT("Table!A" &amp; $AG27):INDIRECT("Table!" &amp; $AJ$90 &amp; $AG27),0)))))</f>
        <v>0.35053593969022201</v>
      </c>
      <c r="C27" s="596">
        <f ca="1">IF(ISERROR(MATCH(C$1,INDIRECT("Table!A"&amp;$AG27):INDIRECT("Table!" &amp; $AJ$90 &amp; $AG27),0)),"",INDIRECT(CONCATENATE("Table!",ADDRESS($AC27,MATCH(C$1,INDIRECT("Table!A" &amp; $AG27):INDIRECT("Table!" &amp; $AJ$90 &amp; $AG27),0)))))</f>
        <v>0.54207805512610896</v>
      </c>
      <c r="D27" s="596">
        <f ca="1">IF(ISERROR(MATCH(D$1,INDIRECT("Table!A"&amp;$AG27):INDIRECT("Table!" &amp; $AJ$90 &amp; $AG27),0)),"",INDIRECT(CONCATENATE("Table!",ADDRESS($AC27,MATCH(D$1,INDIRECT("Table!A" &amp; $AG27):INDIRECT("Table!" &amp; $AJ$90 &amp; $AG27),0)))))</f>
        <v>0.55122056223661553</v>
      </c>
      <c r="E27" s="596">
        <f ca="1">IF(ISERROR(MATCH(E$1,INDIRECT("Table!A"&amp;$AG27):INDIRECT("Table!" &amp; $AJ$90 &amp; $AG27),0)),"",INDIRECT(CONCATENATE("Table!",ADDRESS($AC27,MATCH(E$1,INDIRECT("Table!A" &amp; $AG27):INDIRECT("Table!" &amp; $AJ$90 &amp; $AG27),0)))))</f>
        <v>0.84885010230836699</v>
      </c>
      <c r="F27" s="596">
        <f ca="1">IF(ISERROR(MATCH(F$1,INDIRECT("Table!A"&amp;$AG27):INDIRECT("Table!" &amp; $AJ$90 &amp; $AG27),0)),"",INDIRECT(CONCATENATE("Table!",ADDRESS($AC27,MATCH(F$1,INDIRECT("Table!A" &amp; $AG27):INDIRECT("Table!" &amp; $AJ$90 &amp; $AG27),0)))))</f>
        <v>0.71304868135155797</v>
      </c>
      <c r="G27" s="596">
        <f ca="1">IF(ISERROR(MATCH(G$1,INDIRECT("Table!A"&amp;$AG27):INDIRECT("Table!" &amp; $AJ$90 &amp; $AG27),0)),"",INDIRECT(CONCATENATE("Table!",ADDRESS($AC27,MATCH(G$1,INDIRECT("Table!A" &amp; $AG27):INDIRECT("Table!" &amp; $AJ$90 &amp; $AG27),0)))))</f>
        <v>0.48619609499223887</v>
      </c>
      <c r="H27" s="596">
        <f ca="1">IF(ISERROR(MATCH(H$1,INDIRECT("Table!A"&amp;$AG27):INDIRECT("Table!" &amp; $AJ$90 &amp; $AG27),0)),"",INDIRECT(CONCATENATE("Table!",ADDRESS($AC27,MATCH(H$1,INDIRECT("Table!A" &amp; $AG27):INDIRECT("Table!" &amp; $AJ$90 &amp; $AG27),0)))))</f>
        <v>0.64493948011506197</v>
      </c>
      <c r="I27" s="596">
        <f ca="1">IF(ISERROR(MATCH(I$1,INDIRECT("Table!A"&amp;$AG27):INDIRECT("Table!" &amp; $AJ$69 &amp; $AG27),0)),"",INDIRECT(CONCATENATE("Table!",ADDRESS($AC27,MATCH(I$1,INDIRECT("Table!A" &amp; $AG27):INDIRECT("Table!" &amp; $AJ$69 &amp; $AG27),0)))))</f>
        <v>0.17597995811511996</v>
      </c>
      <c r="J27" s="596">
        <f ca="1">IF(ISERROR(MATCH(J$1,INDIRECT("Table!A"&amp;$AG27):INDIRECT("Table!" &amp; $AJ$69 &amp; $AG27),0)),"",INDIRECT(CONCATENATE("Table!",ADDRESS($AC27,MATCH(J$1,INDIRECT("Table!A" &amp; $AG27):INDIRECT("Table!" &amp; $AJ$69 &amp; $AG27),0)))))</f>
        <v>0.60106090577373394</v>
      </c>
      <c r="K27" s="596">
        <f ca="1">IF(ISERROR(MATCH(K$1,INDIRECT("Table!A"&amp;$AG27):INDIRECT("Table!" &amp; $AJ$69 &amp; $AG27),0)),"",INDIRECT(CONCATENATE("Table!",ADDRESS($AC27,MATCH(K$1,INDIRECT("Table!A" &amp; $AG27):INDIRECT("Table!" &amp; $AJ$69 &amp; $AG27),0)))))</f>
        <v>2.4558860760963735E-2</v>
      </c>
      <c r="L27" s="596">
        <f ca="1">IF(ISERROR(MATCH(L$1,INDIRECT("Table!A"&amp;$AG27):INDIRECT("Table!" &amp; $AJ$69 &amp; $AG27),0)),"",INDIRECT(CONCATENATE("Table!",ADDRESS($AC27,MATCH(L$1,INDIRECT("Table!A" &amp; $AG27):INDIRECT("Table!" &amp; $AJ$69 &amp; $AG27),0)))))</f>
        <v>0.86359362396654182</v>
      </c>
      <c r="M27" s="596">
        <f ca="1">IF(ISERROR(MATCH(M$1,INDIRECT("Table!A"&amp;$AG27):INDIRECT("Table!" &amp; $AJ$69 &amp; $AG27),0)),"",INDIRECT(CONCATENATE("Table!",ADDRESS($AC27,MATCH(M$1,INDIRECT("Table!A" &amp; $AG27):INDIRECT("Table!" &amp; $AJ$69 &amp; $AG27),0)))))</f>
        <v>0.19773758918385556</v>
      </c>
      <c r="N27" s="596">
        <f ca="1">IF(ISERROR(MATCH(N$1,INDIRECT("Table!A"&amp;$AG27):INDIRECT("Table!" &amp; $AJ$69 &amp; $AG27),0)),"",INDIRECT(CONCATENATE("Table!",ADDRESS($AC27,MATCH(N$1,INDIRECT("Table!A" &amp; $AG27):INDIRECT("Table!" &amp; $AJ$69 &amp; $AG27),0)))))</f>
        <v>0.73254068219895407</v>
      </c>
      <c r="O27" s="596">
        <f ca="1">IF(ISERROR(MATCH(O$1,INDIRECT("Table!A"&amp;$AG27):INDIRECT("Table!" &amp; $AJ$69 &amp; $AG27),0)),"",INDIRECT(CONCATENATE("Table!",ADDRESS($AC27,MATCH(O$1,INDIRECT("Table!A" &amp; $AG27):INDIRECT("Table!" &amp; $AJ$69 &amp; $AG27),0)))))</f>
        <v>0.7376315932621349</v>
      </c>
      <c r="P27" s="596">
        <f ca="1">IF(ISERROR(MATCH(P$1,INDIRECT("Table!A"&amp;$AG27):INDIRECT("Table!" &amp; $AJ$69 &amp; $AG27),0)),"",INDIRECT(CONCATENATE("Table!",ADDRESS($AC27,MATCH(P$1,INDIRECT("Table!A" &amp; $AG27):INDIRECT("Table!" &amp; $AJ$69 &amp; $AG27),0)))))</f>
        <v>0.18322280862503715</v>
      </c>
      <c r="Q27" s="596">
        <f ca="1">IF(ISERROR(MATCH(Q$1,INDIRECT("Table!A"&amp;$AG27):INDIRECT("Table!" &amp; $AJ$69 &amp; $AG27),0)),"",INDIRECT(CONCATENATE("Table!",ADDRESS($AC27,MATCH(Q$1,INDIRECT("Table!A" &amp; $AG27):INDIRECT("Table!" &amp; $AJ$69 &amp; $AG27),0)))))</f>
        <v>0.47757294890084534</v>
      </c>
      <c r="R27" s="596">
        <f ca="1">IF(ISERROR(MATCH(R$1,INDIRECT("Table!A"&amp;$AG27):INDIRECT("Table!" &amp; $AJ$69 &amp; $AG27),0)),"",INDIRECT(CONCATENATE("Table!",ADDRESS($AC27,MATCH(R$1,INDIRECT("Table!A" &amp; $AG27):INDIRECT("Table!" &amp; $AJ$69 &amp; $AG27),0)))))</f>
        <v>0.29180016398278413</v>
      </c>
      <c r="S27" s="596">
        <f ca="1">IF(ISERROR(MATCH(S$1,INDIRECT("Table!A"&amp;$AG27):INDIRECT("Table!" &amp; $AJ$43 &amp; $AG27),0)),"",INDIRECT(CONCATENATE("Table!",ADDRESS($AC27,MATCH(S$1,INDIRECT("Table!A" &amp; $AG27):INDIRECT("Table!" &amp; $AJ$43 &amp; $AG27),0)))))</f>
        <v>0.24500009066018749</v>
      </c>
      <c r="T27" s="596">
        <f ca="1">IF(ISERROR(MATCH(T$1,INDIRECT("Table!A"&amp;$AG27):INDIRECT("Table!" &amp; $AJ$43 &amp; $AG27),0)),"",INDIRECT(CONCATENATE("Table!",ADDRESS($AC27,MATCH(T$1,INDIRECT("Table!A" &amp; $AG27):INDIRECT("Table!" &amp; $AJ$43 &amp; $AG27),0)))))</f>
        <v>0.20851603934664026</v>
      </c>
      <c r="U27" s="596" t="str">
        <f ca="1">IF(ISERROR(MATCH(U$1,INDIRECT("Table!A"&amp;$AG27):INDIRECT("Table!" &amp; $AJ$43 &amp; $AG27),0)),"",INDIRECT(CONCATENATE("Table!",ADDRESS($AC27,MATCH(U$1,INDIRECT("Table!A" &amp; $AG27):INDIRECT("Table!" &amp; $AJ$43 &amp; $AG27),0)))))</f>
        <v/>
      </c>
      <c r="V27" s="596"/>
      <c r="W27" s="596"/>
      <c r="X27" s="596"/>
      <c r="Y27" s="596"/>
      <c r="Z27" s="596"/>
      <c r="AA27" s="596"/>
      <c r="AB27" s="596"/>
      <c r="AC27" s="595">
        <f>MATCH($A27,Table!$A:$A,0)+$AE$2-1</f>
        <v>368</v>
      </c>
      <c r="AD27" s="593"/>
      <c r="AE27" s="593"/>
      <c r="AF27" s="593"/>
      <c r="AG27" s="595">
        <f>MATCH($A27,Table!$A:$A,0)+$AI$2-1</f>
        <v>365</v>
      </c>
      <c r="AH27" s="593"/>
      <c r="AJ27" s="743" t="s">
        <v>285</v>
      </c>
    </row>
    <row r="28" spans="1:36" s="591" customFormat="1" ht="15.75" customHeight="1" x14ac:dyDescent="0.25">
      <c r="A28" s="592">
        <v>41610</v>
      </c>
      <c r="B28" s="596">
        <f ca="1">IF(ISERROR(MATCH(B$1,INDIRECT("Table!A"&amp;$AG28):INDIRECT("Table!" &amp; $AJ$91 &amp; $AG28),0)),"",INDIRECT(CONCATENATE("Table!",ADDRESS($AC28,MATCH(B$1,INDIRECT("Table!A" &amp; $AG28):INDIRECT("Table!" &amp; $AJ$90 &amp; $AG28),0)))))</f>
        <v>0.35245095646230989</v>
      </c>
      <c r="C28" s="596">
        <f ca="1">IF(ISERROR(MATCH(C$1,INDIRECT("Table!A"&amp;$AG28):INDIRECT("Table!" &amp; $AJ$90 &amp; $AG28),0)),"",INDIRECT(CONCATENATE("Table!",ADDRESS($AC28,MATCH(C$1,INDIRECT("Table!A" &amp; $AG28):INDIRECT("Table!" &amp; $AJ$90 &amp; $AG28),0)))))</f>
        <v>0.54063834777137687</v>
      </c>
      <c r="D28" s="596">
        <f ca="1">IF(ISERROR(MATCH(D$1,INDIRECT("Table!A"&amp;$AG28):INDIRECT("Table!" &amp; $AJ$90 &amp; $AG28),0)),"",INDIRECT(CONCATENATE("Table!",ADDRESS($AC28,MATCH(D$1,INDIRECT("Table!A" &amp; $AG28):INDIRECT("Table!" &amp; $AJ$90 &amp; $AG28),0)))))</f>
        <v>0.54974497846418369</v>
      </c>
      <c r="E28" s="596">
        <f ca="1">IF(ISERROR(MATCH(E$1,INDIRECT("Table!A"&amp;$AG28):INDIRECT("Table!" &amp; $AJ$90 &amp; $AG28),0)),"",INDIRECT(CONCATENATE("Table!",ADDRESS($AC28,MATCH(E$1,INDIRECT("Table!A" &amp; $AG28):INDIRECT("Table!" &amp; $AJ$90 &amp; $AG28),0)))))</f>
        <v>0.8454050246485143</v>
      </c>
      <c r="F28" s="596">
        <f ca="1">IF(ISERROR(MATCH(F$1,INDIRECT("Table!A"&amp;$AG28):INDIRECT("Table!" &amp; $AJ$90 &amp; $AG28),0)),"",INDIRECT(CONCATENATE("Table!",ADDRESS($AC28,MATCH(F$1,INDIRECT("Table!A" &amp; $AG28):INDIRECT("Table!" &amp; $AJ$90 &amp; $AG28),0)))))</f>
        <v>0.71179153055087985</v>
      </c>
      <c r="G28" s="596">
        <f ca="1">IF(ISERROR(MATCH(G$1,INDIRECT("Table!A"&amp;$AG28):INDIRECT("Table!" &amp; $AJ$90 &amp; $AG28),0)),"",INDIRECT(CONCATENATE("Table!",ADDRESS($AC28,MATCH(G$1,INDIRECT("Table!A" &amp; $AG28):INDIRECT("Table!" &amp; $AJ$90 &amp; $AG28),0)))))</f>
        <v>0.47801872205938112</v>
      </c>
      <c r="H28" s="596">
        <f ca="1">IF(ISERROR(MATCH(H$1,INDIRECT("Table!A"&amp;$AG28):INDIRECT("Table!" &amp; $AJ$90 &amp; $AG28),0)),"",INDIRECT(CONCATENATE("Table!",ADDRESS($AC28,MATCH(H$1,INDIRECT("Table!A" &amp; $AG28):INDIRECT("Table!" &amp; $AJ$90 &amp; $AG28),0)))))</f>
        <v>0.64220564477921671</v>
      </c>
      <c r="I28" s="596">
        <f ca="1">IF(ISERROR(MATCH(I$1,INDIRECT("Table!A"&amp;$AG28):INDIRECT("Table!" &amp; $AJ$69 &amp; $AG28),0)),"",INDIRECT(CONCATENATE("Table!",ADDRESS($AC28,MATCH(I$1,INDIRECT("Table!A" &amp; $AG28):INDIRECT("Table!" &amp; $AJ$69 &amp; $AG28),0)))))</f>
        <v>0.16327971303115377</v>
      </c>
      <c r="J28" s="596">
        <f ca="1">IF(ISERROR(MATCH(J$1,INDIRECT("Table!A"&amp;$AG28):INDIRECT("Table!" &amp; $AJ$69 &amp; $AG28),0)),"",INDIRECT(CONCATENATE("Table!",ADDRESS($AC28,MATCH(J$1,INDIRECT("Table!A" &amp; $AG28):INDIRECT("Table!" &amp; $AJ$69 &amp; $AG28),0)))))</f>
        <v>0.58612446922247852</v>
      </c>
      <c r="K28" s="596">
        <f ca="1">IF(ISERROR(MATCH(K$1,INDIRECT("Table!A"&amp;$AG28):INDIRECT("Table!" &amp; $AJ$69 &amp; $AG28),0)),"",INDIRECT(CONCATENATE("Table!",ADDRESS($AC28,MATCH(K$1,INDIRECT("Table!A" &amp; $AG28):INDIRECT("Table!" &amp; $AJ$69 &amp; $AG28),0)))))</f>
        <v>2.5353689496507816E-2</v>
      </c>
      <c r="L28" s="596">
        <f ca="1">IF(ISERROR(MATCH(L$1,INDIRECT("Table!A"&amp;$AG28):INDIRECT("Table!" &amp; $AJ$69 &amp; $AG28),0)),"",INDIRECT(CONCATENATE("Table!",ADDRESS($AC28,MATCH(L$1,INDIRECT("Table!A" &amp; $AG28):INDIRECT("Table!" &amp; $AJ$69 &amp; $AG28),0)))))</f>
        <v>0.86299267830601711</v>
      </c>
      <c r="M28" s="596">
        <f ca="1">IF(ISERROR(MATCH(M$1,INDIRECT("Table!A"&amp;$AG28):INDIRECT("Table!" &amp; $AJ$69 &amp; $AG28),0)),"",INDIRECT(CONCATENATE("Table!",ADDRESS($AC28,MATCH(M$1,INDIRECT("Table!A" &amp; $AG28):INDIRECT("Table!" &amp; $AJ$69 &amp; $AG28),0)))))</f>
        <v>0.20275016834255277</v>
      </c>
      <c r="N28" s="596">
        <f ca="1">IF(ISERROR(MATCH(N$1,INDIRECT("Table!A"&amp;$AG28):INDIRECT("Table!" &amp; $AJ$69 &amp; $AG28),0)),"",INDIRECT(CONCATENATE("Table!",ADDRESS($AC28,MATCH(N$1,INDIRECT("Table!A" &amp; $AG28):INDIRECT("Table!" &amp; $AJ$69 &amp; $AG28),0)))))</f>
        <v>0.73124968268972734</v>
      </c>
      <c r="O28" s="596">
        <f ca="1">IF(ISERROR(MATCH(O$1,INDIRECT("Table!A"&amp;$AG28):INDIRECT("Table!" &amp; $AJ$69 &amp; $AG28),0)),"",INDIRECT(CONCATENATE("Table!",ADDRESS($AC28,MATCH(O$1,INDIRECT("Table!A" &amp; $AG28):INDIRECT("Table!" &amp; $AJ$69 &amp; $AG28),0)))))</f>
        <v>0.7342390890464362</v>
      </c>
      <c r="P28" s="596">
        <f ca="1">IF(ISERROR(MATCH(P$1,INDIRECT("Table!A"&amp;$AG28):INDIRECT("Table!" &amp; $AJ$69 &amp; $AG28),0)),"",INDIRECT(CONCATENATE("Table!",ADDRESS($AC28,MATCH(P$1,INDIRECT("Table!A" &amp; $AG28):INDIRECT("Table!" &amp; $AJ$69 &amp; $AG28),0)))))</f>
        <v>0.17037929758989248</v>
      </c>
      <c r="Q28" s="596">
        <f ca="1">IF(ISERROR(MATCH(Q$1,INDIRECT("Table!A"&amp;$AG28):INDIRECT("Table!" &amp; $AJ$69 &amp; $AG28),0)),"",INDIRECT(CONCATENATE("Table!",ADDRESS($AC28,MATCH(Q$1,INDIRECT("Table!A" &amp; $AG28):INDIRECT("Table!" &amp; $AJ$69 &amp; $AG28),0)))))</f>
        <v>0.46079724163622277</v>
      </c>
      <c r="R28" s="596">
        <f ca="1">IF(ISERROR(MATCH(R$1,INDIRECT("Table!A"&amp;$AG28):INDIRECT("Table!" &amp; $AJ$69 &amp; $AG28),0)),"",INDIRECT(CONCATENATE("Table!",ADDRESS($AC28,MATCH(R$1,INDIRECT("Table!A" &amp; $AG28):INDIRECT("Table!" &amp; $AJ$69 &amp; $AG28),0)))))</f>
        <v>0.25803875661099146</v>
      </c>
      <c r="S28" s="596">
        <f ca="1">IF(ISERROR(MATCH(S$1,INDIRECT("Table!A"&amp;$AG28):INDIRECT("Table!" &amp; $AJ$43 &amp; $AG28),0)),"",INDIRECT(CONCATENATE("Table!",ADDRESS($AC28,MATCH(S$1,INDIRECT("Table!A" &amp; $AG28):INDIRECT("Table!" &amp; $AJ$43 &amp; $AG28),0)))))</f>
        <v>0.24230385668437562</v>
      </c>
      <c r="T28" s="596">
        <f ca="1">IF(ISERROR(MATCH(T$1,INDIRECT("Table!A"&amp;$AG28):INDIRECT("Table!" &amp; $AJ$43 &amp; $AG28),0)),"",INDIRECT(CONCATENATE("Table!",ADDRESS($AC28,MATCH(T$1,INDIRECT("Table!A" &amp; $AG28):INDIRECT("Table!" &amp; $AJ$43 &amp; $AG28),0)))))</f>
        <v>0.20069506353787342</v>
      </c>
      <c r="U28" s="596" t="str">
        <f ca="1">IF(ISERROR(MATCH(U$1,INDIRECT("Table!A"&amp;$AG28):INDIRECT("Table!" &amp; $AJ$43 &amp; $AG28),0)),"",INDIRECT(CONCATENATE("Table!",ADDRESS($AC28,MATCH(U$1,INDIRECT("Table!A" &amp; $AG28):INDIRECT("Table!" &amp; $AJ$43 &amp; $AG28),0)))))</f>
        <v/>
      </c>
      <c r="V28" s="596"/>
      <c r="W28" s="596"/>
      <c r="X28" s="596"/>
      <c r="Y28" s="596"/>
      <c r="Z28" s="596"/>
      <c r="AA28" s="596"/>
      <c r="AB28" s="596"/>
      <c r="AC28" s="595">
        <f>MATCH($A28,Table!$A:$A,0)+$AE$2-1</f>
        <v>380</v>
      </c>
      <c r="AD28" s="593"/>
      <c r="AE28" s="593"/>
      <c r="AF28" s="593"/>
      <c r="AG28" s="595">
        <f>MATCH($A28,Table!$A:$A,0)+$AI$2-1</f>
        <v>377</v>
      </c>
      <c r="AH28" s="593"/>
      <c r="AJ28" s="743" t="s">
        <v>285</v>
      </c>
    </row>
    <row r="29" spans="1:36" s="591" customFormat="1" ht="15.75" customHeight="1" x14ac:dyDescent="0.25">
      <c r="A29" s="592">
        <v>41603</v>
      </c>
      <c r="B29" s="596">
        <f ca="1">IF(ISERROR(MATCH(B$1,INDIRECT("Table!A"&amp;$AG29):INDIRECT("Table!" &amp; $AJ$91 &amp; $AG29),0)),"",INDIRECT(CONCATENATE("Table!",ADDRESS($AC29,MATCH(B$1,INDIRECT("Table!A" &amp; $AG29):INDIRECT("Table!" &amp; $AJ$90 &amp; $AG29),0)))))</f>
        <v>0.34557056481139248</v>
      </c>
      <c r="C29" s="596">
        <f ca="1">IF(ISERROR(MATCH(C$1,INDIRECT("Table!A"&amp;$AG29):INDIRECT("Table!" &amp; $AJ$90 &amp; $AG29),0)),"",INDIRECT(CONCATENATE("Table!",ADDRESS($AC29,MATCH(C$1,INDIRECT("Table!A" &amp; $AG29):INDIRECT("Table!" &amp; $AJ$90 &amp; $AG29),0)))))</f>
        <v>0.53936672807734953</v>
      </c>
      <c r="D29" s="596">
        <f ca="1">IF(ISERROR(MATCH(D$1,INDIRECT("Table!A"&amp;$AG29):INDIRECT("Table!" &amp; $AJ$90 &amp; $AG29),0)),"",INDIRECT(CONCATENATE("Table!",ADDRESS($AC29,MATCH(D$1,INDIRECT("Table!A" &amp; $AG29):INDIRECT("Table!" &amp; $AJ$90 &amp; $AG29),0)))))</f>
        <v>0.54847335877015635</v>
      </c>
      <c r="E29" s="596">
        <f ca="1">IF(ISERROR(MATCH(E$1,INDIRECT("Table!A"&amp;$AG29):INDIRECT("Table!" &amp; $AJ$90 &amp; $AG29),0)),"",INDIRECT(CONCATENATE("Table!",ADDRESS($AC29,MATCH(E$1,INDIRECT("Table!A" &amp; $AG29):INDIRECT("Table!" &amp; $AJ$90 &amp; $AG29),0)))))</f>
        <v>0.84271434756712682</v>
      </c>
      <c r="F29" s="596">
        <f ca="1">IF(ISERROR(MATCH(F$1,INDIRECT("Table!A"&amp;$AG29):INDIRECT("Table!" &amp; $AJ$90 &amp; $AG29),0)),"",INDIRECT(CONCATENATE("Table!",ADDRESS($AC29,MATCH(F$1,INDIRECT("Table!A" &amp; $AG29):INDIRECT("Table!" &amp; $AJ$90 &amp; $AG29),0)))))</f>
        <v>0.70782727473277995</v>
      </c>
      <c r="G29" s="596">
        <f ca="1">IF(ISERROR(MATCH(G$1,INDIRECT("Table!A"&amp;$AG29):INDIRECT("Table!" &amp; $AJ$90 &amp; $AG29),0)),"",INDIRECT(CONCATENATE("Table!",ADDRESS($AC29,MATCH(G$1,INDIRECT("Table!A" &amp; $AG29):INDIRECT("Table!" &amp; $AJ$90 &amp; $AG29),0)))))</f>
        <v>0.49603694462166503</v>
      </c>
      <c r="H29" s="596">
        <f ca="1">IF(ISERROR(MATCH(H$1,INDIRECT("Table!A"&amp;$AG29):INDIRECT("Table!" &amp; $AJ$90 &amp; $AG29),0)),"",INDIRECT(CONCATENATE("Table!",ADDRESS($AC29,MATCH(H$1,INDIRECT("Table!A" &amp; $AG29):INDIRECT("Table!" &amp; $AJ$90 &amp; $AG29),0)))))</f>
        <v>0.62494399556409774</v>
      </c>
      <c r="I29" s="596">
        <f ca="1">IF(ISERROR(MATCH(I$1,INDIRECT("Table!A"&amp;$AG29):INDIRECT("Table!" &amp; $AJ$69 &amp; $AG29),0)),"",INDIRECT(CONCATENATE("Table!",ADDRESS($AC29,MATCH(I$1,INDIRECT("Table!A" &amp; $AG29):INDIRECT("Table!" &amp; $AJ$69 &amp; $AG29),0)))))</f>
        <v>0.16301921687966708</v>
      </c>
      <c r="J29" s="596">
        <f ca="1">IF(ISERROR(MATCH(J$1,INDIRECT("Table!A"&amp;$AG29):INDIRECT("Table!" &amp; $AJ$69 &amp; $AG29),0)),"",INDIRECT(CONCATENATE("Table!",ADDRESS($AC29,MATCH(J$1,INDIRECT("Table!A" &amp; $AG29):INDIRECT("Table!" &amp; $AJ$69 &amp; $AG29),0)))))</f>
        <v>0.5796447632115449</v>
      </c>
      <c r="K29" s="596">
        <f ca="1">IF(ISERROR(MATCH(K$1,INDIRECT("Table!A"&amp;$AG29):INDIRECT("Table!" &amp; $AJ$69 &amp; $AG29),0)),"",INDIRECT(CONCATENATE("Table!",ADDRESS($AC29,MATCH(K$1,INDIRECT("Table!A" &amp; $AG29):INDIRECT("Table!" &amp; $AJ$69 &amp; $AG29),0)))))</f>
        <v>2.3066292247051909E-2</v>
      </c>
      <c r="L29" s="596">
        <f ca="1">IF(ISERROR(MATCH(L$1,INDIRECT("Table!A"&amp;$AG29):INDIRECT("Table!" &amp; $AJ$69 &amp; $AG29),0)),"",INDIRECT(CONCATENATE("Table!",ADDRESS($AC29,MATCH(L$1,INDIRECT("Table!A" &amp; $AG29):INDIRECT("Table!" &amp; $AJ$69 &amp; $AG29),0)))))</f>
        <v>0.85075928966150693</v>
      </c>
      <c r="M29" s="596">
        <f ca="1">IF(ISERROR(MATCH(M$1,INDIRECT("Table!A"&amp;$AG29):INDIRECT("Table!" &amp; $AJ$69 &amp; $AG29),0)),"",INDIRECT(CONCATENATE("Table!",ADDRESS($AC29,MATCH(M$1,INDIRECT("Table!A" &amp; $AG29):INDIRECT("Table!" &amp; $AJ$69 &amp; $AG29),0)))))</f>
        <v>0.20258500650987371</v>
      </c>
      <c r="N29" s="596">
        <f ca="1">IF(ISERROR(MATCH(N$1,INDIRECT("Table!A"&amp;$AG29):INDIRECT("Table!" &amp; $AJ$69 &amp; $AG29),0)),"",INDIRECT(CONCATENATE("Table!",ADDRESS($AC29,MATCH(N$1,INDIRECT("Table!A" &amp; $AG29):INDIRECT("Table!" &amp; $AJ$69 &amp; $AG29),0)))))</f>
        <v>0.72723041923637621</v>
      </c>
      <c r="O29" s="596">
        <f ca="1">IF(ISERROR(MATCH(O$1,INDIRECT("Table!A"&amp;$AG29):INDIRECT("Table!" &amp; $AJ$69 &amp; $AG29),0)),"",INDIRECT(CONCATENATE("Table!",ADDRESS($AC29,MATCH(O$1,INDIRECT("Table!A" &amp; $AG29):INDIRECT("Table!" &amp; $AJ$69 &amp; $AG29),0)))))</f>
        <v>0.71264890935794456</v>
      </c>
      <c r="P29" s="596">
        <f ca="1">IF(ISERROR(MATCH(P$1,INDIRECT("Table!A"&amp;$AG29):INDIRECT("Table!" &amp; $AJ$69 &amp; $AG29),0)),"",INDIRECT(CONCATENATE("Table!",ADDRESS($AC29,MATCH(P$1,INDIRECT("Table!A" &amp; $AG29):INDIRECT("Table!" &amp; $AJ$69 &amp; $AG29),0)))))</f>
        <v>0.17005775651362437</v>
      </c>
      <c r="Q29" s="596">
        <f ca="1">IF(ISERROR(MATCH(Q$1,INDIRECT("Table!A"&amp;$AG29):INDIRECT("Table!" &amp; $AJ$69 &amp; $AG29),0)),"",INDIRECT(CONCATENATE("Table!",ADDRESS($AC29,MATCH(Q$1,INDIRECT("Table!A" &amp; $AG29):INDIRECT("Table!" &amp; $AJ$69 &amp; $AG29),0)))))</f>
        <v>0.45400240023367355</v>
      </c>
      <c r="R29" s="596">
        <f ca="1">IF(ISERROR(MATCH(R$1,INDIRECT("Table!A"&amp;$AG29):INDIRECT("Table!" &amp; $AJ$69 &amp; $AG29),0)),"",INDIRECT(CONCATENATE("Table!",ADDRESS($AC29,MATCH(R$1,INDIRECT("Table!A" &amp; $AG29):INDIRECT("Table!" &amp; $AJ$69 &amp; $AG29),0)))))</f>
        <v>0.25636130099202614</v>
      </c>
      <c r="S29" s="596">
        <f ca="1">IF(ISERROR(MATCH(S$1,INDIRECT("Table!A"&amp;$AG29):INDIRECT("Table!" &amp; $AJ$43 &amp; $AG29),0)),"",INDIRECT(CONCATENATE("Table!",ADDRESS($AC29,MATCH(S$1,INDIRECT("Table!A" &amp; $AG29):INDIRECT("Table!" &amp; $AJ$43 &amp; $AG29),0)))))</f>
        <v>0.24230385668437562</v>
      </c>
      <c r="T29" s="596">
        <f ca="1">IF(ISERROR(MATCH(T$1,INDIRECT("Table!A"&amp;$AG29):INDIRECT("Table!" &amp; $AJ$43 &amp; $AG29),0)),"",INDIRECT(CONCATENATE("Table!",ADDRESS($AC29,MATCH(T$1,INDIRECT("Table!A" &amp; $AG29):INDIRECT("Table!" &amp; $AJ$43 &amp; $AG29),0)))))</f>
        <v>0.20069506353787342</v>
      </c>
      <c r="U29" s="596" t="str">
        <f ca="1">IF(ISERROR(MATCH(U$1,INDIRECT("Table!A"&amp;$AG29):INDIRECT("Table!" &amp; $AJ$43 &amp; $AG29),0)),"",INDIRECT(CONCATENATE("Table!",ADDRESS($AC29,MATCH(U$1,INDIRECT("Table!A" &amp; $AG29):INDIRECT("Table!" &amp; $AJ$43 &amp; $AG29),0)))))</f>
        <v/>
      </c>
      <c r="V29" s="596"/>
      <c r="W29" s="596"/>
      <c r="X29" s="596"/>
      <c r="Y29" s="596"/>
      <c r="Z29" s="596"/>
      <c r="AA29" s="596"/>
      <c r="AB29" s="596"/>
      <c r="AC29" s="595">
        <f>MATCH($A29,Table!$A:$A,0)+$AE$2-1</f>
        <v>392</v>
      </c>
      <c r="AD29" s="593"/>
      <c r="AE29" s="593"/>
      <c r="AF29" s="593"/>
      <c r="AG29" s="595">
        <f>MATCH($A29,Table!$A:$A,0)+$AI$2-1</f>
        <v>389</v>
      </c>
      <c r="AH29" s="593"/>
      <c r="AJ29" s="743" t="s">
        <v>285</v>
      </c>
    </row>
    <row r="30" spans="1:36" s="591" customFormat="1" ht="15.75" customHeight="1" x14ac:dyDescent="0.25">
      <c r="A30" s="592">
        <v>41596</v>
      </c>
      <c r="B30" s="596">
        <f ca="1">IF(ISERROR(MATCH(B$1,INDIRECT("Table!A"&amp;$AG30):INDIRECT("Table!" &amp; $AJ$91 &amp; $AG30),0)),"",INDIRECT(CONCATENATE("Table!",ADDRESS($AC30,MATCH(B$1,INDIRECT("Table!A" &amp; $AG30):INDIRECT("Table!" &amp; $AJ$90 &amp; $AG30),0)))))</f>
        <v>0.34590949348991934</v>
      </c>
      <c r="C30" s="596">
        <f ca="1">IF(ISERROR(MATCH(C$1,INDIRECT("Table!A"&amp;$AG30):INDIRECT("Table!" &amp; $AJ$90 &amp; $AG30),0)),"",INDIRECT(CONCATENATE("Table!",ADDRESS($AC30,MATCH(C$1,INDIRECT("Table!A" &amp; $AG30):INDIRECT("Table!" &amp; $AJ$90 &amp; $AG30),0)))))</f>
        <v>0.53913286698419505</v>
      </c>
      <c r="D30" s="596">
        <f ca="1">IF(ISERROR(MATCH(D$1,INDIRECT("Table!A"&amp;$AG30):INDIRECT("Table!" &amp; $AJ$90 &amp; $AG30),0)),"",INDIRECT(CONCATENATE("Table!",ADDRESS($AC30,MATCH(D$1,INDIRECT("Table!A" &amp; $AG30):INDIRECT("Table!" &amp; $AJ$90 &amp; $AG30),0)))))</f>
        <v>0.54823949767700186</v>
      </c>
      <c r="E30" s="596">
        <f ca="1">IF(ISERROR(MATCH(E$1,INDIRECT("Table!A"&amp;$AG30):INDIRECT("Table!" &amp; $AJ$90 &amp; $AG30),0)),"",INDIRECT(CONCATENATE("Table!",ADDRESS($AC30,MATCH(E$1,INDIRECT("Table!A" &amp; $AG30):INDIRECT("Table!" &amp; $AJ$90 &amp; $AG30),0)))))</f>
        <v>0.84059620173319827</v>
      </c>
      <c r="F30" s="596">
        <f ca="1">IF(ISERROR(MATCH(F$1,INDIRECT("Table!A"&amp;$AG30):INDIRECT("Table!" &amp; $AJ$90 &amp; $AG30),0)),"",INDIRECT(CONCATENATE("Table!",ADDRESS($AC30,MATCH(F$1,INDIRECT("Table!A" &amp; $AG30):INDIRECT("Table!" &amp; $AJ$90 &amp; $AG30),0)))))</f>
        <v>0.69853523799738304</v>
      </c>
      <c r="G30" s="596">
        <f ca="1">IF(ISERROR(MATCH(G$1,INDIRECT("Table!A"&amp;$AG30):INDIRECT("Table!" &amp; $AJ$90 &amp; $AG30),0)),"",INDIRECT(CONCATENATE("Table!",ADDRESS($AC30,MATCH(G$1,INDIRECT("Table!A" &amp; $AG30):INDIRECT("Table!" &amp; $AJ$90 &amp; $AG30),0)))))</f>
        <v>0.49594082927113536</v>
      </c>
      <c r="H30" s="596">
        <f ca="1">IF(ISERROR(MATCH(H$1,INDIRECT("Table!A"&amp;$AG30):INDIRECT("Table!" &amp; $AJ$90 &amp; $AG30),0)),"",INDIRECT(CONCATENATE("Table!",ADDRESS($AC30,MATCH(H$1,INDIRECT("Table!A" &amp; $AG30):INDIRECT("Table!" &amp; $AJ$90 &amp; $AG30),0)))))</f>
        <v>0.61472516005863065</v>
      </c>
      <c r="I30" s="596">
        <f ca="1">IF(ISERROR(MATCH(I$1,INDIRECT("Table!A"&amp;$AG30):INDIRECT("Table!" &amp; $AJ$69 &amp; $AG30),0)),"",INDIRECT(CONCATENATE("Table!",ADDRESS($AC30,MATCH(I$1,INDIRECT("Table!A" &amp; $AG30):INDIRECT("Table!" &amp; $AJ$69 &amp; $AG30),0)))))</f>
        <v>0.16047771730425769</v>
      </c>
      <c r="J30" s="596">
        <f ca="1">IF(ISERROR(MATCH(J$1,INDIRECT("Table!A"&amp;$AG30):INDIRECT("Table!" &amp; $AJ$69 &amp; $AG30),0)),"",INDIRECT(CONCATENATE("Table!",ADDRESS($AC30,MATCH(J$1,INDIRECT("Table!A" &amp; $AG30):INDIRECT("Table!" &amp; $AJ$69 &amp; $AG30),0)))))</f>
        <v>0.56465746724437194</v>
      </c>
      <c r="K30" s="596">
        <f ca="1">IF(ISERROR(MATCH(K$1,INDIRECT("Table!A"&amp;$AG30):INDIRECT("Table!" &amp; $AJ$69 &amp; $AG30),0)),"",INDIRECT(CONCATENATE("Table!",ADDRESS($AC30,MATCH(K$1,INDIRECT("Table!A" &amp; $AG30):INDIRECT("Table!" &amp; $AJ$69 &amp; $AG30),0)))))</f>
        <v>2.0594936973472415E-2</v>
      </c>
      <c r="L30" s="596">
        <f ca="1">IF(ISERROR(MATCH(L$1,INDIRECT("Table!A"&amp;$AG30):INDIRECT("Table!" &amp; $AJ$69 &amp; $AG30),0)),"",INDIRECT(CONCATENATE("Table!",ADDRESS($AC30,MATCH(L$1,INDIRECT("Table!A" &amp; $AG30):INDIRECT("Table!" &amp; $AJ$69 &amp; $AG30),0)))))</f>
        <v>0.83916570092281417</v>
      </c>
      <c r="M30" s="596">
        <f ca="1">IF(ISERROR(MATCH(M$1,INDIRECT("Table!A"&amp;$AG30):INDIRECT("Table!" &amp; $AJ$69 &amp; $AG30),0)),"",INDIRECT(CONCATENATE("Table!",ADDRESS($AC30,MATCH(M$1,INDIRECT("Table!A" &amp; $AG30):INDIRECT("Table!" &amp; $AJ$69 &amp; $AG30),0)))))</f>
        <v>0.2052631727752984</v>
      </c>
      <c r="N30" s="596">
        <f ca="1">IF(ISERROR(MATCH(N$1,INDIRECT("Table!A"&amp;$AG30):INDIRECT("Table!" &amp; $AJ$69 &amp; $AG30),0)),"",INDIRECT(CONCATENATE("Table!",ADDRESS($AC30,MATCH(N$1,INDIRECT("Table!A" &amp; $AG30):INDIRECT("Table!" &amp; $AJ$69 &amp; $AG30),0)))))</f>
        <v>0.72422413105337335</v>
      </c>
      <c r="O30" s="596">
        <f ca="1">IF(ISERROR(MATCH(O$1,INDIRECT("Table!A"&amp;$AG30):INDIRECT("Table!" &amp; $AJ$69 &amp; $AG30),0)),"",INDIRECT(CONCATENATE("Table!",ADDRESS($AC30,MATCH(O$1,INDIRECT("Table!A" &amp; $AG30):INDIRECT("Table!" &amp; $AJ$69 &amp; $AG30),0)))))</f>
        <v>0.69845116135700169</v>
      </c>
      <c r="P30" s="596">
        <f ca="1">IF(ISERROR(MATCH(P$1,INDIRECT("Table!A"&amp;$AG30):INDIRECT("Table!" &amp; $AJ$69 &amp; $AG30),0)),"",INDIRECT(CONCATENATE("Table!",ADDRESS($AC30,MATCH(P$1,INDIRECT("Table!A" &amp; $AG30):INDIRECT("Table!" &amp; $AJ$69 &amp; $AG30),0)))))</f>
        <v>0.16739235022350729</v>
      </c>
      <c r="Q30" s="596">
        <f ca="1">IF(ISERROR(MATCH(Q$1,INDIRECT("Table!A"&amp;$AG30):INDIRECT("Table!" &amp; $AJ$69 &amp; $AG30),0)),"",INDIRECT(CONCATENATE("Table!",ADDRESS($AC30,MATCH(Q$1,INDIRECT("Table!A" &amp; $AG30):INDIRECT("Table!" &amp; $AJ$69 &amp; $AG30),0)))))</f>
        <v>0.44366753165387529</v>
      </c>
      <c r="R30" s="596">
        <f ca="1">IF(ISERROR(MATCH(R$1,INDIRECT("Table!A"&amp;$AG30):INDIRECT("Table!" &amp; $AJ$69 &amp; $AG30),0)),"",INDIRECT(CONCATENATE("Table!",ADDRESS($AC30,MATCH(R$1,INDIRECT("Table!A" &amp; $AG30):INDIRECT("Table!" &amp; $AJ$69 &amp; $AG30),0)))))</f>
        <v>0.2529367086843517</v>
      </c>
      <c r="S30" s="596">
        <f ca="1">IF(ISERROR(MATCH(S$1,INDIRECT("Table!A"&amp;$AG30):INDIRECT("Table!" &amp; $AJ$43 &amp; $AG30),0)),"",INDIRECT(CONCATENATE("Table!",ADDRESS($AC30,MATCH(S$1,INDIRECT("Table!A" &amp; $AG30):INDIRECT("Table!" &amp; $AJ$43 &amp; $AG30),0)))))</f>
        <v>0.24230385668437562</v>
      </c>
      <c r="T30" s="596">
        <f ca="1">IF(ISERROR(MATCH(T$1,INDIRECT("Table!A"&amp;$AG30):INDIRECT("Table!" &amp; $AJ$43 &amp; $AG30),0)),"",INDIRECT(CONCATENATE("Table!",ADDRESS($AC30,MATCH(T$1,INDIRECT("Table!A" &amp; $AG30):INDIRECT("Table!" &amp; $AJ$43 &amp; $AG30),0)))))</f>
        <v>0.20069506353787342</v>
      </c>
      <c r="U30" s="596" t="str">
        <f ca="1">IF(ISERROR(MATCH(U$1,INDIRECT("Table!A"&amp;$AG30):INDIRECT("Table!" &amp; $AJ$43 &amp; $AG30),0)),"",INDIRECT(CONCATENATE("Table!",ADDRESS($AC30,MATCH(U$1,INDIRECT("Table!A" &amp; $AG30):INDIRECT("Table!" &amp; $AJ$43 &amp; $AG30),0)))))</f>
        <v/>
      </c>
      <c r="V30" s="596"/>
      <c r="W30" s="596"/>
      <c r="X30" s="596"/>
      <c r="Y30" s="596"/>
      <c r="Z30" s="596"/>
      <c r="AA30" s="596"/>
      <c r="AB30" s="596"/>
      <c r="AC30" s="595">
        <f>MATCH($A30,Table!$A:$A,0)+$AE$2-1</f>
        <v>404</v>
      </c>
      <c r="AD30" s="593"/>
      <c r="AE30" s="593"/>
      <c r="AF30" s="593"/>
      <c r="AG30" s="595">
        <f>MATCH($A30,Table!$A:$A,0)+$AI$2-1</f>
        <v>401</v>
      </c>
      <c r="AH30" s="593"/>
      <c r="AJ30" s="743" t="s">
        <v>285</v>
      </c>
    </row>
    <row r="31" spans="1:36" s="591" customFormat="1" ht="15.75" customHeight="1" x14ac:dyDescent="0.25">
      <c r="A31" s="592">
        <v>41589</v>
      </c>
      <c r="B31" s="596">
        <f ca="1">IF(ISERROR(MATCH(B$1,INDIRECT("Table!A"&amp;$AG31):INDIRECT("Table!" &amp; $AJ$91 &amp; $AG31),0)),"",INDIRECT(CONCATENATE("Table!",ADDRESS($AC31,MATCH(B$1,INDIRECT("Table!A" &amp; $AG31):INDIRECT("Table!" &amp; $AJ$90 &amp; $AG31),0)))))</f>
        <v>0.34312483872992405</v>
      </c>
      <c r="C31" s="596">
        <f ca="1">IF(ISERROR(MATCH(C$1,INDIRECT("Table!A"&amp;$AG31):INDIRECT("Table!" &amp; $AJ$90 &amp; $AG31),0)),"",INDIRECT(CONCATENATE("Table!",ADDRESS($AC31,MATCH(C$1,INDIRECT("Table!A" &amp; $AG31):INDIRECT("Table!" &amp; $AJ$90 &amp; $AG31),0)))))</f>
        <v>0.53888173206029621</v>
      </c>
      <c r="D31" s="596">
        <f ca="1">IF(ISERROR(MATCH(D$1,INDIRECT("Table!A"&amp;$AG31):INDIRECT("Table!" &amp; $AJ$90 &amp; $AG31),0)),"",INDIRECT(CONCATENATE("Table!",ADDRESS($AC31,MATCH(D$1,INDIRECT("Table!A" &amp; $AG31):INDIRECT("Table!" &amp; $AJ$90 &amp; $AG31),0)))))</f>
        <v>0.54798902713120867</v>
      </c>
      <c r="E31" s="596">
        <f ca="1">IF(ISERROR(MATCH(E$1,INDIRECT("Table!A"&amp;$AG31):INDIRECT("Table!" &amp; $AJ$90 &amp; $AG31),0)),"",INDIRECT(CONCATENATE("Table!",ADDRESS($AC31,MATCH(E$1,INDIRECT("Table!A" &amp; $AG31):INDIRECT("Table!" &amp; $AJ$90 &amp; $AG31),0)))))</f>
        <v>0.83704013433055602</v>
      </c>
      <c r="F31" s="596">
        <f ca="1">IF(ISERROR(MATCH(F$1,INDIRECT("Table!A"&amp;$AG31):INDIRECT("Table!" &amp; $AJ$90 &amp; $AG31),0)),"",INDIRECT(CONCATENATE("Table!",ADDRESS($AC31,MATCH(F$1,INDIRECT("Table!A" &amp; $AG31):INDIRECT("Table!" &amp; $AJ$90 &amp; $AG31),0)))))</f>
        <v>0.70090448373712255</v>
      </c>
      <c r="G31" s="596">
        <f ca="1">IF(ISERROR(MATCH(G$1,INDIRECT("Table!A"&amp;$AG31):INDIRECT("Table!" &amp; $AJ$90 &amp; $AG31),0)),"",INDIRECT(CONCATENATE("Table!",ADDRESS($AC31,MATCH(G$1,INDIRECT("Table!A" &amp; $AG31):INDIRECT("Table!" &amp; $AJ$90 &amp; $AG31),0)))))</f>
        <v>0.48727606826157605</v>
      </c>
      <c r="H31" s="596">
        <f ca="1">IF(ISERROR(MATCH(H$1,INDIRECT("Table!A"&amp;$AG31):INDIRECT("Table!" &amp; $AJ$90 &amp; $AG31),0)),"",INDIRECT(CONCATENATE("Table!",ADDRESS($AC31,MATCH(H$1,INDIRECT("Table!A" &amp; $AG31):INDIRECT("Table!" &amp; $AJ$90 &amp; $AG31),0)))))</f>
        <v>0.61167957157045205</v>
      </c>
      <c r="I31" s="596">
        <f ca="1">IF(ISERROR(MATCH(I$1,INDIRECT("Table!A"&amp;$AG31):INDIRECT("Table!" &amp; $AJ$69 &amp; $AG31),0)),"",INDIRECT(CONCATENATE("Table!",ADDRESS($AC31,MATCH(I$1,INDIRECT("Table!A" &amp; $AG31):INDIRECT("Table!" &amp; $AJ$69 &amp; $AG31),0)))))</f>
        <v>0.15652917587116622</v>
      </c>
      <c r="J31" s="596">
        <f ca="1">IF(ISERROR(MATCH(J$1,INDIRECT("Table!A"&amp;$AG31):INDIRECT("Table!" &amp; $AJ$69 &amp; $AG31),0)),"",INDIRECT(CONCATENATE("Table!",ADDRESS($AC31,MATCH(J$1,INDIRECT("Table!A" &amp; $AG31):INDIRECT("Table!" &amp; $AJ$69 &amp; $AG31),0)))))</f>
        <v>0.56050755532855179</v>
      </c>
      <c r="K31" s="596">
        <f ca="1">IF(ISERROR(MATCH(K$1,INDIRECT("Table!A"&amp;$AG31):INDIRECT("Table!" &amp; $AJ$69 &amp; $AG31),0)),"",INDIRECT(CONCATENATE("Table!",ADDRESS($AC31,MATCH(K$1,INDIRECT("Table!A" &amp; $AG31):INDIRECT("Table!" &amp; $AJ$69 &amp; $AG31),0)))))</f>
        <v>1.69896384249291E-2</v>
      </c>
      <c r="L31" s="596">
        <f ca="1">IF(ISERROR(MATCH(L$1,INDIRECT("Table!A"&amp;$AG31):INDIRECT("Table!" &amp; $AJ$69 &amp; $AG31),0)),"",INDIRECT(CONCATENATE("Table!",ADDRESS($AC31,MATCH(L$1,INDIRECT("Table!A" &amp; $AG31):INDIRECT("Table!" &amp; $AJ$69 &amp; $AG31),0)))))</f>
        <v>0.83916570092281417</v>
      </c>
      <c r="M31" s="596">
        <f ca="1">IF(ISERROR(MATCH(M$1,INDIRECT("Table!A"&amp;$AG31):INDIRECT("Table!" &amp; $AJ$69 &amp; $AG31),0)),"",INDIRECT(CONCATENATE("Table!",ADDRESS($AC31,MATCH(M$1,INDIRECT("Table!A" &amp; $AG31):INDIRECT("Table!" &amp; $AJ$69 &amp; $AG31),0)))))</f>
        <v>0.39497238899404902</v>
      </c>
      <c r="N31" s="596">
        <f ca="1">IF(ISERROR(MATCH(N$1,INDIRECT("Table!A"&amp;$AG31):INDIRECT("Table!" &amp; $AJ$69 &amp; $AG31),0)),"",INDIRECT(CONCATENATE("Table!",ADDRESS($AC31,MATCH(N$1,INDIRECT("Table!A" &amp; $AG31):INDIRECT("Table!" &amp; $AJ$69 &amp; $AG31),0)))))</f>
        <v>0.72199993714234589</v>
      </c>
      <c r="O31" s="596">
        <f ca="1">IF(ISERROR(MATCH(O$1,INDIRECT("Table!A"&amp;$AG31):INDIRECT("Table!" &amp; $AJ$69 &amp; $AG31),0)),"",INDIRECT(CONCATENATE("Table!",ADDRESS($AC31,MATCH(O$1,INDIRECT("Table!A" &amp; $AG31):INDIRECT("Table!" &amp; $AJ$69 &amp; $AG31),0)))))</f>
        <v>0.68345632898768838</v>
      </c>
      <c r="P31" s="596">
        <f ca="1">IF(ISERROR(MATCH(P$1,INDIRECT("Table!A"&amp;$AG31):INDIRECT("Table!" &amp; $AJ$69 &amp; $AG31),0)),"",INDIRECT(CONCATENATE("Table!",ADDRESS($AC31,MATCH(P$1,INDIRECT("Table!A" &amp; $AG31):INDIRECT("Table!" &amp; $AJ$69 &amp; $AG31),0)))))</f>
        <v>0.16324737146214155</v>
      </c>
      <c r="Q31" s="596">
        <f ca="1">IF(ISERROR(MATCH(Q$1,INDIRECT("Table!A"&amp;$AG31):INDIRECT("Table!" &amp; $AJ$69 &amp; $AG31),0)),"",INDIRECT(CONCATENATE("Table!",ADDRESS($AC31,MATCH(Q$1,INDIRECT("Table!A" &amp; $AG31):INDIRECT("Table!" &amp; $AJ$69 &amp; $AG31),0)))))</f>
        <v>0.44034445681484335</v>
      </c>
      <c r="R31" s="596">
        <f ca="1">IF(ISERROR(MATCH(R$1,INDIRECT("Table!A"&amp;$AG31):INDIRECT("Table!" &amp; $AJ$69 &amp; $AG31),0)),"",INDIRECT(CONCATENATE("Table!",ADDRESS($AC31,MATCH(R$1,INDIRECT("Table!A" &amp; $AG31):INDIRECT("Table!" &amp; $AJ$69 &amp; $AG31),0)))))</f>
        <v>0.21428880016166008</v>
      </c>
      <c r="S31" s="596">
        <f ca="1">IF(ISERROR(MATCH(S$1,INDIRECT("Table!A"&amp;$AG31):INDIRECT("Table!" &amp; $AJ$43 &amp; $AG31),0)),"",INDIRECT(CONCATENATE("Table!",ADDRESS($AC31,MATCH(S$1,INDIRECT("Table!A" &amp; $AG31):INDIRECT("Table!" &amp; $AJ$43 &amp; $AG31),0)))))</f>
        <v>0.24230385668437562</v>
      </c>
      <c r="T31" s="596">
        <f ca="1">IF(ISERROR(MATCH(T$1,INDIRECT("Table!A"&amp;$AG31):INDIRECT("Table!" &amp; $AJ$43 &amp; $AG31),0)),"",INDIRECT(CONCATENATE("Table!",ADDRESS($AC31,MATCH(T$1,INDIRECT("Table!A" &amp; $AG31):INDIRECT("Table!" &amp; $AJ$43 &amp; $AG31),0)))))</f>
        <v>0.20069506353787342</v>
      </c>
      <c r="U31" s="596" t="str">
        <f ca="1">IF(ISERROR(MATCH(U$1,INDIRECT("Table!A"&amp;$AG31):INDIRECT("Table!" &amp; $AJ$43 &amp; $AG31),0)),"",INDIRECT(CONCATENATE("Table!",ADDRESS($AC31,MATCH(U$1,INDIRECT("Table!A" &amp; $AG31):INDIRECT("Table!" &amp; $AJ$43 &amp; $AG31),0)))))</f>
        <v/>
      </c>
      <c r="V31" s="596"/>
      <c r="W31" s="596"/>
      <c r="X31" s="596"/>
      <c r="Y31" s="596"/>
      <c r="Z31" s="596"/>
      <c r="AA31" s="596"/>
      <c r="AB31" s="596"/>
      <c r="AC31" s="595">
        <f>MATCH($A31,Table!$A:$A,0)+$AE$2-1</f>
        <v>416</v>
      </c>
      <c r="AD31" s="593"/>
      <c r="AE31" s="593"/>
      <c r="AF31" s="593"/>
      <c r="AG31" s="595">
        <f>MATCH($A31,Table!$A:$A,0)+$AI$2-1</f>
        <v>413</v>
      </c>
      <c r="AH31" s="593"/>
      <c r="AJ31" s="743" t="s">
        <v>285</v>
      </c>
    </row>
    <row r="32" spans="1:36" s="267" customFormat="1" ht="15.75" customHeight="1" x14ac:dyDescent="0.25">
      <c r="A32" s="268">
        <v>41561</v>
      </c>
      <c r="B32" s="273">
        <f ca="1">IF(ISERROR(MATCH(B$1,INDIRECT("Table!A"&amp;$AG32):INDIRECT("Table!" &amp; $AJ$91 &amp; $AG32),0)),"",INDIRECT(CONCATENATE("Table!",ADDRESS($AC32,MATCH(B$1,INDIRECT("Table!A" &amp; $AG32):INDIRECT("Table!" &amp; $AJ$90 &amp; $AG32),0)))))</f>
        <v>0.3366991415201579</v>
      </c>
      <c r="C32" s="273">
        <f ca="1">IF(ISERROR(MATCH(C$1,INDIRECT("Table!A"&amp;$AG32):INDIRECT("Table!" &amp; $AJ$90 &amp; $AG32),0)),"",INDIRECT(CONCATENATE("Table!",ADDRESS($AC32,MATCH(C$1,INDIRECT("Table!A" &amp; $AG32):INDIRECT("Table!" &amp; $AJ$90 &amp; $AG32),0)))))</f>
        <v>0.5358833936699382</v>
      </c>
      <c r="D32" s="273">
        <f ca="1">IF(ISERROR(MATCH(D$1,INDIRECT("Table!A"&amp;$AG32):INDIRECT("Table!" &amp; $AJ$90 &amp; $AG32),0)),"",INDIRECT(CONCATENATE("Table!",ADDRESS($AC32,MATCH(D$1,INDIRECT("Table!A" &amp; $AG32):INDIRECT("Table!" &amp; $AJ$90 &amp; $AG32),0)))))</f>
        <v>0.54532752844036569</v>
      </c>
      <c r="E32" s="273">
        <f ca="1">IF(ISERROR(MATCH(E$1,INDIRECT("Table!A"&amp;$AG32):INDIRECT("Table!" &amp; $AJ$90 &amp; $AG32),0)),"",INDIRECT(CONCATENATE("Table!",ADDRESS($AC32,MATCH(E$1,INDIRECT("Table!A" &amp; $AG32):INDIRECT("Table!" &amp; $AJ$90 &amp; $AG32),0)))))</f>
        <v>0.82875381595922626</v>
      </c>
      <c r="F32" s="273">
        <f ca="1">IF(ISERROR(MATCH(F$1,INDIRECT("Table!A"&amp;$AG32):INDIRECT("Table!" &amp; $AJ$90 &amp; $AG32),0)),"",INDIRECT(CONCATENATE("Table!",ADDRESS($AC32,MATCH(F$1,INDIRECT("Table!A" &amp; $AG32):INDIRECT("Table!" &amp; $AJ$90 &amp; $AG32),0)))))</f>
        <v>0.7232297896387806</v>
      </c>
      <c r="G32" s="273">
        <f ca="1">IF(ISERROR(MATCH(G$1,INDIRECT("Table!A"&amp;$AG32):INDIRECT("Table!" &amp; $AJ$90 &amp; $AG32),0)),"",INDIRECT(CONCATENATE("Table!",ADDRESS($AC32,MATCH(G$1,INDIRECT("Table!A" &amp; $AG32):INDIRECT("Table!" &amp; $AJ$90 &amp; $AG32),0)))))</f>
        <v>0.48444255745541048</v>
      </c>
      <c r="H32" s="273">
        <f ca="1">IF(ISERROR(MATCH(H$1,INDIRECT("Table!A"&amp;$AG32):INDIRECT("Table!" &amp; $AJ$90 &amp; $AG32),0)),"",INDIRECT(CONCATENATE("Table!",ADDRESS($AC32,MATCH(H$1,INDIRECT("Table!A" &amp; $AG32):INDIRECT("Table!" &amp; $AJ$90 &amp; $AG32),0)))))</f>
        <v>0.59180574678625197</v>
      </c>
      <c r="I32" s="273">
        <f ca="1">IF(ISERROR(MATCH(I$1,INDIRECT("Table!A"&amp;$AG32):INDIRECT("Table!" &amp; $AJ$69 &amp; $AG32),0)),"",INDIRECT(CONCATENATE("Table!",ADDRESS($AC32,MATCH(I$1,INDIRECT("Table!A" &amp; $AG32):INDIRECT("Table!" &amp; $AJ$69 &amp; $AG32),0)))))</f>
        <v>0.14871247812829586</v>
      </c>
      <c r="J32" s="273">
        <f ca="1">IF(ISERROR(MATCH(J$1,INDIRECT("Table!A"&amp;$AG32):INDIRECT("Table!" &amp; $AJ$69 &amp; $AG32),0)),"",INDIRECT(CONCATENATE("Table!",ADDRESS($AC32,MATCH(J$1,INDIRECT("Table!A" &amp; $AG32):INDIRECT("Table!" &amp; $AJ$69 &amp; $AG32),0)))))</f>
        <v>0.49937561951097043</v>
      </c>
      <c r="K32" s="273">
        <f ca="1">IF(ISERROR(MATCH(K$1,INDIRECT("Table!A"&amp;$AG32):INDIRECT("Table!" &amp; $AJ$69 &amp; $AG32),0)),"",INDIRECT(CONCATENATE("Table!",ADDRESS($AC32,MATCH(K$1,INDIRECT("Table!A" &amp; $AG32):INDIRECT("Table!" &amp; $AJ$69 &amp; $AG32),0)))))</f>
        <v>5.9958237812200227E-3</v>
      </c>
      <c r="L32" s="273">
        <f ca="1">IF(ISERROR(MATCH(L$1,INDIRECT("Table!A"&amp;$AG32):INDIRECT("Table!" &amp; $AJ$69 &amp; $AG32),0)),"",INDIRECT(CONCATENATE("Table!",ADDRESS($AC32,MATCH(L$1,INDIRECT("Table!A" &amp; $AG32):INDIRECT("Table!" &amp; $AJ$69 &amp; $AG32),0)))))</f>
        <v>0.8334391032232964</v>
      </c>
      <c r="M32" s="273">
        <f ca="1">IF(ISERROR(MATCH(M$1,INDIRECT("Table!A"&amp;$AG32):INDIRECT("Table!" &amp; $AJ$69 &amp; $AG32),0)),"",INDIRECT(CONCATENATE("Table!",ADDRESS($AC32,MATCH(M$1,INDIRECT("Table!A" &amp; $AG32):INDIRECT("Table!" &amp; $AJ$69 &amp; $AG32),0)))))</f>
        <v>0.37308031765733141</v>
      </c>
      <c r="N32" s="273">
        <f ca="1">IF(ISERROR(MATCH(N$1,INDIRECT("Table!A"&amp;$AG32):INDIRECT("Table!" &amp; $AJ$69 &amp; $AG32),0)),"",INDIRECT(CONCATENATE("Table!",ADDRESS($AC32,MATCH(N$1,INDIRECT("Table!A" &amp; $AG32):INDIRECT("Table!" &amp; $AJ$69 &amp; $AG32),0)))))</f>
        <v>0.7433606602954792</v>
      </c>
      <c r="O32" s="273">
        <f ca="1">IF(ISERROR(MATCH(O$1,INDIRECT("Table!A"&amp;$AG32):INDIRECT("Table!" &amp; $AJ$69 &amp; $AG32),0)),"",INDIRECT(CONCATENATE("Table!",ADDRESS($AC32,MATCH(O$1,INDIRECT("Table!A" &amp; $AG32):INDIRECT("Table!" &amp; $AJ$69 &amp; $AG32),0)))))</f>
        <v>0.65853928305923737</v>
      </c>
      <c r="P32" s="273">
        <f ca="1">IF(ISERROR(MATCH(P$1,INDIRECT("Table!A"&amp;$AG32):INDIRECT("Table!" &amp; $AJ$69 &amp; $AG32),0)),"",INDIRECT(CONCATENATE("Table!",ADDRESS($AC32,MATCH(P$1,INDIRECT("Table!A" &amp; $AG32):INDIRECT("Table!" &amp; $AJ$69 &amp; $AG32),0)))))</f>
        <v>0.15463345526106473</v>
      </c>
      <c r="Q32" s="273">
        <f ca="1">IF(ISERROR(MATCH(Q$1,INDIRECT("Table!A"&amp;$AG32):INDIRECT("Table!" &amp; $AJ$69 &amp; $AG32),0)),"",INDIRECT(CONCATENATE("Table!",ADDRESS($AC32,MATCH(Q$1,INDIRECT("Table!A" &amp; $AG32):INDIRECT("Table!" &amp; $AJ$69 &amp; $AG32),0)))))</f>
        <v>0.38502690208993889</v>
      </c>
      <c r="R32" s="273">
        <f ca="1">IF(ISERROR(MATCH(R$1,INDIRECT("Table!A"&amp;$AG32):INDIRECT("Table!" &amp; $AJ$69 &amp; $AG32),0)),"",INDIRECT(CONCATENATE("Table!",ADDRESS($AC32,MATCH(R$1,INDIRECT("Table!A" &amp; $AG32):INDIRECT("Table!" &amp; $AJ$69 &amp; $AG32),0)))))</f>
        <v>0.16865002218180719</v>
      </c>
      <c r="S32" s="273">
        <f ca="1">IF(ISERROR(MATCH(S$1,INDIRECT("Table!A"&amp;$AG32):INDIRECT("Table!" &amp; $AJ$43 &amp; $AG32),0)),"",INDIRECT(CONCATENATE("Table!",ADDRESS($AC32,MATCH(S$1,INDIRECT("Table!A" &amp; $AG32):INDIRECT("Table!" &amp; $AJ$43 &amp; $AG32),0)))))</f>
        <v>0.22532682997588438</v>
      </c>
      <c r="T32" s="273">
        <f ca="1">IF(ISERROR(MATCH(T$1,INDIRECT("Table!A"&amp;$AG32):INDIRECT("Table!" &amp; $AJ$43 &amp; $AG32),0)),"",INDIRECT(CONCATENATE("Table!",ADDRESS($AC32,MATCH(T$1,INDIRECT("Table!A" &amp; $AG32):INDIRECT("Table!" &amp; $AJ$43 &amp; $AG32),0)))))</f>
        <v>0.18917816291684925</v>
      </c>
      <c r="U32" s="596" t="str">
        <f ca="1">IF(ISERROR(MATCH(U$1,INDIRECT("Table!A"&amp;$AG32):INDIRECT("Table!" &amp; $AJ$43 &amp; $AG32),0)),"",INDIRECT(CONCATENATE("Table!",ADDRESS($AC32,MATCH(U$1,INDIRECT("Table!A" &amp; $AG32):INDIRECT("Table!" &amp; $AJ$43 &amp; $AG32),0)))))</f>
        <v/>
      </c>
      <c r="V32" s="596"/>
      <c r="W32" s="596"/>
      <c r="X32" s="596"/>
      <c r="Y32" s="596"/>
      <c r="Z32" s="596"/>
      <c r="AA32" s="596"/>
      <c r="AB32" s="596"/>
      <c r="AC32" s="272">
        <f>MATCH($A32,Table!$A:$A,0)+$AE$2-1</f>
        <v>428</v>
      </c>
      <c r="AD32" s="487"/>
      <c r="AE32" s="487"/>
      <c r="AF32" s="487"/>
      <c r="AG32" s="272">
        <f>MATCH($A32,Table!$A:$A,0)+$AI$2-1</f>
        <v>425</v>
      </c>
      <c r="AH32" s="487"/>
      <c r="AJ32" s="743" t="s">
        <v>285</v>
      </c>
    </row>
    <row r="33" spans="1:36" s="267" customFormat="1" ht="15.75" customHeight="1" x14ac:dyDescent="0.25">
      <c r="A33" s="268">
        <v>41548</v>
      </c>
      <c r="B33" s="273">
        <f ca="1">IF(ISERROR(MATCH(B$1,INDIRECT("Table!A"&amp;$AG33):INDIRECT("Table!" &amp; $AJ$91 &amp; $AG33),0)),"",INDIRECT(CONCATENATE("Table!",ADDRESS($AC33,MATCH(B$1,INDIRECT("Table!A" &amp; $AG33):INDIRECT("Table!" &amp; $AJ$90 &amp; $AG33),0)))))</f>
        <v>0.33587901780421636</v>
      </c>
      <c r="C33" s="273">
        <f ca="1">IF(ISERROR(MATCH(C$1,INDIRECT("Table!A"&amp;$AG33):INDIRECT("Table!" &amp; $AJ$90 &amp; $AG33),0)),"",INDIRECT(CONCATENATE("Table!",ADDRESS($AC33,MATCH(C$1,INDIRECT("Table!A" &amp; $AG33):INDIRECT("Table!" &amp; $AJ$90 &amp; $AG33),0)))))</f>
        <v>0.53444966571815622</v>
      </c>
      <c r="D33" s="273">
        <f ca="1">IF(ISERROR(MATCH(D$1,INDIRECT("Table!A"&amp;$AG33):INDIRECT("Table!" &amp; $AJ$90 &amp; $AG33),0)),"",INDIRECT(CONCATENATE("Table!",ADDRESS($AC33,MATCH(D$1,INDIRECT("Table!A" &amp; $AG33):INDIRECT("Table!" &amp; $AJ$90 &amp; $AG33),0)))))</f>
        <v>0.5442685097401152</v>
      </c>
      <c r="E33" s="273">
        <f ca="1">IF(ISERROR(MATCH(E$1,INDIRECT("Table!A"&amp;$AG33):INDIRECT("Table!" &amp; $AJ$90 &amp; $AG33),0)),"",INDIRECT(CONCATENATE("Table!",ADDRESS($AC33,MATCH(E$1,INDIRECT("Table!A" &amp; $AG33):INDIRECT("Table!" &amp; $AJ$90 &amp; $AG33),0)))))</f>
        <v>0.8265186363866136</v>
      </c>
      <c r="F33" s="273">
        <f ca="1">IF(ISERROR(MATCH(F$1,INDIRECT("Table!A"&amp;$AG33):INDIRECT("Table!" &amp; $AJ$90 &amp; $AG33),0)),"",INDIRECT(CONCATENATE("Table!",ADDRESS($AC33,MATCH(F$1,INDIRECT("Table!A" &amp; $AG33):INDIRECT("Table!" &amp; $AJ$90 &amp; $AG33),0)))))</f>
        <v>0.71628524026388074</v>
      </c>
      <c r="G33" s="273">
        <f ca="1">IF(ISERROR(MATCH(G$1,INDIRECT("Table!A"&amp;$AG33):INDIRECT("Table!" &amp; $AJ$90 &amp; $AG33),0)),"",INDIRECT(CONCATENATE("Table!",ADDRESS($AC33,MATCH(G$1,INDIRECT("Table!A" &amp; $AG33):INDIRECT("Table!" &amp; $AJ$90 &amp; $AG33),0)))))</f>
        <v>0.45500628533847365</v>
      </c>
      <c r="H33" s="273">
        <f ca="1">IF(ISERROR(MATCH(H$1,INDIRECT("Table!A"&amp;$AG33):INDIRECT("Table!" &amp; $AJ$90 &amp; $AG33),0)),"",INDIRECT(CONCATENATE("Table!",ADDRESS($AC33,MATCH(H$1,INDIRECT("Table!A" &amp; $AG33):INDIRECT("Table!" &amp; $AJ$90 &amp; $AG33),0)))))</f>
        <v>0.58173430676744153</v>
      </c>
      <c r="I33" s="273">
        <f ca="1">IF(ISERROR(MATCH(I$1,INDIRECT("Table!A"&amp;$AG33):INDIRECT("Table!" &amp; $AJ$69 &amp; $AG33),0)),"",INDIRECT(CONCATENATE("Table!",ADDRESS($AC33,MATCH(I$1,INDIRECT("Table!A" &amp; $AG33):INDIRECT("Table!" &amp; $AJ$69 &amp; $AG33),0)))))</f>
        <v>0.14731208466427123</v>
      </c>
      <c r="J33" s="273">
        <f ca="1">IF(ISERROR(MATCH(J$1,INDIRECT("Table!A"&amp;$AG33):INDIRECT("Table!" &amp; $AJ$69 &amp; $AG33),0)),"",INDIRECT(CONCATENATE("Table!",ADDRESS($AC33,MATCH(J$1,INDIRECT("Table!A" &amp; $AG33):INDIRECT("Table!" &amp; $AJ$69 &amp; $AG33),0)))))</f>
        <v>0.48354752000831064</v>
      </c>
      <c r="K33" s="273">
        <f ca="1">IF(ISERROR(MATCH(K$1,INDIRECT("Table!A"&amp;$AG33):INDIRECT("Table!" &amp; $AJ$69 &amp; $AG33),0)),"",INDIRECT(CONCATENATE("Table!",ADDRESS($AC33,MATCH(K$1,INDIRECT("Table!A" &amp; $AG33):INDIRECT("Table!" &amp; $AJ$69 &amp; $AG33),0)))))</f>
        <v>5.6845816696977922E-3</v>
      </c>
      <c r="L33" s="273">
        <f ca="1">IF(ISERROR(MATCH(L$1,INDIRECT("Table!A"&amp;$AG33):INDIRECT("Table!" &amp; $AJ$69 &amp; $AG33),0)),"",INDIRECT(CONCATENATE("Table!",ADDRESS($AC33,MATCH(L$1,INDIRECT("Table!A" &amp; $AG33):INDIRECT("Table!" &amp; $AJ$69 &amp; $AG33),0)))))</f>
        <v>0.83091150505286504</v>
      </c>
      <c r="M33" s="273">
        <f ca="1">IF(ISERROR(MATCH(M$1,INDIRECT("Table!A"&amp;$AG33):INDIRECT("Table!" &amp; $AJ$69 &amp; $AG33),0)),"",INDIRECT(CONCATENATE("Table!",ADDRESS($AC33,MATCH(M$1,INDIRECT("Table!A" &amp; $AG33):INDIRECT("Table!" &amp; $AJ$69 &amp; $AG33),0)))))</f>
        <v>0.36728598819787944</v>
      </c>
      <c r="N33" s="273">
        <f ca="1">IF(ISERROR(MATCH(N$1,INDIRECT("Table!A"&amp;$AG33):INDIRECT("Table!" &amp; $AJ$69 &amp; $AG33),0)),"",INDIRECT(CONCATENATE("Table!",ADDRESS($AC33,MATCH(N$1,INDIRECT("Table!A" &amp; $AG33):INDIRECT("Table!" &amp; $AJ$69 &amp; $AG33),0)))))</f>
        <v>0.73643543914532927</v>
      </c>
      <c r="O33" s="273">
        <f ca="1">IF(ISERROR(MATCH(O$1,INDIRECT("Table!A"&amp;$AG33):INDIRECT("Table!" &amp; $AJ$69 &amp; $AG33),0)),"",INDIRECT(CONCATENATE("Table!",ADDRESS($AC33,MATCH(O$1,INDIRECT("Table!A" &amp; $AG33):INDIRECT("Table!" &amp; $AJ$69 &amp; $AG33),0)))))</f>
        <v>0.65033199760657101</v>
      </c>
      <c r="P33" s="273">
        <f ca="1">IF(ISERROR(MATCH(P$1,INDIRECT("Table!A"&amp;$AG33):INDIRECT("Table!" &amp; $AJ$69 &amp; $AG33),0)),"",INDIRECT(CONCATENATE("Table!",ADDRESS($AC33,MATCH(P$1,INDIRECT("Table!A" &amp; $AG33):INDIRECT("Table!" &amp; $AJ$69 &amp; $AG33),0)))))</f>
        <v>0.15297014503194861</v>
      </c>
      <c r="Q33" s="273">
        <f ca="1">IF(ISERROR(MATCH(Q$1,INDIRECT("Table!A"&amp;$AG33):INDIRECT("Table!" &amp; $AJ$69 &amp; $AG33),0)),"",INDIRECT(CONCATENATE("Table!",ADDRESS($AC33,MATCH(Q$1,INDIRECT("Table!A" &amp; $AG33):INDIRECT("Table!" &amp; $AJ$69 &amp; $AG33),0)))))</f>
        <v>0.37102342238609476</v>
      </c>
      <c r="R33" s="273">
        <f ca="1">IF(ISERROR(MATCH(R$1,INDIRECT("Table!A"&amp;$AG33):INDIRECT("Table!" &amp; $AJ$69 &amp; $AG33),0)),"",INDIRECT(CONCATENATE("Table!",ADDRESS($AC33,MATCH(R$1,INDIRECT("Table!A" &amp; $AG33):INDIRECT("Table!" &amp; $AJ$69 &amp; $AG33),0)))))</f>
        <v>0.16602769125711617</v>
      </c>
      <c r="S33" s="273">
        <f ca="1">IF(ISERROR(MATCH(S$1,INDIRECT("Table!A"&amp;$AG33):INDIRECT("Table!" &amp; $AJ$43 &amp; $AG33),0)),"",INDIRECT(CONCATENATE("Table!",ADDRESS($AC33,MATCH(S$1,INDIRECT("Table!A" &amp; $AG33):INDIRECT("Table!" &amp; $AJ$43 &amp; $AG33),0)))))</f>
        <v>0.22118003300030822</v>
      </c>
      <c r="T33" s="273">
        <f ca="1">IF(ISERROR(MATCH(T$1,INDIRECT("Table!A"&amp;$AG33):INDIRECT("Table!" &amp; $AJ$43 &amp; $AG33),0)),"",INDIRECT(CONCATENATE("Table!",ADDRESS($AC33,MATCH(T$1,INDIRECT("Table!A" &amp; $AG33):INDIRECT("Table!" &amp; $AJ$43 &amp; $AG33),0)))))</f>
        <v>0.18457261147459242</v>
      </c>
      <c r="U33" s="596" t="str">
        <f ca="1">IF(ISERROR(MATCH(U$1,INDIRECT("Table!A"&amp;$AG33):INDIRECT("Table!" &amp; $AJ$43 &amp; $AG33),0)),"",INDIRECT(CONCATENATE("Table!",ADDRESS($AC33,MATCH(U$1,INDIRECT("Table!A" &amp; $AG33):INDIRECT("Table!" &amp; $AJ$43 &amp; $AG33),0)))))</f>
        <v/>
      </c>
      <c r="V33" s="596"/>
      <c r="W33" s="596"/>
      <c r="X33" s="596"/>
      <c r="Y33" s="596"/>
      <c r="Z33" s="596"/>
      <c r="AA33" s="596"/>
      <c r="AB33" s="596"/>
      <c r="AC33" s="272">
        <f>MATCH($A33,Table!$A:$A,0)+$AE$2-1</f>
        <v>440</v>
      </c>
      <c r="AD33" s="482"/>
      <c r="AE33" s="482"/>
      <c r="AF33" s="482"/>
      <c r="AG33" s="272">
        <f>MATCH($A33,Table!$A:$A,0)+$AI$2-1</f>
        <v>437</v>
      </c>
      <c r="AH33" s="482"/>
      <c r="AJ33" s="743" t="s">
        <v>285</v>
      </c>
    </row>
    <row r="34" spans="1:36" s="267" customFormat="1" ht="15.75" customHeight="1" x14ac:dyDescent="0.25">
      <c r="A34" s="268">
        <v>41541</v>
      </c>
      <c r="B34" s="273">
        <f ca="1">IF(ISERROR(MATCH(B$1,INDIRECT("Table!A"&amp;$AG34):INDIRECT("Table!" &amp; $AJ$91 &amp; $AG34),0)),"",INDIRECT(CONCATENATE("Table!",ADDRESS($AC34,MATCH(B$1,INDIRECT("Table!A" &amp; $AG34):INDIRECT("Table!" &amp; $AJ$90 &amp; $AG34),0)))))</f>
        <v>0.33514258018173831</v>
      </c>
      <c r="C34" s="273">
        <f ca="1">IF(ISERROR(MATCH(C$1,INDIRECT("Table!A"&amp;$AG34):INDIRECT("Table!" &amp; $AJ$90 &amp; $AG34),0)),"",INDIRECT(CONCATENATE("Table!",ADDRESS($AC34,MATCH(C$1,INDIRECT("Table!A" &amp; $AG34):INDIRECT("Table!" &amp; $AJ$90 &amp; $AG34),0)))))</f>
        <v>0.53426031795807372</v>
      </c>
      <c r="D34" s="273">
        <f ca="1">IF(ISERROR(MATCH(D$1,INDIRECT("Table!A"&amp;$AG34):INDIRECT("Table!" &amp; $AJ$90 &amp; $AG34),0)),"",INDIRECT(CONCATENATE("Table!",ADDRESS($AC34,MATCH(D$1,INDIRECT("Table!A" &amp; $AG34):INDIRECT("Table!" &amp; $AJ$90 &amp; $AG34),0)))))</f>
        <v>0.5441037439699381</v>
      </c>
      <c r="E34" s="273">
        <f ca="1">IF(ISERROR(MATCH(E$1,INDIRECT("Table!A"&amp;$AG34):INDIRECT("Table!" &amp; $AJ$90 &amp; $AG34),0)),"",INDIRECT(CONCATENATE("Table!",ADDRESS($AC34,MATCH(E$1,INDIRECT("Table!A" &amp; $AG34):INDIRECT("Table!" &amp; $AJ$90 &amp; $AG34),0)))))</f>
        <v>0.82551478361395803</v>
      </c>
      <c r="F34" s="273">
        <f ca="1">IF(ISERROR(MATCH(F$1,INDIRECT("Table!A"&amp;$AG34):INDIRECT("Table!" &amp; $AJ$90 &amp; $AG34),0)),"",INDIRECT(CONCATENATE("Table!",ADDRESS($AC34,MATCH(F$1,INDIRECT("Table!A" &amp; $AG34):INDIRECT("Table!" &amp; $AJ$90 &amp; $AG34),0)))))</f>
        <v>0.71431671134185737</v>
      </c>
      <c r="G34" s="273">
        <f ca="1">IF(ISERROR(MATCH(G$1,INDIRECT("Table!A"&amp;$AG34):INDIRECT("Table!" &amp; $AJ$90 &amp; $AG34),0)),"",INDIRECT(CONCATENATE("Table!",ADDRESS($AC34,MATCH(G$1,INDIRECT("Table!A" &amp; $AG34):INDIRECT("Table!" &amp; $AJ$90 &amp; $AG34),0)))))</f>
        <v>0.44316820413386826</v>
      </c>
      <c r="H34" s="273">
        <f ca="1">IF(ISERROR(MATCH(H$1,INDIRECT("Table!A"&amp;$AG34):INDIRECT("Table!" &amp; $AJ$90 &amp; $AG34),0)),"",INDIRECT(CONCATENATE("Table!",ADDRESS($AC34,MATCH(H$1,INDIRECT("Table!A" &amp; $AG34):INDIRECT("Table!" &amp; $AJ$90 &amp; $AG34),0)))))</f>
        <v>0.57380068620787672</v>
      </c>
      <c r="I34" s="273">
        <f ca="1">IF(ISERROR(MATCH(I$1,INDIRECT("Table!A"&amp;$AG34):INDIRECT("Table!" &amp; $AJ$69 &amp; $AG34),0)),"",INDIRECT(CONCATENATE("Table!",ADDRESS($AC34,MATCH(I$1,INDIRECT("Table!A" &amp; $AG34):INDIRECT("Table!" &amp; $AJ$69 &amp; $AG34),0)))))</f>
        <v>0.14719785317324807</v>
      </c>
      <c r="J34" s="273">
        <f ca="1">IF(ISERROR(MATCH(J$1,INDIRECT("Table!A"&amp;$AG34):INDIRECT("Table!" &amp; $AJ$69 &amp; $AG34),0)),"",INDIRECT(CONCATENATE("Table!",ADDRESS($AC34,MATCH(J$1,INDIRECT("Table!A" &amp; $AG34):INDIRECT("Table!" &amp; $AJ$69 &amp; $AG34),0)))))</f>
        <v>0.48246215843032686</v>
      </c>
      <c r="K34" s="273">
        <f ca="1">IF(ISERROR(MATCH(K$1,INDIRECT("Table!A"&amp;$AG34):INDIRECT("Table!" &amp; $AJ$69 &amp; $AG34),0)),"",INDIRECT(CONCATENATE("Table!",ADDRESS($AC34,MATCH(K$1,INDIRECT("Table!A" &amp; $AG34):INDIRECT("Table!" &amp; $AJ$69 &amp; $AG34),0)))))</f>
        <v>1.3888668897983651E-2</v>
      </c>
      <c r="L34" s="273">
        <f ca="1">IF(ISERROR(MATCH(L$1,INDIRECT("Table!A"&amp;$AG34):INDIRECT("Table!" &amp; $AJ$69 &amp; $AG34),0)),"",INDIRECT(CONCATENATE("Table!",ADDRESS($AC34,MATCH(L$1,INDIRECT("Table!A" &amp; $AG34):INDIRECT("Table!" &amp; $AJ$69 &amp; $AG34),0)))))</f>
        <v>0.83008002420360449</v>
      </c>
      <c r="M34" s="273">
        <f ca="1">IF(ISERROR(MATCH(M$1,INDIRECT("Table!A"&amp;$AG34):INDIRECT("Table!" &amp; $AJ$69 &amp; $AG34),0)),"",INDIRECT(CONCATENATE("Table!",ADDRESS($AC34,MATCH(M$1,INDIRECT("Table!A" &amp; $AG34):INDIRECT("Table!" &amp; $AJ$69 &amp; $AG34),0)))))</f>
        <v>0.44488087372637702</v>
      </c>
      <c r="N34" s="273">
        <f ca="1">IF(ISERROR(MATCH(N$1,INDIRECT("Table!A"&amp;$AG34):INDIRECT("Table!" &amp; $AJ$69 &amp; $AG34),0)),"",INDIRECT(CONCATENATE("Table!",ADDRESS($AC34,MATCH(N$1,INDIRECT("Table!A" &amp; $AG34):INDIRECT("Table!" &amp; $AJ$69 &amp; $AG34),0)))))</f>
        <v>0.73449893988148907</v>
      </c>
      <c r="O34" s="273">
        <f ca="1">IF(ISERROR(MATCH(O$1,INDIRECT("Table!A"&amp;$AG34):INDIRECT("Table!" &amp; $AJ$69 &amp; $AG34),0)),"",INDIRECT(CONCATENATE("Table!",ADDRESS($AC34,MATCH(O$1,INDIRECT("Table!A" &amp; $AG34):INDIRECT("Table!" &amp; $AJ$69 &amp; $AG34),0)))))</f>
        <v>0.65121539047342747</v>
      </c>
      <c r="P34" s="273">
        <f ca="1">IF(ISERROR(MATCH(P$1,INDIRECT("Table!A"&amp;$AG34):INDIRECT("Table!" &amp; $AJ$69 &amp; $AG34),0)),"",INDIRECT(CONCATENATE("Table!",ADDRESS($AC34,MATCH(P$1,INDIRECT("Table!A" &amp; $AG34):INDIRECT("Table!" &amp; $AJ$69 &amp; $AG34),0)))))</f>
        <v>0.15285530893328142</v>
      </c>
      <c r="Q34" s="273">
        <f ca="1">IF(ISERROR(MATCH(Q$1,INDIRECT("Table!A"&amp;$AG34):INDIRECT("Table!" &amp; $AJ$69 &amp; $AG34),0)),"",INDIRECT(CONCATENATE("Table!",ADDRESS($AC34,MATCH(Q$1,INDIRECT("Table!A" &amp; $AG34):INDIRECT("Table!" &amp; $AJ$69 &amp; $AG34),0)))))</f>
        <v>0.37069428981445807</v>
      </c>
      <c r="R34" s="273">
        <f ca="1">IF(ISERROR(MATCH(R$1,INDIRECT("Table!A"&amp;$AG34):INDIRECT("Table!" &amp; $AJ$69 &amp; $AG34),0)),"",INDIRECT(CONCATENATE("Table!",ADDRESS($AC34,MATCH(R$1,INDIRECT("Table!A" &amp; $AG34):INDIRECT("Table!" &amp; $AJ$69 &amp; $AG34),0)))))</f>
        <v>0.33950990491140809</v>
      </c>
      <c r="S34" s="273">
        <f ca="1">IF(ISERROR(MATCH(S$1,INDIRECT("Table!A"&amp;$AG34):INDIRECT("Table!" &amp; $AJ$43 &amp; $AG34),0)),"",INDIRECT(CONCATENATE("Table!",ADDRESS($AC34,MATCH(S$1,INDIRECT("Table!A" &amp; $AG34):INDIRECT("Table!" &amp; $AJ$43 &amp; $AG34),0)))))</f>
        <v>0.22032601403419705</v>
      </c>
      <c r="T34" s="273">
        <f ca="1">IF(ISERROR(MATCH(T$1,INDIRECT("Table!A"&amp;$AG34):INDIRECT("Table!" &amp; $AJ$43 &amp; $AG34),0)),"",INDIRECT(CONCATENATE("Table!",ADDRESS($AC34,MATCH(T$1,INDIRECT("Table!A" &amp; $AG34):INDIRECT("Table!" &amp; $AJ$43 &amp; $AG34),0)))))</f>
        <v>0.18302533959897854</v>
      </c>
      <c r="U34" s="596" t="str">
        <f ca="1">IF(ISERROR(MATCH(U$1,INDIRECT("Table!A"&amp;$AG34):INDIRECT("Table!" &amp; $AJ$43 &amp; $AG34),0)),"",INDIRECT(CONCATENATE("Table!",ADDRESS($AC34,MATCH(U$1,INDIRECT("Table!A" &amp; $AG34):INDIRECT("Table!" &amp; $AJ$43 &amp; $AG34),0)))))</f>
        <v/>
      </c>
      <c r="V34" s="596"/>
      <c r="W34" s="596"/>
      <c r="X34" s="596"/>
      <c r="Y34" s="596"/>
      <c r="Z34" s="596"/>
      <c r="AA34" s="596"/>
      <c r="AB34" s="596"/>
      <c r="AC34" s="272">
        <f>MATCH($A34,Table!$A:$A,0)+$AE$2-1</f>
        <v>452</v>
      </c>
      <c r="AD34" s="482"/>
      <c r="AE34" s="482"/>
      <c r="AF34" s="482"/>
      <c r="AG34" s="272">
        <f>MATCH($A34,Table!$A:$A,0)+$AI$2-1</f>
        <v>449</v>
      </c>
      <c r="AH34" s="482"/>
      <c r="AJ34" s="743" t="s">
        <v>285</v>
      </c>
    </row>
    <row r="35" spans="1:36" s="267" customFormat="1" ht="15.75" customHeight="1" x14ac:dyDescent="0.25">
      <c r="A35" s="268">
        <v>41534</v>
      </c>
      <c r="B35" s="273">
        <f ca="1">IF(ISERROR(MATCH(B$1,INDIRECT("Table!A"&amp;$AG35):INDIRECT("Table!" &amp; $AJ$91 &amp; $AG35),0)),"",INDIRECT(CONCATENATE("Table!",ADDRESS($AC35,MATCH(B$1,INDIRECT("Table!A" &amp; $AG35):INDIRECT("Table!" &amp; $AJ$90 &amp; $AG35),0)))))</f>
        <v>0.3339939885489529</v>
      </c>
      <c r="C35" s="273">
        <f ca="1">IF(ISERROR(MATCH(C$1,INDIRECT("Table!A"&amp;$AG35):INDIRECT("Table!" &amp; $AJ$90 &amp; $AG35),0)),"",INDIRECT(CONCATENATE("Table!",ADDRESS($AC35,MATCH(C$1,INDIRECT("Table!A" &amp; $AG35):INDIRECT("Table!" &amp; $AJ$90 &amp; $AG35),0)))))</f>
        <v>0.53361254930516011</v>
      </c>
      <c r="D35" s="273">
        <f ca="1">IF(ISERROR(MATCH(D$1,INDIRECT("Table!A"&amp;$AG35):INDIRECT("Table!" &amp; $AJ$90 &amp; $AG35),0)),"",INDIRECT(CONCATENATE("Table!",ADDRESS($AC35,MATCH(D$1,INDIRECT("Table!A" &amp; $AG35):INDIRECT("Table!" &amp; $AJ$90 &amp; $AG35),0)))))</f>
        <v>0.54345198904839132</v>
      </c>
      <c r="E35" s="273">
        <f ca="1">IF(ISERROR(MATCH(E$1,INDIRECT("Table!A"&amp;$AG35):INDIRECT("Table!" &amp; $AJ$90 &amp; $AG35),0)),"",INDIRECT(CONCATENATE("Table!",ADDRESS($AC35,MATCH(E$1,INDIRECT("Table!A" &amp; $AG35):INDIRECT("Table!" &amp; $AJ$90 &amp; $AG35),0)))))</f>
        <v>0.82154113104042448</v>
      </c>
      <c r="F35" s="273">
        <f ca="1">IF(ISERROR(MATCH(F$1,INDIRECT("Table!A"&amp;$AG35):INDIRECT("Table!" &amp; $AJ$90 &amp; $AG35),0)),"",INDIRECT(CONCATENATE("Table!",ADDRESS($AC35,MATCH(F$1,INDIRECT("Table!A" &amp; $AG35):INDIRECT("Table!" &amp; $AJ$90 &amp; $AG35),0)))))</f>
        <v>0.71174438739585444</v>
      </c>
      <c r="G35" s="273">
        <f ca="1">IF(ISERROR(MATCH(G$1,INDIRECT("Table!A"&amp;$AG35):INDIRECT("Table!" &amp; $AJ$90 &amp; $AG35),0)),"",INDIRECT(CONCATENATE("Table!",ADDRESS($AC35,MATCH(G$1,INDIRECT("Table!A" &amp; $AG35):INDIRECT("Table!" &amp; $AJ$90 &amp; $AG35),0)))))</f>
        <v>0.44491493034664342</v>
      </c>
      <c r="H35" s="273">
        <f ca="1">IF(ISERROR(MATCH(H$1,INDIRECT("Table!A"&amp;$AG35):INDIRECT("Table!" &amp; $AJ$90 &amp; $AG35),0)),"",INDIRECT(CONCATENATE("Table!",ADDRESS($AC35,MATCH(H$1,INDIRECT("Table!A" &amp; $AG35):INDIRECT("Table!" &amp; $AJ$90 &amp; $AG35),0)))))</f>
        <v>0.56977831016923575</v>
      </c>
      <c r="I35" s="273">
        <f ca="1">IF(ISERROR(MATCH(I$1,INDIRECT("Table!A"&amp;$AG35):INDIRECT("Table!" &amp; $AJ$69 &amp; $AG35),0)),"",INDIRECT(CONCATENATE("Table!",ADDRESS($AC35,MATCH(I$1,INDIRECT("Table!A" &amp; $AG35):INDIRECT("Table!" &amp; $AJ$69 &amp; $AG35),0)))))</f>
        <v>0.14690774145001467</v>
      </c>
      <c r="J35" s="273">
        <f ca="1">IF(ISERROR(MATCH(J$1,INDIRECT("Table!A"&amp;$AG35):INDIRECT("Table!" &amp; $AJ$69 &amp; $AG35),0)),"",INDIRECT(CONCATENATE("Table!",ADDRESS($AC35,MATCH(J$1,INDIRECT("Table!A" &amp; $AG35):INDIRECT("Table!" &amp; $AJ$69 &amp; $AG35),0)))))</f>
        <v>0.47454540339091628</v>
      </c>
      <c r="K35" s="273">
        <f ca="1">IF(ISERROR(MATCH(K$1,INDIRECT("Table!A"&amp;$AG35):INDIRECT("Table!" &amp; $AJ$69 &amp; $AG35),0)),"",INDIRECT(CONCATENATE("Table!",ADDRESS($AC35,MATCH(K$1,INDIRECT("Table!A" &amp; $AG35):INDIRECT("Table!" &amp; $AJ$69 &amp; $AG35),0)))))</f>
        <v>1.3655952364996995E-2</v>
      </c>
      <c r="L35" s="273">
        <f ca="1">IF(ISERROR(MATCH(L$1,INDIRECT("Table!A"&amp;$AG35):INDIRECT("Table!" &amp; $AJ$69 &amp; $AG35),0)),"",INDIRECT(CONCATENATE("Table!",ADDRESS($AC35,MATCH(L$1,INDIRECT("Table!A" &amp; $AG35):INDIRECT("Table!" &amp; $AJ$69 &amp; $AG35),0)))))</f>
        <v>0.82935992552418258</v>
      </c>
      <c r="M35" s="273">
        <f ca="1">IF(ISERROR(MATCH(M$1,INDIRECT("Table!A"&amp;$AG35):INDIRECT("Table!" &amp; $AJ$69 &amp; $AG35),0)),"",INDIRECT(CONCATENATE("Table!",ADDRESS($AC35,MATCH(M$1,INDIRECT("Table!A" &amp; $AG35):INDIRECT("Table!" &amp; $AJ$69 &amp; $AG35),0)))))</f>
        <v>0.43781071935906957</v>
      </c>
      <c r="N35" s="273">
        <f ca="1">IF(ISERROR(MATCH(N$1,INDIRECT("Table!A"&amp;$AG35):INDIRECT("Table!" &amp; $AJ$69 &amp; $AG35),0)),"",INDIRECT(CONCATENATE("Table!",ADDRESS($AC35,MATCH(N$1,INDIRECT("Table!A" &amp; $AG35):INDIRECT("Table!" &amp; $AJ$69 &amp; $AG35),0)))))</f>
        <v>0.73193749048069179</v>
      </c>
      <c r="O35" s="273">
        <f ca="1">IF(ISERROR(MATCH(O$1,INDIRECT("Table!A"&amp;$AG35):INDIRECT("Table!" &amp; $AJ$69 &amp; $AG35),0)),"",INDIRECT(CONCATENATE("Table!",ADDRESS($AC35,MATCH(O$1,INDIRECT("Table!A" &amp; $AG35):INDIRECT("Table!" &amp; $AJ$69 &amp; $AG35),0)))))</f>
        <v>0.64565175608783165</v>
      </c>
      <c r="P35" s="273">
        <f ca="1">IF(ISERROR(MATCH(P$1,INDIRECT("Table!A"&amp;$AG35):INDIRECT("Table!" &amp; $AJ$69 &amp; $AG35),0)),"",INDIRECT(CONCATENATE("Table!",ADDRESS($AC35,MATCH(P$1,INDIRECT("Table!A" &amp; $AG35):INDIRECT("Table!" &amp; $AJ$69 &amp; $AG35),0)))))</f>
        <v>0.15254948227051515</v>
      </c>
      <c r="Q35" s="273">
        <f ca="1">IF(ISERROR(MATCH(Q$1,INDIRECT("Table!A"&amp;$AG35):INDIRECT("Table!" &amp; $AJ$69 &amp; $AG35),0)),"",INDIRECT(CONCATENATE("Table!",ADDRESS($AC35,MATCH(Q$1,INDIRECT("Table!A" &amp; $AG35):INDIRECT("Table!" &amp; $AJ$69 &amp; $AG35),0)))))</f>
        <v>0.36322107549094729</v>
      </c>
      <c r="R35" s="273">
        <f ca="1">IF(ISERROR(MATCH(R$1,INDIRECT("Table!A"&amp;$AG35):INDIRECT("Table!" &amp; $AJ$69 &amp; $AG35),0)),"",INDIRECT(CONCATENATE("Table!",ADDRESS($AC35,MATCH(R$1,INDIRECT("Table!A" &amp; $AG35):INDIRECT("Table!" &amp; $AJ$69 &amp; $AG35),0)))))</f>
        <v>0.28589200695705685</v>
      </c>
      <c r="S35" s="273">
        <f ca="1">IF(ISERROR(MATCH(S$1,INDIRECT("Table!A"&amp;$AG35):INDIRECT("Table!" &amp; $AJ$43 &amp; $AG35),0)),"",INDIRECT(CONCATENATE("Table!",ADDRESS($AC35,MATCH(S$1,INDIRECT("Table!A" &amp; $AG35):INDIRECT("Table!" &amp; $AJ$43 &amp; $AG35),0)))))</f>
        <v>0.21903863937190624</v>
      </c>
      <c r="T35" s="273">
        <f ca="1">IF(ISERROR(MATCH(T$1,INDIRECT("Table!A"&amp;$AG35):INDIRECT("Table!" &amp; $AJ$43 &amp; $AG35),0)),"",INDIRECT(CONCATENATE("Table!",ADDRESS($AC35,MATCH(T$1,INDIRECT("Table!A" &amp; $AG35):INDIRECT("Table!" &amp; $AJ$43 &amp; $AG35),0)))))</f>
        <v>0.18028134963206963</v>
      </c>
      <c r="U35" s="596" t="str">
        <f ca="1">IF(ISERROR(MATCH(U$1,INDIRECT("Table!A"&amp;$AG35):INDIRECT("Table!" &amp; $AJ$43 &amp; $AG35),0)),"",INDIRECT(CONCATENATE("Table!",ADDRESS($AC35,MATCH(U$1,INDIRECT("Table!A" &amp; $AG35):INDIRECT("Table!" &amp; $AJ$43 &amp; $AG35),0)))))</f>
        <v/>
      </c>
      <c r="V35" s="596"/>
      <c r="W35" s="596"/>
      <c r="X35" s="596"/>
      <c r="Y35" s="596"/>
      <c r="Z35" s="596"/>
      <c r="AA35" s="596"/>
      <c r="AB35" s="596"/>
      <c r="AC35" s="272">
        <f>MATCH($A35,Table!$A:$A,0)+$AE$2-1</f>
        <v>464</v>
      </c>
      <c r="AD35" s="473"/>
      <c r="AE35" s="473"/>
      <c r="AF35" s="473"/>
      <c r="AG35" s="272">
        <f>MATCH($A35,Table!$A:$A,0)+$AI$2-1</f>
        <v>461</v>
      </c>
      <c r="AH35" s="473"/>
      <c r="AJ35" s="743" t="s">
        <v>285</v>
      </c>
    </row>
    <row r="36" spans="1:36" s="267" customFormat="1" ht="15.75" customHeight="1" x14ac:dyDescent="0.25">
      <c r="A36" s="268">
        <v>41519</v>
      </c>
      <c r="B36" s="273">
        <f ca="1">IF(ISERROR(MATCH(B$1,INDIRECT("Table!A"&amp;$AG36):INDIRECT("Table!" &amp; $AJ$91 &amp; $AG36),0)),"",INDIRECT(CONCATENATE("Table!",ADDRESS($AC36,MATCH(B$1,INDIRECT("Table!A" &amp; $AG36):INDIRECT("Table!" &amp; $AJ$90 &amp; $AG36),0)))))</f>
        <v>0.32788350895789892</v>
      </c>
      <c r="C36" s="273">
        <f ca="1">IF(ISERROR(MATCH(C$1,INDIRECT("Table!A"&amp;$AG36):INDIRECT("Table!" &amp; $AJ$90 &amp; $AG36),0)),"",INDIRECT(CONCATENATE("Table!",ADDRESS($AC36,MATCH(C$1,INDIRECT("Table!A" &amp; $AG36):INDIRECT("Table!" &amp; $AJ$90 &amp; $AG36),0)))))</f>
        <v>0.52864698734426141</v>
      </c>
      <c r="D36" s="273">
        <f ca="1">IF(ISERROR(MATCH(D$1,INDIRECT("Table!A"&amp;$AG36):INDIRECT("Table!" &amp; $AJ$90 &amp; $AG36),0)),"",INDIRECT(CONCATENATE("Table!",ADDRESS($AC36,MATCH(D$1,INDIRECT("Table!A" &amp; $AG36):INDIRECT("Table!" &amp; $AJ$90 &amp; $AG36),0)))))</f>
        <v>0.53848576270938708</v>
      </c>
      <c r="E36" s="273">
        <f ca="1">IF(ISERROR(MATCH(E$1,INDIRECT("Table!A"&amp;$AG36):INDIRECT("Table!" &amp; $AJ$90 &amp; $AG36),0)),"",INDIRECT(CONCATENATE("Table!",ADDRESS($AC36,MATCH(E$1,INDIRECT("Table!A" &amp; $AG36):INDIRECT("Table!" &amp; $AJ$90 &amp; $AG36),0)))))</f>
        <v>0.81273722683885841</v>
      </c>
      <c r="F36" s="273">
        <f ca="1">IF(ISERROR(MATCH(F$1,INDIRECT("Table!A"&amp;$AG36):INDIRECT("Table!" &amp; $AJ$90 &amp; $AG36),0)),"",INDIRECT(CONCATENATE("Table!",ADDRESS($AC36,MATCH(F$1,INDIRECT("Table!A" &amp; $AG36):INDIRECT("Table!" &amp; $AJ$90 &amp; $AG36),0)))))</f>
        <v>0.70758309736572511</v>
      </c>
      <c r="G36" s="273">
        <f ca="1">IF(ISERROR(MATCH(G$1,INDIRECT("Table!A"&amp;$AG36):INDIRECT("Table!" &amp; $AJ$90 &amp; $AG36),0)),"",INDIRECT(CONCATENATE("Table!",ADDRESS($AC36,MATCH(G$1,INDIRECT("Table!A" &amp; $AG36):INDIRECT("Table!" &amp; $AJ$90 &amp; $AG36),0)))))</f>
        <v>0.453779490195099</v>
      </c>
      <c r="H36" s="273">
        <f ca="1">IF(ISERROR(MATCH(H$1,INDIRECT("Table!A"&amp;$AG36):INDIRECT("Table!" &amp; $AJ$90 &amp; $AG36),0)),"",INDIRECT(CONCATENATE("Table!",ADDRESS($AC36,MATCH(H$1,INDIRECT("Table!A" &amp; $AG36):INDIRECT("Table!" &amp; $AJ$90 &amp; $AG36),0)))))</f>
        <v>0.54729581923230342</v>
      </c>
      <c r="I36" s="273">
        <f ca="1">IF(ISERROR(MATCH(I$1,INDIRECT("Table!A"&amp;$AG36):INDIRECT("Table!" &amp; $AJ$69 &amp; $AG36),0)),"",INDIRECT(CONCATENATE("Table!",ADDRESS($AC36,MATCH(I$1,INDIRECT("Table!A" &amp; $AG36):INDIRECT("Table!" &amp; $AJ$69 &amp; $AG36),0)))))</f>
        <v>0.14656806897406222</v>
      </c>
      <c r="J36" s="273">
        <f ca="1">IF(ISERROR(MATCH(J$1,INDIRECT("Table!A"&amp;$AG36):INDIRECT("Table!" &amp; $AJ$69 &amp; $AG36),0)),"",INDIRECT(CONCATENATE("Table!",ADDRESS($AC36,MATCH(J$1,INDIRECT("Table!A" &amp; $AG36):INDIRECT("Table!" &amp; $AJ$69 &amp; $AG36),0)))))</f>
        <v>0.35935531902921275</v>
      </c>
      <c r="K36" s="273">
        <f ca="1">IF(ISERROR(MATCH(K$1,INDIRECT("Table!A"&amp;$AG36):INDIRECT("Table!" &amp; $AJ$69 &amp; $AG36),0)),"",INDIRECT(CONCATENATE("Table!",ADDRESS($AC36,MATCH(K$1,INDIRECT("Table!A" &amp; $AG36):INDIRECT("Table!" &amp; $AJ$69 &amp; $AG36),0)))))</f>
        <v>4.7322737165327623E-3</v>
      </c>
      <c r="L36" s="273">
        <f ca="1">IF(ISERROR(MATCH(L$1,INDIRECT("Table!A"&amp;$AG36):INDIRECT("Table!" &amp; $AJ$69 &amp; $AG36),0)),"",INDIRECT(CONCATENATE("Table!",ADDRESS($AC36,MATCH(L$1,INDIRECT("Table!A" &amp; $AG36):INDIRECT("Table!" &amp; $AJ$69 &amp; $AG36),0)))))</f>
        <v>0.82623449003284988</v>
      </c>
      <c r="M36" s="273">
        <f ca="1">IF(ISERROR(MATCH(M$1,INDIRECT("Table!A"&amp;$AG36):INDIRECT("Table!" &amp; $AJ$69 &amp; $AG36),0)),"",INDIRECT(CONCATENATE("Table!",ADDRESS($AC36,MATCH(M$1,INDIRECT("Table!A" &amp; $AG36):INDIRECT("Table!" &amp; $AJ$69 &amp; $AG36),0)))))</f>
        <v>0.41028540204597036</v>
      </c>
      <c r="N36" s="273">
        <f ca="1">IF(ISERROR(MATCH(N$1,INDIRECT("Table!A"&amp;$AG36):INDIRECT("Table!" &amp; $AJ$69 &amp; $AG36),0)),"",INDIRECT(CONCATENATE("Table!",ADDRESS($AC36,MATCH(N$1,INDIRECT("Table!A" &amp; $AG36):INDIRECT("Table!" &amp; $AJ$69 &amp; $AG36),0)))))</f>
        <v>0.73193144647549868</v>
      </c>
      <c r="O36" s="273">
        <f ca="1">IF(ISERROR(MATCH(O$1,INDIRECT("Table!A"&amp;$AG36):INDIRECT("Table!" &amp; $AJ$69 &amp; $AG36),0)),"",INDIRECT(CONCATENATE("Table!",ADDRESS($AC36,MATCH(O$1,INDIRECT("Table!A" &amp; $AG36):INDIRECT("Table!" &amp; $AJ$69 &amp; $AG36),0)))))</f>
        <v>0.61336113579082885</v>
      </c>
      <c r="P36" s="273">
        <f ca="1">IF(ISERROR(MATCH(P$1,INDIRECT("Table!A"&amp;$AG36):INDIRECT("Table!" &amp; $AJ$69 &amp; $AG36),0)),"",INDIRECT(CONCATENATE("Table!",ADDRESS($AC36,MATCH(P$1,INDIRECT("Table!A" &amp; $AG36):INDIRECT("Table!" &amp; $AJ$69 &amp; $AG36),0)))))</f>
        <v>0.15218684195893459</v>
      </c>
      <c r="Q36" s="273">
        <f ca="1">IF(ISERROR(MATCH(Q$1,INDIRECT("Table!A"&amp;$AG36):INDIRECT("Table!" &amp; $AJ$69 &amp; $AG36),0)),"",INDIRECT(CONCATENATE("Table!",ADDRESS($AC36,MATCH(Q$1,INDIRECT("Table!A" &amp; $AG36):INDIRECT("Table!" &amp; $AJ$69 &amp; $AG36),0)))))</f>
        <v>0.31183723706434913</v>
      </c>
      <c r="R36" s="273">
        <f ca="1">IF(ISERROR(MATCH(R$1,INDIRECT("Table!A"&amp;$AG36):INDIRECT("Table!" &amp; $AJ$69 &amp; $AG36),0)),"",INDIRECT(CONCATENATE("Table!",ADDRESS($AC36,MATCH(R$1,INDIRECT("Table!A" &amp; $AG36):INDIRECT("Table!" &amp; $AJ$69 &amp; $AG36),0)))))</f>
        <v>0.15985069669456231</v>
      </c>
      <c r="S36" s="273">
        <f ca="1">IF(ISERROR(MATCH(S$1,INDIRECT("Table!A"&amp;$AG36):INDIRECT("Table!" &amp; $AJ$43 &amp; $AG36),0)),"",INDIRECT(CONCATENATE("Table!",ADDRESS($AC36,MATCH(S$1,INDIRECT("Table!A" &amp; $AG36):INDIRECT("Table!" &amp; $AJ$43 &amp; $AG36),0)))))</f>
        <v>0.21803775090206887</v>
      </c>
      <c r="T36" s="273">
        <f ca="1">IF(ISERROR(MATCH(T$1,INDIRECT("Table!A"&amp;$AG36):INDIRECT("Table!" &amp; $AJ$43 &amp; $AG36),0)),"",INDIRECT(CONCATENATE("Table!",ADDRESS($AC36,MATCH(T$1,INDIRECT("Table!A" &amp; $AG36):INDIRECT("Table!" &amp; $AJ$43 &amp; $AG36),0)))))</f>
        <v>0.17748900741904775</v>
      </c>
      <c r="U36" s="596" t="str">
        <f ca="1">IF(ISERROR(MATCH(U$1,INDIRECT("Table!A"&amp;$AG36):INDIRECT("Table!" &amp; $AJ$43 &amp; $AG36),0)),"",INDIRECT(CONCATENATE("Table!",ADDRESS($AC36,MATCH(U$1,INDIRECT("Table!A" &amp; $AG36):INDIRECT("Table!" &amp; $AJ$43 &amp; $AG36),0)))))</f>
        <v/>
      </c>
      <c r="V36" s="596"/>
      <c r="W36" s="596"/>
      <c r="X36" s="596"/>
      <c r="Y36" s="596"/>
      <c r="Z36" s="596"/>
      <c r="AA36" s="596"/>
      <c r="AB36" s="596"/>
      <c r="AC36" s="272">
        <f>MATCH($A36,Table!$A:$A,0)+$AE$2-1</f>
        <v>476</v>
      </c>
      <c r="AD36" s="468"/>
      <c r="AE36" s="468"/>
      <c r="AF36" s="468"/>
      <c r="AG36" s="272">
        <f>MATCH($A36,Table!$A:$A,0)+$AI$2-1</f>
        <v>473</v>
      </c>
      <c r="AH36" s="468"/>
      <c r="AJ36" s="743" t="s">
        <v>285</v>
      </c>
    </row>
    <row r="37" spans="1:36" s="267" customFormat="1" ht="15.75" customHeight="1" x14ac:dyDescent="0.25">
      <c r="A37" s="268">
        <v>41513</v>
      </c>
      <c r="B37" s="273">
        <f ca="1">IF(ISERROR(MATCH(B$1,INDIRECT("Table!A"&amp;$AG37):INDIRECT("Table!" &amp; $AJ$91 &amp; $AG37),0)),"",INDIRECT(CONCATENATE("Table!",ADDRESS($AC37,MATCH(B$1,INDIRECT("Table!A" &amp; $AG37):INDIRECT("Table!" &amp; $AJ$90 &amp; $AG37),0)))))</f>
        <v>0.32475574121470363</v>
      </c>
      <c r="C37" s="273">
        <f ca="1">IF(ISERROR(MATCH(C$1,INDIRECT("Table!A"&amp;$AG37):INDIRECT("Table!" &amp; $AJ$90 &amp; $AG37),0)),"",INDIRECT(CONCATENATE("Table!",ADDRESS($AC37,MATCH(C$1,INDIRECT("Table!A" &amp; $AG37):INDIRECT("Table!" &amp; $AJ$90 &amp; $AG37),0)))))</f>
        <v>0.52792215083110383</v>
      </c>
      <c r="D37" s="273">
        <f ca="1">IF(ISERROR(MATCH(D$1,INDIRECT("Table!A"&amp;$AG37):INDIRECT("Table!" &amp; $AJ$90 &amp; $AG37),0)),"",INDIRECT(CONCATENATE("Table!",ADDRESS($AC37,MATCH(D$1,INDIRECT("Table!A" &amp; $AG37):INDIRECT("Table!" &amp; $AJ$90 &amp; $AG37),0)))))</f>
        <v>0.53605281008685401</v>
      </c>
      <c r="E37" s="273">
        <f ca="1">IF(ISERROR(MATCH(E$1,INDIRECT("Table!A"&amp;$AG37):INDIRECT("Table!" &amp; $AJ$90 &amp; $AG37),0)),"",INDIRECT(CONCATENATE("Table!",ADDRESS($AC37,MATCH(E$1,INDIRECT("Table!A" &amp; $AG37):INDIRECT("Table!" &amp; $AJ$90 &amp; $AG37),0)))))</f>
        <v>0.81115424936867719</v>
      </c>
      <c r="F37" s="273">
        <f ca="1">IF(ISERROR(MATCH(F$1,INDIRECT("Table!A"&amp;$AG37):INDIRECT("Table!" &amp; $AJ$90 &amp; $AG37),0)),"",INDIRECT(CONCATENATE("Table!",ADDRESS($AC37,MATCH(F$1,INDIRECT("Table!A" &amp; $AG37):INDIRECT("Table!" &amp; $AJ$90 &amp; $AG37),0)))))</f>
        <v>0.70647583762205091</v>
      </c>
      <c r="G37" s="273">
        <f ca="1">IF(ISERROR(MATCH(G$1,INDIRECT("Table!A"&amp;$AG37):INDIRECT("Table!" &amp; $AJ$90 &amp; $AG37),0)),"",INDIRECT(CONCATENATE("Table!",ADDRESS($AC37,MATCH(G$1,INDIRECT("Table!A" &amp; $AG37):INDIRECT("Table!" &amp; $AJ$90 &amp; $AG37),0)))))</f>
        <v>0.44502466834527965</v>
      </c>
      <c r="H37" s="273">
        <f ca="1">IF(ISERROR(MATCH(H$1,INDIRECT("Table!A"&amp;$AG37):INDIRECT("Table!" &amp; $AJ$90 &amp; $AG37),0)),"",INDIRECT(CONCATENATE("Table!",ADDRESS($AC37,MATCH(H$1,INDIRECT("Table!A" &amp; $AG37):INDIRECT("Table!" &amp; $AJ$90 &amp; $AG37),0)))))</f>
        <v>0.54581192101941522</v>
      </c>
      <c r="I37" s="273">
        <f ca="1">IF(ISERROR(MATCH(I$1,INDIRECT("Table!A"&amp;$AG37):INDIRECT("Table!" &amp; $AJ$69 &amp; $AG37),0)),"",INDIRECT(CONCATENATE("Table!",ADDRESS($AC37,MATCH(I$1,INDIRECT("Table!A" &amp; $AG37):INDIRECT("Table!" &amp; $AJ$69 &amp; $AG37),0)))))</f>
        <v>0.14205683167778257</v>
      </c>
      <c r="J37" s="273">
        <f ca="1">IF(ISERROR(MATCH(J$1,INDIRECT("Table!A"&amp;$AG37):INDIRECT("Table!" &amp; $AJ$69 &amp; $AG37),0)),"",INDIRECT(CONCATENATE("Table!",ADDRESS($AC37,MATCH(J$1,INDIRECT("Table!A" &amp; $AG37):INDIRECT("Table!" &amp; $AJ$69 &amp; $AG37),0)))))</f>
        <v>0.35816391015846494</v>
      </c>
      <c r="K37" s="273">
        <f ca="1">IF(ISERROR(MATCH(K$1,INDIRECT("Table!A"&amp;$AG37):INDIRECT("Table!" &amp; $AJ$69 &amp; $AG37),0)),"",INDIRECT(CONCATENATE("Table!",ADDRESS($AC37,MATCH(K$1,INDIRECT("Table!A" &amp; $AG37):INDIRECT("Table!" &amp; $AJ$69 &amp; $AG37),0)))))</f>
        <v>3.5058868890421872E-3</v>
      </c>
      <c r="L37" s="273">
        <f ca="1">IF(ISERROR(MATCH(L$1,INDIRECT("Table!A"&amp;$AG37):INDIRECT("Table!" &amp; $AJ$69 &amp; $AG37),0)),"",INDIRECT(CONCATENATE("Table!",ADDRESS($AC37,MATCH(L$1,INDIRECT("Table!A" &amp; $AG37):INDIRECT("Table!" &amp; $AJ$69 &amp; $AG37),0)))))</f>
        <v>0.82468342856077137</v>
      </c>
      <c r="M37" s="273">
        <f ca="1">IF(ISERROR(MATCH(M$1,INDIRECT("Table!A"&amp;$AG37):INDIRECT("Table!" &amp; $AJ$69 &amp; $AG37),0)),"",INDIRECT(CONCATENATE("Table!",ADDRESS($AC37,MATCH(M$1,INDIRECT("Table!A" &amp; $AG37):INDIRECT("Table!" &amp; $AJ$69 &amp; $AG37),0)))))</f>
        <v>0.39777829745657595</v>
      </c>
      <c r="N37" s="273">
        <f ca="1">IF(ISERROR(MATCH(N$1,INDIRECT("Table!A"&amp;$AG37):INDIRECT("Table!" &amp; $AJ$69 &amp; $AG37),0)),"",INDIRECT(CONCATENATE("Table!",ADDRESS($AC37,MATCH(N$1,INDIRECT("Table!A" &amp; $AG37):INDIRECT("Table!" &amp; $AJ$69 &amp; $AG37),0)))))</f>
        <v>0.72632019205430898</v>
      </c>
      <c r="O37" s="273">
        <f ca="1">IF(ISERROR(MATCH(O$1,INDIRECT("Table!A"&amp;$AG37):INDIRECT("Table!" &amp; $AJ$69 &amp; $AG37),0)),"",INDIRECT(CONCATENATE("Table!",ADDRESS($AC37,MATCH(O$1,INDIRECT("Table!A" &amp; $AG37):INDIRECT("Table!" &amp; $AJ$69 &amp; $AG37),0)))))</f>
        <v>0.61153487697412556</v>
      </c>
      <c r="P37" s="273">
        <f ca="1">IF(ISERROR(MATCH(P$1,INDIRECT("Table!A"&amp;$AG37):INDIRECT("Table!" &amp; $AJ$69 &amp; $AG37),0)),"",INDIRECT(CONCATENATE("Table!",ADDRESS($AC37,MATCH(P$1,INDIRECT("Table!A" &amp; $AG37):INDIRECT("Table!" &amp; $AJ$69 &amp; $AG37),0)))))</f>
        <v>0.14766471727352506</v>
      </c>
      <c r="Q37" s="273">
        <f ca="1">IF(ISERROR(MATCH(Q$1,INDIRECT("Table!A"&amp;$AG37):INDIRECT("Table!" &amp; $AJ$69 &amp; $AG37),0)),"",INDIRECT(CONCATENATE("Table!",ADDRESS($AC37,MATCH(Q$1,INDIRECT("Table!A" &amp; $AG37):INDIRECT("Table!" &amp; $AJ$69 &amp; $AG37),0)))))</f>
        <v>0.3102185609604321</v>
      </c>
      <c r="R37" s="273">
        <f ca="1">IF(ISERROR(MATCH(R$1,INDIRECT("Table!A"&amp;$AG37):INDIRECT("Table!" &amp; $AJ$69 &amp; $AG37),0)),"",INDIRECT(CONCATENATE("Table!",ADDRESS($AC37,MATCH(R$1,INDIRECT("Table!A" &amp; $AG37):INDIRECT("Table!" &amp; $AJ$69 &amp; $AG37),0)))))</f>
        <v>0.15516534156499034</v>
      </c>
      <c r="S37" s="273">
        <f ca="1">IF(ISERROR(MATCH(S$1,INDIRECT("Table!A"&amp;$AG37):INDIRECT("Table!" &amp; $AJ$43 &amp; $AG37),0)),"",INDIRECT(CONCATENATE("Table!",ADDRESS($AC37,MATCH(S$1,INDIRECT("Table!A" &amp; $AG37):INDIRECT("Table!" &amp; $AJ$43 &amp; $AG37),0)))))</f>
        <v>0.21723631484469907</v>
      </c>
      <c r="T37" s="273">
        <f ca="1">IF(ISERROR(MATCH(T$1,INDIRECT("Table!A"&amp;$AG37):INDIRECT("Table!" &amp; $AJ$43 &amp; $AG37),0)),"",INDIRECT(CONCATENATE("Table!",ADDRESS($AC37,MATCH(T$1,INDIRECT("Table!A" &amp; $AG37):INDIRECT("Table!" &amp; $AJ$43 &amp; $AG37),0)))))</f>
        <v>0.17727444432692163</v>
      </c>
      <c r="U37" s="596" t="str">
        <f ca="1">IF(ISERROR(MATCH(U$1,INDIRECT("Table!A"&amp;$AG37):INDIRECT("Table!" &amp; $AJ$43 &amp; $AG37),0)),"",INDIRECT(CONCATENATE("Table!",ADDRESS($AC37,MATCH(U$1,INDIRECT("Table!A" &amp; $AG37):INDIRECT("Table!" &amp; $AJ$43 &amp; $AG37),0)))))</f>
        <v/>
      </c>
      <c r="V37" s="596"/>
      <c r="W37" s="596"/>
      <c r="X37" s="596"/>
      <c r="Y37" s="596"/>
      <c r="Z37" s="596"/>
      <c r="AA37" s="596"/>
      <c r="AB37" s="596"/>
      <c r="AC37" s="272">
        <f>MATCH($A37,Table!$A:$A,0)+$AE$2-1</f>
        <v>488</v>
      </c>
      <c r="AD37" s="463"/>
      <c r="AE37" s="463"/>
      <c r="AF37" s="463"/>
      <c r="AG37" s="272">
        <f>MATCH($A37,Table!$A:$A,0)+$AI$2-1</f>
        <v>485</v>
      </c>
      <c r="AH37" s="463"/>
      <c r="AJ37" s="743" t="s">
        <v>285</v>
      </c>
    </row>
    <row r="38" spans="1:36" s="267" customFormat="1" ht="15.75" customHeight="1" x14ac:dyDescent="0.25">
      <c r="A38" s="268">
        <v>41498</v>
      </c>
      <c r="B38" s="273">
        <f ca="1">IF(ISERROR(MATCH(B$1,INDIRECT("Table!A"&amp;$AG38):INDIRECT("Table!" &amp; $AJ$91 &amp; $AG38),0)),"",INDIRECT(CONCATENATE("Table!",ADDRESS($AC38,MATCH(B$1,INDIRECT("Table!A" &amp; $AG38):INDIRECT("Table!" &amp; $AJ$90 &amp; $AG38),0)))))</f>
        <v>0.319028822885357</v>
      </c>
      <c r="C38" s="273">
        <f ca="1">IF(ISERROR(MATCH(C$1,INDIRECT("Table!A"&amp;$AG38):INDIRECT("Table!" &amp; $AJ$90 &amp; $AG38),0)),"",INDIRECT(CONCATENATE("Table!",ADDRESS($AC38,MATCH(C$1,INDIRECT("Table!A" &amp; $AG38):INDIRECT("Table!" &amp; $AJ$90 &amp; $AG38),0)))))</f>
        <v>0.52620938407498963</v>
      </c>
      <c r="D38" s="273">
        <f ca="1">IF(ISERROR(MATCH(D$1,INDIRECT("Table!A"&amp;$AG38):INDIRECT("Table!" &amp; $AJ$90 &amp; $AG38),0)),"",INDIRECT(CONCATENATE("Table!",ADDRESS($AC38,MATCH(D$1,INDIRECT("Table!A" &amp; $AG38):INDIRECT("Table!" &amp; $AJ$90 &amp; $AG38),0)))))</f>
        <v>0.53605281008685401</v>
      </c>
      <c r="E38" s="273">
        <f ca="1">IF(ISERROR(MATCH(E$1,INDIRECT("Table!A"&amp;$AG38):INDIRECT("Table!" &amp; $AJ$90 &amp; $AG38),0)),"",INDIRECT(CONCATENATE("Table!",ADDRESS($AC38,MATCH(E$1,INDIRECT("Table!A" &amp; $AG38):INDIRECT("Table!" &amp; $AJ$90 &amp; $AG38),0)))))</f>
        <v>0.80370584860999084</v>
      </c>
      <c r="F38" s="273">
        <f ca="1">IF(ISERROR(MATCH(F$1,INDIRECT("Table!A"&amp;$AG38):INDIRECT("Table!" &amp; $AJ$90 &amp; $AG38),0)),"",INDIRECT(CONCATENATE("Table!",ADDRESS($AC38,MATCH(F$1,INDIRECT("Table!A" &amp; $AG38):INDIRECT("Table!" &amp; $AJ$90 &amp; $AG38),0)))))</f>
        <v>0.70011755568785183</v>
      </c>
      <c r="G38" s="273">
        <f ca="1">IF(ISERROR(MATCH(G$1,INDIRECT("Table!A"&amp;$AG38):INDIRECT("Table!" &amp; $AJ$90 &amp; $AG38),0)),"",INDIRECT(CONCATENATE("Table!",ADDRESS($AC38,MATCH(G$1,INDIRECT("Table!A" &amp; $AG38):INDIRECT("Table!" &amp; $AJ$90 &amp; $AG38),0)))))</f>
        <v>0.42956069230297678</v>
      </c>
      <c r="H38" s="273">
        <f ca="1">IF(ISERROR(MATCH(H$1,INDIRECT("Table!A"&amp;$AG38):INDIRECT("Table!" &amp; $AJ$90 &amp; $AG38),0)),"",INDIRECT(CONCATENATE("Table!",ADDRESS($AC38,MATCH(H$1,INDIRECT("Table!A" &amp; $AG38):INDIRECT("Table!" &amp; $AJ$90 &amp; $AG38),0)))))</f>
        <v>0.54196092147914876</v>
      </c>
      <c r="I38" s="273">
        <f ca="1">IF(ISERROR(MATCH(I$1,INDIRECT("Table!A"&amp;$AG38):INDIRECT("Table!" &amp; $AJ$69 &amp; $AG38),0)),"",INDIRECT(CONCATENATE("Table!",ADDRESS($AC38,MATCH(I$1,INDIRECT("Table!A" &amp; $AG38):INDIRECT("Table!" &amp; $AJ$69 &amp; $AG38),0)))))</f>
        <v>0.13840928115754578</v>
      </c>
      <c r="J38" s="273">
        <f ca="1">IF(ISERROR(MATCH(J$1,INDIRECT("Table!A"&amp;$AG38):INDIRECT("Table!" &amp; $AJ$69 &amp; $AG38),0)),"",INDIRECT(CONCATENATE("Table!",ADDRESS($AC38,MATCH(J$1,INDIRECT("Table!A" &amp; $AG38):INDIRECT("Table!" &amp; $AJ$69 &amp; $AG38),0)))))</f>
        <v>0.25580554822121898</v>
      </c>
      <c r="K38" s="273">
        <f ca="1">IF(ISERROR(MATCH(K$1,INDIRECT("Table!A"&amp;$AG38):INDIRECT("Table!" &amp; $AJ$69 &amp; $AG38),0)),"",INDIRECT(CONCATENATE("Table!",ADDRESS($AC38,MATCH(K$1,INDIRECT("Table!A" &amp; $AG38):INDIRECT("Table!" &amp; $AJ$69 &amp; $AG38),0)))))</f>
        <v>2.7180262604724844E-3</v>
      </c>
      <c r="L38" s="273">
        <f ca="1">IF(ISERROR(MATCH(L$1,INDIRECT("Table!A"&amp;$AG38):INDIRECT("Table!" &amp; $AJ$69 &amp; $AG38),0)),"",INDIRECT(CONCATENATE("Table!",ADDRESS($AC38,MATCH(L$1,INDIRECT("Table!A" &amp; $AG38):INDIRECT("Table!" &amp; $AJ$69 &amp; $AG38),0)))))</f>
        <v>0.82188903123933121</v>
      </c>
      <c r="M38" s="273">
        <f ca="1">IF(ISERROR(MATCH(M$1,INDIRECT("Table!A"&amp;$AG38):INDIRECT("Table!" &amp; $AJ$69 &amp; $AG38),0)),"",INDIRECT(CONCATENATE("Table!",ADDRESS($AC38,MATCH(M$1,INDIRECT("Table!A" &amp; $AG38):INDIRECT("Table!" &amp; $AJ$69 &amp; $AG38),0)))))</f>
        <v>0.45165360027669116</v>
      </c>
      <c r="N38" s="273">
        <f ca="1">IF(ISERROR(MATCH(N$1,INDIRECT("Table!A"&amp;$AG38):INDIRECT("Table!" &amp; $AJ$69 &amp; $AG38),0)),"",INDIRECT(CONCATENATE("Table!",ADDRESS($AC38,MATCH(N$1,INDIRECT("Table!A" &amp; $AG38):INDIRECT("Table!" &amp; $AJ$69 &amp; $AG38),0)))))</f>
        <v>0.71881474640563003</v>
      </c>
      <c r="O38" s="273">
        <f ca="1">IF(ISERROR(MATCH(O$1,INDIRECT("Table!A"&amp;$AG38):INDIRECT("Table!" &amp; $AJ$69 &amp; $AG38),0)),"",INDIRECT(CONCATENATE("Table!",ADDRESS($AC38,MATCH(O$1,INDIRECT("Table!A" &amp; $AG38):INDIRECT("Table!" &amp; $AJ$69 &amp; $AG38),0)))))</f>
        <v>0.60881325814581777</v>
      </c>
      <c r="P38" s="273">
        <f ca="1">IF(ISERROR(MATCH(P$1,INDIRECT("Table!A"&amp;$AG38):INDIRECT("Table!" &amp; $AJ$69 &amp; $AG38),0)),"",INDIRECT(CONCATENATE("Table!",ADDRESS($AC38,MATCH(P$1,INDIRECT("Table!A" &amp; $AG38):INDIRECT("Table!" &amp; $AJ$69 &amp; $AG38),0)))))</f>
        <v>0.14402259974421769</v>
      </c>
      <c r="Q38" s="273">
        <f ca="1">IF(ISERROR(MATCH(Q$1,INDIRECT("Table!A"&amp;$AG38):INDIRECT("Table!" &amp; $AJ$69 &amp; $AG38),0)),"",INDIRECT(CONCATENATE("Table!",ADDRESS($AC38,MATCH(Q$1,INDIRECT("Table!A" &amp; $AG38):INDIRECT("Table!" &amp; $AJ$69 &amp; $AG38),0)))))</f>
        <v>0.21367688706202084</v>
      </c>
      <c r="R38" s="273">
        <f ca="1">IF(ISERROR(MATCH(R$1,INDIRECT("Table!A"&amp;$AG38):INDIRECT("Table!" &amp; $AJ$69 &amp; $AG38),0)),"",INDIRECT(CONCATENATE("Table!",ADDRESS($AC38,MATCH(R$1,INDIRECT("Table!A" &amp; $AG38):INDIRECT("Table!" &amp; $AJ$69 &amp; $AG38),0)))))</f>
        <v>0.15784109464315163</v>
      </c>
      <c r="S38" s="273">
        <f ca="1">IF(ISERROR(MATCH(S$1,INDIRECT("Table!A"&amp;$AG38):INDIRECT("Table!" &amp; $AJ$43 &amp; $AG38),0)),"",INDIRECT(CONCATENATE("Table!",ADDRESS($AC38,MATCH(S$1,INDIRECT("Table!A" &amp; $AG38):INDIRECT("Table!" &amp; $AJ$43 &amp; $AG38),0)))))</f>
        <v>0.21543217711374227</v>
      </c>
      <c r="T38" s="273">
        <f ca="1">IF(ISERROR(MATCH(T$1,INDIRECT("Table!A"&amp;$AG38):INDIRECT("Table!" &amp; $AJ$43 &amp; $AG38),0)),"",INDIRECT(CONCATENATE("Table!",ADDRESS($AC38,MATCH(T$1,INDIRECT("Table!A" &amp; $AG38):INDIRECT("Table!" &amp; $AJ$43 &amp; $AG38),0)))))</f>
        <v>0.17460298272918209</v>
      </c>
      <c r="U38" s="596" t="str">
        <f ca="1">IF(ISERROR(MATCH(U$1,INDIRECT("Table!A"&amp;$AG38):INDIRECT("Table!" &amp; $AJ$43 &amp; $AG38),0)),"",INDIRECT(CONCATENATE("Table!",ADDRESS($AC38,MATCH(U$1,INDIRECT("Table!A" &amp; $AG38):INDIRECT("Table!" &amp; $AJ$43 &amp; $AG38),0)))))</f>
        <v/>
      </c>
      <c r="V38" s="596"/>
      <c r="W38" s="596"/>
      <c r="X38" s="596"/>
      <c r="Y38" s="596"/>
      <c r="Z38" s="596"/>
      <c r="AA38" s="596"/>
      <c r="AB38" s="596"/>
      <c r="AC38" s="272">
        <f>MATCH($A38,Table!$A:$A,0)+$AE$2-1</f>
        <v>500</v>
      </c>
      <c r="AD38" s="458"/>
      <c r="AE38" s="458"/>
      <c r="AF38" s="458"/>
      <c r="AG38" s="272">
        <f>MATCH($A38,Table!$A:$A,0)+$AI$2-1</f>
        <v>497</v>
      </c>
      <c r="AH38" s="458"/>
      <c r="AJ38" s="743" t="s">
        <v>285</v>
      </c>
    </row>
    <row r="39" spans="1:36" s="267" customFormat="1" ht="15.75" customHeight="1" x14ac:dyDescent="0.25">
      <c r="A39" s="268">
        <v>41491</v>
      </c>
      <c r="B39" s="273">
        <f ca="1">IF(ISERROR(MATCH(B$1,INDIRECT("Table!A"&amp;$AG39):INDIRECT("Table!" &amp; $AJ$91 &amp; $AG39),0)),"",INDIRECT(CONCATENATE("Table!",ADDRESS($AC39,MATCH(B$1,INDIRECT("Table!A" &amp; $AG39):INDIRECT("Table!" &amp; $AJ$90 &amp; $AG39),0)))))</f>
        <v>0.3181340790694106</v>
      </c>
      <c r="C39" s="273">
        <f ca="1">IF(ISERROR(MATCH(C$1,INDIRECT("Table!A"&amp;$AG39):INDIRECT("Table!" &amp; $AJ$90 &amp; $AG39),0)),"",INDIRECT(CONCATENATE("Table!",ADDRESS($AC39,MATCH(C$1,INDIRECT("Table!A" &amp; $AG39):INDIRECT("Table!" &amp; $AJ$90 &amp; $AG39),0)))))</f>
        <v>0.52571774427688089</v>
      </c>
      <c r="D39" s="273">
        <f ca="1">IF(ISERROR(MATCH(D$1,INDIRECT("Table!A"&amp;$AG39):INDIRECT("Table!" &amp; $AJ$90 &amp; $AG39),0)),"",INDIRECT(CONCATENATE("Table!",ADDRESS($AC39,MATCH(D$1,INDIRECT("Table!A" &amp; $AG39):INDIRECT("Table!" &amp; $AJ$90 &amp; $AG39),0)))))</f>
        <v>0.53555718402011199</v>
      </c>
      <c r="E39" s="273">
        <f ca="1">IF(ISERROR(MATCH(E$1,INDIRECT("Table!A"&amp;$AG39):INDIRECT("Table!" &amp; $AJ$90 &amp; $AG39),0)),"",INDIRECT(CONCATENATE("Table!",ADDRESS($AC39,MATCH(E$1,INDIRECT("Table!A" &amp; $AG39):INDIRECT("Table!" &amp; $AJ$90 &amp; $AG39),0)))))</f>
        <v>0.79981406470811911</v>
      </c>
      <c r="F39" s="273">
        <f ca="1">IF(ISERROR(MATCH(F$1,INDIRECT("Table!A"&amp;$AG39):INDIRECT("Table!" &amp; $AJ$90 &amp; $AG39),0)),"",INDIRECT(CONCATENATE("Table!",ADDRESS($AC39,MATCH(F$1,INDIRECT("Table!A" &amp; $AG39):INDIRECT("Table!" &amp; $AJ$90 &amp; $AG39),0)))))</f>
        <v>0.69332954576361339</v>
      </c>
      <c r="G39" s="273">
        <f ca="1">IF(ISERROR(MATCH(G$1,INDIRECT("Table!A"&amp;$AG39):INDIRECT("Table!" &amp; $AJ$90 &amp; $AG39),0)),"",INDIRECT(CONCATENATE("Table!",ADDRESS($AC39,MATCH(G$1,INDIRECT("Table!A" &amp; $AG39):INDIRECT("Table!" &amp; $AJ$90 &amp; $AG39),0)))))</f>
        <v>0.43069061528203806</v>
      </c>
      <c r="H39" s="273">
        <f ca="1">IF(ISERROR(MATCH(H$1,INDIRECT("Table!A"&amp;$AG39):INDIRECT("Table!" &amp; $AJ$90 &amp; $AG39),0)),"",INDIRECT(CONCATENATE("Table!",ADDRESS($AC39,MATCH(H$1,INDIRECT("Table!A" &amp; $AG39):INDIRECT("Table!" &amp; $AJ$90 &amp; $AG39),0)))))</f>
        <v>0.53964704629972982</v>
      </c>
      <c r="I39" s="273">
        <f ca="1">IF(ISERROR(MATCH(I$1,INDIRECT("Table!A"&amp;$AG39):INDIRECT("Table!" &amp; $AJ$69 &amp; $AG39),0)),"",INDIRECT(CONCATENATE("Table!",ADDRESS($AC39,MATCH(I$1,INDIRECT("Table!A" &amp; $AG39):INDIRECT("Table!" &amp; $AJ$69 &amp; $AG39),0)))))</f>
        <v>0.1372718014427014</v>
      </c>
      <c r="J39" s="273">
        <f ca="1">IF(ISERROR(MATCH(J$1,INDIRECT("Table!A"&amp;$AG39):INDIRECT("Table!" &amp; $AJ$69 &amp; $AG39),0)),"",INDIRECT(CONCATENATE("Table!",ADDRESS($AC39,MATCH(J$1,INDIRECT("Table!A" &amp; $AG39):INDIRECT("Table!" &amp; $AJ$69 &amp; $AG39),0)))))</f>
        <v>0.25381878465474028</v>
      </c>
      <c r="K39" s="273">
        <f ca="1">IF(ISERROR(MATCH(K$1,INDIRECT("Table!A"&amp;$AG39):INDIRECT("Table!" &amp; $AJ$69 &amp; $AG39),0)),"",INDIRECT(CONCATENATE("Table!",ADDRESS($AC39,MATCH(K$1,INDIRECT("Table!A" &amp; $AG39):INDIRECT("Table!" &amp; $AJ$69 &amp; $AG39),0)))))</f>
        <v>2.7091999916382713E-3</v>
      </c>
      <c r="L39" s="273">
        <f ca="1">IF(ISERROR(MATCH(L$1,INDIRECT("Table!A"&amp;$AG39):INDIRECT("Table!" &amp; $AJ$69 &amp; $AG39),0)),"",INDIRECT(CONCATENATE("Table!",ADDRESS($AC39,MATCH(L$1,INDIRECT("Table!A" &amp; $AG39):INDIRECT("Table!" &amp; $AJ$69 &amp; $AG39),0)))))</f>
        <v>0.82037164344650626</v>
      </c>
      <c r="M39" s="273">
        <f ca="1">IF(ISERROR(MATCH(M$1,INDIRECT("Table!A"&amp;$AG39):INDIRECT("Table!" &amp; $AJ$69 &amp; $AG39),0)),"",INDIRECT(CONCATENATE("Table!",ADDRESS($AC39,MATCH(M$1,INDIRECT("Table!A" &amp; $AG39):INDIRECT("Table!" &amp; $AJ$69 &amp; $AG39),0)))))</f>
        <v>0.47674122039249878</v>
      </c>
      <c r="N39" s="273">
        <f ca="1">IF(ISERROR(MATCH(N$1,INDIRECT("Table!A"&amp;$AG39):INDIRECT("Table!" &amp; $AJ$69 &amp; $AG39),0)),"",INDIRECT(CONCATENATE("Table!",ADDRESS($AC39,MATCH(N$1,INDIRECT("Table!A" &amp; $AG39):INDIRECT("Table!" &amp; $AJ$69 &amp; $AG39),0)))))</f>
        <v>0.71201886696661043</v>
      </c>
      <c r="O39" s="273">
        <f ca="1">IF(ISERROR(MATCH(O$1,INDIRECT("Table!A"&amp;$AG39):INDIRECT("Table!" &amp; $AJ$69 &amp; $AG39),0)),"",INDIRECT(CONCATENATE("Table!",ADDRESS($AC39,MATCH(O$1,INDIRECT("Table!A" &amp; $AG39):INDIRECT("Table!" &amp; $AJ$69 &amp; $AG39),0)))))</f>
        <v>0.60618737647549459</v>
      </c>
      <c r="P39" s="273">
        <f ca="1">IF(ISERROR(MATCH(P$1,INDIRECT("Table!A"&amp;$AG39):INDIRECT("Table!" &amp; $AJ$69 &amp; $AG39),0)),"",INDIRECT(CONCATENATE("Table!",ADDRESS($AC39,MATCH(P$1,INDIRECT("Table!A" &amp; $AG39):INDIRECT("Table!" &amp; $AJ$69 &amp; $AG39),0)))))</f>
        <v>0.14285127153781249</v>
      </c>
      <c r="Q39" s="273">
        <f ca="1">IF(ISERROR(MATCH(Q$1,INDIRECT("Table!A"&amp;$AG39):INDIRECT("Table!" &amp; $AJ$69 &amp; $AG39),0)),"",INDIRECT(CONCATENATE("Table!",ADDRESS($AC39,MATCH(Q$1,INDIRECT("Table!A" &amp; $AG39):INDIRECT("Table!" &amp; $AJ$69 &amp; $AG39),0)))))</f>
        <v>0.21230638326694237</v>
      </c>
      <c r="R39" s="273">
        <f ca="1">IF(ISERROR(MATCH(R$1,INDIRECT("Table!A"&amp;$AG39):INDIRECT("Table!" &amp; $AJ$69 &amp; $AG39),0)),"",INDIRECT(CONCATENATE("Table!",ADDRESS($AC39,MATCH(R$1,INDIRECT("Table!A" &amp; $AG39):INDIRECT("Table!" &amp; $AJ$69 &amp; $AG39),0)))))</f>
        <v>0.16296590505257436</v>
      </c>
      <c r="S39" s="273">
        <f ca="1">IF(ISERROR(MATCH(S$1,INDIRECT("Table!A"&amp;$AG39):INDIRECT("Table!" &amp; $AJ$43 &amp; $AG39),0)),"",INDIRECT(CONCATENATE("Table!",ADDRESS($AC39,MATCH(S$1,INDIRECT("Table!A" &amp; $AG39):INDIRECT("Table!" &amp; $AJ$43 &amp; $AG39),0)))))</f>
        <v>0.21431705680767346</v>
      </c>
      <c r="T39" s="273">
        <f ca="1">IF(ISERROR(MATCH(T$1,INDIRECT("Table!A"&amp;$AG39):INDIRECT("Table!" &amp; $AJ$43 &amp; $AG39),0)),"",INDIRECT(CONCATENATE("Table!",ADDRESS($AC39,MATCH(T$1,INDIRECT("Table!A" &amp; $AG39):INDIRECT("Table!" &amp; $AJ$43 &amp; $AG39),0)))))</f>
        <v>0.17292576419213973</v>
      </c>
      <c r="U39" s="596" t="str">
        <f ca="1">IF(ISERROR(MATCH(U$1,INDIRECT("Table!A"&amp;$AG39):INDIRECT("Table!" &amp; $AJ$43 &amp; $AG39),0)),"",INDIRECT(CONCATENATE("Table!",ADDRESS($AC39,MATCH(U$1,INDIRECT("Table!A" &amp; $AG39):INDIRECT("Table!" &amp; $AJ$43 &amp; $AG39),0)))))</f>
        <v/>
      </c>
      <c r="V39" s="596"/>
      <c r="W39" s="596"/>
      <c r="X39" s="596"/>
      <c r="Y39" s="596"/>
      <c r="Z39" s="596"/>
      <c r="AA39" s="596"/>
      <c r="AB39" s="596"/>
      <c r="AC39" s="272">
        <f>MATCH($A39,Table!$A:$A,0)+$AE$2-1</f>
        <v>512</v>
      </c>
      <c r="AD39" s="453"/>
      <c r="AE39" s="453"/>
      <c r="AF39" s="453"/>
      <c r="AG39" s="272">
        <f>MATCH($A39,Table!$A:$A,0)+$AI$2-1</f>
        <v>509</v>
      </c>
      <c r="AH39" s="453"/>
      <c r="AJ39" s="743" t="s">
        <v>285</v>
      </c>
    </row>
    <row r="40" spans="1:36" s="267" customFormat="1" ht="15.75" customHeight="1" x14ac:dyDescent="0.25">
      <c r="A40" s="268">
        <v>41485</v>
      </c>
      <c r="B40" s="273">
        <f ca="1">IF(ISERROR(MATCH(B$1,INDIRECT("Table!A"&amp;$AG40):INDIRECT("Table!" &amp; $AJ$91 &amp; $AG40),0)),"",INDIRECT(CONCATENATE("Table!",ADDRESS($AC40,MATCH(B$1,INDIRECT("Table!A" &amp; $AG40):INDIRECT("Table!" &amp; $AJ$90 &amp; $AG40),0)))))</f>
        <v>0.31871778957131802</v>
      </c>
      <c r="C40" s="273">
        <f ca="1">IF(ISERROR(MATCH(C$1,INDIRECT("Table!A"&amp;$AG40):INDIRECT("Table!" &amp; $AJ$90 &amp; $AG40),0)),"",INDIRECT(CONCATENATE("Table!",ADDRESS($AC40,MATCH(C$1,INDIRECT("Table!A" &amp; $AG40):INDIRECT("Table!" &amp; $AJ$90 &amp; $AG40),0)))))</f>
        <v>0.52460623970629172</v>
      </c>
      <c r="D40" s="273">
        <f ca="1">IF(ISERROR(MATCH(D$1,INDIRECT("Table!A"&amp;$AG40):INDIRECT("Table!" &amp; $AJ$90 &amp; $AG40),0)),"",INDIRECT(CONCATENATE("Table!",ADDRESS($AC40,MATCH(D$1,INDIRECT("Table!A" &amp; $AG40):INDIRECT("Table!" &amp; $AJ$90 &amp; $AG40),0)))))</f>
        <v>0.53444567944952281</v>
      </c>
      <c r="E40" s="273">
        <f ca="1">IF(ISERROR(MATCH(E$1,INDIRECT("Table!A"&amp;$AG40):INDIRECT("Table!" &amp; $AJ$90 &amp; $AG40),0)),"",INDIRECT(CONCATENATE("Table!",ADDRESS($AC40,MATCH(E$1,INDIRECT("Table!A" &amp; $AG40):INDIRECT("Table!" &amp; $AJ$90 &amp; $AG40),0)))))</f>
        <v>0.79760196221073998</v>
      </c>
      <c r="F40" s="273">
        <f ca="1">IF(ISERROR(MATCH(F$1,INDIRECT("Table!A"&amp;$AG40):INDIRECT("Table!" &amp; $AJ$90 &amp; $AG40),0)),"",INDIRECT(CONCATENATE("Table!",ADDRESS($AC40,MATCH(F$1,INDIRECT("Table!A" &amp; $AG40):INDIRECT("Table!" &amp; $AJ$90 &amp; $AG40),0)))))</f>
        <v>0.6908865632942186</v>
      </c>
      <c r="G40" s="273">
        <f ca="1">IF(ISERROR(MATCH(G$1,INDIRECT("Table!A"&amp;$AG40):INDIRECT("Table!" &amp; $AJ$90 &amp; $AG40),0)),"",INDIRECT(CONCATENATE("Table!",ADDRESS($AC40,MATCH(G$1,INDIRECT("Table!A" &amp; $AG40):INDIRECT("Table!" &amp; $AJ$90 &amp; $AG40),0)))))</f>
        <v>0.42905211344033167</v>
      </c>
      <c r="H40" s="273">
        <f ca="1">IF(ISERROR(MATCH(H$1,INDIRECT("Table!A"&amp;$AG40):INDIRECT("Table!" &amp; $AJ$90 &amp; $AG40),0)),"",INDIRECT(CONCATENATE("Table!",ADDRESS($AC40,MATCH(H$1,INDIRECT("Table!A" &amp; $AG40):INDIRECT("Table!" &amp; $AJ$90 &amp; $AG40),0)))))</f>
        <v>0.53736885018652547</v>
      </c>
      <c r="I40" s="273">
        <f ca="1">IF(ISERROR(MATCH(I$1,INDIRECT("Table!A"&amp;$AG40):INDIRECT("Table!" &amp; $AJ$69 &amp; $AG40),0)),"",INDIRECT(CONCATENATE("Table!",ADDRESS($AC40,MATCH(I$1,INDIRECT("Table!A" &amp; $AG40):INDIRECT("Table!" &amp; $AJ$69 &amp; $AG40),0)))))</f>
        <v>0.13724943866403552</v>
      </c>
      <c r="J40" s="273">
        <f ca="1">IF(ISERROR(MATCH(J$1,INDIRECT("Table!A"&amp;$AG40):INDIRECT("Table!" &amp; $AJ$69 &amp; $AG40),0)),"",INDIRECT(CONCATENATE("Table!",ADDRESS($AC40,MATCH(J$1,INDIRECT("Table!A" &amp; $AG40):INDIRECT("Table!" &amp; $AJ$69 &amp; $AG40),0)))))</f>
        <v>0.22582121724978249</v>
      </c>
      <c r="K40" s="273">
        <f ca="1">IF(ISERROR(MATCH(K$1,INDIRECT("Table!A"&amp;$AG40):INDIRECT("Table!" &amp; $AJ$69 &amp; $AG40),0)),"",INDIRECT(CONCATENATE("Table!",ADDRESS($AC40,MATCH(K$1,INDIRECT("Table!A" &amp; $AG40):INDIRECT("Table!" &amp; $AJ$69 &amp; $AG40),0)))))</f>
        <v>2.6567069190979557E-3</v>
      </c>
      <c r="L40" s="273">
        <f ca="1">IF(ISERROR(MATCH(L$1,INDIRECT("Table!A"&amp;$AG40):INDIRECT("Table!" &amp; $AJ$69 &amp; $AG40),0)),"",INDIRECT(CONCATENATE("Table!",ADDRESS($AC40,MATCH(L$1,INDIRECT("Table!A" &amp; $AG40):INDIRECT("Table!" &amp; $AJ$69 &amp; $AG40),0)))))</f>
        <v>0.81779690212512002</v>
      </c>
      <c r="M40" s="273">
        <f ca="1">IF(ISERROR(MATCH(M$1,INDIRECT("Table!A"&amp;$AG40):INDIRECT("Table!" &amp; $AJ$69 &amp; $AG40),0)),"",INDIRECT(CONCATENATE("Table!",ADDRESS($AC40,MATCH(M$1,INDIRECT("Table!A" &amp; $AG40):INDIRECT("Table!" &amp; $AJ$69 &amp; $AG40),0)))))</f>
        <v>0.49172764693728815</v>
      </c>
      <c r="N40" s="273">
        <f ca="1">IF(ISERROR(MATCH(N$1,INDIRECT("Table!A"&amp;$AG40):INDIRECT("Table!" &amp; $AJ$69 &amp; $AG40),0)),"",INDIRECT(CONCATENATE("Table!",ADDRESS($AC40,MATCH(N$1,INDIRECT("Table!A" &amp; $AG40):INDIRECT("Table!" &amp; $AJ$69 &amp; $AG40),0)))))</f>
        <v>0.70945258236165865</v>
      </c>
      <c r="O40" s="273">
        <f ca="1">IF(ISERROR(MATCH(O$1,INDIRECT("Table!A"&amp;$AG40):INDIRECT("Table!" &amp; $AJ$69 &amp; $AG40),0)),"",INDIRECT(CONCATENATE("Table!",ADDRESS($AC40,MATCH(O$1,INDIRECT("Table!A" &amp; $AG40):INDIRECT("Table!" &amp; $AJ$69 &amp; $AG40),0)))))</f>
        <v>0.60371743032764591</v>
      </c>
      <c r="P40" s="273">
        <f ca="1">IF(ISERROR(MATCH(P$1,INDIRECT("Table!A"&amp;$AG40):INDIRECT("Table!" &amp; $AJ$69 &amp; $AG40),0)),"",INDIRECT(CONCATENATE("Table!",ADDRESS($AC40,MATCH(P$1,INDIRECT("Table!A" &amp; $AG40):INDIRECT("Table!" &amp; $AJ$69 &amp; $AG40),0)))))</f>
        <v>0.14281621630769306</v>
      </c>
      <c r="Q40" s="273">
        <f ca="1">IF(ISERROR(MATCH(Q$1,INDIRECT("Table!A"&amp;$AG40):INDIRECT("Table!" &amp; $AJ$69 &amp; $AG40),0)),"",INDIRECT(CONCATENATE("Table!",ADDRESS($AC40,MATCH(Q$1,INDIRECT("Table!A" &amp; $AG40):INDIRECT("Table!" &amp; $AJ$69 &amp; $AG40),0)))))</f>
        <v>0.18437932581796324</v>
      </c>
      <c r="R40" s="273">
        <f ca="1">IF(ISERROR(MATCH(R$1,INDIRECT("Table!A"&amp;$AG40):INDIRECT("Table!" &amp; $AJ$69 &amp; $AG40),0)),"",INDIRECT(CONCATENATE("Table!",ADDRESS($AC40,MATCH(R$1,INDIRECT("Table!A" &amp; $AG40):INDIRECT("Table!" &amp; $AJ$69 &amp; $AG40),0)))))</f>
        <v>0.16267788996430005</v>
      </c>
      <c r="S40" s="273">
        <f ca="1">IF(ISERROR(MATCH(S$1,INDIRECT("Table!A"&amp;$AG40):INDIRECT("Table!" &amp; $AJ$43 &amp; $AG40),0)),"",INDIRECT(CONCATENATE("Table!",ADDRESS($AC40,MATCH(S$1,INDIRECT("Table!A" &amp; $AG40):INDIRECT("Table!" &amp; $AJ$43 &amp; $AG40),0)))))</f>
        <v>0.21299523127413827</v>
      </c>
      <c r="T40" s="273">
        <f ca="1">IF(ISERROR(MATCH(T$1,INDIRECT("Table!A"&amp;$AG40):INDIRECT("Table!" &amp; $AJ$43 &amp; $AG40),0)),"",INDIRECT(CONCATENATE("Table!",ADDRESS($AC40,MATCH(T$1,INDIRECT("Table!A" &amp; $AG40):INDIRECT("Table!" &amp; $AJ$43 &amp; $AG40),0)))))</f>
        <v>0.17099469636300449</v>
      </c>
      <c r="U40" s="596" t="str">
        <f ca="1">IF(ISERROR(MATCH(U$1,INDIRECT("Table!A"&amp;$AG40):INDIRECT("Table!" &amp; $AJ$43 &amp; $AG40),0)),"",INDIRECT(CONCATENATE("Table!",ADDRESS($AC40,MATCH(U$1,INDIRECT("Table!A" &amp; $AG40):INDIRECT("Table!" &amp; $AJ$43 &amp; $AG40),0)))))</f>
        <v/>
      </c>
      <c r="V40" s="596"/>
      <c r="W40" s="596"/>
      <c r="X40" s="596"/>
      <c r="Y40" s="596"/>
      <c r="Z40" s="596"/>
      <c r="AA40" s="596"/>
      <c r="AB40" s="596"/>
      <c r="AC40" s="272">
        <f>MATCH($A40,Table!$A:$A,0)+$AE$2-1</f>
        <v>524</v>
      </c>
      <c r="AD40" s="448"/>
      <c r="AE40" s="448"/>
      <c r="AF40" s="448"/>
      <c r="AG40" s="272">
        <f>MATCH($A40,Table!$A:$A,0)+$AI$2-1</f>
        <v>521</v>
      </c>
      <c r="AH40" s="448"/>
      <c r="AJ40" s="743" t="s">
        <v>285</v>
      </c>
    </row>
    <row r="41" spans="1:36" s="267" customFormat="1" ht="15.75" customHeight="1" x14ac:dyDescent="0.25">
      <c r="A41" s="268">
        <v>41478</v>
      </c>
      <c r="B41" s="273">
        <f ca="1">IF(ISERROR(MATCH(B$1,INDIRECT("Table!A"&amp;$AG41):INDIRECT("Table!" &amp; $AJ$91 &amp; $AG41),0)),"",INDIRECT(CONCATENATE("Table!",ADDRESS($AC41,MATCH(B$1,INDIRECT("Table!A" &amp; $AG41):INDIRECT("Table!" &amp; $AJ$90 &amp; $AG41),0)))))</f>
        <v>0.31697223713849348</v>
      </c>
      <c r="C41" s="273">
        <f ca="1">IF(ISERROR(MATCH(C$1,INDIRECT("Table!A"&amp;$AG41):INDIRECT("Table!" &amp; $AJ$90 &amp; $AG41),0)),"",INDIRECT(CONCATENATE("Table!",ADDRESS($AC41,MATCH(C$1,INDIRECT("Table!A" &amp; $AG41):INDIRECT("Table!" &amp; $AJ$90 &amp; $AG41),0)))))</f>
        <v>0.52423883861392118</v>
      </c>
      <c r="D41" s="273">
        <f ca="1">IF(ISERROR(MATCH(D$1,INDIRECT("Table!A"&amp;$AG41):INDIRECT("Table!" &amp; $AJ$90 &amp; $AG41),0)),"",INDIRECT(CONCATENATE("Table!",ADDRESS($AC41,MATCH(D$1,INDIRECT("Table!A" &amp; $AG41):INDIRECT("Table!" &amp; $AJ$90 &amp; $AG41),0)))))</f>
        <v>0.53408226462578567</v>
      </c>
      <c r="E41" s="273">
        <f ca="1">IF(ISERROR(MATCH(E$1,INDIRECT("Table!A"&amp;$AG41):INDIRECT("Table!" &amp; $AJ$90 &amp; $AG41),0)),"",INDIRECT(CONCATENATE("Table!",ADDRESS($AC41,MATCH(E$1,INDIRECT("Table!A" &amp; $AG41):INDIRECT("Table!" &amp; $AJ$90 &amp; $AG41),0)))))</f>
        <v>0.79704756295096457</v>
      </c>
      <c r="F41" s="273">
        <f ca="1">IF(ISERROR(MATCH(F$1,INDIRECT("Table!A"&amp;$AG41):INDIRECT("Table!" &amp; $AJ$90 &amp; $AG41),0)),"",INDIRECT(CONCATENATE("Table!",ADDRESS($AC41,MATCH(F$1,INDIRECT("Table!A" &amp; $AG41):INDIRECT("Table!" &amp; $AJ$90 &amp; $AG41),0)))))</f>
        <v>0.68560471673310019</v>
      </c>
      <c r="G41" s="273">
        <f ca="1">IF(ISERROR(MATCH(G$1,INDIRECT("Table!A"&amp;$AG41):INDIRECT("Table!" &amp; $AJ$90 &amp; $AG41),0)),"",INDIRECT(CONCATENATE("Table!",ADDRESS($AC41,MATCH(G$1,INDIRECT("Table!A" &amp; $AG41):INDIRECT("Table!" &amp; $AJ$90 &amp; $AG41),0)))))</f>
        <v>0.44968437081150875</v>
      </c>
      <c r="H41" s="273">
        <f ca="1">IF(ISERROR(MATCH(H$1,INDIRECT("Table!A"&amp;$AG41):INDIRECT("Table!" &amp; $AJ$90 &amp; $AG41),0)),"",INDIRECT(CONCATENATE("Table!",ADDRESS($AC41,MATCH(H$1,INDIRECT("Table!A" &amp; $AG41):INDIRECT("Table!" &amp; $AJ$90 &amp; $AG41),0)))))</f>
        <v>0.53295107990590085</v>
      </c>
      <c r="I41" s="273">
        <f ca="1">IF(ISERROR(MATCH(I$1,INDIRECT("Table!A"&amp;$AG41):INDIRECT("Table!" &amp; $AJ$69 &amp; $AG41),0)),"",INDIRECT(CONCATENATE("Table!",ADDRESS($AC41,MATCH(I$1,INDIRECT("Table!A" &amp; $AG41):INDIRECT("Table!" &amp; $AJ$69 &amp; $AG41),0)))))</f>
        <v>0.13711163559549963</v>
      </c>
      <c r="J41" s="273">
        <f ca="1">IF(ISERROR(MATCH(J$1,INDIRECT("Table!A"&amp;$AG41):INDIRECT("Table!" &amp; $AJ$69 &amp; $AG41),0)),"",INDIRECT(CONCATENATE("Table!",ADDRESS($AC41,MATCH(J$1,INDIRECT("Table!A" &amp; $AG41):INDIRECT("Table!" &amp; $AJ$69 &amp; $AG41),0)))))</f>
        <v>0.21041189634201765</v>
      </c>
      <c r="K41" s="273">
        <f ca="1">IF(ISERROR(MATCH(K$1,INDIRECT("Table!A"&amp;$AG41):INDIRECT("Table!" &amp; $AJ$69 &amp; $AG41),0)),"",INDIRECT(CONCATENATE("Table!",ADDRESS($AC41,MATCH(K$1,INDIRECT("Table!A" &amp; $AG41):INDIRECT("Table!" &amp; $AJ$69 &amp; $AG41),0)))))</f>
        <v>1.7573565789381997E-3</v>
      </c>
      <c r="L41" s="273">
        <f ca="1">IF(ISERROR(MATCH(L$1,INDIRECT("Table!A"&amp;$AG41):INDIRECT("Table!" &amp; $AJ$69 &amp; $AG41),0)),"",INDIRECT(CONCATENATE("Table!",ADDRESS($AC41,MATCH(L$1,INDIRECT("Table!A" &amp; $AG41):INDIRECT("Table!" &amp; $AJ$69 &amp; $AG41),0)))))</f>
        <v>0.81680896818148141</v>
      </c>
      <c r="M41" s="273">
        <f ca="1">IF(ISERROR(MATCH(M$1,INDIRECT("Table!A"&amp;$AG41):INDIRECT("Table!" &amp; $AJ$69 &amp; $AG41),0)),"",INDIRECT(CONCATENATE("Table!",ADDRESS($AC41,MATCH(M$1,INDIRECT("Table!A" &amp; $AG41):INDIRECT("Table!" &amp; $AJ$69 &amp; $AG41),0)))))</f>
        <v>0.4235674839498717</v>
      </c>
      <c r="N41" s="273">
        <f ca="1">IF(ISERROR(MATCH(N$1,INDIRECT("Table!A"&amp;$AG41):INDIRECT("Table!" &amp; $AJ$69 &amp; $AG41),0)),"",INDIRECT(CONCATENATE("Table!",ADDRESS($AC41,MATCH(N$1,INDIRECT("Table!A" &amp; $AG41):INDIRECT("Table!" &amp; $AJ$69 &amp; $AG41),0)))))</f>
        <v>0.70406737373468742</v>
      </c>
      <c r="O41" s="273">
        <f ca="1">IF(ISERROR(MATCH(O$1,INDIRECT("Table!A"&amp;$AG41):INDIRECT("Table!" &amp; $AJ$69 &amp; $AG41),0)),"",INDIRECT(CONCATENATE("Table!",ADDRESS($AC41,MATCH(O$1,INDIRECT("Table!A" &amp; $AG41):INDIRECT("Table!" &amp; $AJ$69 &amp; $AG41),0)))))</f>
        <v>0.59821218110279051</v>
      </c>
      <c r="P41" s="273">
        <f ca="1">IF(ISERROR(MATCH(P$1,INDIRECT("Table!A"&amp;$AG41):INDIRECT("Table!" &amp; $AJ$69 &amp; $AG41),0)),"",INDIRECT(CONCATENATE("Table!",ADDRESS($AC41,MATCH(P$1,INDIRECT("Table!A" &amp; $AG41):INDIRECT("Table!" &amp; $AJ$69 &amp; $AG41),0)))))</f>
        <v>0.14266874258098361</v>
      </c>
      <c r="Q41" s="273">
        <f ca="1">IF(ISERROR(MATCH(Q$1,INDIRECT("Table!A"&amp;$AG41):INDIRECT("Table!" &amp; $AJ$69 &amp; $AG41),0)),"",INDIRECT(CONCATENATE("Table!",ADDRESS($AC41,MATCH(Q$1,INDIRECT("Table!A" &amp; $AG41):INDIRECT("Table!" &amp; $AJ$69 &amp; $AG41),0)))))</f>
        <v>0.16892332375215366</v>
      </c>
      <c r="R41" s="273">
        <f ca="1">IF(ISERROR(MATCH(R$1,INDIRECT("Table!A"&amp;$AG41):INDIRECT("Table!" &amp; $AJ$69 &amp; $AG41),0)),"",INDIRECT(CONCATENATE("Table!",ADDRESS($AC41,MATCH(R$1,INDIRECT("Table!A" &amp; $AG41):INDIRECT("Table!" &amp; $AJ$69 &amp; $AG41),0)))))</f>
        <v>0.14558651717754506</v>
      </c>
      <c r="S41" s="273">
        <f ca="1">IF(ISERROR(MATCH(S$1,INDIRECT("Table!A"&amp;$AG41):INDIRECT("Table!" &amp; $AJ$43 &amp; $AG41),0)),"",INDIRECT(CONCATENATE("Table!",ADDRESS($AC41,MATCH(S$1,INDIRECT("Table!A" &amp; $AG41):INDIRECT("Table!" &amp; $AJ$43 &amp; $AG41),0)))))</f>
        <v>0.21117658791318381</v>
      </c>
      <c r="T41" s="273">
        <f ca="1">IF(ISERROR(MATCH(T$1,INDIRECT("Table!A"&amp;$AG41):INDIRECT("Table!" &amp; $AJ$43 &amp; $AG41),0)),"",INDIRECT(CONCATENATE("Table!",ADDRESS($AC41,MATCH(T$1,INDIRECT("Table!A" &amp; $AG41):INDIRECT("Table!" &amp; $AJ$43 &amp; $AG41),0)))))</f>
        <v>0.16901527628775631</v>
      </c>
      <c r="U41" s="596" t="str">
        <f ca="1">IF(ISERROR(MATCH(U$1,INDIRECT("Table!A"&amp;$AG41):INDIRECT("Table!" &amp; $AJ$43 &amp; $AG41),0)),"",INDIRECT(CONCATENATE("Table!",ADDRESS($AC41,MATCH(U$1,INDIRECT("Table!A" &amp; $AG41):INDIRECT("Table!" &amp; $AJ$43 &amp; $AG41),0)))))</f>
        <v/>
      </c>
      <c r="V41" s="596"/>
      <c r="W41" s="596"/>
      <c r="X41" s="596"/>
      <c r="Y41" s="596"/>
      <c r="Z41" s="596"/>
      <c r="AA41" s="596"/>
      <c r="AB41" s="596"/>
      <c r="AC41" s="272">
        <f>MATCH($A41,Table!$A:$A,0)+$AE$2-1</f>
        <v>536</v>
      </c>
      <c r="AD41" s="417"/>
      <c r="AE41" s="417"/>
      <c r="AF41" s="417"/>
      <c r="AG41" s="272">
        <f>MATCH($A41,Table!$A:$A,0)+$AI$2-1</f>
        <v>533</v>
      </c>
      <c r="AH41" s="417"/>
      <c r="AJ41" s="743" t="s">
        <v>285</v>
      </c>
    </row>
    <row r="42" spans="1:36" s="267" customFormat="1" ht="15.75" customHeight="1" x14ac:dyDescent="0.25">
      <c r="A42" s="268">
        <v>41470</v>
      </c>
      <c r="B42" s="273">
        <f ca="1">IF(ISERROR(MATCH(B$1,INDIRECT("Table!A"&amp;$AG42):INDIRECT("Table!" &amp; $AJ$91 &amp; $AG42),0)),"",INDIRECT(CONCATENATE("Table!",ADDRESS($AC42,MATCH(B$1,INDIRECT("Table!A" &amp; $AG42):INDIRECT("Table!" &amp; $AJ$90 &amp; $AG42),0)))))</f>
        <v>0.31243575348866404</v>
      </c>
      <c r="C42" s="273">
        <f ca="1">IF(ISERROR(MATCH(C$1,INDIRECT("Table!A"&amp;$AG42):INDIRECT("Table!" &amp; $AJ$90 &amp; $AG42),0)),"",INDIRECT(CONCATENATE("Table!",ADDRESS($AC42,MATCH(C$1,INDIRECT("Table!A" &amp; $AG42):INDIRECT("Table!" &amp; $AJ$90 &amp; $AG42),0)))))</f>
        <v>0.52350735831970807</v>
      </c>
      <c r="D42" s="273">
        <f ca="1">IF(ISERROR(MATCH(D$1,INDIRECT("Table!A"&amp;$AG42):INDIRECT("Table!" &amp; $AJ$90 &amp; $AG42),0)),"",INDIRECT(CONCATENATE("Table!",ADDRESS($AC42,MATCH(D$1,INDIRECT("Table!A" &amp; $AG42):INDIRECT("Table!" &amp; $AJ$90 &amp; $AG42),0)))))</f>
        <v>0.53335078433157246</v>
      </c>
      <c r="E42" s="273">
        <f ca="1">IF(ISERROR(MATCH(E$1,INDIRECT("Table!A"&amp;$AG42):INDIRECT("Table!" &amp; $AJ$90 &amp; $AG42),0)),"",INDIRECT(CONCATENATE("Table!",ADDRESS($AC42,MATCH(E$1,INDIRECT("Table!A" &amp; $AG42):INDIRECT("Table!" &amp; $AJ$90 &amp; $AG42),0)))))</f>
        <v>0.79391402580676362</v>
      </c>
      <c r="F42" s="273">
        <f ca="1">IF(ISERROR(MATCH(F$1,INDIRECT("Table!A"&amp;$AG42):INDIRECT("Table!" &amp; $AJ$90 &amp; $AG42),0)),"",INDIRECT(CONCATENATE("Table!",ADDRESS($AC42,MATCH(F$1,INDIRECT("Table!A" &amp; $AG42):INDIRECT("Table!" &amp; $AJ$90 &amp; $AG42),0)))))</f>
        <v>0.67790345928009987</v>
      </c>
      <c r="G42" s="273">
        <f ca="1">IF(ISERROR(MATCH(G$1,INDIRECT("Table!A"&amp;$AG42):INDIRECT("Table!" &amp; $AJ$90 &amp; $AG42),0)),"",INDIRECT(CONCATENATE("Table!",ADDRESS($AC42,MATCH(G$1,INDIRECT("Table!A" &amp; $AG42):INDIRECT("Table!" &amp; $AJ$90 &amp; $AG42),0)))))</f>
        <v>0.45318160730597756</v>
      </c>
      <c r="H42" s="273">
        <f ca="1">IF(ISERROR(MATCH(H$1,INDIRECT("Table!A"&amp;$AG42):INDIRECT("Table!" &amp; $AJ$90 &amp; $AG42),0)),"",INDIRECT(CONCATENATE("Table!",ADDRESS($AC42,MATCH(H$1,INDIRECT("Table!A" &amp; $AG42):INDIRECT("Table!" &amp; $AJ$90 &amp; $AG42),0)))))</f>
        <v>0.5273272402066812</v>
      </c>
      <c r="I42" s="273">
        <f ca="1">IF(ISERROR(MATCH(I$1,INDIRECT("Table!A"&amp;$AG42):INDIRECT("Table!" &amp; $AJ$69 &amp; $AG42),0)),"",INDIRECT(CONCATENATE("Table!",ADDRESS($AC42,MATCH(I$1,INDIRECT("Table!A" &amp; $AG42):INDIRECT("Table!" &amp; $AJ$69 &amp; $AG42),0)))))</f>
        <v>0.13408178128598064</v>
      </c>
      <c r="J42" s="273">
        <f ca="1">IF(ISERROR(MATCH(J$1,INDIRECT("Table!A"&amp;$AG42):INDIRECT("Table!" &amp; $AJ$69 &amp; $AG42),0)),"",INDIRECT(CONCATENATE("Table!",ADDRESS($AC42,MATCH(J$1,INDIRECT("Table!A" &amp; $AG42):INDIRECT("Table!" &amp; $AJ$69 &amp; $AG42),0)))))</f>
        <v>0.12026628691636114</v>
      </c>
      <c r="K42" s="273">
        <f ca="1">IF(ISERROR(MATCH(K$1,INDIRECT("Table!A"&amp;$AG42):INDIRECT("Table!" &amp; $AJ$69 &amp; $AG42),0)),"",INDIRECT(CONCATENATE("Table!",ADDRESS($AC42,MATCH(K$1,INDIRECT("Table!A" &amp; $AG42):INDIRECT("Table!" &amp; $AJ$69 &amp; $AG42),0)))))</f>
        <v>2.8987325013413607E-4</v>
      </c>
      <c r="L42" s="273">
        <f ca="1">IF(ISERROR(MATCH(L$1,INDIRECT("Table!A"&amp;$AG42):INDIRECT("Table!" &amp; $AJ$69 &amp; $AG42),0)),"",INDIRECT(CONCATENATE("Table!",ADDRESS($AC42,MATCH(L$1,INDIRECT("Table!A" &amp; $AG42):INDIRECT("Table!" &amp; $AJ$69 &amp; $AG42),0)))))</f>
        <v>0.81318153584096908</v>
      </c>
      <c r="M42" s="273">
        <f ca="1">IF(ISERROR(MATCH(M$1,INDIRECT("Table!A"&amp;$AG42):INDIRECT("Table!" &amp; $AJ$69 &amp; $AG42),0)),"",INDIRECT(CONCATENATE("Table!",ADDRESS($AC42,MATCH(M$1,INDIRECT("Table!A" &amp; $AG42):INDIRECT("Table!" &amp; $AJ$69 &amp; $AG42),0)))))</f>
        <v>0.41888129300121318</v>
      </c>
      <c r="N42" s="273">
        <f ca="1">IF(ISERROR(MATCH(N$1,INDIRECT("Table!A"&amp;$AG42):INDIRECT("Table!" &amp; $AJ$69 &amp; $AG42),0)),"",INDIRECT(CONCATENATE("Table!",ADDRESS($AC42,MATCH(N$1,INDIRECT("Table!A" &amp; $AG42):INDIRECT("Table!" &amp; $AJ$69 &amp; $AG42),0)))))</f>
        <v>0.69568917373613803</v>
      </c>
      <c r="O42" s="273">
        <f ca="1">IF(ISERROR(MATCH(O$1,INDIRECT("Table!A"&amp;$AG42):INDIRECT("Table!" &amp; $AJ$69 &amp; $AG42),0)),"",INDIRECT(CONCATENATE("Table!",ADDRESS($AC42,MATCH(O$1,INDIRECT("Table!A" &amp; $AG42):INDIRECT("Table!" &amp; $AJ$69 &amp; $AG42),0)))))</f>
        <v>0.59514967996953816</v>
      </c>
      <c r="P42" s="273">
        <f ca="1">IF(ISERROR(MATCH(P$1,INDIRECT("Table!A"&amp;$AG42):INDIRECT("Table!" &amp; $AJ$69 &amp; $AG42),0)),"",INDIRECT(CONCATENATE("Table!",ADDRESS($AC42,MATCH(P$1,INDIRECT("Table!A" &amp; $AG42):INDIRECT("Table!" &amp; $AJ$69 &amp; $AG42),0)))))</f>
        <v>0.86044512889445468</v>
      </c>
      <c r="Q42" s="273">
        <f ca="1">IF(ISERROR(MATCH(Q$1,INDIRECT("Table!A"&amp;$AG42):INDIRECT("Table!" &amp; $AJ$69 &amp; $AG42),0)),"",INDIRECT(CONCATENATE("Table!",ADDRESS($AC42,MATCH(Q$1,INDIRECT("Table!A" &amp; $AG42):INDIRECT("Table!" &amp; $AJ$69 &amp; $AG42),0)))))</f>
        <v>9.5354785862750646E-2</v>
      </c>
      <c r="R42" s="273">
        <f ca="1">IF(ISERROR(MATCH(R$1,INDIRECT("Table!A"&amp;$AG42):INDIRECT("Table!" &amp; $AJ$69 &amp; $AG42),0)),"",INDIRECT(CONCATENATE("Table!",ADDRESS($AC42,MATCH(R$1,INDIRECT("Table!A" &amp; $AG42):INDIRECT("Table!" &amp; $AJ$69 &amp; $AG42),0)))))</f>
        <v>9.1727695670250603E-2</v>
      </c>
      <c r="S42" s="273">
        <f ca="1">IF(ISERROR(MATCH(S$1,INDIRECT("Table!A"&amp;$AG42):INDIRECT("Table!" &amp; $AJ$43 &amp; $AG42),0)),"",INDIRECT(CONCATENATE("Table!",ADDRESS($AC42,MATCH(S$1,INDIRECT("Table!A" &amp; $AG42):INDIRECT("Table!" &amp; $AJ$43 &amp; $AG42),0)))))</f>
        <v>0.20761182934126307</v>
      </c>
      <c r="T42" s="273">
        <f ca="1">IF(ISERROR(MATCH(T$1,INDIRECT("Table!A"&amp;$AG42):INDIRECT("Table!" &amp; $AJ$43 &amp; $AG42),0)),"",INDIRECT(CONCATENATE("Table!",ADDRESS($AC42,MATCH(T$1,INDIRECT("Table!A" &amp; $AG42):INDIRECT("Table!" &amp; $AJ$43 &amp; $AG42),0)))))</f>
        <v>0.16777322796573035</v>
      </c>
      <c r="U42" s="596" t="str">
        <f ca="1">IF(ISERROR(MATCH(U$1,INDIRECT("Table!A"&amp;$AG42):INDIRECT("Table!" &amp; $AJ$43 &amp; $AG42),0)),"",INDIRECT(CONCATENATE("Table!",ADDRESS($AC42,MATCH(U$1,INDIRECT("Table!A" &amp; $AG42):INDIRECT("Table!" &amp; $AJ$43 &amp; $AG42),0)))))</f>
        <v/>
      </c>
      <c r="V42" s="596"/>
      <c r="W42" s="596"/>
      <c r="X42" s="596"/>
      <c r="Y42" s="596"/>
      <c r="Z42" s="596"/>
      <c r="AA42" s="596"/>
      <c r="AB42" s="596"/>
      <c r="AC42" s="272">
        <f>MATCH($A42,Table!$A:$A,0)+$AE$2-1</f>
        <v>548</v>
      </c>
      <c r="AD42" s="443"/>
      <c r="AE42" s="443"/>
      <c r="AF42" s="443"/>
      <c r="AG42" s="272">
        <f>MATCH($A42,Table!$A:$A,0)+$AI$2-1</f>
        <v>545</v>
      </c>
      <c r="AH42" s="443"/>
      <c r="AJ42" s="743" t="s">
        <v>285</v>
      </c>
    </row>
    <row r="43" spans="1:36" s="267" customFormat="1" ht="15.75" customHeight="1" x14ac:dyDescent="0.25">
      <c r="A43" s="268">
        <v>41464</v>
      </c>
      <c r="B43" s="273">
        <f ca="1">IF(ISERROR(MATCH(B$1,INDIRECT("Table!A"&amp;$AG43):INDIRECT("Table!" &amp; $AJ$91 &amp; $AG43),0)),"",INDIRECT(CONCATENATE("Table!",ADDRESS($AC43,MATCH(B$1,INDIRECT("Table!A" &amp; $AG43):INDIRECT("Table!" &amp; $AJ$90 &amp; $AG43),0)))))</f>
        <v>0.30267725760671721</v>
      </c>
      <c r="C43" s="273">
        <f ca="1">IF(ISERROR(MATCH(C$1,INDIRECT("Table!A"&amp;$AG43):INDIRECT("Table!" &amp; $AJ$90 &amp; $AG43),0)),"",INDIRECT(CONCATENATE("Table!",ADDRESS($AC43,MATCH(C$1,INDIRECT("Table!A" &amp; $AG43):INDIRECT("Table!" &amp; $AJ$90 &amp; $AG43),0)))))</f>
        <v>0.52281241882130014</v>
      </c>
      <c r="D43" s="273">
        <f ca="1">IF(ISERROR(MATCH(D$1,INDIRECT("Table!A"&amp;$AG43):INDIRECT("Table!" &amp; $AJ$90 &amp; $AG43),0)),"",INDIRECT(CONCATENATE("Table!",ADDRESS($AC43,MATCH(D$1,INDIRECT("Table!A" &amp; $AG43):INDIRECT("Table!" &amp; $AJ$90 &amp; $AG43),0)))))</f>
        <v>0.53266647488285346</v>
      </c>
      <c r="E43" s="273">
        <f ca="1">IF(ISERROR(MATCH(E$1,INDIRECT("Table!A"&amp;$AG43):INDIRECT("Table!" &amp; $AJ$90 &amp; $AG43),0)),"",INDIRECT(CONCATENATE("Table!",ADDRESS($AC43,MATCH(E$1,INDIRECT("Table!A" &amp; $AG43):INDIRECT("Table!" &amp; $AJ$90 &amp; $AG43),0)))))</f>
        <v>0.79000240662249777</v>
      </c>
      <c r="F43" s="273">
        <f ca="1">IF(ISERROR(MATCH(F$1,INDIRECT("Table!A"&amp;$AG43):INDIRECT("Table!" &amp; $AJ$90 &amp; $AG43),0)),"",INDIRECT(CONCATENATE("Table!",ADDRESS($AC43,MATCH(F$1,INDIRECT("Table!A" &amp; $AG43):INDIRECT("Table!" &amp; $AJ$90 &amp; $AG43),0)))))</f>
        <v>0.63792810625406082</v>
      </c>
      <c r="G43" s="273">
        <f ca="1">IF(ISERROR(MATCH(G$1,INDIRECT("Table!A"&amp;$AG43):INDIRECT("Table!" &amp; $AJ$90 &amp; $AG43),0)),"",INDIRECT(CONCATENATE("Table!",ADDRESS($AC43,MATCH(G$1,INDIRECT("Table!A" &amp; $AG43):INDIRECT("Table!" &amp; $AJ$90 &amp; $AG43),0)))))</f>
        <v>0.44421412078293904</v>
      </c>
      <c r="H43" s="273">
        <f ca="1">IF(ISERROR(MATCH(H$1,INDIRECT("Table!A"&amp;$AG43):INDIRECT("Table!" &amp; $AJ$90 &amp; $AG43),0)),"",INDIRECT(CONCATENATE("Table!",ADDRESS($AC43,MATCH(H$1,INDIRECT("Table!A" &amp; $AG43):INDIRECT("Table!" &amp; $AJ$90 &amp; $AG43),0)))))</f>
        <v>0.51803547552006624</v>
      </c>
      <c r="I43" s="273">
        <f ca="1">IF(ISERROR(MATCH(I$1,INDIRECT("Table!A"&amp;$AG43):INDIRECT("Table!" &amp; $AJ$69 &amp; $AG43),0)),"",INDIRECT(CONCATENATE("Table!",ADDRESS($AC43,MATCH(I$1,INDIRECT("Table!A" &amp; $AG43):INDIRECT("Table!" &amp; $AJ$69 &amp; $AG43),0)))))</f>
        <v>0.10239311951696398</v>
      </c>
      <c r="J43" s="273">
        <f ca="1">IF(ISERROR(MATCH(J$1,INDIRECT("Table!A"&amp;$AG43):INDIRECT("Table!" &amp; $AJ$69 &amp; $AG43),0)),"",INDIRECT(CONCATENATE("Table!",ADDRESS($AC43,MATCH(J$1,INDIRECT("Table!A" &amp; $AG43):INDIRECT("Table!" &amp; $AJ$69 &amp; $AG43),0)))))</f>
        <v>9.0026576750104961E-2</v>
      </c>
      <c r="K43" s="273">
        <f ca="1">IF(ISERROR(MATCH(K$1,INDIRECT("Table!A"&amp;$AG43):INDIRECT("Table!" &amp; $AJ$69 &amp; $AG43),0)),"",INDIRECT(CONCATENATE("Table!",ADDRESS($AC43,MATCH(K$1,INDIRECT("Table!A" &amp; $AG43):INDIRECT("Table!" &amp; $AJ$69 &amp; $AG43),0)))))</f>
        <v>3.5587188612099643E-5</v>
      </c>
      <c r="L43" s="273">
        <f ca="1">IF(ISERROR(MATCH(L$1,INDIRECT("Table!A"&amp;$AG43):INDIRECT("Table!" &amp; $AJ$69 &amp; $AG43),0)),"",INDIRECT(CONCATENATE("Table!",ADDRESS($AC43,MATCH(L$1,INDIRECT("Table!A" &amp; $AG43):INDIRECT("Table!" &amp; $AJ$69 &amp; $AG43),0)))))</f>
        <v>0.83950036548893403</v>
      </c>
      <c r="M43" s="273">
        <f ca="1">IF(ISERROR(MATCH(M$1,INDIRECT("Table!A"&amp;$AG43):INDIRECT("Table!" &amp; $AJ$69 &amp; $AG43),0)),"",INDIRECT(CONCATENATE("Table!",ADDRESS($AC43,MATCH(M$1,INDIRECT("Table!A" &amp; $AG43):INDIRECT("Table!" &amp; $AJ$69 &amp; $AG43),0)))))</f>
        <v>0.41714743262276088</v>
      </c>
      <c r="N43" s="273">
        <f ca="1">IF(ISERROR(MATCH(N$1,INDIRECT("Table!A"&amp;$AG43):INDIRECT("Table!" &amp; $AJ$69 &amp; $AG43),0)),"",INDIRECT(CONCATENATE("Table!",ADDRESS($AC43,MATCH(N$1,INDIRECT("Table!A" &amp; $AG43):INDIRECT("Table!" &amp; $AJ$69 &amp; $AG43),0)))))</f>
        <v>0.65545423116627533</v>
      </c>
      <c r="O43" s="273">
        <f ca="1">IF(ISERROR(MATCH(O$1,INDIRECT("Table!A"&amp;$AG43):INDIRECT("Table!" &amp; $AJ$69 &amp; $AG43),0)),"",INDIRECT(CONCATENATE("Table!",ADDRESS($AC43,MATCH(O$1,INDIRECT("Table!A" &amp; $AG43):INDIRECT("Table!" &amp; $AJ$69 &amp; $AG43),0)))))</f>
        <v>0.58513172925241608</v>
      </c>
      <c r="P43" s="273">
        <f ca="1">IF(ISERROR(MATCH(P$1,INDIRECT("Table!A"&amp;$AG43):INDIRECT("Table!" &amp; $AJ$69 &amp; $AG43),0)),"",INDIRECT(CONCATENATE("Table!",ADDRESS($AC43,MATCH(P$1,INDIRECT("Table!A" &amp; $AG43):INDIRECT("Table!" &amp; $AJ$69 &amp; $AG43),0)))))</f>
        <v>0.10522129520613684</v>
      </c>
      <c r="Q43" s="273">
        <f ca="1">IF(ISERROR(MATCH(Q$1,INDIRECT("Table!A"&amp;$AG43):INDIRECT("Table!" &amp; $AJ$69 &amp; $AG43),0)),"",INDIRECT(CONCATENATE("Table!",ADDRESS($AC43,MATCH(Q$1,INDIRECT("Table!A" &amp; $AG43):INDIRECT("Table!" &amp; $AJ$69 &amp; $AG43),0)))))</f>
        <v>7.458927218311201E-2</v>
      </c>
      <c r="R43" s="273">
        <f ca="1">IF(ISERROR(MATCH(R$1,INDIRECT("Table!A"&amp;$AG43):INDIRECT("Table!" &amp; $AJ$69 &amp; $AG43),0)),"",INDIRECT(CONCATENATE("Table!",ADDRESS($AC43,MATCH(R$1,INDIRECT("Table!A" &amp; $AG43):INDIRECT("Table!" &amp; $AJ$69 &amp; $AG43),0)))))</f>
        <v>3.4072840160520936E-5</v>
      </c>
      <c r="S43" s="273">
        <f ca="1">IF(ISERROR(MATCH(S$1,INDIRECT("Table!A"&amp;$AG43):INDIRECT("Table!" &amp; $AJ$43 &amp; $AG43),0)),"",INDIRECT(CONCATENATE("Table!",ADDRESS($AC43,MATCH(S$1,INDIRECT("Table!A" &amp; $AG43):INDIRECT("Table!" &amp; $AJ$43 &amp; $AG43),0)))))</f>
        <v>0.15835614948051713</v>
      </c>
      <c r="T43" s="273">
        <f ca="1">IF(ISERROR(MATCH(T$1,INDIRECT("Table!A"&amp;$AG43):INDIRECT("Table!" &amp; $AJ$43 &amp; $AG43),0)),"",INDIRECT(CONCATENATE("Table!",ADDRESS($AC43,MATCH(T$1,INDIRECT("Table!A" &amp; $AG43):INDIRECT("Table!" &amp; $AJ$43 &amp; $AG43),0)))))</f>
        <v>0.1527326574092262</v>
      </c>
      <c r="U43" s="596" t="str">
        <f ca="1">IF(ISERROR(MATCH(U$1,INDIRECT("Table!A"&amp;$AG43):INDIRECT("Table!" &amp; $AJ$43 &amp; $AG43),0)),"",INDIRECT(CONCATENATE("Table!",ADDRESS($AC43,MATCH(U$1,INDIRECT("Table!A" &amp; $AG43):INDIRECT("Table!" &amp; $AJ$43 &amp; $AG43),0)))))</f>
        <v/>
      </c>
      <c r="V43" s="596"/>
      <c r="W43" s="596"/>
      <c r="X43" s="596"/>
      <c r="Y43" s="596"/>
      <c r="Z43" s="596"/>
      <c r="AA43" s="596"/>
      <c r="AB43" s="596"/>
      <c r="AC43" s="272">
        <f>MATCH($A43,Table!$A:$A,0)+$AE$2-1</f>
        <v>560</v>
      </c>
      <c r="AD43" s="369"/>
      <c r="AE43" s="369"/>
      <c r="AF43" s="369"/>
      <c r="AG43" s="272">
        <f>MATCH($A43,Table!$A:$A,0)+$AI$2-1</f>
        <v>557</v>
      </c>
      <c r="AH43" s="369"/>
      <c r="AJ43" s="743" t="s">
        <v>285</v>
      </c>
    </row>
    <row r="44" spans="1:36" s="267" customFormat="1" ht="15.75" customHeight="1" x14ac:dyDescent="0.25">
      <c r="A44" s="268">
        <v>41491</v>
      </c>
      <c r="B44" s="273">
        <f ca="1">IF(ISERROR(MATCH(B$1,INDIRECT("Table!A"&amp;$AG44):INDIRECT("Table!" &amp; $AJ$91 &amp; $AG44),0)),"",INDIRECT(CONCATENATE("Table!",ADDRESS($AC44,MATCH(B$1,INDIRECT("Table!A" &amp; $AG44):INDIRECT("Table!" &amp; $AJ$90 &amp; $AG44),0)))))</f>
        <v>0.3181340790694106</v>
      </c>
      <c r="C44" s="273">
        <f ca="1">IF(ISERROR(MATCH(C$1,INDIRECT("Table!A"&amp;$AG44):INDIRECT("Table!" &amp; $AJ$90 &amp; $AG44),0)),"",INDIRECT(CONCATENATE("Table!",ADDRESS($AC44,MATCH(C$1,INDIRECT("Table!A" &amp; $AG44):INDIRECT("Table!" &amp; $AJ$90 &amp; $AG44),0)))))</f>
        <v>0.52571774427688089</v>
      </c>
      <c r="D44" s="273">
        <f ca="1">IF(ISERROR(MATCH(D$1,INDIRECT("Table!A"&amp;$AG44):INDIRECT("Table!" &amp; $AJ$90 &amp; $AG44),0)),"",INDIRECT(CONCATENATE("Table!",ADDRESS($AC44,MATCH(D$1,INDIRECT("Table!A" &amp; $AG44):INDIRECT("Table!" &amp; $AJ$90 &amp; $AG44),0)))))</f>
        <v>0.53555718402011199</v>
      </c>
      <c r="E44" s="273">
        <f ca="1">IF(ISERROR(MATCH(E$1,INDIRECT("Table!A"&amp;$AG44):INDIRECT("Table!" &amp; $AJ$90 &amp; $AG44),0)),"",INDIRECT(CONCATENATE("Table!",ADDRESS($AC44,MATCH(E$1,INDIRECT("Table!A" &amp; $AG44):INDIRECT("Table!" &amp; $AJ$90 &amp; $AG44),0)))))</f>
        <v>0.79981406470811911</v>
      </c>
      <c r="F44" s="273">
        <f ca="1">IF(ISERROR(MATCH(F$1,INDIRECT("Table!A"&amp;$AG44):INDIRECT("Table!" &amp; $AJ$90 &amp; $AG44),0)),"",INDIRECT(CONCATENATE("Table!",ADDRESS($AC44,MATCH(F$1,INDIRECT("Table!A" &amp; $AG44):INDIRECT("Table!" &amp; $AJ$90 &amp; $AG44),0)))))</f>
        <v>0.69332954576361339</v>
      </c>
      <c r="G44" s="273">
        <f ca="1">IF(ISERROR(MATCH(G$1,INDIRECT("Table!A"&amp;$AG44):INDIRECT("Table!" &amp; $AJ$90 &amp; $AG44),0)),"",INDIRECT(CONCATENATE("Table!",ADDRESS($AC44,MATCH(G$1,INDIRECT("Table!A" &amp; $AG44):INDIRECT("Table!" &amp; $AJ$90 &amp; $AG44),0)))))</f>
        <v>0.43069061528203806</v>
      </c>
      <c r="H44" s="273">
        <f ca="1">IF(ISERROR(MATCH(H$1,INDIRECT("Table!A"&amp;$AG44):INDIRECT("Table!" &amp; $AJ$90 &amp; $AG44),0)),"",INDIRECT(CONCATENATE("Table!",ADDRESS($AC44,MATCH(H$1,INDIRECT("Table!A" &amp; $AG44):INDIRECT("Table!" &amp; $AJ$90 &amp; $AG44),0)))))</f>
        <v>0.53964704629972982</v>
      </c>
      <c r="I44" s="273">
        <f ca="1">IF(ISERROR(MATCH(I$1,INDIRECT("Table!A"&amp;$AG44):INDIRECT("Table!" &amp; $AJ$69 &amp; $AG44),0)),"",INDIRECT(CONCATENATE("Table!",ADDRESS($AC44,MATCH(I$1,INDIRECT("Table!A" &amp; $AG44):INDIRECT("Table!" &amp; $AJ$69 &amp; $AG44),0)))))</f>
        <v>0.1372718014427014</v>
      </c>
      <c r="J44" s="273">
        <f ca="1">IF(ISERROR(MATCH(J$1,INDIRECT("Table!A"&amp;$AG44):INDIRECT("Table!" &amp; $AJ$69 &amp; $AG44),0)),"",INDIRECT(CONCATENATE("Table!",ADDRESS($AC44,MATCH(J$1,INDIRECT("Table!A" &amp; $AG44):INDIRECT("Table!" &amp; $AJ$69 &amp; $AG44),0)))))</f>
        <v>0.25381878465474028</v>
      </c>
      <c r="K44" s="273">
        <f ca="1">IF(ISERROR(MATCH(K$1,INDIRECT("Table!A"&amp;$AG44):INDIRECT("Table!" &amp; $AJ$69 &amp; $AG44),0)),"",INDIRECT(CONCATENATE("Table!",ADDRESS($AC44,MATCH(K$1,INDIRECT("Table!A" &amp; $AG44):INDIRECT("Table!" &amp; $AJ$69 &amp; $AG44),0)))))</f>
        <v>2.7091999916382713E-3</v>
      </c>
      <c r="L44" s="273">
        <f ca="1">IF(ISERROR(MATCH(L$1,INDIRECT("Table!A"&amp;$AG44):INDIRECT("Table!" &amp; $AJ$69 &amp; $AG44),0)),"",INDIRECT(CONCATENATE("Table!",ADDRESS($AC44,MATCH(L$1,INDIRECT("Table!A" &amp; $AG44):INDIRECT("Table!" &amp; $AJ$69 &amp; $AG44),0)))))</f>
        <v>0.82037164344650626</v>
      </c>
      <c r="M44" s="273">
        <f ca="1">IF(ISERROR(MATCH(M$1,INDIRECT("Table!A"&amp;$AG44):INDIRECT("Table!" &amp; $AJ$69 &amp; $AG44),0)),"",INDIRECT(CONCATENATE("Table!",ADDRESS($AC44,MATCH(M$1,INDIRECT("Table!A" &amp; $AG44):INDIRECT("Table!" &amp; $AJ$69 &amp; $AG44),0)))))</f>
        <v>0.47674122039249878</v>
      </c>
      <c r="N44" s="273">
        <f ca="1">IF(ISERROR(MATCH(N$1,INDIRECT("Table!A"&amp;$AG44):INDIRECT("Table!" &amp; $AJ$69 &amp; $AG44),0)),"",INDIRECT(CONCATENATE("Table!",ADDRESS($AC44,MATCH(N$1,INDIRECT("Table!A" &amp; $AG44):INDIRECT("Table!" &amp; $AJ$69 &amp; $AG44),0)))))</f>
        <v>0.71201886696661043</v>
      </c>
      <c r="O44" s="273">
        <f ca="1">IF(ISERROR(MATCH(O$1,INDIRECT("Table!A"&amp;$AG44):INDIRECT("Table!" &amp; $AJ$69 &amp; $AG44),0)),"",INDIRECT(CONCATENATE("Table!",ADDRESS($AC44,MATCH(O$1,INDIRECT("Table!A" &amp; $AG44):INDIRECT("Table!" &amp; $AJ$69 &amp; $AG44),0)))))</f>
        <v>0.60618737647549459</v>
      </c>
      <c r="P44" s="273">
        <f ca="1">IF(ISERROR(MATCH(P$1,INDIRECT("Table!A"&amp;$AG44):INDIRECT("Table!" &amp; $AJ$69 &amp; $AG44),0)),"",INDIRECT(CONCATENATE("Table!",ADDRESS($AC44,MATCH(P$1,INDIRECT("Table!A" &amp; $AG44):INDIRECT("Table!" &amp; $AJ$69 &amp; $AG44),0)))))</f>
        <v>0.14285127153781249</v>
      </c>
      <c r="Q44" s="273">
        <f ca="1">IF(ISERROR(MATCH(Q$1,INDIRECT("Table!A"&amp;$AG44):INDIRECT("Table!" &amp; $AJ$69 &amp; $AG44),0)),"",INDIRECT(CONCATENATE("Table!",ADDRESS($AC44,MATCH(Q$1,INDIRECT("Table!A" &amp; $AG44):INDIRECT("Table!" &amp; $AJ$69 &amp; $AG44),0)))))</f>
        <v>0.21230638326694237</v>
      </c>
      <c r="R44" s="273">
        <f ca="1">IF(ISERROR(MATCH(R$1,INDIRECT("Table!A"&amp;$AG44):INDIRECT("Table!" &amp; $AJ$69 &amp; $AG44),0)),"",INDIRECT(CONCATENATE("Table!",ADDRESS($AC44,MATCH(R$1,INDIRECT("Table!A" &amp; $AG44):INDIRECT("Table!" &amp; $AJ$69 &amp; $AG44),0)))))</f>
        <v>0.16296590505257436</v>
      </c>
      <c r="S44" s="273">
        <f ca="1">IF(ISERROR(MATCH(S$1,INDIRECT("Table!A"&amp;$AG44):INDIRECT("Table!" &amp; $AJ$43 &amp; $AG44),0)),"",INDIRECT(CONCATENATE("Table!",ADDRESS($AC44,MATCH(S$1,INDIRECT("Table!A" &amp; $AG44):INDIRECT("Table!" &amp; $AJ$43 &amp; $AG44),0)))))</f>
        <v>0.21431705680767346</v>
      </c>
      <c r="T44" s="273">
        <f ca="1">IF(ISERROR(MATCH(T$1,INDIRECT("Table!A"&amp;$AG44):INDIRECT("Table!" &amp; $AJ$43 &amp; $AG44),0)),"",INDIRECT(CONCATENATE("Table!",ADDRESS($AC44,MATCH(T$1,INDIRECT("Table!A" &amp; $AG44):INDIRECT("Table!" &amp; $AJ$43 &amp; $AG44),0)))))</f>
        <v>0.17292576419213973</v>
      </c>
      <c r="U44" s="596" t="str">
        <f ca="1">IF(ISERROR(MATCH(U$1,INDIRECT("Table!A"&amp;$AG44):INDIRECT("Table!" &amp; $AJ$43 &amp; $AG44),0)),"",INDIRECT(CONCATENATE("Table!",ADDRESS($AC44,MATCH(U$1,INDIRECT("Table!A" &amp; $AG44):INDIRECT("Table!" &amp; $AJ$43 &amp; $AG44),0)))))</f>
        <v/>
      </c>
      <c r="V44" s="596"/>
      <c r="W44" s="596"/>
      <c r="X44" s="596"/>
      <c r="Y44" s="596"/>
      <c r="Z44" s="596"/>
      <c r="AA44" s="596"/>
      <c r="AB44" s="596"/>
      <c r="AC44" s="272">
        <f>MATCH($A44,Table!$A:$A,0)+$AE$2-1</f>
        <v>512</v>
      </c>
      <c r="AD44" s="412"/>
      <c r="AE44" s="412"/>
      <c r="AF44" s="412"/>
      <c r="AG44" s="272">
        <f>MATCH($A44,Table!$A:$A,0)+$AI$2-1</f>
        <v>509</v>
      </c>
      <c r="AH44" s="412"/>
      <c r="AJ44" s="743" t="s">
        <v>285</v>
      </c>
    </row>
    <row r="45" spans="1:36" s="267" customFormat="1" ht="15.75" customHeight="1" x14ac:dyDescent="0.25">
      <c r="A45" s="268">
        <v>41485</v>
      </c>
      <c r="B45" s="273">
        <f ca="1">IF(ISERROR(MATCH(B$1,INDIRECT("Table!A"&amp;$AG45):INDIRECT("Table!" &amp; $AJ$91 &amp; $AG45),0)),"",INDIRECT(CONCATENATE("Table!",ADDRESS($AC45,MATCH(B$1,INDIRECT("Table!A" &amp; $AG45):INDIRECT("Table!" &amp; $AJ$90 &amp; $AG45),0)))))</f>
        <v>0.31871778957131802</v>
      </c>
      <c r="C45" s="273">
        <f ca="1">IF(ISERROR(MATCH(C$1,INDIRECT("Table!A"&amp;$AG45):INDIRECT("Table!" &amp; $AJ$90 &amp; $AG45),0)),"",INDIRECT(CONCATENATE("Table!",ADDRESS($AC45,MATCH(C$1,INDIRECT("Table!A" &amp; $AG45):INDIRECT("Table!" &amp; $AJ$90 &amp; $AG45),0)))))</f>
        <v>0.52460623970629172</v>
      </c>
      <c r="D45" s="273">
        <f ca="1">IF(ISERROR(MATCH(D$1,INDIRECT("Table!A"&amp;$AG45):INDIRECT("Table!" &amp; $AJ$90 &amp; $AG45),0)),"",INDIRECT(CONCATENATE("Table!",ADDRESS($AC45,MATCH(D$1,INDIRECT("Table!A" &amp; $AG45):INDIRECT("Table!" &amp; $AJ$90 &amp; $AG45),0)))))</f>
        <v>0.53444567944952281</v>
      </c>
      <c r="E45" s="273">
        <f ca="1">IF(ISERROR(MATCH(E$1,INDIRECT("Table!A"&amp;$AG45):INDIRECT("Table!" &amp; $AJ$90 &amp; $AG45),0)),"",INDIRECT(CONCATENATE("Table!",ADDRESS($AC45,MATCH(E$1,INDIRECT("Table!A" &amp; $AG45):INDIRECT("Table!" &amp; $AJ$90 &amp; $AG45),0)))))</f>
        <v>0.79760196221073998</v>
      </c>
      <c r="F45" s="273">
        <f ca="1">IF(ISERROR(MATCH(F$1,INDIRECT("Table!A"&amp;$AG45):INDIRECT("Table!" &amp; $AJ$90 &amp; $AG45),0)),"",INDIRECT(CONCATENATE("Table!",ADDRESS($AC45,MATCH(F$1,INDIRECT("Table!A" &amp; $AG45):INDIRECT("Table!" &amp; $AJ$90 &amp; $AG45),0)))))</f>
        <v>0.6908865632942186</v>
      </c>
      <c r="G45" s="273">
        <f ca="1">IF(ISERROR(MATCH(G$1,INDIRECT("Table!A"&amp;$AG45):INDIRECT("Table!" &amp; $AJ$90 &amp; $AG45),0)),"",INDIRECT(CONCATENATE("Table!",ADDRESS($AC45,MATCH(G$1,INDIRECT("Table!A" &amp; $AG45):INDIRECT("Table!" &amp; $AJ$90 &amp; $AG45),0)))))</f>
        <v>0.42905211344033167</v>
      </c>
      <c r="H45" s="273">
        <f ca="1">IF(ISERROR(MATCH(H$1,INDIRECT("Table!A"&amp;$AG45):INDIRECT("Table!" &amp; $AJ$90 &amp; $AG45),0)),"",INDIRECT(CONCATENATE("Table!",ADDRESS($AC45,MATCH(H$1,INDIRECT("Table!A" &amp; $AG45):INDIRECT("Table!" &amp; $AJ$90 &amp; $AG45),0)))))</f>
        <v>0.53736885018652547</v>
      </c>
      <c r="I45" s="273">
        <f ca="1">IF(ISERROR(MATCH(I$1,INDIRECT("Table!A"&amp;$AG45):INDIRECT("Table!" &amp; $AJ$69 &amp; $AG45),0)),"",INDIRECT(CONCATENATE("Table!",ADDRESS($AC45,MATCH(I$1,INDIRECT("Table!A" &amp; $AG45):INDIRECT("Table!" &amp; $AJ$69 &amp; $AG45),0)))))</f>
        <v>0.13724943866403552</v>
      </c>
      <c r="J45" s="273">
        <f ca="1">IF(ISERROR(MATCH(J$1,INDIRECT("Table!A"&amp;$AG45):INDIRECT("Table!" &amp; $AJ$69 &amp; $AG45),0)),"",INDIRECT(CONCATENATE("Table!",ADDRESS($AC45,MATCH(J$1,INDIRECT("Table!A" &amp; $AG45):INDIRECT("Table!" &amp; $AJ$69 &amp; $AG45),0)))))</f>
        <v>0.22582121724978249</v>
      </c>
      <c r="K45" s="273">
        <f ca="1">IF(ISERROR(MATCH(K$1,INDIRECT("Table!A"&amp;$AG45):INDIRECT("Table!" &amp; $AJ$69 &amp; $AG45),0)),"",INDIRECT(CONCATENATE("Table!",ADDRESS($AC45,MATCH(K$1,INDIRECT("Table!A" &amp; $AG45):INDIRECT("Table!" &amp; $AJ$69 &amp; $AG45),0)))))</f>
        <v>2.6567069190979557E-3</v>
      </c>
      <c r="L45" s="273">
        <f ca="1">IF(ISERROR(MATCH(L$1,INDIRECT("Table!A"&amp;$AG45):INDIRECT("Table!" &amp; $AJ$69 &amp; $AG45),0)),"",INDIRECT(CONCATENATE("Table!",ADDRESS($AC45,MATCH(L$1,INDIRECT("Table!A" &amp; $AG45):INDIRECT("Table!" &amp; $AJ$69 &amp; $AG45),0)))))</f>
        <v>0.81779690212512002</v>
      </c>
      <c r="M45" s="273">
        <f ca="1">IF(ISERROR(MATCH(M$1,INDIRECT("Table!A"&amp;$AG45):INDIRECT("Table!" &amp; $AJ$69 &amp; $AG45),0)),"",INDIRECT(CONCATENATE("Table!",ADDRESS($AC45,MATCH(M$1,INDIRECT("Table!A" &amp; $AG45):INDIRECT("Table!" &amp; $AJ$69 &amp; $AG45),0)))))</f>
        <v>0.49172764693728815</v>
      </c>
      <c r="N45" s="273">
        <f ca="1">IF(ISERROR(MATCH(N$1,INDIRECT("Table!A"&amp;$AG45):INDIRECT("Table!" &amp; $AJ$69 &amp; $AG45),0)),"",INDIRECT(CONCATENATE("Table!",ADDRESS($AC45,MATCH(N$1,INDIRECT("Table!A" &amp; $AG45):INDIRECT("Table!" &amp; $AJ$69 &amp; $AG45),0)))))</f>
        <v>0.70945258236165865</v>
      </c>
      <c r="O45" s="273">
        <f ca="1">IF(ISERROR(MATCH(O$1,INDIRECT("Table!A"&amp;$AG45):INDIRECT("Table!" &amp; $AJ$69 &amp; $AG45),0)),"",INDIRECT(CONCATENATE("Table!",ADDRESS($AC45,MATCH(O$1,INDIRECT("Table!A" &amp; $AG45):INDIRECT("Table!" &amp; $AJ$69 &amp; $AG45),0)))))</f>
        <v>0.60371743032764591</v>
      </c>
      <c r="P45" s="273">
        <f ca="1">IF(ISERROR(MATCH(P$1,INDIRECT("Table!A"&amp;$AG45):INDIRECT("Table!" &amp; $AJ$69 &amp; $AG45),0)),"",INDIRECT(CONCATENATE("Table!",ADDRESS($AC45,MATCH(P$1,INDIRECT("Table!A" &amp; $AG45):INDIRECT("Table!" &amp; $AJ$69 &amp; $AG45),0)))))</f>
        <v>0.14281621630769306</v>
      </c>
      <c r="Q45" s="273">
        <f ca="1">IF(ISERROR(MATCH(Q$1,INDIRECT("Table!A"&amp;$AG45):INDIRECT("Table!" &amp; $AJ$69 &amp; $AG45),0)),"",INDIRECT(CONCATENATE("Table!",ADDRESS($AC45,MATCH(Q$1,INDIRECT("Table!A" &amp; $AG45):INDIRECT("Table!" &amp; $AJ$69 &amp; $AG45),0)))))</f>
        <v>0.18437932581796324</v>
      </c>
      <c r="R45" s="273">
        <f ca="1">IF(ISERROR(MATCH(R$1,INDIRECT("Table!A"&amp;$AG45):INDIRECT("Table!" &amp; $AJ$69 &amp; $AG45),0)),"",INDIRECT(CONCATENATE("Table!",ADDRESS($AC45,MATCH(R$1,INDIRECT("Table!A" &amp; $AG45):INDIRECT("Table!" &amp; $AJ$69 &amp; $AG45),0)))))</f>
        <v>0.16267788996430005</v>
      </c>
      <c r="S45" s="273">
        <f ca="1">IF(ISERROR(MATCH(S$1,INDIRECT("Table!A"&amp;$AG45):INDIRECT("Table!" &amp; $AJ$43 &amp; $AG45),0)),"",INDIRECT(CONCATENATE("Table!",ADDRESS($AC45,MATCH(S$1,INDIRECT("Table!A" &amp; $AG45):INDIRECT("Table!" &amp; $AJ$43 &amp; $AG45),0)))))</f>
        <v>0.21299523127413827</v>
      </c>
      <c r="T45" s="273">
        <f ca="1">IF(ISERROR(MATCH(T$1,INDIRECT("Table!A"&amp;$AG45):INDIRECT("Table!" &amp; $AJ$43 &amp; $AG45),0)),"",INDIRECT(CONCATENATE("Table!",ADDRESS($AC45,MATCH(T$1,INDIRECT("Table!A" &amp; $AG45):INDIRECT("Table!" &amp; $AJ$43 &amp; $AG45),0)))))</f>
        <v>0.17099469636300449</v>
      </c>
      <c r="U45" s="596" t="str">
        <f ca="1">IF(ISERROR(MATCH(U$1,INDIRECT("Table!A"&amp;$AG45):INDIRECT("Table!" &amp; $AJ$43 &amp; $AG45),0)),"",INDIRECT(CONCATENATE("Table!",ADDRESS($AC45,MATCH(U$1,INDIRECT("Table!A" &amp; $AG45):INDIRECT("Table!" &amp; $AJ$43 &amp; $AG45),0)))))</f>
        <v/>
      </c>
      <c r="V45" s="596"/>
      <c r="W45" s="596"/>
      <c r="X45" s="596"/>
      <c r="Y45" s="596"/>
      <c r="Z45" s="596"/>
      <c r="AA45" s="596"/>
      <c r="AB45" s="596"/>
      <c r="AC45" s="272">
        <f>MATCH($A45,Table!$A:$A,0)+$AE$2-1</f>
        <v>524</v>
      </c>
      <c r="AD45" s="448"/>
      <c r="AE45" s="448"/>
      <c r="AF45" s="448"/>
      <c r="AG45" s="272">
        <f>MATCH($A45,Table!$A:$A,0)+$AI$2-1</f>
        <v>521</v>
      </c>
      <c r="AH45" s="448"/>
      <c r="AJ45" s="743" t="s">
        <v>285</v>
      </c>
    </row>
    <row r="46" spans="1:36" s="267" customFormat="1" ht="15.75" customHeight="1" x14ac:dyDescent="0.25">
      <c r="A46" s="268">
        <v>41478</v>
      </c>
      <c r="B46" s="273">
        <f ca="1">IF(ISERROR(MATCH(B$1,INDIRECT("Table!A"&amp;$AG46):INDIRECT("Table!" &amp; $AJ$91 &amp; $AG46),0)),"",INDIRECT(CONCATENATE("Table!",ADDRESS($AC46,MATCH(B$1,INDIRECT("Table!A" &amp; $AG46):INDIRECT("Table!" &amp; $AJ$90 &amp; $AG46),0)))))</f>
        <v>0.31697223713849348</v>
      </c>
      <c r="C46" s="273">
        <f ca="1">IF(ISERROR(MATCH(C$1,INDIRECT("Table!A"&amp;$AG46):INDIRECT("Table!" &amp; $AJ$90 &amp; $AG46),0)),"",INDIRECT(CONCATENATE("Table!",ADDRESS($AC46,MATCH(C$1,INDIRECT("Table!A" &amp; $AG46):INDIRECT("Table!" &amp; $AJ$90 &amp; $AG46),0)))))</f>
        <v>0.52423883861392118</v>
      </c>
      <c r="D46" s="273">
        <f ca="1">IF(ISERROR(MATCH(D$1,INDIRECT("Table!A"&amp;$AG46):INDIRECT("Table!" &amp; $AJ$90 &amp; $AG46),0)),"",INDIRECT(CONCATENATE("Table!",ADDRESS($AC46,MATCH(D$1,INDIRECT("Table!A" &amp; $AG46):INDIRECT("Table!" &amp; $AJ$90 &amp; $AG46),0)))))</f>
        <v>0.53408226462578567</v>
      </c>
      <c r="E46" s="273">
        <f ca="1">IF(ISERROR(MATCH(E$1,INDIRECT("Table!A"&amp;$AG46):INDIRECT("Table!" &amp; $AJ$90 &amp; $AG46),0)),"",INDIRECT(CONCATENATE("Table!",ADDRESS($AC46,MATCH(E$1,INDIRECT("Table!A" &amp; $AG46):INDIRECT("Table!" &amp; $AJ$90 &amp; $AG46),0)))))</f>
        <v>0.79704756295096457</v>
      </c>
      <c r="F46" s="273">
        <f ca="1">IF(ISERROR(MATCH(F$1,INDIRECT("Table!A"&amp;$AG46):INDIRECT("Table!" &amp; $AJ$90 &amp; $AG46),0)),"",INDIRECT(CONCATENATE("Table!",ADDRESS($AC46,MATCH(F$1,INDIRECT("Table!A" &amp; $AG46):INDIRECT("Table!" &amp; $AJ$90 &amp; $AG46),0)))))</f>
        <v>0.68560471673310019</v>
      </c>
      <c r="G46" s="273">
        <f ca="1">IF(ISERROR(MATCH(G$1,INDIRECT("Table!A"&amp;$AG46):INDIRECT("Table!" &amp; $AJ$90 &amp; $AG46),0)),"",INDIRECT(CONCATENATE("Table!",ADDRESS($AC46,MATCH(G$1,INDIRECT("Table!A" &amp; $AG46):INDIRECT("Table!" &amp; $AJ$90 &amp; $AG46),0)))))</f>
        <v>0.44968437081150875</v>
      </c>
      <c r="H46" s="273">
        <f ca="1">IF(ISERROR(MATCH(H$1,INDIRECT("Table!A"&amp;$AG46):INDIRECT("Table!" &amp; $AJ$90 &amp; $AG46),0)),"",INDIRECT(CONCATENATE("Table!",ADDRESS($AC46,MATCH(H$1,INDIRECT("Table!A" &amp; $AG46):INDIRECT("Table!" &amp; $AJ$90 &amp; $AG46),0)))))</f>
        <v>0.53295107990590085</v>
      </c>
      <c r="I46" s="273">
        <f ca="1">IF(ISERROR(MATCH(I$1,INDIRECT("Table!A"&amp;$AG46):INDIRECT("Table!" &amp; $AJ$69 &amp; $AG46),0)),"",INDIRECT(CONCATENATE("Table!",ADDRESS($AC46,MATCH(I$1,INDIRECT("Table!A" &amp; $AG46):INDIRECT("Table!" &amp; $AJ$69 &amp; $AG46),0)))))</f>
        <v>0.13711163559549963</v>
      </c>
      <c r="J46" s="273">
        <f ca="1">IF(ISERROR(MATCH(J$1,INDIRECT("Table!A"&amp;$AG46):INDIRECT("Table!" &amp; $AJ$69 &amp; $AG46),0)),"",INDIRECT(CONCATENATE("Table!",ADDRESS($AC46,MATCH(J$1,INDIRECT("Table!A" &amp; $AG46):INDIRECT("Table!" &amp; $AJ$69 &amp; $AG46),0)))))</f>
        <v>0.21041189634201765</v>
      </c>
      <c r="K46" s="273">
        <f ca="1">IF(ISERROR(MATCH(K$1,INDIRECT("Table!A"&amp;$AG46):INDIRECT("Table!" &amp; $AJ$69 &amp; $AG46),0)),"",INDIRECT(CONCATENATE("Table!",ADDRESS($AC46,MATCH(K$1,INDIRECT("Table!A" &amp; $AG46):INDIRECT("Table!" &amp; $AJ$69 &amp; $AG46),0)))))</f>
        <v>1.7573565789381997E-3</v>
      </c>
      <c r="L46" s="273">
        <f ca="1">IF(ISERROR(MATCH(L$1,INDIRECT("Table!A"&amp;$AG46):INDIRECT("Table!" &amp; $AJ$69 &amp; $AG46),0)),"",INDIRECT(CONCATENATE("Table!",ADDRESS($AC46,MATCH(L$1,INDIRECT("Table!A" &amp; $AG46):INDIRECT("Table!" &amp; $AJ$69 &amp; $AG46),0)))))</f>
        <v>0.81680896818148141</v>
      </c>
      <c r="M46" s="273">
        <f ca="1">IF(ISERROR(MATCH(M$1,INDIRECT("Table!A"&amp;$AG46):INDIRECT("Table!" &amp; $AJ$69 &amp; $AG46),0)),"",INDIRECT(CONCATENATE("Table!",ADDRESS($AC46,MATCH(M$1,INDIRECT("Table!A" &amp; $AG46):INDIRECT("Table!" &amp; $AJ$69 &amp; $AG46),0)))))</f>
        <v>0.4235674839498717</v>
      </c>
      <c r="N46" s="273">
        <f ca="1">IF(ISERROR(MATCH(N$1,INDIRECT("Table!A"&amp;$AG46):INDIRECT("Table!" &amp; $AJ$69 &amp; $AG46),0)),"",INDIRECT(CONCATENATE("Table!",ADDRESS($AC46,MATCH(N$1,INDIRECT("Table!A" &amp; $AG46):INDIRECT("Table!" &amp; $AJ$69 &amp; $AG46),0)))))</f>
        <v>0.70406737373468742</v>
      </c>
      <c r="O46" s="273">
        <f ca="1">IF(ISERROR(MATCH(O$1,INDIRECT("Table!A"&amp;$AG46):INDIRECT("Table!" &amp; $AJ$69 &amp; $AG46),0)),"",INDIRECT(CONCATENATE("Table!",ADDRESS($AC46,MATCH(O$1,INDIRECT("Table!A" &amp; $AG46):INDIRECT("Table!" &amp; $AJ$69 &amp; $AG46),0)))))</f>
        <v>0.59821218110279051</v>
      </c>
      <c r="P46" s="273">
        <f ca="1">IF(ISERROR(MATCH(P$1,INDIRECT("Table!A"&amp;$AG46):INDIRECT("Table!" &amp; $AJ$69 &amp; $AG46),0)),"",INDIRECT(CONCATENATE("Table!",ADDRESS($AC46,MATCH(P$1,INDIRECT("Table!A" &amp; $AG46):INDIRECT("Table!" &amp; $AJ$69 &amp; $AG46),0)))))</f>
        <v>0.14266874258098361</v>
      </c>
      <c r="Q46" s="273">
        <f ca="1">IF(ISERROR(MATCH(Q$1,INDIRECT("Table!A"&amp;$AG46):INDIRECT("Table!" &amp; $AJ$69 &amp; $AG46),0)),"",INDIRECT(CONCATENATE("Table!",ADDRESS($AC46,MATCH(Q$1,INDIRECT("Table!A" &amp; $AG46):INDIRECT("Table!" &amp; $AJ$69 &amp; $AG46),0)))))</f>
        <v>0.16892332375215366</v>
      </c>
      <c r="R46" s="273">
        <f ca="1">IF(ISERROR(MATCH(R$1,INDIRECT("Table!A"&amp;$AG46):INDIRECT("Table!" &amp; $AJ$69 &amp; $AG46),0)),"",INDIRECT(CONCATENATE("Table!",ADDRESS($AC46,MATCH(R$1,INDIRECT("Table!A" &amp; $AG46):INDIRECT("Table!" &amp; $AJ$69 &amp; $AG46),0)))))</f>
        <v>0.14558651717754506</v>
      </c>
      <c r="S46" s="273">
        <f ca="1">IF(ISERROR(MATCH(S$1,INDIRECT("Table!A"&amp;$AG46):INDIRECT("Table!" &amp; $AJ$43 &amp; $AG46),0)),"",INDIRECT(CONCATENATE("Table!",ADDRESS($AC46,MATCH(S$1,INDIRECT("Table!A" &amp; $AG46):INDIRECT("Table!" &amp; $AJ$43 &amp; $AG46),0)))))</f>
        <v>0.21117658791318381</v>
      </c>
      <c r="T46" s="273">
        <f ca="1">IF(ISERROR(MATCH(T$1,INDIRECT("Table!A"&amp;$AG46):INDIRECT("Table!" &amp; $AJ$43 &amp; $AG46),0)),"",INDIRECT(CONCATENATE("Table!",ADDRESS($AC46,MATCH(T$1,INDIRECT("Table!A" &amp; $AG46):INDIRECT("Table!" &amp; $AJ$43 &amp; $AG46),0)))))</f>
        <v>0.16901527628775631</v>
      </c>
      <c r="U46" s="596" t="str">
        <f ca="1">IF(ISERROR(MATCH(U$1,INDIRECT("Table!A"&amp;$AG46):INDIRECT("Table!" &amp; $AJ$43 &amp; $AG46),0)),"",INDIRECT(CONCATENATE("Table!",ADDRESS($AC46,MATCH(U$1,INDIRECT("Table!A" &amp; $AG46):INDIRECT("Table!" &amp; $AJ$43 &amp; $AG46),0)))))</f>
        <v/>
      </c>
      <c r="V46" s="596"/>
      <c r="W46" s="596"/>
      <c r="X46" s="596"/>
      <c r="Y46" s="596"/>
      <c r="Z46" s="596"/>
      <c r="AA46" s="596"/>
      <c r="AB46" s="596"/>
      <c r="AC46" s="272">
        <f>MATCH($A46,Table!$A:$A,0)+$AE$2-1</f>
        <v>536</v>
      </c>
      <c r="AD46" s="448"/>
      <c r="AE46" s="448"/>
      <c r="AF46" s="448"/>
      <c r="AG46" s="272">
        <f>MATCH($A46,Table!$A:$A,0)+$AI$2-1</f>
        <v>533</v>
      </c>
      <c r="AH46" s="448"/>
      <c r="AJ46" s="743" t="s">
        <v>285</v>
      </c>
    </row>
    <row r="47" spans="1:36" s="267" customFormat="1" ht="15.75" customHeight="1" x14ac:dyDescent="0.25">
      <c r="A47" s="268">
        <v>41470</v>
      </c>
      <c r="B47" s="273">
        <f ca="1">IF(ISERROR(MATCH(B$1,INDIRECT("Table!A"&amp;$AG47):INDIRECT("Table!" &amp; $AJ$91 &amp; $AG47),0)),"",INDIRECT(CONCATENATE("Table!",ADDRESS($AC47,MATCH(B$1,INDIRECT("Table!A" &amp; $AG47):INDIRECT("Table!" &amp; $AJ$90 &amp; $AG47),0)))))</f>
        <v>0.31243575348866404</v>
      </c>
      <c r="C47" s="273">
        <f ca="1">IF(ISERROR(MATCH(C$1,INDIRECT("Table!A"&amp;$AG47):INDIRECT("Table!" &amp; $AJ$90 &amp; $AG47),0)),"",INDIRECT(CONCATENATE("Table!",ADDRESS($AC47,MATCH(C$1,INDIRECT("Table!A" &amp; $AG47):INDIRECT("Table!" &amp; $AJ$90 &amp; $AG47),0)))))</f>
        <v>0.52350735831970807</v>
      </c>
      <c r="D47" s="273">
        <f ca="1">IF(ISERROR(MATCH(D$1,INDIRECT("Table!A"&amp;$AG47):INDIRECT("Table!" &amp; $AJ$90 &amp; $AG47),0)),"",INDIRECT(CONCATENATE("Table!",ADDRESS($AC47,MATCH(D$1,INDIRECT("Table!A" &amp; $AG47):INDIRECT("Table!" &amp; $AJ$90 &amp; $AG47),0)))))</f>
        <v>0.53335078433157246</v>
      </c>
      <c r="E47" s="273">
        <f ca="1">IF(ISERROR(MATCH(E$1,INDIRECT("Table!A"&amp;$AG47):INDIRECT("Table!" &amp; $AJ$90 &amp; $AG47),0)),"",INDIRECT(CONCATENATE("Table!",ADDRESS($AC47,MATCH(E$1,INDIRECT("Table!A" &amp; $AG47):INDIRECT("Table!" &amp; $AJ$90 &amp; $AG47),0)))))</f>
        <v>0.79391402580676362</v>
      </c>
      <c r="F47" s="273">
        <f ca="1">IF(ISERROR(MATCH(F$1,INDIRECT("Table!A"&amp;$AG47):INDIRECT("Table!" &amp; $AJ$90 &amp; $AG47),0)),"",INDIRECT(CONCATENATE("Table!",ADDRESS($AC47,MATCH(F$1,INDIRECT("Table!A" &amp; $AG47):INDIRECT("Table!" &amp; $AJ$90 &amp; $AG47),0)))))</f>
        <v>0.67790345928009987</v>
      </c>
      <c r="G47" s="273">
        <f ca="1">IF(ISERROR(MATCH(G$1,INDIRECT("Table!A"&amp;$AG47):INDIRECT("Table!" &amp; $AJ$90 &amp; $AG47),0)),"",INDIRECT(CONCATENATE("Table!",ADDRESS($AC47,MATCH(G$1,INDIRECT("Table!A" &amp; $AG47):INDIRECT("Table!" &amp; $AJ$90 &amp; $AG47),0)))))</f>
        <v>0.45318160730597756</v>
      </c>
      <c r="H47" s="273">
        <f ca="1">IF(ISERROR(MATCH(H$1,INDIRECT("Table!A"&amp;$AG47):INDIRECT("Table!" &amp; $AJ$90 &amp; $AG47),0)),"",INDIRECT(CONCATENATE("Table!",ADDRESS($AC47,MATCH(H$1,INDIRECT("Table!A" &amp; $AG47):INDIRECT("Table!" &amp; $AJ$90 &amp; $AG47),0)))))</f>
        <v>0.5273272402066812</v>
      </c>
      <c r="I47" s="273">
        <f ca="1">IF(ISERROR(MATCH(I$1,INDIRECT("Table!A"&amp;$AG47):INDIRECT("Table!" &amp; $AJ$69 &amp; $AG47),0)),"",INDIRECT(CONCATENATE("Table!",ADDRESS($AC47,MATCH(I$1,INDIRECT("Table!A" &amp; $AG47):INDIRECT("Table!" &amp; $AJ$69 &amp; $AG47),0)))))</f>
        <v>0.13408178128598064</v>
      </c>
      <c r="J47" s="273">
        <f ca="1">IF(ISERROR(MATCH(J$1,INDIRECT("Table!A"&amp;$AG47):INDIRECT("Table!" &amp; $AJ$69 &amp; $AG47),0)),"",INDIRECT(CONCATENATE("Table!",ADDRESS($AC47,MATCH(J$1,INDIRECT("Table!A" &amp; $AG47):INDIRECT("Table!" &amp; $AJ$69 &amp; $AG47),0)))))</f>
        <v>0.12026628691636114</v>
      </c>
      <c r="K47" s="273">
        <f ca="1">IF(ISERROR(MATCH(K$1,INDIRECT("Table!A"&amp;$AG47):INDIRECT("Table!" &amp; $AJ$69 &amp; $AG47),0)),"",INDIRECT(CONCATENATE("Table!",ADDRESS($AC47,MATCH(K$1,INDIRECT("Table!A" &amp; $AG47):INDIRECT("Table!" &amp; $AJ$69 &amp; $AG47),0)))))</f>
        <v>2.8987325013413607E-4</v>
      </c>
      <c r="L47" s="273">
        <f ca="1">IF(ISERROR(MATCH(L$1,INDIRECT("Table!A"&amp;$AG47):INDIRECT("Table!" &amp; $AJ$69 &amp; $AG47),0)),"",INDIRECT(CONCATENATE("Table!",ADDRESS($AC47,MATCH(L$1,INDIRECT("Table!A" &amp; $AG47):INDIRECT("Table!" &amp; $AJ$69 &amp; $AG47),0)))))</f>
        <v>0.81318153584096908</v>
      </c>
      <c r="M47" s="273">
        <f ca="1">IF(ISERROR(MATCH(M$1,INDIRECT("Table!A"&amp;$AG47):INDIRECT("Table!" &amp; $AJ$69 &amp; $AG47),0)),"",INDIRECT(CONCATENATE("Table!",ADDRESS($AC47,MATCH(M$1,INDIRECT("Table!A" &amp; $AG47):INDIRECT("Table!" &amp; $AJ$69 &amp; $AG47),0)))))</f>
        <v>0.41888129300121318</v>
      </c>
      <c r="N47" s="273">
        <f ca="1">IF(ISERROR(MATCH(N$1,INDIRECT("Table!A"&amp;$AG47):INDIRECT("Table!" &amp; $AJ$69 &amp; $AG47),0)),"",INDIRECT(CONCATENATE("Table!",ADDRESS($AC47,MATCH(N$1,INDIRECT("Table!A" &amp; $AG47):INDIRECT("Table!" &amp; $AJ$69 &amp; $AG47),0)))))</f>
        <v>0.69568917373613803</v>
      </c>
      <c r="O47" s="273">
        <f ca="1">IF(ISERROR(MATCH(O$1,INDIRECT("Table!A"&amp;$AG47):INDIRECT("Table!" &amp; $AJ$69 &amp; $AG47),0)),"",INDIRECT(CONCATENATE("Table!",ADDRESS($AC47,MATCH(O$1,INDIRECT("Table!A" &amp; $AG47):INDIRECT("Table!" &amp; $AJ$69 &amp; $AG47),0)))))</f>
        <v>0.59514967996953816</v>
      </c>
      <c r="P47" s="273">
        <f ca="1">IF(ISERROR(MATCH(P$1,INDIRECT("Table!A"&amp;$AG47):INDIRECT("Table!" &amp; $AJ$69 &amp; $AG47),0)),"",INDIRECT(CONCATENATE("Table!",ADDRESS($AC47,MATCH(P$1,INDIRECT("Table!A" &amp; $AG47):INDIRECT("Table!" &amp; $AJ$69 &amp; $AG47),0)))))</f>
        <v>0.86044512889445468</v>
      </c>
      <c r="Q47" s="273">
        <f ca="1">IF(ISERROR(MATCH(Q$1,INDIRECT("Table!A"&amp;$AG47):INDIRECT("Table!" &amp; $AJ$69 &amp; $AG47),0)),"",INDIRECT(CONCATENATE("Table!",ADDRESS($AC47,MATCH(Q$1,INDIRECT("Table!A" &amp; $AG47):INDIRECT("Table!" &amp; $AJ$69 &amp; $AG47),0)))))</f>
        <v>9.5354785862750646E-2</v>
      </c>
      <c r="R47" s="273">
        <f ca="1">IF(ISERROR(MATCH(R$1,INDIRECT("Table!A"&amp;$AG47):INDIRECT("Table!" &amp; $AJ$69 &amp; $AG47),0)),"",INDIRECT(CONCATENATE("Table!",ADDRESS($AC47,MATCH(R$1,INDIRECT("Table!A" &amp; $AG47):INDIRECT("Table!" &amp; $AJ$69 &amp; $AG47),0)))))</f>
        <v>9.1727695670250603E-2</v>
      </c>
      <c r="S47" s="273">
        <f ca="1">IF(ISERROR(MATCH(S$1,INDIRECT("Table!A"&amp;$AG47):INDIRECT("Table!" &amp; $AJ$43 &amp; $AG47),0)),"",INDIRECT(CONCATENATE("Table!",ADDRESS($AC47,MATCH(S$1,INDIRECT("Table!A" &amp; $AG47):INDIRECT("Table!" &amp; $AJ$43 &amp; $AG47),0)))))</f>
        <v>0.20761182934126307</v>
      </c>
      <c r="T47" s="273">
        <f ca="1">IF(ISERROR(MATCH(T$1,INDIRECT("Table!A"&amp;$AG47):INDIRECT("Table!" &amp; $AJ$43 &amp; $AG47),0)),"",INDIRECT(CONCATENATE("Table!",ADDRESS($AC47,MATCH(T$1,INDIRECT("Table!A" &amp; $AG47):INDIRECT("Table!" &amp; $AJ$43 &amp; $AG47),0)))))</f>
        <v>0.16777322796573035</v>
      </c>
      <c r="U47" s="596" t="str">
        <f ca="1">IF(ISERROR(MATCH(U$1,INDIRECT("Table!A"&amp;$AG47):INDIRECT("Table!" &amp; $AJ$43 &amp; $AG47),0)),"",INDIRECT(CONCATENATE("Table!",ADDRESS($AC47,MATCH(U$1,INDIRECT("Table!A" &amp; $AG47):INDIRECT("Table!" &amp; $AJ$43 &amp; $AG47),0)))))</f>
        <v/>
      </c>
      <c r="V47" s="596"/>
      <c r="W47" s="596"/>
      <c r="X47" s="596"/>
      <c r="Y47" s="596"/>
      <c r="Z47" s="596"/>
      <c r="AA47" s="596"/>
      <c r="AB47" s="596"/>
      <c r="AC47" s="272">
        <f>MATCH($A47,Table!$A:$A,0)+$AE$2-1</f>
        <v>548</v>
      </c>
      <c r="AD47" s="448"/>
      <c r="AE47" s="448"/>
      <c r="AF47" s="448"/>
      <c r="AG47" s="272">
        <f>MATCH($A47,Table!$A:$A,0)+$AI$2-1</f>
        <v>545</v>
      </c>
      <c r="AH47" s="448"/>
      <c r="AJ47" s="743" t="s">
        <v>285</v>
      </c>
    </row>
    <row r="48" spans="1:36" s="267" customFormat="1" ht="15.75" customHeight="1" x14ac:dyDescent="0.25">
      <c r="A48" s="268">
        <v>41464</v>
      </c>
      <c r="B48" s="273">
        <f ca="1">IF(ISERROR(MATCH(B$1,INDIRECT("Table!A"&amp;$AG48):INDIRECT("Table!" &amp; $AJ$91 &amp; $AG48),0)),"",INDIRECT(CONCATENATE("Table!",ADDRESS($AC48,MATCH(B$1,INDIRECT("Table!A" &amp; $AG48):INDIRECT("Table!" &amp; $AJ$90 &amp; $AG48),0)))))</f>
        <v>0.30267725760671721</v>
      </c>
      <c r="C48" s="273">
        <f ca="1">IF(ISERROR(MATCH(C$1,INDIRECT("Table!A"&amp;$AG48):INDIRECT("Table!" &amp; $AJ$90 &amp; $AG48),0)),"",INDIRECT(CONCATENATE("Table!",ADDRESS($AC48,MATCH(C$1,INDIRECT("Table!A" &amp; $AG48):INDIRECT("Table!" &amp; $AJ$90 &amp; $AG48),0)))))</f>
        <v>0.52281241882130014</v>
      </c>
      <c r="D48" s="273">
        <f ca="1">IF(ISERROR(MATCH(D$1,INDIRECT("Table!A"&amp;$AG48):INDIRECT("Table!" &amp; $AJ$90 &amp; $AG48),0)),"",INDIRECT(CONCATENATE("Table!",ADDRESS($AC48,MATCH(D$1,INDIRECT("Table!A" &amp; $AG48):INDIRECT("Table!" &amp; $AJ$90 &amp; $AG48),0)))))</f>
        <v>0.53266647488285346</v>
      </c>
      <c r="E48" s="273">
        <f ca="1">IF(ISERROR(MATCH(E$1,INDIRECT("Table!A"&amp;$AG48):INDIRECT("Table!" &amp; $AJ$90 &amp; $AG48),0)),"",INDIRECT(CONCATENATE("Table!",ADDRESS($AC48,MATCH(E$1,INDIRECT("Table!A" &amp; $AG48):INDIRECT("Table!" &amp; $AJ$90 &amp; $AG48),0)))))</f>
        <v>0.79000240662249777</v>
      </c>
      <c r="F48" s="273">
        <f ca="1">IF(ISERROR(MATCH(F$1,INDIRECT("Table!A"&amp;$AG48):INDIRECT("Table!" &amp; $AJ$90 &amp; $AG48),0)),"",INDIRECT(CONCATENATE("Table!",ADDRESS($AC48,MATCH(F$1,INDIRECT("Table!A" &amp; $AG48):INDIRECT("Table!" &amp; $AJ$90 &amp; $AG48),0)))))</f>
        <v>0.63792810625406082</v>
      </c>
      <c r="G48" s="273">
        <f ca="1">IF(ISERROR(MATCH(G$1,INDIRECT("Table!A"&amp;$AG48):INDIRECT("Table!" &amp; $AJ$90 &amp; $AG48),0)),"",INDIRECT(CONCATENATE("Table!",ADDRESS($AC48,MATCH(G$1,INDIRECT("Table!A" &amp; $AG48):INDIRECT("Table!" &amp; $AJ$90 &amp; $AG48),0)))))</f>
        <v>0.44421412078293904</v>
      </c>
      <c r="H48" s="273">
        <f ca="1">IF(ISERROR(MATCH(H$1,INDIRECT("Table!A"&amp;$AG48):INDIRECT("Table!" &amp; $AJ$90 &amp; $AG48),0)),"",INDIRECT(CONCATENATE("Table!",ADDRESS($AC48,MATCH(H$1,INDIRECT("Table!A" &amp; $AG48):INDIRECT("Table!" &amp; $AJ$90 &amp; $AG48),0)))))</f>
        <v>0.51803547552006624</v>
      </c>
      <c r="I48" s="273">
        <f ca="1">IF(ISERROR(MATCH(I$1,INDIRECT("Table!A"&amp;$AG48):INDIRECT("Table!" &amp; $AJ$69 &amp; $AG48),0)),"",INDIRECT(CONCATENATE("Table!",ADDRESS($AC48,MATCH(I$1,INDIRECT("Table!A" &amp; $AG48):INDIRECT("Table!" &amp; $AJ$69 &amp; $AG48),0)))))</f>
        <v>0.10239311951696398</v>
      </c>
      <c r="J48" s="273">
        <f ca="1">IF(ISERROR(MATCH(J$1,INDIRECT("Table!A"&amp;$AG48):INDIRECT("Table!" &amp; $AJ$69 &amp; $AG48),0)),"",INDIRECT(CONCATENATE("Table!",ADDRESS($AC48,MATCH(J$1,INDIRECT("Table!A" &amp; $AG48):INDIRECT("Table!" &amp; $AJ$69 &amp; $AG48),0)))))</f>
        <v>9.0026576750104961E-2</v>
      </c>
      <c r="K48" s="273">
        <f ca="1">IF(ISERROR(MATCH(K$1,INDIRECT("Table!A"&amp;$AG48):INDIRECT("Table!" &amp; $AJ$69 &amp; $AG48),0)),"",INDIRECT(CONCATENATE("Table!",ADDRESS($AC48,MATCH(K$1,INDIRECT("Table!A" &amp; $AG48):INDIRECT("Table!" &amp; $AJ$69 &amp; $AG48),0)))))</f>
        <v>3.5587188612099643E-5</v>
      </c>
      <c r="L48" s="273">
        <f ca="1">IF(ISERROR(MATCH(L$1,INDIRECT("Table!A"&amp;$AG48):INDIRECT("Table!" &amp; $AJ$69 &amp; $AG48),0)),"",INDIRECT(CONCATENATE("Table!",ADDRESS($AC48,MATCH(L$1,INDIRECT("Table!A" &amp; $AG48):INDIRECT("Table!" &amp; $AJ$69 &amp; $AG48),0)))))</f>
        <v>0.83950036548893403</v>
      </c>
      <c r="M48" s="273">
        <f ca="1">IF(ISERROR(MATCH(M$1,INDIRECT("Table!A"&amp;$AG48):INDIRECT("Table!" &amp; $AJ$69 &amp; $AG48),0)),"",INDIRECT(CONCATENATE("Table!",ADDRESS($AC48,MATCH(M$1,INDIRECT("Table!A" &amp; $AG48):INDIRECT("Table!" &amp; $AJ$69 &amp; $AG48),0)))))</f>
        <v>0.41714743262276088</v>
      </c>
      <c r="N48" s="273">
        <f ca="1">IF(ISERROR(MATCH(N$1,INDIRECT("Table!A"&amp;$AG48):INDIRECT("Table!" &amp; $AJ$69 &amp; $AG48),0)),"",INDIRECT(CONCATENATE("Table!",ADDRESS($AC48,MATCH(N$1,INDIRECT("Table!A" &amp; $AG48):INDIRECT("Table!" &amp; $AJ$69 &amp; $AG48),0)))))</f>
        <v>0.65545423116627533</v>
      </c>
      <c r="O48" s="273">
        <f ca="1">IF(ISERROR(MATCH(O$1,INDIRECT("Table!A"&amp;$AG48):INDIRECT("Table!" &amp; $AJ$69 &amp; $AG48),0)),"",INDIRECT(CONCATENATE("Table!",ADDRESS($AC48,MATCH(O$1,INDIRECT("Table!A" &amp; $AG48):INDIRECT("Table!" &amp; $AJ$69 &amp; $AG48),0)))))</f>
        <v>0.58513172925241608</v>
      </c>
      <c r="P48" s="273">
        <f ca="1">IF(ISERROR(MATCH(P$1,INDIRECT("Table!A"&amp;$AG48):INDIRECT("Table!" &amp; $AJ$69 &amp; $AG48),0)),"",INDIRECT(CONCATENATE("Table!",ADDRESS($AC48,MATCH(P$1,INDIRECT("Table!A" &amp; $AG48):INDIRECT("Table!" &amp; $AJ$69 &amp; $AG48),0)))))</f>
        <v>0.10522129520613684</v>
      </c>
      <c r="Q48" s="273">
        <f ca="1">IF(ISERROR(MATCH(Q$1,INDIRECT("Table!A"&amp;$AG48):INDIRECT("Table!" &amp; $AJ$69 &amp; $AG48),0)),"",INDIRECT(CONCATENATE("Table!",ADDRESS($AC48,MATCH(Q$1,INDIRECT("Table!A" &amp; $AG48):INDIRECT("Table!" &amp; $AJ$69 &amp; $AG48),0)))))</f>
        <v>7.458927218311201E-2</v>
      </c>
      <c r="R48" s="273">
        <f ca="1">IF(ISERROR(MATCH(R$1,INDIRECT("Table!A"&amp;$AG48):INDIRECT("Table!" &amp; $AJ$69 &amp; $AG48),0)),"",INDIRECT(CONCATENATE("Table!",ADDRESS($AC48,MATCH(R$1,INDIRECT("Table!A" &amp; $AG48):INDIRECT("Table!" &amp; $AJ$69 &amp; $AG48),0)))))</f>
        <v>3.4072840160520936E-5</v>
      </c>
      <c r="S48" s="273">
        <f ca="1">IF(ISERROR(MATCH(S$1,INDIRECT("Table!A"&amp;$AG48):INDIRECT("Table!" &amp; $AJ$43 &amp; $AG48),0)),"",INDIRECT(CONCATENATE("Table!",ADDRESS($AC48,MATCH(S$1,INDIRECT("Table!A" &amp; $AG48):INDIRECT("Table!" &amp; $AJ$43 &amp; $AG48),0)))))</f>
        <v>0.15835614948051713</v>
      </c>
      <c r="T48" s="273">
        <f ca="1">IF(ISERROR(MATCH(T$1,INDIRECT("Table!A"&amp;$AG48):INDIRECT("Table!" &amp; $AJ$43 &amp; $AG48),0)),"",INDIRECT(CONCATENATE("Table!",ADDRESS($AC48,MATCH(T$1,INDIRECT("Table!A" &amp; $AG48):INDIRECT("Table!" &amp; $AJ$43 &amp; $AG48),0)))))</f>
        <v>0.1527326574092262</v>
      </c>
      <c r="U48" s="596" t="str">
        <f ca="1">IF(ISERROR(MATCH(U$1,INDIRECT("Table!A"&amp;$AG48):INDIRECT("Table!" &amp; $AJ$43 &amp; $AG48),0)),"",INDIRECT(CONCATENATE("Table!",ADDRESS($AC48,MATCH(U$1,INDIRECT("Table!A" &amp; $AG48):INDIRECT("Table!" &amp; $AJ$43 &amp; $AG48),0)))))</f>
        <v/>
      </c>
      <c r="V48" s="596"/>
      <c r="W48" s="596"/>
      <c r="X48" s="596"/>
      <c r="Y48" s="596"/>
      <c r="Z48" s="596"/>
      <c r="AA48" s="596"/>
      <c r="AB48" s="596"/>
      <c r="AC48" s="272">
        <f>MATCH($A48,Table!$A:$A,0)+$AE$2-1</f>
        <v>560</v>
      </c>
      <c r="AD48" s="448"/>
      <c r="AE48" s="448"/>
      <c r="AF48" s="448"/>
      <c r="AG48" s="272">
        <f>MATCH($A48,Table!$A:$A,0)+$AI$2-1</f>
        <v>557</v>
      </c>
      <c r="AH48" s="448"/>
      <c r="AJ48" s="743" t="s">
        <v>285</v>
      </c>
    </row>
    <row r="49" spans="1:36" s="267" customFormat="1" ht="15.75" customHeight="1" x14ac:dyDescent="0.25">
      <c r="A49" s="268">
        <v>41449</v>
      </c>
      <c r="B49" s="273">
        <f ca="1">IF(ISERROR(MATCH(B$1,INDIRECT("Table!A"&amp;$AG49):INDIRECT("Table!" &amp; $AJ$91 &amp; $AG49),0)),"",INDIRECT(CONCATENATE("Table!",ADDRESS($AC49,MATCH(B$1,INDIRECT("Table!A" &amp; $AG49):INDIRECT("Table!" &amp; $AJ$90 &amp; $AG49),0)))))</f>
        <v>0.30267725760671721</v>
      </c>
      <c r="C49" s="273">
        <f ca="1">IF(ISERROR(MATCH(C$1,INDIRECT("Table!A"&amp;$AG49):INDIRECT("Table!" &amp; $AJ$90 &amp; $AG49),0)),"",INDIRECT(CONCATENATE("Table!",ADDRESS($AC49,MATCH(C$1,INDIRECT("Table!A" &amp; $AG49):INDIRECT("Table!" &amp; $AJ$90 &amp; $AG49),0)))))</f>
        <v>0.52281241882130014</v>
      </c>
      <c r="D49" s="273">
        <f ca="1">IF(ISERROR(MATCH(D$1,INDIRECT("Table!A"&amp;$AG49):INDIRECT("Table!" &amp; $AJ$90 &amp; $AG49),0)),"",INDIRECT(CONCATENATE("Table!",ADDRESS($AC49,MATCH(D$1,INDIRECT("Table!A" &amp; $AG49):INDIRECT("Table!" &amp; $AJ$90 &amp; $AG49),0)))))</f>
        <v>0.53266647488285346</v>
      </c>
      <c r="E49" s="273">
        <f ca="1">IF(ISERROR(MATCH(E$1,INDIRECT("Table!A"&amp;$AG49):INDIRECT("Table!" &amp; $AJ$90 &amp; $AG49),0)),"",INDIRECT(CONCATENATE("Table!",ADDRESS($AC49,MATCH(E$1,INDIRECT("Table!A" &amp; $AG49):INDIRECT("Table!" &amp; $AJ$90 &amp; $AG49),0)))))</f>
        <v>0.79000240662249777</v>
      </c>
      <c r="F49" s="273">
        <f ca="1">IF(ISERROR(MATCH(F$1,INDIRECT("Table!A"&amp;$AG49):INDIRECT("Table!" &amp; $AJ$90 &amp; $AG49),0)),"",INDIRECT(CONCATENATE("Table!",ADDRESS($AC49,MATCH(F$1,INDIRECT("Table!A" &amp; $AG49):INDIRECT("Table!" &amp; $AJ$90 &amp; $AG49),0)))))</f>
        <v>0.63792810625406082</v>
      </c>
      <c r="G49" s="273">
        <f ca="1">IF(ISERROR(MATCH(G$1,INDIRECT("Table!A"&amp;$AG49):INDIRECT("Table!" &amp; $AJ$90 &amp; $AG49),0)),"",INDIRECT(CONCATENATE("Table!",ADDRESS($AC49,MATCH(G$1,INDIRECT("Table!A" &amp; $AG49):INDIRECT("Table!" &amp; $AJ$90 &amp; $AG49),0)))))</f>
        <v>0.44421412078293904</v>
      </c>
      <c r="H49" s="273">
        <f ca="1">IF(ISERROR(MATCH(H$1,INDIRECT("Table!A"&amp;$AG49):INDIRECT("Table!" &amp; $AJ$90 &amp; $AG49),0)),"",INDIRECT(CONCATENATE("Table!",ADDRESS($AC49,MATCH(H$1,INDIRECT("Table!A" &amp; $AG49):INDIRECT("Table!" &amp; $AJ$90 &amp; $AG49),0)))))</f>
        <v>0.51803547552006624</v>
      </c>
      <c r="I49" s="273">
        <f ca="1">IF(ISERROR(MATCH(I$1,INDIRECT("Table!A"&amp;$AG49):INDIRECT("Table!" &amp; $AJ$69 &amp; $AG49),0)),"",INDIRECT(CONCATENATE("Table!",ADDRESS($AC49,MATCH(I$1,INDIRECT("Table!A" &amp; $AG49):INDIRECT("Table!" &amp; $AJ$69 &amp; $AG49),0)))))</f>
        <v>0.10239311951696398</v>
      </c>
      <c r="J49" s="273">
        <f ca="1">IF(ISERROR(MATCH(J$1,INDIRECT("Table!A"&amp;$AG49):INDIRECT("Table!" &amp; $AJ$69 &amp; $AG49),0)),"",INDIRECT(CONCATENATE("Table!",ADDRESS($AC49,MATCH(J$1,INDIRECT("Table!A" &amp; $AG49):INDIRECT("Table!" &amp; $AJ$69 &amp; $AG49),0)))))</f>
        <v>9.0026576750104961E-2</v>
      </c>
      <c r="K49" s="273">
        <f ca="1">IF(ISERROR(MATCH(K$1,INDIRECT("Table!A"&amp;$AG49):INDIRECT("Table!" &amp; $AJ$69 &amp; $AG49),0)),"",INDIRECT(CONCATENATE("Table!",ADDRESS($AC49,MATCH(K$1,INDIRECT("Table!A" &amp; $AG49):INDIRECT("Table!" &amp; $AJ$69 &amp; $AG49),0)))))</f>
        <v>3.5587188612099643E-5</v>
      </c>
      <c r="L49" s="273">
        <f ca="1">IF(ISERROR(MATCH(L$1,INDIRECT("Table!A"&amp;$AG49):INDIRECT("Table!" &amp; $AJ$69 &amp; $AG49),0)),"",INDIRECT(CONCATENATE("Table!",ADDRESS($AC49,MATCH(L$1,INDIRECT("Table!A" &amp; $AG49):INDIRECT("Table!" &amp; $AJ$69 &amp; $AG49),0)))))</f>
        <v>0.83950036548893403</v>
      </c>
      <c r="M49" s="273">
        <f ca="1">IF(ISERROR(MATCH(M$1,INDIRECT("Table!A"&amp;$AG49):INDIRECT("Table!" &amp; $AJ$69 &amp; $AG49),0)),"",INDIRECT(CONCATENATE("Table!",ADDRESS($AC49,MATCH(M$1,INDIRECT("Table!A" &amp; $AG49):INDIRECT("Table!" &amp; $AJ$69 &amp; $AG49),0)))))</f>
        <v>0.41714743262276088</v>
      </c>
      <c r="N49" s="273">
        <f ca="1">IF(ISERROR(MATCH(N$1,INDIRECT("Table!A"&amp;$AG49):INDIRECT("Table!" &amp; $AJ$69 &amp; $AG49),0)),"",INDIRECT(CONCATENATE("Table!",ADDRESS($AC49,MATCH(N$1,INDIRECT("Table!A" &amp; $AG49):INDIRECT("Table!" &amp; $AJ$69 &amp; $AG49),0)))))</f>
        <v>0.65545423116627533</v>
      </c>
      <c r="O49" s="273">
        <f ca="1">IF(ISERROR(MATCH(O$1,INDIRECT("Table!A"&amp;$AG49):INDIRECT("Table!" &amp; $AJ$69 &amp; $AG49),0)),"",INDIRECT(CONCATENATE("Table!",ADDRESS($AC49,MATCH(O$1,INDIRECT("Table!A" &amp; $AG49):INDIRECT("Table!" &amp; $AJ$69 &amp; $AG49),0)))))</f>
        <v>0.58513172925241608</v>
      </c>
      <c r="P49" s="273">
        <f ca="1">IF(ISERROR(MATCH(P$1,INDIRECT("Table!A"&amp;$AG49):INDIRECT("Table!" &amp; $AJ$69 &amp; $AG49),0)),"",INDIRECT(CONCATENATE("Table!",ADDRESS($AC49,MATCH(P$1,INDIRECT("Table!A" &amp; $AG49):INDIRECT("Table!" &amp; $AJ$69 &amp; $AG49),0)))))</f>
        <v>0.10522129520613684</v>
      </c>
      <c r="Q49" s="273">
        <f ca="1">IF(ISERROR(MATCH(Q$1,INDIRECT("Table!A"&amp;$AG49):INDIRECT("Table!" &amp; $AJ$69 &amp; $AG49),0)),"",INDIRECT(CONCATENATE("Table!",ADDRESS($AC49,MATCH(Q$1,INDIRECT("Table!A" &amp; $AG49):INDIRECT("Table!" &amp; $AJ$69 &amp; $AG49),0)))))</f>
        <v>7.458927218311201E-2</v>
      </c>
      <c r="R49" s="273">
        <f ca="1">IF(ISERROR(MATCH(R$1,INDIRECT("Table!A"&amp;$AG49):INDIRECT("Table!" &amp; $AJ$69 &amp; $AG49),0)),"",INDIRECT(CONCATENATE("Table!",ADDRESS($AC49,MATCH(R$1,INDIRECT("Table!A" &amp; $AG49):INDIRECT("Table!" &amp; $AJ$69 &amp; $AG49),0)))))</f>
        <v>3.4072840160520936E-5</v>
      </c>
      <c r="S49" s="273">
        <f ca="1">IF(ISERROR(MATCH(S$1,INDIRECT("Table!A"&amp;$AG49):INDIRECT("Table!" &amp; $AJ$43 &amp; $AG49),0)),"",INDIRECT(CONCATENATE("Table!",ADDRESS($AC49,MATCH(S$1,INDIRECT("Table!A" &amp; $AG49):INDIRECT("Table!" &amp; $AJ$43 &amp; $AG49),0)))))</f>
        <v>0.15835614948051713</v>
      </c>
      <c r="T49" s="273">
        <f ca="1">IF(ISERROR(MATCH(T$1,INDIRECT("Table!A"&amp;$AG49):INDIRECT("Table!" &amp; $AJ$43 &amp; $AG49),0)),"",INDIRECT(CONCATENATE("Table!",ADDRESS($AC49,MATCH(T$1,INDIRECT("Table!A" &amp; $AG49):INDIRECT("Table!" &amp; $AJ$43 &amp; $AG49),0)))))</f>
        <v>0.1527326574092262</v>
      </c>
      <c r="U49" s="596" t="str">
        <f ca="1">IF(ISERROR(MATCH(U$1,INDIRECT("Table!A"&amp;$AG49):INDIRECT("Table!" &amp; $AJ$43 &amp; $AG49),0)),"",INDIRECT(CONCATENATE("Table!",ADDRESS($AC49,MATCH(U$1,INDIRECT("Table!A" &amp; $AG49):INDIRECT("Table!" &amp; $AJ$43 &amp; $AG49),0)))))</f>
        <v/>
      </c>
      <c r="V49" s="596"/>
      <c r="W49" s="596"/>
      <c r="X49" s="596"/>
      <c r="Y49" s="596"/>
      <c r="Z49" s="596"/>
      <c r="AA49" s="596"/>
      <c r="AB49" s="596"/>
      <c r="AC49" s="272">
        <f>MATCH($A49,Table!$A:$A,0)+$AE$2-1</f>
        <v>572</v>
      </c>
      <c r="AD49" s="448"/>
      <c r="AE49" s="448"/>
      <c r="AF49" s="448"/>
      <c r="AG49" s="272">
        <f>MATCH($A49,Table!$A:$A,0)+$AI$2-1</f>
        <v>569</v>
      </c>
      <c r="AH49" s="448"/>
      <c r="AJ49" s="743" t="s">
        <v>285</v>
      </c>
    </row>
    <row r="50" spans="1:36" s="267" customFormat="1" ht="15.75" customHeight="1" x14ac:dyDescent="0.25">
      <c r="A50" s="268">
        <v>41445</v>
      </c>
      <c r="B50" s="273">
        <f ca="1">IF(ISERROR(MATCH(B$1,INDIRECT("Table!A"&amp;$AG50):INDIRECT("Table!" &amp; $AJ$91 &amp; $AG50),0)),"",INDIRECT(CONCATENATE("Table!",ADDRESS($AC50,MATCH(B$1,INDIRECT("Table!A" &amp; $AG50):INDIRECT("Table!" &amp; $AJ$90 &amp; $AG50),0)))))</f>
        <v>0.30380771725258554</v>
      </c>
      <c r="C50" s="273">
        <f ca="1">IF(ISERROR(MATCH(C$1,INDIRECT("Table!A"&amp;$AG50):INDIRECT("Table!" &amp; $AJ$90 &amp; $AG50),0)),"",INDIRECT(CONCATENATE("Table!",ADDRESS($AC50,MATCH(C$1,INDIRECT("Table!A" &amp; $AG50):INDIRECT("Table!" &amp; $AJ$90 &amp; $AG50),0)))))</f>
        <v>0.52214272569090336</v>
      </c>
      <c r="D50" s="273">
        <f ca="1">IF(ISERROR(MATCH(D$1,INDIRECT("Table!A"&amp;$AG50):INDIRECT("Table!" &amp; $AJ$90 &amp; $AG50),0)),"",INDIRECT(CONCATENATE("Table!",ADDRESS($AC50,MATCH(D$1,INDIRECT("Table!A" &amp; $AG50):INDIRECT("Table!" &amp; $AJ$90 &amp; $AG50),0)))))</f>
        <v>0.53199146672761233</v>
      </c>
      <c r="E50" s="273">
        <f ca="1">IF(ISERROR(MATCH(E$1,INDIRECT("Table!A"&amp;$AG50):INDIRECT("Table!" &amp; $AJ$90 &amp; $AG50),0)),"",INDIRECT(CONCATENATE("Table!",ADDRESS($AC50,MATCH(E$1,INDIRECT("Table!A" &amp; $AG50):INDIRECT("Table!" &amp; $AJ$90 &amp; $AG50),0)))))</f>
        <v>0.78931283784749062</v>
      </c>
      <c r="F50" s="273">
        <f ca="1">IF(ISERROR(MATCH(F$1,INDIRECT("Table!A"&amp;$AG50):INDIRECT("Table!" &amp; $AJ$90 &amp; $AG50),0)),"",INDIRECT(CONCATENATE("Table!",ADDRESS($AC50,MATCH(F$1,INDIRECT("Table!A" &amp; $AG50):INDIRECT("Table!" &amp; $AJ$90 &amp; $AG50),0)))))</f>
        <v>0.6360091264864538</v>
      </c>
      <c r="G50" s="273">
        <f ca="1">IF(ISERROR(MATCH(G$1,INDIRECT("Table!A"&amp;$AG50):INDIRECT("Table!" &amp; $AJ$90 &amp; $AG50),0)),"",INDIRECT(CONCATENATE("Table!",ADDRESS($AC50,MATCH(G$1,INDIRECT("Table!A" &amp; $AG50):INDIRECT("Table!" &amp; $AJ$90 &amp; $AG50),0)))))</f>
        <v>0.43361872781116589</v>
      </c>
      <c r="H50" s="273">
        <f ca="1">IF(ISERROR(MATCH(H$1,INDIRECT("Table!A"&amp;$AG50):INDIRECT("Table!" &amp; $AJ$90 &amp; $AG50),0)),"",INDIRECT(CONCATENATE("Table!",ADDRESS($AC50,MATCH(H$1,INDIRECT("Table!A" &amp; $AG50):INDIRECT("Table!" &amp; $AJ$90 &amp; $AG50),0)))))</f>
        <v>0.51447283302313984</v>
      </c>
      <c r="I50" s="273">
        <f ca="1">IF(ISERROR(MATCH(I$1,INDIRECT("Table!A"&amp;$AG50):INDIRECT("Table!" &amp; $AJ$69 &amp; $AG50),0)),"",INDIRECT(CONCATENATE("Table!",ADDRESS($AC50,MATCH(I$1,INDIRECT("Table!A" &amp; $AG50):INDIRECT("Table!" &amp; $AJ$69 &amp; $AG50),0)))))</f>
        <v>0.10238042712907253</v>
      </c>
      <c r="J50" s="273">
        <f ca="1">IF(ISERROR(MATCH(J$1,INDIRECT("Table!A"&amp;$AG50):INDIRECT("Table!" &amp; $AJ$69 &amp; $AG50),0)),"",INDIRECT(CONCATENATE("Table!",ADDRESS($AC50,MATCH(J$1,INDIRECT("Table!A" &amp; $AG50):INDIRECT("Table!" &amp; $AJ$69 &amp; $AG50),0)))))</f>
        <v>9.0205125763432297E-3</v>
      </c>
      <c r="K50" s="273">
        <f ca="1">IF(ISERROR(MATCH(K$1,INDIRECT("Table!A"&amp;$AG50):INDIRECT("Table!" &amp; $AJ$69 &amp; $AG50),0)),"",INDIRECT(CONCATENATE("Table!",ADDRESS($AC50,MATCH(K$1,INDIRECT("Table!A" &amp; $AG50):INDIRECT("Table!" &amp; $AJ$69 &amp; $AG50),0)))))</f>
        <v>3.5587188612099643E-5</v>
      </c>
      <c r="L50" s="273">
        <f ca="1">IF(ISERROR(MATCH(L$1,INDIRECT("Table!A"&amp;$AG50):INDIRECT("Table!" &amp; $AJ$69 &amp; $AG50),0)),"",INDIRECT(CONCATENATE("Table!",ADDRESS($AC50,MATCH(L$1,INDIRECT("Table!A" &amp; $AG50):INDIRECT("Table!" &amp; $AJ$69 &amp; $AG50),0)))))</f>
        <v>0.83728722767707031</v>
      </c>
      <c r="M50" s="273">
        <f ca="1">IF(ISERROR(MATCH(M$1,INDIRECT("Table!A"&amp;$AG50):INDIRECT("Table!" &amp; $AJ$69 &amp; $AG50),0)),"",INDIRECT(CONCATENATE("Table!",ADDRESS($AC50,MATCH(M$1,INDIRECT("Table!A" &amp; $AG50):INDIRECT("Table!" &amp; $AJ$69 &amp; $AG50),0)))))</f>
        <v>0.42697617323164783</v>
      </c>
      <c r="N50" s="273">
        <f ca="1">IF(ISERROR(MATCH(N$1,INDIRECT("Table!A"&amp;$AG50):INDIRECT("Table!" &amp; $AJ$69 &amp; $AG50),0)),"",INDIRECT(CONCATENATE("Table!",ADDRESS($AC50,MATCH(N$1,INDIRECT("Table!A" &amp; $AG50):INDIRECT("Table!" &amp; $AJ$69 &amp; $AG50),0)))))</f>
        <v>0.65353586391801421</v>
      </c>
      <c r="O50" s="273">
        <f ca="1">IF(ISERROR(MATCH(O$1,INDIRECT("Table!A"&amp;$AG50):INDIRECT("Table!" &amp; $AJ$69 &amp; $AG50),0)),"",INDIRECT(CONCATENATE("Table!",ADDRESS($AC50,MATCH(O$1,INDIRECT("Table!A" &amp; $AG50):INDIRECT("Table!" &amp; $AJ$69 &amp; $AG50),0)))))</f>
        <v>0.58063861036064623</v>
      </c>
      <c r="P50" s="273">
        <f ca="1">IF(ISERROR(MATCH(P$1,INDIRECT("Table!A"&amp;$AG50):INDIRECT("Table!" &amp; $AJ$69 &amp; $AG50),0)),"",INDIRECT(CONCATENATE("Table!",ADDRESS($AC50,MATCH(P$1,INDIRECT("Table!A" &amp; $AG50):INDIRECT("Table!" &amp; $AJ$69 &amp; $AG50),0)))))</f>
        <v>0.10520799839471222</v>
      </c>
      <c r="Q50" s="273">
        <f ca="1">IF(ISERROR(MATCH(Q$1,INDIRECT("Table!A"&amp;$AG50):INDIRECT("Table!" &amp; $AJ$69 &amp; $AG50),0)),"",INDIRECT(CONCATENATE("Table!",ADDRESS($AC50,MATCH(Q$1,INDIRECT("Table!A" &amp; $AG50):INDIRECT("Table!" &amp; $AJ$69 &amp; $AG50),0)))))</f>
        <v>1.027031203037756E-2</v>
      </c>
      <c r="R50" s="273">
        <f ca="1">IF(ISERROR(MATCH(R$1,INDIRECT("Table!A"&amp;$AG50):INDIRECT("Table!" &amp; $AJ$69 &amp; $AG50),0)),"",INDIRECT(CONCATENATE("Table!",ADDRESS($AC50,MATCH(R$1,INDIRECT("Table!A" &amp; $AG50):INDIRECT("Table!" &amp; $AJ$69 &amp; $AG50),0)))))</f>
        <v>3.4830014386310289E-5</v>
      </c>
      <c r="S50" s="273">
        <f ca="1">IF(ISERROR(MATCH(S$1,INDIRECT("Table!A"&amp;$AG50):INDIRECT("Table!" &amp; $AJ$43 &amp; $AG50),0)),"",INDIRECT(CONCATENATE("Table!",ADDRESS($AC50,MATCH(S$1,INDIRECT("Table!A" &amp; $AG50):INDIRECT("Table!" &amp; $AJ$43 &amp; $AG50),0)))))</f>
        <v>0.15727910645319215</v>
      </c>
      <c r="T50" s="273">
        <f ca="1">IF(ISERROR(MATCH(T$1,INDIRECT("Table!A"&amp;$AG50):INDIRECT("Table!" &amp; $AJ$43 &amp; $AG50),0)),"",INDIRECT(CONCATENATE("Table!",ADDRESS($AC50,MATCH(T$1,INDIRECT("Table!A" &amp; $AG50):INDIRECT("Table!" &amp; $AJ$43 &amp; $AG50),0)))))</f>
        <v>0.1520315498405887</v>
      </c>
      <c r="U50" s="596" t="str">
        <f ca="1">IF(ISERROR(MATCH(U$1,INDIRECT("Table!A"&amp;$AG50):INDIRECT("Table!" &amp; $AJ$43 &amp; $AG50),0)),"",INDIRECT(CONCATENATE("Table!",ADDRESS($AC50,MATCH(U$1,INDIRECT("Table!A" &amp; $AG50):INDIRECT("Table!" &amp; $AJ$43 &amp; $AG50),0)))))</f>
        <v/>
      </c>
      <c r="V50" s="596"/>
      <c r="W50" s="596"/>
      <c r="X50" s="596"/>
      <c r="Y50" s="596"/>
      <c r="Z50" s="596"/>
      <c r="AA50" s="596"/>
      <c r="AB50" s="596"/>
      <c r="AC50" s="272">
        <f>MATCH($A50,Table!$A:$A,0)+$AE$2-1</f>
        <v>584</v>
      </c>
      <c r="AD50" s="407"/>
      <c r="AE50" s="407"/>
      <c r="AF50" s="407"/>
      <c r="AG50" s="272">
        <f>MATCH($A50,Table!$A:$A,0)+$AI$2-1</f>
        <v>581</v>
      </c>
      <c r="AH50" s="407"/>
      <c r="AJ50" s="743" t="s">
        <v>285</v>
      </c>
    </row>
    <row r="51" spans="1:36" s="267" customFormat="1" ht="15.75" customHeight="1" x14ac:dyDescent="0.25">
      <c r="A51" s="268">
        <v>41443</v>
      </c>
      <c r="B51" s="273">
        <f ca="1">IF(ISERROR(MATCH(B$1,INDIRECT("Table!A"&amp;$AG51):INDIRECT("Table!" &amp; $AJ$91 &amp; $AG51),0)),"",INDIRECT(CONCATENATE("Table!",ADDRESS($AC51,MATCH(B$1,INDIRECT("Table!A" &amp; $AG51):INDIRECT("Table!" &amp; $AJ$90 &amp; $AG51),0)))))</f>
        <v>0.29198775393498988</v>
      </c>
      <c r="C51" s="273">
        <f ca="1">IF(ISERROR(MATCH(C$1,INDIRECT("Table!A"&amp;$AG51):INDIRECT("Table!" &amp; $AJ$90 &amp; $AG51),0)),"",INDIRECT(CONCATENATE("Table!",ADDRESS($AC51,MATCH(C$1,INDIRECT("Table!A" &amp; $AG51):INDIRECT("Table!" &amp; $AJ$90 &amp; $AG51),0)))))</f>
        <v>0.52211083554183679</v>
      </c>
      <c r="D51" s="273">
        <f ca="1">IF(ISERROR(MATCH(D$1,INDIRECT("Table!A"&amp;$AG51):INDIRECT("Table!" &amp; $AJ$90 &amp; $AG51),0)),"",INDIRECT(CONCATENATE("Table!",ADDRESS($AC51,MATCH(D$1,INDIRECT("Table!A" &amp; $AG51):INDIRECT("Table!" &amp; $AJ$90 &amp; $AG51),0)))))</f>
        <v>0.53196024095665129</v>
      </c>
      <c r="E51" s="273">
        <f ca="1">IF(ISERROR(MATCH(E$1,INDIRECT("Table!A"&amp;$AG51):INDIRECT("Table!" &amp; $AJ$90 &amp; $AG51),0)),"",INDIRECT(CONCATENATE("Table!",ADDRESS($AC51,MATCH(E$1,INDIRECT("Table!A" &amp; $AG51):INDIRECT("Table!" &amp; $AJ$90 &amp; $AG51),0)))))</f>
        <v>0.78846942105893603</v>
      </c>
      <c r="F51" s="273">
        <f ca="1">IF(ISERROR(MATCH(F$1,INDIRECT("Table!A"&amp;$AG51):INDIRECT("Table!" &amp; $AJ$90 &amp; $AG51),0)),"",INDIRECT(CONCATENATE("Table!",ADDRESS($AC51,MATCH(F$1,INDIRECT("Table!A" &amp; $AG51):INDIRECT("Table!" &amp; $AJ$90 &amp; $AG51),0)))))</f>
        <v>0.63424245629410259</v>
      </c>
      <c r="G51" s="273">
        <f ca="1">IF(ISERROR(MATCH(G$1,INDIRECT("Table!A"&amp;$AG51):INDIRECT("Table!" &amp; $AJ$90 &amp; $AG51),0)),"",INDIRECT(CONCATENATE("Table!",ADDRESS($AC51,MATCH(G$1,INDIRECT("Table!A" &amp; $AG51):INDIRECT("Table!" &amp; $AJ$90 &amp; $AG51),0)))))</f>
        <v>0.43301479041177482</v>
      </c>
      <c r="H51" s="273">
        <f ca="1">IF(ISERROR(MATCH(H$1,INDIRECT("Table!A"&amp;$AG51):INDIRECT("Table!" &amp; $AJ$90 &amp; $AG51),0)),"",INDIRECT(CONCATENATE("Table!",ADDRESS($AC51,MATCH(H$1,INDIRECT("Table!A" &amp; $AG51):INDIRECT("Table!" &amp; $AJ$90 &amp; $AG51),0)))))</f>
        <v>0.51353640376069054</v>
      </c>
      <c r="I51" s="273">
        <f ca="1">IF(ISERROR(MATCH(I$1,INDIRECT("Table!A"&amp;$AG51):INDIRECT("Table!" &amp; $AJ$69 &amp; $AG51),0)),"",INDIRECT(CONCATENATE("Table!",ADDRESS($AC51,MATCH(I$1,INDIRECT("Table!A" &amp; $AG51):INDIRECT("Table!" &amp; $AJ$69 &amp; $AG51),0)))))</f>
        <v>0.10237800953137891</v>
      </c>
      <c r="J51" s="273">
        <f ca="1">IF(ISERROR(MATCH(J$1,INDIRECT("Table!A"&amp;$AG51):INDIRECT("Table!" &amp; $AJ$69 &amp; $AG51),0)),"",INDIRECT(CONCATENATE("Table!",ADDRESS($AC51,MATCH(J$1,INDIRECT("Table!A" &amp; $AG51):INDIRECT("Table!" &amp; $AJ$69 &amp; $AG51),0)))))</f>
        <v>8.9934596955360581E-3</v>
      </c>
      <c r="K51" s="273">
        <f ca="1">IF(ISERROR(MATCH(K$1,INDIRECT("Table!A"&amp;$AG51):INDIRECT("Table!" &amp; $AJ$69 &amp; $AG51),0)),"",INDIRECT(CONCATENATE("Table!",ADDRESS($AC51,MATCH(K$1,INDIRECT("Table!A" &amp; $AG51):INDIRECT("Table!" &amp; $AJ$69 &amp; $AG51),0)))))</f>
        <v>3.5587188612099643E-5</v>
      </c>
      <c r="L51" s="273">
        <f ca="1">IF(ISERROR(MATCH(L$1,INDIRECT("Table!A"&amp;$AG51):INDIRECT("Table!" &amp; $AJ$69 &amp; $AG51),0)),"",INDIRECT(CONCATENATE("Table!",ADDRESS($AC51,MATCH(L$1,INDIRECT("Table!A" &amp; $AG51):INDIRECT("Table!" &amp; $AJ$69 &amp; $AG51),0)))))</f>
        <v>0.83709192033739988</v>
      </c>
      <c r="M51" s="273">
        <f ca="1">IF(ISERROR(MATCH(M$1,INDIRECT("Table!A"&amp;$AG51):INDIRECT("Table!" &amp; $AJ$69 &amp; $AG51),0)),"",INDIRECT(CONCATENATE("Table!",ADDRESS($AC51,MATCH(M$1,INDIRECT("Table!A" &amp; $AG51):INDIRECT("Table!" &amp; $AJ$69 &amp; $AG51),0)))))</f>
        <v>0.43820199208524147</v>
      </c>
      <c r="N51" s="273">
        <f ca="1">IF(ISERROR(MATCH(N$1,INDIRECT("Table!A"&amp;$AG51):INDIRECT("Table!" &amp; $AJ$69 &amp; $AG51),0)),"",INDIRECT(CONCATENATE("Table!",ADDRESS($AC51,MATCH(N$1,INDIRECT("Table!A" &amp; $AG51):INDIRECT("Table!" &amp; $AJ$69 &amp; $AG51),0)))))</f>
        <v>0.65065770864510319</v>
      </c>
      <c r="O51" s="273">
        <f ca="1">IF(ISERROR(MATCH(O$1,INDIRECT("Table!A"&amp;$AG51):INDIRECT("Table!" &amp; $AJ$69 &amp; $AG51),0)),"",INDIRECT(CONCATENATE("Table!",ADDRESS($AC51,MATCH(O$1,INDIRECT("Table!A" &amp; $AG51):INDIRECT("Table!" &amp; $AJ$69 &amp; $AG51),0)))))</f>
        <v>0.57952240213232764</v>
      </c>
      <c r="P51" s="273">
        <f ca="1">IF(ISERROR(MATCH(P$1,INDIRECT("Table!A"&amp;$AG51):INDIRECT("Table!" &amp; $AJ$69 &amp; $AG51),0)),"",INDIRECT(CONCATENATE("Table!",ADDRESS($AC51,MATCH(P$1,INDIRECT("Table!A" &amp; $AG51):INDIRECT("Table!" &amp; $AJ$69 &amp; $AG51),0)))))</f>
        <v>0.10520558079263501</v>
      </c>
      <c r="Q51" s="273">
        <f ca="1">IF(ISERROR(MATCH(Q$1,INDIRECT("Table!A"&amp;$AG51):INDIRECT("Table!" &amp; $AJ$69 &amp; $AG51),0)),"",INDIRECT(CONCATENATE("Table!",ADDRESS($AC51,MATCH(Q$1,INDIRECT("Table!A" &amp; $AG51):INDIRECT("Table!" &amp; $AJ$69 &amp; $AG51),0)))))</f>
        <v>1.0269782878333128E-2</v>
      </c>
      <c r="R51" s="273">
        <f ca="1">IF(ISERROR(MATCH(R$1,INDIRECT("Table!A"&amp;$AG51):INDIRECT("Table!" &amp; $AJ$69 &amp; $AG51),0)),"",INDIRECT(CONCATENATE("Table!",ADDRESS($AC51,MATCH(R$1,INDIRECT("Table!A" &amp; $AG51):INDIRECT("Table!" &amp; $AJ$69 &amp; $AG51),0)))))</f>
        <v>3.5587188612099643E-5</v>
      </c>
      <c r="S51" s="273">
        <f ca="1">IF(ISERROR(MATCH(S$1,INDIRECT("Table!A"&amp;$AG51):INDIRECT("Table!" &amp; $AJ$43 &amp; $AG51),0)),"",INDIRECT(CONCATENATE("Table!",ADDRESS($AC51,MATCH(S$1,INDIRECT("Table!A" &amp; $AG51):INDIRECT("Table!" &amp; $AJ$43 &amp; $AG51),0)))))</f>
        <v>0.15496908487606753</v>
      </c>
      <c r="T51" s="273">
        <f ca="1">IF(ISERROR(MATCH(T$1,INDIRECT("Table!A"&amp;$AG51):INDIRECT("Table!" &amp; $AJ$43 &amp; $AG51),0)),"",INDIRECT(CONCATENATE("Table!",ADDRESS($AC51,MATCH(T$1,INDIRECT("Table!A" &amp; $AG51):INDIRECT("Table!" &amp; $AJ$43 &amp; $AG51),0)))))</f>
        <v>0.15000377751922755</v>
      </c>
      <c r="U51" s="596" t="str">
        <f ca="1">IF(ISERROR(MATCH(U$1,INDIRECT("Table!A"&amp;$AG51):INDIRECT("Table!" &amp; $AJ$43 &amp; $AG51),0)),"",INDIRECT(CONCATENATE("Table!",ADDRESS($AC51,MATCH(U$1,INDIRECT("Table!A" &amp; $AG51):INDIRECT("Table!" &amp; $AJ$43 &amp; $AG51),0)))))</f>
        <v/>
      </c>
      <c r="V51" s="596"/>
      <c r="W51" s="596"/>
      <c r="X51" s="596"/>
      <c r="Y51" s="596"/>
      <c r="Z51" s="596"/>
      <c r="AA51" s="596"/>
      <c r="AB51" s="596"/>
      <c r="AC51" s="272">
        <f>MATCH($A51,Table!$A:$A,0)+$AE$2-1</f>
        <v>596</v>
      </c>
      <c r="AD51" s="407"/>
      <c r="AE51" s="407"/>
      <c r="AF51" s="407"/>
      <c r="AG51" s="272">
        <f>MATCH($A51,Table!$A:$A,0)+$AI$2-1</f>
        <v>593</v>
      </c>
      <c r="AH51" s="407"/>
      <c r="AJ51" s="743" t="s">
        <v>285</v>
      </c>
    </row>
    <row r="52" spans="1:36" s="267" customFormat="1" ht="15.75" customHeight="1" x14ac:dyDescent="0.25">
      <c r="A52" s="268">
        <v>41437</v>
      </c>
      <c r="B52" s="273">
        <f ca="1">IF(ISERROR(MATCH(B$1,INDIRECT("Table!A"&amp;$AG52):INDIRECT("Table!" &amp; $AJ$91 &amp; $AG52),0)),"",INDIRECT(CONCATENATE("Table!",ADDRESS($AC52,MATCH(B$1,INDIRECT("Table!A" &amp; $AG52):INDIRECT("Table!" &amp; $AJ$90 &amp; $AG52),0)))))</f>
        <v>0.29061042031340439</v>
      </c>
      <c r="C52" s="273">
        <f ca="1">IF(ISERROR(MATCH(C$1,INDIRECT("Table!A"&amp;$AG52):INDIRECT("Table!" &amp; $AJ$90 &amp; $AG52),0)),"",INDIRECT(CONCATENATE("Table!",ADDRESS($AC52,MATCH(C$1,INDIRECT("Table!A" &amp; $AG52):INDIRECT("Table!" &amp; $AJ$90 &amp; $AG52),0)))))</f>
        <v>0.52196002171187639</v>
      </c>
      <c r="D52" s="273">
        <f ca="1">IF(ISERROR(MATCH(D$1,INDIRECT("Table!A"&amp;$AG52):INDIRECT("Table!" &amp; $AJ$90 &amp; $AG52),0)),"",INDIRECT(CONCATENATE("Table!",ADDRESS($AC52,MATCH(D$1,INDIRECT("Table!A" &amp; $AG52):INDIRECT("Table!" &amp; $AJ$90 &amp; $AG52),0)))))</f>
        <v>0.53181208463911311</v>
      </c>
      <c r="E52" s="273">
        <f ca="1">IF(ISERROR(MATCH(E$1,INDIRECT("Table!A"&amp;$AG52):INDIRECT("Table!" &amp; $AJ$90 &amp; $AG52),0)),"",INDIRECT(CONCATENATE("Table!",ADDRESS($AC52,MATCH(E$1,INDIRECT("Table!A" &amp; $AG52):INDIRECT("Table!" &amp; $AJ$90 &amp; $AG52),0)))))</f>
        <v>0.88547334088653828</v>
      </c>
      <c r="F52" s="273">
        <f ca="1">IF(ISERROR(MATCH(F$1,INDIRECT("Table!A"&amp;$AG52):INDIRECT("Table!" &amp; $AJ$90 &amp; $AG52),0)),"",INDIRECT(CONCATENATE("Table!",ADDRESS($AC52,MATCH(F$1,INDIRECT("Table!A" &amp; $AG52):INDIRECT("Table!" &amp; $AJ$90 &amp; $AG52),0)))))</f>
        <v>0.62832655898218526</v>
      </c>
      <c r="G52" s="273">
        <f ca="1">IF(ISERROR(MATCH(G$1,INDIRECT("Table!A"&amp;$AG52):INDIRECT("Table!" &amp; $AJ$90 &amp; $AG52),0)),"",INDIRECT(CONCATENATE("Table!",ADDRESS($AC52,MATCH(G$1,INDIRECT("Table!A" &amp; $AG52):INDIRECT("Table!" &amp; $AJ$90 &amp; $AG52),0)))))</f>
        <v>0.41639970060446718</v>
      </c>
      <c r="H52" s="273">
        <f ca="1">IF(ISERROR(MATCH(H$1,INDIRECT("Table!A"&amp;$AG52):INDIRECT("Table!" &amp; $AJ$90 &amp; $AG52),0)),"",INDIRECT(CONCATENATE("Table!",ADDRESS($AC52,MATCH(H$1,INDIRECT("Table!A" &amp; $AG52):INDIRECT("Table!" &amp; $AJ$90 &amp; $AG52),0)))))</f>
        <v>0.51215193901102307</v>
      </c>
      <c r="I52" s="273">
        <f ca="1">IF(ISERROR(MATCH(I$1,INDIRECT("Table!A"&amp;$AG52):INDIRECT("Table!" &amp; $AJ$69 &amp; $AG52),0)),"",INDIRECT(CONCATENATE("Table!",ADDRESS($AC52,MATCH(I$1,INDIRECT("Table!A" &amp; $AG52):INDIRECT("Table!" &amp; $AJ$69 &amp; $AG52),0)))))</f>
        <v>9.9834092358275894E-2</v>
      </c>
      <c r="J52" s="273">
        <f ca="1">IF(ISERROR(MATCH(J$1,INDIRECT("Table!A"&amp;$AG52):INDIRECT("Table!" &amp; $AJ$69 &amp; $AG52),0)),"",INDIRECT(CONCATENATE("Table!",ADDRESS($AC52,MATCH(J$1,INDIRECT("Table!A" &amp; $AG52):INDIRECT("Table!" &amp; $AJ$69 &amp; $AG52),0)))))</f>
        <v>2.9217111271745105E-5</v>
      </c>
      <c r="K52" s="273">
        <f ca="1">IF(ISERROR(MATCH(K$1,INDIRECT("Table!A"&amp;$AG52):INDIRECT("Table!" &amp; $AJ$69 &amp; $AG52),0)),"",INDIRECT(CONCATENATE("Table!",ADDRESS($AC52,MATCH(K$1,INDIRECT("Table!A" &amp; $AG52):INDIRECT("Table!" &amp; $AJ$69 &amp; $AG52),0)))))</f>
        <v>3.5587188612099643E-5</v>
      </c>
      <c r="L52" s="273">
        <f ca="1">IF(ISERROR(MATCH(L$1,INDIRECT("Table!A"&amp;$AG52):INDIRECT("Table!" &amp; $AJ$69 &amp; $AG52),0)),"",INDIRECT(CONCATENATE("Table!",ADDRESS($AC52,MATCH(L$1,INDIRECT("Table!A" &amp; $AG52):INDIRECT("Table!" &amp; $AJ$69 &amp; $AG52),0)))))</f>
        <v>0.83617340597868395</v>
      </c>
      <c r="M52" s="273">
        <f ca="1">IF(ISERROR(MATCH(M$1,INDIRECT("Table!A"&amp;$AG52):INDIRECT("Table!" &amp; $AJ$69 &amp; $AG52),0)),"",INDIRECT(CONCATENATE("Table!",ADDRESS($AC52,MATCH(M$1,INDIRECT("Table!A" &amp; $AG52):INDIRECT("Table!" &amp; $AJ$69 &amp; $AG52),0)))))</f>
        <v>0.42481849713432462</v>
      </c>
      <c r="N52" s="273">
        <f ca="1">IF(ISERROR(MATCH(N$1,INDIRECT("Table!A"&amp;$AG52):INDIRECT("Table!" &amp; $AJ$69 &amp; $AG52),0)),"",INDIRECT(CONCATENATE("Table!",ADDRESS($AC52,MATCH(N$1,INDIRECT("Table!A" &amp; $AG52):INDIRECT("Table!" &amp; $AJ$69 &amp; $AG52),0)))))</f>
        <v>0.64526041200774586</v>
      </c>
      <c r="O52" s="273">
        <f ca="1">IF(ISERROR(MATCH(O$1,INDIRECT("Table!A"&amp;$AG52):INDIRECT("Table!" &amp; $AJ$69 &amp; $AG52),0)),"",INDIRECT(CONCATENATE("Table!",ADDRESS($AC52,MATCH(O$1,INDIRECT("Table!A" &amp; $AG52):INDIRECT("Table!" &amp; $AJ$69 &amp; $AG52),0)))))</f>
        <v>0.58043625682217914</v>
      </c>
      <c r="P52" s="273">
        <f ca="1">IF(ISERROR(MATCH(P$1,INDIRECT("Table!A"&amp;$AG52):INDIRECT("Table!" &amp; $AJ$69 &amp; $AG52),0)),"",INDIRECT(CONCATENATE("Table!",ADDRESS($AC52,MATCH(P$1,INDIRECT("Table!A" &amp; $AG52):INDIRECT("Table!" &amp; $AJ$69 &amp; $AG52),0)))))</f>
        <v>0.1026622634074167</v>
      </c>
      <c r="Q52" s="273">
        <f ca="1">IF(ISERROR(MATCH(Q$1,INDIRECT("Table!A"&amp;$AG52):INDIRECT("Table!" &amp; $AJ$69 &amp; $AG52),0)),"",INDIRECT(CONCATENATE("Table!",ADDRESS($AC52,MATCH(Q$1,INDIRECT("Table!A" &amp; $AG52):INDIRECT("Table!" &amp; $AJ$69 &amp; $AG52),0)))))</f>
        <v>2.8574210399319299E-5</v>
      </c>
      <c r="R52" s="273">
        <f ca="1">IF(ISERROR(MATCH(R$1,INDIRECT("Table!A"&amp;$AG52):INDIRECT("Table!" &amp; $AJ$69 &amp; $AG52),0)),"",INDIRECT(CONCATENATE("Table!",ADDRESS($AC52,MATCH(R$1,INDIRECT("Table!A" &amp; $AG52):INDIRECT("Table!" &amp; $AJ$69 &amp; $AG52),0)))))</f>
        <v>3.5587188612099643E-5</v>
      </c>
      <c r="S52" s="273">
        <f ca="1">IF(ISERROR(MATCH(S$1,INDIRECT("Table!A"&amp;$AG52):INDIRECT("Table!" &amp; $AJ$43 &amp; $AG52),0)),"",INDIRECT(CONCATENATE("Table!",ADDRESS($AC52,MATCH(S$1,INDIRECT("Table!A" &amp; $AG52):INDIRECT("Table!" &amp; $AJ$43 &amp; $AG52),0)))))</f>
        <v>0.14838171565338795</v>
      </c>
      <c r="T52" s="273">
        <f ca="1">IF(ISERROR(MATCH(T$1,INDIRECT("Table!A"&amp;$AG52):INDIRECT("Table!" &amp; $AJ$43 &amp; $AG52),0)),"",INDIRECT(CONCATENATE("Table!",ADDRESS($AC52,MATCH(T$1,INDIRECT("Table!A" &amp; $AG52):INDIRECT("Table!" &amp; $AJ$43 &amp; $AG52),0)))))</f>
        <v>0.14198032667986279</v>
      </c>
      <c r="U52" s="596" t="str">
        <f ca="1">IF(ISERROR(MATCH(U$1,INDIRECT("Table!A"&amp;$AG52):INDIRECT("Table!" &amp; $AJ$43 &amp; $AG52),0)),"",INDIRECT(CONCATENATE("Table!",ADDRESS($AC52,MATCH(U$1,INDIRECT("Table!A" &amp; $AG52):INDIRECT("Table!" &amp; $AJ$43 &amp; $AG52),0)))))</f>
        <v/>
      </c>
      <c r="V52" s="596"/>
      <c r="W52" s="596"/>
      <c r="X52" s="596"/>
      <c r="Y52" s="596"/>
      <c r="Z52" s="596"/>
      <c r="AA52" s="596"/>
      <c r="AB52" s="596"/>
      <c r="AC52" s="272">
        <f>MATCH($A52,Table!$A:$A,0)+$AE$2-1</f>
        <v>608</v>
      </c>
      <c r="AD52" s="388"/>
      <c r="AE52" s="388"/>
      <c r="AF52" s="388"/>
      <c r="AG52" s="272">
        <f>MATCH($A52,Table!$A:$A,0)+$AI$2-1</f>
        <v>605</v>
      </c>
      <c r="AH52" s="388"/>
      <c r="AJ52" s="743" t="s">
        <v>285</v>
      </c>
    </row>
    <row r="53" spans="1:36" s="267" customFormat="1" ht="15.75" customHeight="1" x14ac:dyDescent="0.25">
      <c r="A53" s="268">
        <v>41430</v>
      </c>
      <c r="B53" s="273">
        <f ca="1">IF(ISERROR(MATCH(B$1,INDIRECT("Table!A"&amp;$AG53):INDIRECT("Table!" &amp; $AJ$91 &amp; $AG53),0)),"",INDIRECT(CONCATENATE("Table!",ADDRESS($AC53,MATCH(B$1,INDIRECT("Table!A" &amp; $AG53):INDIRECT("Table!" &amp; $AJ$90 &amp; $AG53),0)))))</f>
        <v>0.29161697777145473</v>
      </c>
      <c r="C53" s="273">
        <f ca="1">IF(ISERROR(MATCH(C$1,INDIRECT("Table!A"&amp;$AG53):INDIRECT("Table!" &amp; $AJ$90 &amp; $AG53),0)),"",INDIRECT(CONCATENATE("Table!",ADDRESS($AC53,MATCH(C$1,INDIRECT("Table!A" &amp; $AG53):INDIRECT("Table!" &amp; $AJ$90 &amp; $AG53),0)))))</f>
        <v>0.52170004743688048</v>
      </c>
      <c r="D53" s="273">
        <f ca="1">IF(ISERROR(MATCH(D$1,INDIRECT("Table!A"&amp;$AG53):INDIRECT("Table!" &amp; $AJ$90 &amp; $AG53),0)),"",INDIRECT(CONCATENATE("Table!",ADDRESS($AC53,MATCH(D$1,INDIRECT("Table!A" &amp; $AG53):INDIRECT("Table!" &amp; $AJ$90 &amp; $AG53),0)))))</f>
        <v>0.53168703883579005</v>
      </c>
      <c r="E53" s="273">
        <f ca="1">IF(ISERROR(MATCH(E$1,INDIRECT("Table!A"&amp;$AG53):INDIRECT("Table!" &amp; $AJ$90 &amp; $AG53),0)),"",INDIRECT(CONCATENATE("Table!",ADDRESS($AC53,MATCH(E$1,INDIRECT("Table!A" &amp; $AG53):INDIRECT("Table!" &amp; $AJ$90 &amp; $AG53),0)))))</f>
        <v>0.88431068946987279</v>
      </c>
      <c r="F53" s="273">
        <f ca="1">IF(ISERROR(MATCH(F$1,INDIRECT("Table!A"&amp;$AG53):INDIRECT("Table!" &amp; $AJ$90 &amp; $AG53),0)),"",INDIRECT(CONCATENATE("Table!",ADDRESS($AC53,MATCH(F$1,INDIRECT("Table!A" &amp; $AG53):INDIRECT("Table!" &amp; $AJ$90 &amp; $AG53),0)))))</f>
        <v>0.62386304226288514</v>
      </c>
      <c r="G53" s="273">
        <f ca="1">IF(ISERROR(MATCH(G$1,INDIRECT("Table!A"&amp;$AG53):INDIRECT("Table!" &amp; $AJ$90 &amp; $AG53),0)),"",INDIRECT(CONCATENATE("Table!",ADDRESS($AC53,MATCH(G$1,INDIRECT("Table!A" &amp; $AG53):INDIRECT("Table!" &amp; $AJ$90 &amp; $AG53),0)))))</f>
        <v>0.39464701964701965</v>
      </c>
      <c r="H53" s="273">
        <f ca="1">IF(ISERROR(MATCH(H$1,INDIRECT("Table!A"&amp;$AG53):INDIRECT("Table!" &amp; $AJ$90 &amp; $AG53),0)),"",INDIRECT(CONCATENATE("Table!",ADDRESS($AC53,MATCH(H$1,INDIRECT("Table!A" &amp; $AG53):INDIRECT("Table!" &amp; $AJ$90 &amp; $AG53),0)))))</f>
        <v>0.51095347332785079</v>
      </c>
      <c r="I53" s="273">
        <f ca="1">IF(ISERROR(MATCH(I$1,INDIRECT("Table!A"&amp;$AG53):INDIRECT("Table!" &amp; $AJ$69 &amp; $AG53),0)),"",INDIRECT(CONCATENATE("Table!",ADDRESS($AC53,MATCH(I$1,INDIRECT("Table!A" &amp; $AG53):INDIRECT("Table!" &amp; $AJ$69 &amp; $AG53),0)))))</f>
        <v>9.5759279229807218E-2</v>
      </c>
      <c r="J53" s="273">
        <f ca="1">IF(ISERROR(MATCH(J$1,INDIRECT("Table!A"&amp;$AG53):INDIRECT("Table!" &amp; $AJ$69 &amp; $AG53),0)),"",INDIRECT(CONCATENATE("Table!",ADDRESS($AC53,MATCH(J$1,INDIRECT("Table!A" &amp; $AG53):INDIRECT("Table!" &amp; $AJ$69 &amp; $AG53),0)))))</f>
        <v>2.8407835512319535E-5</v>
      </c>
      <c r="K53" s="273" t="str">
        <f ca="1">IF(ISERROR(MATCH(K$1,INDIRECT("Table!A"&amp;$AG53):INDIRECT("Table!" &amp; $AJ$69 &amp; $AG53),0)),"",INDIRECT(CONCATENATE("Table!",ADDRESS($AC53,MATCH(K$1,INDIRECT("Table!A" &amp; $AG53):INDIRECT("Table!" &amp; $AJ$69 &amp; $AG53),0)))))</f>
        <v/>
      </c>
      <c r="L53" s="273">
        <f ca="1">IF(ISERROR(MATCH(L$1,INDIRECT("Table!A"&amp;$AG53):INDIRECT("Table!" &amp; $AJ$69 &amp; $AG53),0)),"",INDIRECT(CONCATENATE("Table!",ADDRESS($AC53,MATCH(L$1,INDIRECT("Table!A" &amp; $AG53):INDIRECT("Table!" &amp; $AJ$69 &amp; $AG53),0)))))</f>
        <v>0.83339377392799974</v>
      </c>
      <c r="M53" s="273">
        <f ca="1">IF(ISERROR(MATCH(M$1,INDIRECT("Table!A"&amp;$AG53):INDIRECT("Table!" &amp; $AJ$69 &amp; $AG53),0)),"",INDIRECT(CONCATENATE("Table!",ADDRESS($AC53,MATCH(M$1,INDIRECT("Table!A" &amp; $AG53):INDIRECT("Table!" &amp; $AJ$69 &amp; $AG53),0)))))</f>
        <v>0.45924611865994808</v>
      </c>
      <c r="N53" s="273">
        <f ca="1">IF(ISERROR(MATCH(N$1,INDIRECT("Table!A"&amp;$AG53):INDIRECT("Table!" &amp; $AJ$69 &amp; $AG53),0)),"",INDIRECT(CONCATENATE("Table!",ADDRESS($AC53,MATCH(N$1,INDIRECT("Table!A" &amp; $AG53):INDIRECT("Table!" &amp; $AJ$69 &amp; $AG53),0)))))</f>
        <v>0.64013862580581993</v>
      </c>
      <c r="O53" s="273">
        <f ca="1">IF(ISERROR(MATCH(O$1,INDIRECT("Table!A"&amp;$AG53):INDIRECT("Table!" &amp; $AJ$69 &amp; $AG53),0)),"",INDIRECT(CONCATENATE("Table!",ADDRESS($AC53,MATCH(O$1,INDIRECT("Table!A" &amp; $AG53):INDIRECT("Table!" &amp; $AJ$69 &amp; $AG53),0)))))</f>
        <v>0.57929067469311524</v>
      </c>
      <c r="P53" s="273">
        <f ca="1">IF(ISERROR(MATCH(P$1,INDIRECT("Table!A"&amp;$AG53):INDIRECT("Table!" &amp; $AJ$69 &amp; $AG53),0)),"",INDIRECT(CONCATENATE("Table!",ADDRESS($AC53,MATCH(P$1,INDIRECT("Table!A" &amp; $AG53):INDIRECT("Table!" &amp; $AJ$69 &amp; $AG53),0)))))</f>
        <v>9.6986957935427928E-2</v>
      </c>
      <c r="Q53" s="273">
        <f ca="1">IF(ISERROR(MATCH(Q$1,INDIRECT("Table!A"&amp;$AG53):INDIRECT("Table!" &amp; $AJ$69 &amp; $AG53),0)),"",INDIRECT(CONCATENATE("Table!",ADDRESS($AC53,MATCH(Q$1,INDIRECT("Table!A" &amp; $AG53):INDIRECT("Table!" &amp; $AJ$69 &amp; $AG53),0)))))</f>
        <v>2.8574210399319299E-5</v>
      </c>
      <c r="R53" s="273" t="str">
        <f ca="1">IF(ISERROR(MATCH(R$1,INDIRECT("Table!A"&amp;$AG53):INDIRECT("Table!" &amp; $AJ$69 &amp; $AG53),0)),"",INDIRECT(CONCATENATE("Table!",ADDRESS($AC53,MATCH(R$1,INDIRECT("Table!A" &amp; $AG53):INDIRECT("Table!" &amp; $AJ$69 &amp; $AG53),0)))))</f>
        <v/>
      </c>
      <c r="S53" s="273">
        <f ca="1">IF(ISERROR(MATCH(S$1,INDIRECT("Table!A"&amp;$AG53):INDIRECT("Table!" &amp; $AJ$43 &amp; $AG53),0)),"",INDIRECT(CONCATENATE("Table!",ADDRESS($AC53,MATCH(S$1,INDIRECT("Table!A" &amp; $AG53):INDIRECT("Table!" &amp; $AJ$43 &amp; $AG53),0)))))</f>
        <v>0.1471741219560842</v>
      </c>
      <c r="T53" s="273">
        <f ca="1">IF(ISERROR(MATCH(T$1,INDIRECT("Table!A"&amp;$AG53):INDIRECT("Table!" &amp; $AJ$43 &amp; $AG53),0)),"",INDIRECT(CONCATENATE("Table!",ADDRESS($AC53,MATCH(T$1,INDIRECT("Table!A" &amp; $AG53):INDIRECT("Table!" &amp; $AJ$43 &amp; $AG53),0)))))</f>
        <v>0.14114625043441473</v>
      </c>
      <c r="U53" s="596" t="str">
        <f ca="1">IF(ISERROR(MATCH(U$1,INDIRECT("Table!A"&amp;$AG53):INDIRECT("Table!" &amp; $AJ$43 &amp; $AG53),0)),"",INDIRECT(CONCATENATE("Table!",ADDRESS($AC53,MATCH(U$1,INDIRECT("Table!A" &amp; $AG53):INDIRECT("Table!" &amp; $AJ$43 &amp; $AG53),0)))))</f>
        <v/>
      </c>
      <c r="V53" s="596"/>
      <c r="W53" s="596"/>
      <c r="X53" s="596"/>
      <c r="Y53" s="596"/>
      <c r="Z53" s="596"/>
      <c r="AA53" s="596"/>
      <c r="AB53" s="596"/>
      <c r="AC53" s="272">
        <f>MATCH($A53,Table!$A:$A,0)+$AE$2-1</f>
        <v>620</v>
      </c>
      <c r="AD53" s="384"/>
      <c r="AE53" s="384"/>
      <c r="AF53" s="384"/>
      <c r="AG53" s="272">
        <f>MATCH($A53,Table!$A:$A,0)+$AI$2-1</f>
        <v>617</v>
      </c>
      <c r="AH53" s="384"/>
      <c r="AJ53" s="743" t="s">
        <v>285</v>
      </c>
    </row>
    <row r="54" spans="1:36" s="267" customFormat="1" ht="15.75" customHeight="1" x14ac:dyDescent="0.25">
      <c r="A54" s="268">
        <v>41428</v>
      </c>
      <c r="B54" s="273">
        <f ca="1">IF(ISERROR(MATCH(B$1,INDIRECT("Table!A"&amp;$AG54):INDIRECT("Table!" &amp; $AJ$91 &amp; $AG54),0)),"",INDIRECT(CONCATENATE("Table!",ADDRESS($AC54,MATCH(B$1,INDIRECT("Table!A" &amp; $AG54):INDIRECT("Table!" &amp; $AJ$90 &amp; $AG54),0)))))</f>
        <v>0.28864889443079889</v>
      </c>
      <c r="C54" s="273">
        <f ca="1">IF(ISERROR(MATCH(C$1,INDIRECT("Table!A"&amp;$AG54):INDIRECT("Table!" &amp; $AJ$90 &amp; $AG54),0)),"",INDIRECT(CONCATENATE("Table!",ADDRESS($AC54,MATCH(C$1,INDIRECT("Table!A" &amp; $AG54):INDIRECT("Table!" &amp; $AJ$90 &amp; $AG54),0)))))</f>
        <v>0.52167280777167579</v>
      </c>
      <c r="D54" s="273">
        <f ca="1">IF(ISERROR(MATCH(D$1,INDIRECT("Table!A"&amp;$AG54):INDIRECT("Table!" &amp; $AJ$90 &amp; $AG54),0)),"",INDIRECT(CONCATENATE("Table!",ADDRESS($AC54,MATCH(D$1,INDIRECT("Table!A" &amp; $AG54):INDIRECT("Table!" &amp; $AJ$90 &amp; $AG54),0)))))</f>
        <v>0.53166046355266361</v>
      </c>
      <c r="E54" s="273">
        <f ca="1">IF(ISERROR(MATCH(E$1,INDIRECT("Table!A"&amp;$AG54):INDIRECT("Table!" &amp; $AJ$90 &amp; $AG54),0)),"",INDIRECT(CONCATENATE("Table!",ADDRESS($AC54,MATCH(E$1,INDIRECT("Table!A" &amp; $AG54):INDIRECT("Table!" &amp; $AJ$90 &amp; $AG54),0)))))</f>
        <v>0.88410629139473118</v>
      </c>
      <c r="F54" s="273">
        <f ca="1">IF(ISERROR(MATCH(F$1,INDIRECT("Table!A"&amp;$AG54):INDIRECT("Table!" &amp; $AJ$90 &amp; $AG54),0)),"",INDIRECT(CONCATENATE("Table!",ADDRESS($AC54,MATCH(F$1,INDIRECT("Table!A" &amp; $AG54):INDIRECT("Table!" &amp; $AJ$90 &amp; $AG54),0)))))</f>
        <v>0.62273401731614808</v>
      </c>
      <c r="G54" s="273">
        <f ca="1">IF(ISERROR(MATCH(G$1,INDIRECT("Table!A"&amp;$AG54):INDIRECT("Table!" &amp; $AJ$90 &amp; $AG54),0)),"",INDIRECT(CONCATENATE("Table!",ADDRESS($AC54,MATCH(G$1,INDIRECT("Table!A" &amp; $AG54):INDIRECT("Table!" &amp; $AJ$90 &amp; $AG54),0)))))</f>
        <v>0.40575182393364212</v>
      </c>
      <c r="H54" s="273">
        <f ca="1">IF(ISERROR(MATCH(H$1,INDIRECT("Table!A"&amp;$AG54):INDIRECT("Table!" &amp; $AJ$90 &amp; $AG54),0)),"",INDIRECT(CONCATENATE("Table!",ADDRESS($AC54,MATCH(H$1,INDIRECT("Table!A" &amp; $AG54):INDIRECT("Table!" &amp; $AJ$90 &amp; $AG54),0)))))</f>
        <v>0.5093449908345743</v>
      </c>
      <c r="I54" s="273">
        <f ca="1">IF(ISERROR(MATCH(I$1,INDIRECT("Table!A"&amp;$AG54):INDIRECT("Table!" &amp; $AJ$69 &amp; $AG54),0)),"",INDIRECT(CONCATENATE("Table!",ADDRESS($AC54,MATCH(I$1,INDIRECT("Table!A" &amp; $AG54):INDIRECT("Table!" &amp; $AJ$69 &amp; $AG54),0)))))</f>
        <v>9.5640660196209121E-2</v>
      </c>
      <c r="J54" s="273">
        <f ca="1">IF(ISERROR(MATCH(J$1,INDIRECT("Table!A"&amp;$AG54):INDIRECT("Table!" &amp; $AJ$69 &amp; $AG54),0)),"",INDIRECT(CONCATENATE("Table!",ADDRESS($AC54,MATCH(J$1,INDIRECT("Table!A" &amp; $AG54):INDIRECT("Table!" &amp; $AJ$69 &amp; $AG54),0)))))</f>
        <v>2.8407835512319535E-5</v>
      </c>
      <c r="K54" s="273" t="str">
        <f ca="1">IF(ISERROR(MATCH(K$1,INDIRECT("Table!A"&amp;$AG54):INDIRECT("Table!" &amp; $AJ$69 &amp; $AG54),0)),"",INDIRECT(CONCATENATE("Table!",ADDRESS($AC54,MATCH(K$1,INDIRECT("Table!A" &amp; $AG54):INDIRECT("Table!" &amp; $AJ$69 &amp; $AG54),0)))))</f>
        <v/>
      </c>
      <c r="L54" s="273">
        <f ca="1">IF(ISERROR(MATCH(L$1,INDIRECT("Table!A"&amp;$AG54):INDIRECT("Table!" &amp; $AJ$69 &amp; $AG54),0)),"",INDIRECT(CONCATENATE("Table!",ADDRESS($AC54,MATCH(L$1,INDIRECT("Table!A" &amp; $AG54):INDIRECT("Table!" &amp; $AJ$69 &amp; $AG54),0)))))</f>
        <v>0.83315494723536088</v>
      </c>
      <c r="M54" s="273">
        <f ca="1">IF(ISERROR(MATCH(M$1,INDIRECT("Table!A"&amp;$AG54):INDIRECT("Table!" &amp; $AJ$69 &amp; $AG54),0)),"",INDIRECT(CONCATENATE("Table!",ADDRESS($AC54,MATCH(M$1,INDIRECT("Table!A" &amp; $AG54):INDIRECT("Table!" &amp; $AJ$69 &amp; $AG54),0)))))</f>
        <v>0.46626560369084896</v>
      </c>
      <c r="N54" s="273">
        <f ca="1">IF(ISERROR(MATCH(N$1,INDIRECT("Table!A"&amp;$AG54):INDIRECT("Table!" &amp; $AJ$69 &amp; $AG54),0)),"",INDIRECT(CONCATENATE("Table!",ADDRESS($AC54,MATCH(N$1,INDIRECT("Table!A" &amp; $AG54):INDIRECT("Table!" &amp; $AJ$69 &amp; $AG54),0)))))</f>
        <v>0.63922476890662339</v>
      </c>
      <c r="O54" s="273">
        <f ca="1">IF(ISERROR(MATCH(O$1,INDIRECT("Table!A"&amp;$AG54):INDIRECT("Table!" &amp; $AJ$69 &amp; $AG54),0)),"",INDIRECT(CONCATENATE("Table!",ADDRESS($AC54,MATCH(O$1,INDIRECT("Table!A" &amp; $AG54):INDIRECT("Table!" &amp; $AJ$69 &amp; $AG54),0)))))</f>
        <v>0.57823974179978599</v>
      </c>
      <c r="P54" s="273">
        <f ca="1">IF(ISERROR(MATCH(P$1,INDIRECT("Table!A"&amp;$AG54):INDIRECT("Table!" &amp; $AJ$69 &amp; $AG54),0)),"",INDIRECT(CONCATENATE("Table!",ADDRESS($AC54,MATCH(P$1,INDIRECT("Table!A" &amp; $AG54):INDIRECT("Table!" &amp; $AJ$69 &amp; $AG54),0)))))</f>
        <v>9.6868941099965078E-2</v>
      </c>
      <c r="Q54" s="273">
        <f ca="1">IF(ISERROR(MATCH(Q$1,INDIRECT("Table!A"&amp;$AG54):INDIRECT("Table!" &amp; $AJ$69 &amp; $AG54),0)),"",INDIRECT(CONCATENATE("Table!",ADDRESS($AC54,MATCH(Q$1,INDIRECT("Table!A" &amp; $AG54):INDIRECT("Table!" &amp; $AJ$69 &amp; $AG54),0)))))</f>
        <v>2.8151656099369091E-5</v>
      </c>
      <c r="R54" s="273" t="str">
        <f ca="1">IF(ISERROR(MATCH(R$1,INDIRECT("Table!A"&amp;$AG54):INDIRECT("Table!" &amp; $AJ$69 &amp; $AG54),0)),"",INDIRECT(CONCATENATE("Table!",ADDRESS($AC54,MATCH(R$1,INDIRECT("Table!A" &amp; $AG54):INDIRECT("Table!" &amp; $AJ$69 &amp; $AG54),0)))))</f>
        <v/>
      </c>
      <c r="S54" s="273">
        <f ca="1">IF(ISERROR(MATCH(S$1,INDIRECT("Table!A"&amp;$AG54):INDIRECT("Table!" &amp; $AJ$43 &amp; $AG54),0)),"",INDIRECT(CONCATENATE("Table!",ADDRESS($AC54,MATCH(S$1,INDIRECT("Table!A" &amp; $AG54):INDIRECT("Table!" &amp; $AJ$43 &amp; $AG54),0)))))</f>
        <v>0.14576707584631285</v>
      </c>
      <c r="T54" s="273">
        <f ca="1">IF(ISERROR(MATCH(T$1,INDIRECT("Table!A"&amp;$AG54):INDIRECT("Table!" &amp; $AJ$43 &amp; $AG54),0)),"",INDIRECT(CONCATENATE("Table!",ADDRESS($AC54,MATCH(T$1,INDIRECT("Table!A" &amp; $AG54):INDIRECT("Table!" &amp; $AJ$43 &amp; $AG54),0)))))</f>
        <v>0.14084404889620888</v>
      </c>
      <c r="U54" s="596" t="str">
        <f ca="1">IF(ISERROR(MATCH(U$1,INDIRECT("Table!A"&amp;$AG54):INDIRECT("Table!" &amp; $AJ$43 &amp; $AG54),0)),"",INDIRECT(CONCATENATE("Table!",ADDRESS($AC54,MATCH(U$1,INDIRECT("Table!A" &amp; $AG54):INDIRECT("Table!" &amp; $AJ$43 &amp; $AG54),0)))))</f>
        <v/>
      </c>
      <c r="V54" s="596"/>
      <c r="W54" s="596"/>
      <c r="X54" s="596"/>
      <c r="Y54" s="596"/>
      <c r="Z54" s="596"/>
      <c r="AA54" s="596"/>
      <c r="AB54" s="596"/>
      <c r="AC54" s="272">
        <f>MATCH($A54,Table!$A:$A,0)+$AE$2-1</f>
        <v>632</v>
      </c>
      <c r="AD54" s="380"/>
      <c r="AE54" s="380"/>
      <c r="AF54" s="380"/>
      <c r="AG54" s="272">
        <f>MATCH($A54,Table!$A:$A,0)+$AI$2-1</f>
        <v>629</v>
      </c>
      <c r="AH54" s="380"/>
      <c r="AJ54" s="743" t="s">
        <v>285</v>
      </c>
    </row>
    <row r="55" spans="1:36" s="267" customFormat="1" ht="15.75" customHeight="1" x14ac:dyDescent="0.25">
      <c r="A55" s="268">
        <v>41423</v>
      </c>
      <c r="B55" s="273">
        <f ca="1">IF(ISERROR(MATCH(B$1,INDIRECT("Table!A"&amp;$AG55):INDIRECT("Table!" &amp; $AJ$91 &amp; $AG55),0)),"",INDIRECT(CONCATENATE("Table!",ADDRESS($AC55,MATCH(B$1,INDIRECT("Table!A" &amp; $AG55):INDIRECT("Table!" &amp; $AJ$90 &amp; $AG55),0)))))</f>
        <v>0.29081079724001724</v>
      </c>
      <c r="C55" s="273">
        <f ca="1">IF(ISERROR(MATCH(C$1,INDIRECT("Table!A"&amp;$AG55):INDIRECT("Table!" &amp; $AJ$90 &amp; $AG55),0)),"",INDIRECT(CONCATENATE("Table!",ADDRESS($AC55,MATCH(C$1,INDIRECT("Table!A" &amp; $AG55):INDIRECT("Table!" &amp; $AJ$90 &amp; $AG55),0)))))</f>
        <v>0.52005105111888583</v>
      </c>
      <c r="D55" s="273">
        <f ca="1">IF(ISERROR(MATCH(D$1,INDIRECT("Table!A"&amp;$AG55):INDIRECT("Table!" &amp; $AJ$90 &amp; $AG55),0)),"",INDIRECT(CONCATENATE("Table!",ADDRESS($AC55,MATCH(D$1,INDIRECT("Table!A" &amp; $AG55):INDIRECT("Table!" &amp; $AJ$90 &amp; $AG55),0)))))</f>
        <v>0.53003937128195189</v>
      </c>
      <c r="E55" s="273">
        <f ca="1">IF(ISERROR(MATCH(E$1,INDIRECT("Table!A"&amp;$AG55):INDIRECT("Table!" &amp; $AJ$90 &amp; $AG55),0)),"",INDIRECT(CONCATENATE("Table!",ADDRESS($AC55,MATCH(E$1,INDIRECT("Table!A" &amp; $AG55):INDIRECT("Table!" &amp; $AJ$90 &amp; $AG55),0)))))</f>
        <v>0.88314968642478098</v>
      </c>
      <c r="F55" s="273">
        <f ca="1">IF(ISERROR(MATCH(F$1,INDIRECT("Table!A"&amp;$AG55):INDIRECT("Table!" &amp; $AJ$90 &amp; $AG55),0)),"",INDIRECT(CONCATENATE("Table!",ADDRESS($AC55,MATCH(F$1,INDIRECT("Table!A" &amp; $AG55):INDIRECT("Table!" &amp; $AJ$90 &amp; $AG55),0)))))</f>
        <v>0.6177730768649613</v>
      </c>
      <c r="G55" s="273">
        <f ca="1">IF(ISERROR(MATCH(G$1,INDIRECT("Table!A"&amp;$AG55):INDIRECT("Table!" &amp; $AJ$90 &amp; $AG55),0)),"",INDIRECT(CONCATENATE("Table!",ADDRESS($AC55,MATCH(G$1,INDIRECT("Table!A" &amp; $AG55):INDIRECT("Table!" &amp; $AJ$90 &amp; $AG55),0)))))</f>
        <v>0.41163760481942302</v>
      </c>
      <c r="H55" s="273">
        <f ca="1">IF(ISERROR(MATCH(H$1,INDIRECT("Table!A"&amp;$AG55):INDIRECT("Table!" &amp; $AJ$90 &amp; $AG55),0)),"",INDIRECT(CONCATENATE("Table!",ADDRESS($AC55,MATCH(H$1,INDIRECT("Table!A" &amp; $AG55):INDIRECT("Table!" &amp; $AJ$90 &amp; $AG55),0)))))</f>
        <v>0.50634385495348266</v>
      </c>
      <c r="I55" s="273">
        <f ca="1">IF(ISERROR(MATCH(I$1,INDIRECT("Table!A"&amp;$AG55):INDIRECT("Table!" &amp; $AJ$69 &amp; $AG55),0)),"",INDIRECT(CONCATENATE("Table!",ADDRESS($AC55,MATCH(I$1,INDIRECT("Table!A" &amp; $AG55):INDIRECT("Table!" &amp; $AJ$69 &amp; $AG55),0)))))</f>
        <v>9.5543717737278724E-2</v>
      </c>
      <c r="J55" s="273">
        <f ca="1">IF(ISERROR(MATCH(J$1,INDIRECT("Table!A"&amp;$AG55):INDIRECT("Table!" &amp; $AJ$69 &amp; $AG55),0)),"",INDIRECT(CONCATENATE("Table!",ADDRESS($AC55,MATCH(J$1,INDIRECT("Table!A" &amp; $AG55):INDIRECT("Table!" &amp; $AJ$69 &amp; $AG55),0)))))</f>
        <v>2.8407835512319535E-5</v>
      </c>
      <c r="K55" s="273" t="str">
        <f ca="1">IF(ISERROR(MATCH(K$1,INDIRECT("Table!A"&amp;$AG55):INDIRECT("Table!" &amp; $AJ$69 &amp; $AG55),0)),"",INDIRECT(CONCATENATE("Table!",ADDRESS($AC55,MATCH(K$1,INDIRECT("Table!A" &amp; $AG55):INDIRECT("Table!" &amp; $AJ$69 &amp; $AG55),0)))))</f>
        <v/>
      </c>
      <c r="L55" s="273">
        <f ca="1">IF(ISERROR(MATCH(L$1,INDIRECT("Table!A"&amp;$AG55):INDIRECT("Table!" &amp; $AJ$69 &amp; $AG55),0)),"",INDIRECT(CONCATENATE("Table!",ADDRESS($AC55,MATCH(L$1,INDIRECT("Table!A" &amp; $AG55):INDIRECT("Table!" &amp; $AJ$69 &amp; $AG55),0)))))</f>
        <v>0.8326187528169634</v>
      </c>
      <c r="M55" s="273">
        <f ca="1">IF(ISERROR(MATCH(M$1,INDIRECT("Table!A"&amp;$AG55):INDIRECT("Table!" &amp; $AJ$69 &amp; $AG55),0)),"",INDIRECT(CONCATENATE("Table!",ADDRESS($AC55,MATCH(M$1,INDIRECT("Table!A" &amp; $AG55):INDIRECT("Table!" &amp; $AJ$69 &amp; $AG55),0)))))</f>
        <v>0.47843220653254842</v>
      </c>
      <c r="N55" s="273">
        <f ca="1">IF(ISERROR(MATCH(N$1,INDIRECT("Table!A"&amp;$AG55):INDIRECT("Table!" &amp; $AJ$69 &amp; $AG55),0)),"",INDIRECT(CONCATENATE("Table!",ADDRESS($AC55,MATCH(N$1,INDIRECT("Table!A" &amp; $AG55):INDIRECT("Table!" &amp; $AJ$69 &amp; $AG55),0)))))</f>
        <v>0.63447899881899705</v>
      </c>
      <c r="O55" s="273">
        <f ca="1">IF(ISERROR(MATCH(O$1,INDIRECT("Table!A"&amp;$AG55):INDIRECT("Table!" &amp; $AJ$69 &amp; $AG55),0)),"",INDIRECT(CONCATENATE("Table!",ADDRESS($AC55,MATCH(O$1,INDIRECT("Table!A" &amp; $AG55):INDIRECT("Table!" &amp; $AJ$69 &amp; $AG55),0)))))</f>
        <v>0.5713919965186488</v>
      </c>
      <c r="P55" s="273">
        <f ca="1">IF(ISERROR(MATCH(P$1,INDIRECT("Table!A"&amp;$AG55):INDIRECT("Table!" &amp; $AJ$69 &amp; $AG55),0)),"",INDIRECT(CONCATENATE("Table!",ADDRESS($AC55,MATCH(P$1,INDIRECT("Table!A" &amp; $AG55):INDIRECT("Table!" &amp; $AJ$69 &amp; $AG55),0)))))</f>
        <v>9.6771396572694762E-2</v>
      </c>
      <c r="Q55" s="273">
        <f ca="1">IF(ISERROR(MATCH(Q$1,INDIRECT("Table!A"&amp;$AG55):INDIRECT("Table!" &amp; $AJ$69 &amp; $AG55),0)),"",INDIRECT(CONCATENATE("Table!",ADDRESS($AC55,MATCH(Q$1,INDIRECT("Table!A" &amp; $AG55):INDIRECT("Table!" &amp; $AJ$69 &amp; $AG55),0)))))</f>
        <v>2.8151656099369091E-5</v>
      </c>
      <c r="R55" s="273" t="str">
        <f ca="1">IF(ISERROR(MATCH(R$1,INDIRECT("Table!A"&amp;$AG55):INDIRECT("Table!" &amp; $AJ$69 &amp; $AG55),0)),"",INDIRECT(CONCATENATE("Table!",ADDRESS($AC55,MATCH(R$1,INDIRECT("Table!A" &amp; $AG55):INDIRECT("Table!" &amp; $AJ$69 &amp; $AG55),0)))))</f>
        <v/>
      </c>
      <c r="S55" s="273">
        <f ca="1">IF(ISERROR(MATCH(S$1,INDIRECT("Table!A"&amp;$AG55):INDIRECT("Table!" &amp; $AJ$43 &amp; $AG55),0)),"",INDIRECT(CONCATENATE("Table!",ADDRESS($AC55,MATCH(S$1,INDIRECT("Table!A" &amp; $AG55):INDIRECT("Table!" &amp; $AJ$43 &amp; $AG55),0)))))</f>
        <v>0.14545520480136354</v>
      </c>
      <c r="T55" s="273">
        <f ca="1">IF(ISERROR(MATCH(T$1,INDIRECT("Table!A"&amp;$AG55):INDIRECT("Table!" &amp; $AJ$43 &amp; $AG55),0)),"",INDIRECT(CONCATENATE("Table!",ADDRESS($AC55,MATCH(T$1,INDIRECT("Table!A" &amp; $AG55):INDIRECT("Table!" &amp; $AJ$43 &amp; $AG55),0)))))</f>
        <v>0.14027893201976396</v>
      </c>
      <c r="U55" s="596" t="str">
        <f ca="1">IF(ISERROR(MATCH(U$1,INDIRECT("Table!A"&amp;$AG55):INDIRECT("Table!" &amp; $AJ$43 &amp; $AG55),0)),"",INDIRECT(CONCATENATE("Table!",ADDRESS($AC55,MATCH(U$1,INDIRECT("Table!A" &amp; $AG55):INDIRECT("Table!" &amp; $AJ$43 &amp; $AG55),0)))))</f>
        <v/>
      </c>
      <c r="V55" s="596"/>
      <c r="W55" s="596"/>
      <c r="X55" s="596"/>
      <c r="Y55" s="596"/>
      <c r="Z55" s="596"/>
      <c r="AA55" s="596"/>
      <c r="AB55" s="596"/>
      <c r="AC55" s="272">
        <f>MATCH($A55,Table!$A:$A,0)+$AE$2-1</f>
        <v>644</v>
      </c>
      <c r="AD55" s="379"/>
      <c r="AE55" s="379"/>
      <c r="AF55" s="379"/>
      <c r="AG55" s="272">
        <f>MATCH($A55,Table!$A:$A,0)+$AI$2-1</f>
        <v>641</v>
      </c>
      <c r="AH55" s="379"/>
      <c r="AJ55" s="743" t="s">
        <v>285</v>
      </c>
    </row>
    <row r="56" spans="1:36" s="267" customFormat="1" ht="15.75" customHeight="1" x14ac:dyDescent="0.25">
      <c r="A56" s="268">
        <v>41422</v>
      </c>
      <c r="B56" s="273">
        <f ca="1">IF(ISERROR(MATCH(B$1,INDIRECT("Table!A"&amp;$AG56):INDIRECT("Table!" &amp; $AJ$91 &amp; $AG56),0)),"",INDIRECT(CONCATENATE("Table!",ADDRESS($AC56,MATCH(B$1,INDIRECT("Table!A" &amp; $AG56):INDIRECT("Table!" &amp; $AJ$90 &amp; $AG56),0)))))</f>
        <v>0.28816211760472321</v>
      </c>
      <c r="C56" s="273">
        <f ca="1">IF(ISERROR(MATCH(C$1,INDIRECT("Table!A"&amp;$AG56):INDIRECT("Table!" &amp; $AJ$90 &amp; $AG56),0)),"",INDIRECT(CONCATENATE("Table!",ADDRESS($AC56,MATCH(C$1,INDIRECT("Table!A" &amp; $AG56):INDIRECT("Table!" &amp; $AJ$90 &amp; $AG56),0)))))</f>
        <v>0.52002314707160313</v>
      </c>
      <c r="D56" s="273">
        <f ca="1">IF(ISERROR(MATCH(D$1,INDIRECT("Table!A"&amp;$AG56):INDIRECT("Table!" &amp; $AJ$90 &amp; $AG56),0)),"",INDIRECT(CONCATENATE("Table!",ADDRESS($AC56,MATCH(D$1,INDIRECT("Table!A" &amp; $AG56):INDIRECT("Table!" &amp; $AJ$90 &amp; $AG56),0)))))</f>
        <v>0.53001146723466908</v>
      </c>
      <c r="E56" s="273">
        <f ca="1">IF(ISERROR(MATCH(E$1,INDIRECT("Table!A"&amp;$AG56):INDIRECT("Table!" &amp; $AJ$90 &amp; $AG56),0)),"",INDIRECT(CONCATENATE("Table!",ADDRESS($AC56,MATCH(E$1,INDIRECT("Table!A" &amp; $AG56):INDIRECT("Table!" &amp; $AJ$90 &amp; $AG56),0)))))</f>
        <v>0.88296946446605407</v>
      </c>
      <c r="F56" s="273">
        <f ca="1">IF(ISERROR(MATCH(F$1,INDIRECT("Table!A"&amp;$AG56):INDIRECT("Table!" &amp; $AJ$90 &amp; $AG56),0)),"",INDIRECT(CONCATENATE("Table!",ADDRESS($AC56,MATCH(F$1,INDIRECT("Table!A" &amp; $AG56):INDIRECT("Table!" &amp; $AJ$90 &amp; $AG56),0)))))</f>
        <v>0.61644218129070272</v>
      </c>
      <c r="G56" s="273">
        <f ca="1">IF(ISERROR(MATCH(G$1,INDIRECT("Table!A"&amp;$AG56):INDIRECT("Table!" &amp; $AJ$90 &amp; $AG56),0)),"",INDIRECT(CONCATENATE("Table!",ADDRESS($AC56,MATCH(G$1,INDIRECT("Table!A" &amp; $AG56):INDIRECT("Table!" &amp; $AJ$90 &amp; $AG56),0)))))</f>
        <v>0.41622090031180942</v>
      </c>
      <c r="H56" s="273">
        <f ca="1">IF(ISERROR(MATCH(H$1,INDIRECT("Table!A"&amp;$AG56):INDIRECT("Table!" &amp; $AJ$90 &amp; $AG56),0)),"",INDIRECT(CONCATENATE("Table!",ADDRESS($AC56,MATCH(H$1,INDIRECT("Table!A" &amp; $AG56):INDIRECT("Table!" &amp; $AJ$90 &amp; $AG56),0)))))</f>
        <v>0.50506876701335801</v>
      </c>
      <c r="I56" s="273">
        <f ca="1">IF(ISERROR(MATCH(I$1,INDIRECT("Table!A"&amp;$AG56):INDIRECT("Table!" &amp; $AJ$69 &amp; $AG56),0)),"",INDIRECT(CONCATENATE("Table!",ADDRESS($AC56,MATCH(I$1,INDIRECT("Table!A" &amp; $AG56):INDIRECT("Table!" &amp; $AJ$69 &amp; $AG56),0)))))</f>
        <v>9.5540707101908207E-2</v>
      </c>
      <c r="J56" s="273">
        <f ca="1">IF(ISERROR(MATCH(J$1,INDIRECT("Table!A"&amp;$AG56):INDIRECT("Table!" &amp; $AJ$69 &amp; $AG56),0)),"",INDIRECT(CONCATENATE("Table!",ADDRESS($AC56,MATCH(J$1,INDIRECT("Table!A" &amp; $AG56):INDIRECT("Table!" &amp; $AJ$69 &amp; $AG56),0)))))</f>
        <v>2.8407835512319535E-5</v>
      </c>
      <c r="K56" s="273" t="str">
        <f ca="1">IF(ISERROR(MATCH(K$1,INDIRECT("Table!A"&amp;$AG56):INDIRECT("Table!" &amp; $AJ$69 &amp; $AG56),0)),"",INDIRECT(CONCATENATE("Table!",ADDRESS($AC56,MATCH(K$1,INDIRECT("Table!A" &amp; $AG56):INDIRECT("Table!" &amp; $AJ$69 &amp; $AG56),0)))))</f>
        <v/>
      </c>
      <c r="L56" s="273">
        <f ca="1">IF(ISERROR(MATCH(L$1,INDIRECT("Table!A"&amp;$AG56):INDIRECT("Table!" &amp; $AJ$69 &amp; $AG56),0)),"",INDIRECT(CONCATENATE("Table!",ADDRESS($AC56,MATCH(L$1,INDIRECT("Table!A" &amp; $AG56):INDIRECT("Table!" &amp; $AJ$69 &amp; $AG56),0)))))</f>
        <v>0.83238976930688457</v>
      </c>
      <c r="M56" s="273">
        <f ca="1">IF(ISERROR(MATCH(M$1,INDIRECT("Table!A"&amp;$AG56):INDIRECT("Table!" &amp; $AJ$69 &amp; $AG56),0)),"",INDIRECT(CONCATENATE("Table!",ADDRESS($AC56,MATCH(M$1,INDIRECT("Table!A" &amp; $AG56):INDIRECT("Table!" &amp; $AJ$69 &amp; $AG56),0)))))</f>
        <v>0.48207855465965144</v>
      </c>
      <c r="N56" s="273">
        <f ca="1">IF(ISERROR(MATCH(N$1,INDIRECT("Table!A"&amp;$AG56):INDIRECT("Table!" &amp; $AJ$69 &amp; $AG56),0)),"",INDIRECT(CONCATENATE("Table!",ADDRESS($AC56,MATCH(N$1,INDIRECT("Table!A" &amp; $AG56):INDIRECT("Table!" &amp; $AJ$69 &amp; $AG56),0)))))</f>
        <v>0.63314689524371326</v>
      </c>
      <c r="O56" s="273">
        <f ca="1">IF(ISERROR(MATCH(O$1,INDIRECT("Table!A"&amp;$AG56):INDIRECT("Table!" &amp; $AJ$69 &amp; $AG56),0)),"",INDIRECT(CONCATENATE("Table!",ADDRESS($AC56,MATCH(O$1,INDIRECT("Table!A" &amp; $AG56):INDIRECT("Table!" &amp; $AJ$69 &amp; $AG56),0)))))</f>
        <v>0.5709452231147214</v>
      </c>
      <c r="P56" s="273">
        <f ca="1">IF(ISERROR(MATCH(P$1,INDIRECT("Table!A"&amp;$AG56):INDIRECT("Table!" &amp; $AJ$69 &amp; $AG56),0)),"",INDIRECT(CONCATENATE("Table!",ADDRESS($AC56,MATCH(P$1,INDIRECT("Table!A" &amp; $AG56):INDIRECT("Table!" &amp; $AJ$69 &amp; $AG56),0)))))</f>
        <v>8.734931779043581E-2</v>
      </c>
      <c r="Q56" s="273">
        <f ca="1">IF(ISERROR(MATCH(Q$1,INDIRECT("Table!A"&amp;$AG56):INDIRECT("Table!" &amp; $AJ$69 &amp; $AG56),0)),"",INDIRECT(CONCATENATE("Table!",ADDRESS($AC56,MATCH(Q$1,INDIRECT("Table!A" &amp; $AG56):INDIRECT("Table!" &amp; $AJ$69 &amp; $AG56),0)))))</f>
        <v>2.8151656099369091E-5</v>
      </c>
      <c r="R56" s="273" t="str">
        <f ca="1">IF(ISERROR(MATCH(R$1,INDIRECT("Table!A"&amp;$AG56):INDIRECT("Table!" &amp; $AJ$69 &amp; $AG56),0)),"",INDIRECT(CONCATENATE("Table!",ADDRESS($AC56,MATCH(R$1,INDIRECT("Table!A" &amp; $AG56):INDIRECT("Table!" &amp; $AJ$69 &amp; $AG56),0)))))</f>
        <v/>
      </c>
      <c r="S56" s="273">
        <f ca="1">IF(ISERROR(MATCH(S$1,INDIRECT("Table!A"&amp;$AG56):INDIRECT("Table!" &amp; $AJ$43 &amp; $AG56),0)),"",INDIRECT(CONCATENATE("Table!",ADDRESS($AC56,MATCH(S$1,INDIRECT("Table!A" &amp; $AG56):INDIRECT("Table!" &amp; $AJ$43 &amp; $AG56),0)))))</f>
        <v>0.14438904099653677</v>
      </c>
      <c r="T56" s="273">
        <f ca="1">IF(ISERROR(MATCH(T$1,INDIRECT("Table!A"&amp;$AG56):INDIRECT("Table!" &amp; $AJ$43 &amp; $AG56),0)),"",INDIRECT(CONCATENATE("Table!",ADDRESS($AC56,MATCH(T$1,INDIRECT("Table!A" &amp; $AG56):INDIRECT("Table!" &amp; $AJ$43 &amp; $AG56),0)))))</f>
        <v>0.13979540955863465</v>
      </c>
      <c r="U56" s="596" t="str">
        <f ca="1">IF(ISERROR(MATCH(U$1,INDIRECT("Table!A"&amp;$AG56):INDIRECT("Table!" &amp; $AJ$43 &amp; $AG56),0)),"",INDIRECT(CONCATENATE("Table!",ADDRESS($AC56,MATCH(U$1,INDIRECT("Table!A" &amp; $AG56):INDIRECT("Table!" &amp; $AJ$43 &amp; $AG56),0)))))</f>
        <v/>
      </c>
      <c r="V56" s="596"/>
      <c r="W56" s="596"/>
      <c r="X56" s="596"/>
      <c r="Y56" s="596"/>
      <c r="Z56" s="596"/>
      <c r="AA56" s="596"/>
      <c r="AB56" s="596"/>
      <c r="AC56" s="272">
        <f>MATCH($A56,Table!$A:$A,0)+$AE$2-1</f>
        <v>656</v>
      </c>
      <c r="AD56" s="373"/>
      <c r="AE56" s="373"/>
      <c r="AF56" s="373"/>
      <c r="AG56" s="272">
        <f>MATCH($A56,Table!$A:$A,0)+$AI$2-1</f>
        <v>653</v>
      </c>
      <c r="AH56" s="373"/>
      <c r="AJ56" s="743" t="s">
        <v>285</v>
      </c>
    </row>
    <row r="57" spans="1:36" s="267" customFormat="1" ht="15.75" customHeight="1" x14ac:dyDescent="0.25">
      <c r="A57" s="268">
        <v>41414</v>
      </c>
      <c r="B57" s="273">
        <f ca="1">IF(ISERROR(MATCH(B$1,INDIRECT("Table!A"&amp;$AG57):INDIRECT("Table!" &amp; $AJ$91 &amp; $AG57),0)),"",INDIRECT(CONCATENATE("Table!",ADDRESS($AC57,MATCH(B$1,INDIRECT("Table!A" &amp; $AG57):INDIRECT("Table!" &amp; $AJ$90 &amp; $AG57),0)))))</f>
        <v>0.28230405837974448</v>
      </c>
      <c r="C57" s="273">
        <f ca="1">IF(ISERROR(MATCH(C$1,INDIRECT("Table!A"&amp;$AG57):INDIRECT("Table!" &amp; $AJ$90 &amp; $AG57),0)),"",INDIRECT(CONCATENATE("Table!",ADDRESS($AC57,MATCH(C$1,INDIRECT("Table!A" &amp; $AG57):INDIRECT("Table!" &amp; $AJ$90 &amp; $AG57),0)))))</f>
        <v>0.51951755231012298</v>
      </c>
      <c r="D57" s="273">
        <f ca="1">IF(ISERROR(MATCH(D$1,INDIRECT("Table!A"&amp;$AG57):INDIRECT("Table!" &amp; $AJ$90 &amp; $AG57),0)),"",INDIRECT(CONCATENATE("Table!",ADDRESS($AC57,MATCH(D$1,INDIRECT("Table!A" &amp; $AG57):INDIRECT("Table!" &amp; $AJ$90 &amp; $AG57),0)))))</f>
        <v>0.52950985876565793</v>
      </c>
      <c r="E57" s="273">
        <f ca="1">IF(ISERROR(MATCH(E$1,INDIRECT("Table!A"&amp;$AG57):INDIRECT("Table!" &amp; $AJ$90 &amp; $AG57),0)),"",INDIRECT(CONCATENATE("Table!",ADDRESS($AC57,MATCH(E$1,INDIRECT("Table!A" &amp; $AG57):INDIRECT("Table!" &amp; $AJ$90 &amp; $AG57),0)))))</f>
        <v>0.87609905174677949</v>
      </c>
      <c r="F57" s="273">
        <f ca="1">IF(ISERROR(MATCH(F$1,INDIRECT("Table!A"&amp;$AG57):INDIRECT("Table!" &amp; $AJ$90 &amp; $AG57),0)),"",INDIRECT(CONCATENATE("Table!",ADDRESS($AC57,MATCH(F$1,INDIRECT("Table!A" &amp; $AG57):INDIRECT("Table!" &amp; $AJ$90 &amp; $AG57),0)))))</f>
        <v>0.60585364379504691</v>
      </c>
      <c r="G57" s="273">
        <f ca="1">IF(ISERROR(MATCH(G$1,INDIRECT("Table!A"&amp;$AG57):INDIRECT("Table!" &amp; $AJ$90 &amp; $AG57),0)),"",INDIRECT(CONCATENATE("Table!",ADDRESS($AC57,MATCH(G$1,INDIRECT("Table!A" &amp; $AG57):INDIRECT("Table!" &amp; $AJ$90 &amp; $AG57),0)))))</f>
        <v>0.42291950473768652</v>
      </c>
      <c r="H57" s="273">
        <f ca="1">IF(ISERROR(MATCH(H$1,INDIRECT("Table!A"&amp;$AG57):INDIRECT("Table!" &amp; $AJ$90 &amp; $AG57),0)),"",INDIRECT(CONCATENATE("Table!",ADDRESS($AC57,MATCH(H$1,INDIRECT("Table!A" &amp; $AG57):INDIRECT("Table!" &amp; $AJ$90 &amp; $AG57),0)))))</f>
        <v>0.50159912404967921</v>
      </c>
      <c r="I57" s="273">
        <f ca="1">IF(ISERROR(MATCH(I$1,INDIRECT("Table!A"&amp;$AG57):INDIRECT("Table!" &amp; $AJ$69 &amp; $AG57),0)),"",INDIRECT(CONCATENATE("Table!",ADDRESS($AC57,MATCH(I$1,INDIRECT("Table!A" &amp; $AG57):INDIRECT("Table!" &amp; $AJ$69 &amp; $AG57),0)))))</f>
        <v>8.6121633281731044E-2</v>
      </c>
      <c r="J57" s="273" t="str">
        <f ca="1">IF(ISERROR(MATCH(J$1,INDIRECT("Table!A"&amp;$AG57):INDIRECT("Table!" &amp; $AJ$69 &amp; $AG57),0)),"",INDIRECT(CONCATENATE("Table!",ADDRESS($AC57,MATCH(J$1,INDIRECT("Table!A" &amp; $AG57):INDIRECT("Table!" &amp; $AJ$69 &amp; $AG57),0)))))</f>
        <v/>
      </c>
      <c r="K57" s="273" t="str">
        <f ca="1">IF(ISERROR(MATCH(K$1,INDIRECT("Table!A"&amp;$AG57):INDIRECT("Table!" &amp; $AJ$69 &amp; $AG57),0)),"",INDIRECT(CONCATENATE("Table!",ADDRESS($AC57,MATCH(K$1,INDIRECT("Table!A" &amp; $AG57):INDIRECT("Table!" &amp; $AJ$69 &amp; $AG57),0)))))</f>
        <v/>
      </c>
      <c r="L57" s="273">
        <f ca="1">IF(ISERROR(MATCH(L$1,INDIRECT("Table!A"&amp;$AG57):INDIRECT("Table!" &amp; $AJ$69 &amp; $AG57),0)),"",INDIRECT(CONCATENATE("Table!",ADDRESS($AC57,MATCH(L$1,INDIRECT("Table!A" &amp; $AG57):INDIRECT("Table!" &amp; $AJ$69 &amp; $AG57),0)))))</f>
        <v>0.82796707196402575</v>
      </c>
      <c r="M57" s="273">
        <f ca="1">IF(ISERROR(MATCH(M$1,INDIRECT("Table!A"&amp;$AG57):INDIRECT("Table!" &amp; $AJ$69 &amp; $AG57),0)),"",INDIRECT(CONCATENATE("Table!",ADDRESS($AC57,MATCH(M$1,INDIRECT("Table!A" &amp; $AG57):INDIRECT("Table!" &amp; $AJ$69 &amp; $AG57),0)))))</f>
        <v>0.48381999240154927</v>
      </c>
      <c r="N57" s="273">
        <f ca="1">IF(ISERROR(MATCH(N$1,INDIRECT("Table!A"&amp;$AG57):INDIRECT("Table!" &amp; $AJ$69 &amp; $AG57),0)),"",INDIRECT(CONCATENATE("Table!",ADDRESS($AC57,MATCH(N$1,INDIRECT("Table!A" &amp; $AG57):INDIRECT("Table!" &amp; $AJ$69 &amp; $AG57),0)))))</f>
        <v>0.62255050691255387</v>
      </c>
      <c r="O57" s="273">
        <f ca="1">IF(ISERROR(MATCH(O$1,INDIRECT("Table!A"&amp;$AG57):INDIRECT("Table!" &amp; $AJ$69 &amp; $AG57),0)),"",INDIRECT(CONCATENATE("Table!",ADDRESS($AC57,MATCH(O$1,INDIRECT("Table!A" &amp; $AG57):INDIRECT("Table!" &amp; $AJ$69 &amp; $AG57),0)))))</f>
        <v>0.5679019419412159</v>
      </c>
      <c r="P57" s="273">
        <f ca="1">IF(ISERROR(MATCH(P$1,INDIRECT("Table!A"&amp;$AG57):INDIRECT("Table!" &amp; $AJ$69 &amp; $AG57),0)),"",INDIRECT(CONCATENATE("Table!",ADDRESS($AC57,MATCH(P$1,INDIRECT("Table!A" &amp; $AG57):INDIRECT("Table!" &amp; $AJ$69 &amp; $AG57),0)))))</f>
        <v>8.734931779043581E-2</v>
      </c>
      <c r="Q57" s="273" t="str">
        <f ca="1">IF(ISERROR(MATCH(Q$1,INDIRECT("Table!A"&amp;$AG57):INDIRECT("Table!" &amp; $AJ$69 &amp; $AG57),0)),"",INDIRECT(CONCATENATE("Table!",ADDRESS($AC57,MATCH(Q$1,INDIRECT("Table!A" &amp; $AG57):INDIRECT("Table!" &amp; $AJ$69 &amp; $AG57),0)))))</f>
        <v/>
      </c>
      <c r="R57" s="273" t="str">
        <f ca="1">IF(ISERROR(MATCH(R$1,INDIRECT("Table!A"&amp;$AG57):INDIRECT("Table!" &amp; $AJ$69 &amp; $AG57),0)),"",INDIRECT(CONCATENATE("Table!",ADDRESS($AC57,MATCH(R$1,INDIRECT("Table!A" &amp; $AG57):INDIRECT("Table!" &amp; $AJ$69 &amp; $AG57),0)))))</f>
        <v/>
      </c>
      <c r="S57" s="273">
        <f ca="1">IF(ISERROR(MATCH(S$1,INDIRECT("Table!A"&amp;$AG57):INDIRECT("Table!" &amp; $AJ$69 &amp; $AG57),0)),"",INDIRECT(CONCATENATE("Table!",ADDRESS($AC57,MATCH(S$1,INDIRECT("Table!A" &amp; $AG57):INDIRECT("Table!" &amp; $AJ$69 &amp; $AG57),0)))))</f>
        <v>0.13387064604449603</v>
      </c>
      <c r="T57" s="273">
        <f ca="1">IF(ISERROR(MATCH(T$1,INDIRECT("Table!A"&amp;$AG57):INDIRECT("Table!" &amp; $AJ$69 &amp; $AG57),0)),"",INDIRECT(CONCATENATE("Table!",ADDRESS($AC57,MATCH(T$1,INDIRECT("Table!A" &amp; $AG57):INDIRECT("Table!" &amp; $AJ$69 &amp; $AG57),0)))))</f>
        <v>0.13460963116302263</v>
      </c>
      <c r="U57" s="596" t="str">
        <f ca="1">IF(ISERROR(MATCH(U$1,INDIRECT("Table!A"&amp;$AG57):INDIRECT("Table!" &amp; $AJ$69 &amp; $AG57),0)),"",INDIRECT(CONCATENATE("Table!",ADDRESS($AC57,MATCH(U$1,INDIRECT("Table!A" &amp; $AG57):INDIRECT("Table!" &amp; $AJ$69 &amp; $AG57),0)))))</f>
        <v/>
      </c>
      <c r="V57" s="596"/>
      <c r="W57" s="596"/>
      <c r="X57" s="596"/>
      <c r="Y57" s="596"/>
      <c r="Z57" s="596"/>
      <c r="AA57" s="596"/>
      <c r="AB57" s="596"/>
      <c r="AC57" s="272">
        <f>MATCH($A57,Table!$A:$A,0)+$AE$2-1</f>
        <v>668</v>
      </c>
      <c r="AD57" s="370"/>
      <c r="AE57" s="370"/>
      <c r="AF57" s="370"/>
      <c r="AG57" s="272">
        <f>MATCH($A57,Table!$A:$A,0)+$AI$2-1</f>
        <v>665</v>
      </c>
      <c r="AH57" s="370"/>
      <c r="AJ57" s="743" t="s">
        <v>285</v>
      </c>
    </row>
    <row r="58" spans="1:36" s="267" customFormat="1" ht="15.75" customHeight="1" x14ac:dyDescent="0.25">
      <c r="A58" s="268">
        <v>41408</v>
      </c>
      <c r="B58" s="273">
        <f ca="1">IF(ISERROR(MATCH(B$1,INDIRECT("Table!A"&amp;$AG58):INDIRECT("Table!" &amp; $AJ$91 &amp; $AG58),0)),"",INDIRECT(CONCATENATE("Table!",ADDRESS($AC58,MATCH(B$1,INDIRECT("Table!A" &amp; $AG58):INDIRECT("Table!" &amp; $AJ$90 &amp; $AG58),0)))))</f>
        <v>0.27845796354334473</v>
      </c>
      <c r="C58" s="273">
        <f ca="1">IF(ISERROR(MATCH(C$1,INDIRECT("Table!A"&amp;$AG58):INDIRECT("Table!" &amp; $AJ$90 &amp; $AG58),0)),"",INDIRECT(CONCATENATE("Table!",ADDRESS($AC58,MATCH(C$1,INDIRECT("Table!A" &amp; $AG58):INDIRECT("Table!" &amp; $AJ$90 &amp; $AG58),0)))))</f>
        <v>0.5189103070906842</v>
      </c>
      <c r="D58" s="273">
        <f ca="1">IF(ISERROR(MATCH(D$1,INDIRECT("Table!A"&amp;$AG58):INDIRECT("Table!" &amp; $AJ$90 &amp; $AG58),0)),"",INDIRECT(CONCATENATE("Table!",ADDRESS($AC58,MATCH(D$1,INDIRECT("Table!A" &amp; $AG58):INDIRECT("Table!" &amp; $AJ$90 &amp; $AG58),0)))))</f>
        <v>0.52901356535327193</v>
      </c>
      <c r="E58" s="273">
        <f ca="1">IF(ISERROR(MATCH(E$1,INDIRECT("Table!A"&amp;$AG58):INDIRECT("Table!" &amp; $AJ$90 &amp; $AG58),0)),"",INDIRECT(CONCATENATE("Table!",ADDRESS($AC58,MATCH(E$1,INDIRECT("Table!A" &amp; $AG58):INDIRECT("Table!" &amp; $AJ$90 &amp; $AG58),0)))))</f>
        <v>0.87468804567967307</v>
      </c>
      <c r="F58" s="273">
        <f ca="1">IF(ISERROR(MATCH(F$1,INDIRECT("Table!A"&amp;$AG58):INDIRECT("Table!" &amp; $AJ$90 &amp; $AG58),0)),"",INDIRECT(CONCATENATE("Table!",ADDRESS($AC58,MATCH(F$1,INDIRECT("Table!A" &amp; $AG58):INDIRECT("Table!" &amp; $AJ$90 &amp; $AG58),0)))))</f>
        <v>0.6010716066544779</v>
      </c>
      <c r="G58" s="273">
        <f ca="1">IF(ISERROR(MATCH(G$1,INDIRECT("Table!A"&amp;$AG58):INDIRECT("Table!" &amp; $AJ$90 &amp; $AG58),0)),"",INDIRECT(CONCATENATE("Table!",ADDRESS($AC58,MATCH(G$1,INDIRECT("Table!A" &amp; $AG58):INDIRECT("Table!" &amp; $AJ$90 &amp; $AG58),0)))))</f>
        <v>0.42195229013410834</v>
      </c>
      <c r="H58" s="273">
        <f ca="1">IF(ISERROR(MATCH(H$1,INDIRECT("Table!A"&amp;$AG58):INDIRECT("Table!" &amp; $AJ$90 &amp; $AG58),0)),"",INDIRECT(CONCATENATE("Table!",ADDRESS($AC58,MATCH(H$1,INDIRECT("Table!A" &amp; $AG58):INDIRECT("Table!" &amp; $AJ$90 &amp; $AG58),0)))))</f>
        <v>0.49927998474573693</v>
      </c>
      <c r="I58" s="273">
        <f ca="1">IF(ISERROR(MATCH(I$1,INDIRECT("Table!A"&amp;$AG58):INDIRECT("Table!" &amp; $AJ$69 &amp; $AG58),0)),"",INDIRECT(CONCATENATE("Table!",ADDRESS($AC58,MATCH(I$1,INDIRECT("Table!A" &amp; $AG58):INDIRECT("Table!" &amp; $AJ$69 &amp; $AG58),0)))))</f>
        <v>8.5373189328622298E-2</v>
      </c>
      <c r="J58" s="273" t="str">
        <f ca="1">IF(ISERROR(MATCH(J$1,INDIRECT("Table!A"&amp;$AG58):INDIRECT("Table!" &amp; $AJ$69 &amp; $AG58),0)),"",INDIRECT(CONCATENATE("Table!",ADDRESS($AC58,MATCH(J$1,INDIRECT("Table!A" &amp; $AG58):INDIRECT("Table!" &amp; $AJ$69 &amp; $AG58),0)))))</f>
        <v/>
      </c>
      <c r="K58" s="273" t="str">
        <f ca="1">IF(ISERROR(MATCH(K$1,INDIRECT("Table!A"&amp;$AG58):INDIRECT("Table!" &amp; $AJ$69 &amp; $AG58),0)),"",INDIRECT(CONCATENATE("Table!",ADDRESS($AC58,MATCH(K$1,INDIRECT("Table!A" &amp; $AG58):INDIRECT("Table!" &amp; $AJ$69 &amp; $AG58),0)))))</f>
        <v/>
      </c>
      <c r="L58" s="273">
        <f ca="1">IF(ISERROR(MATCH(L$1,INDIRECT("Table!A"&amp;$AG58):INDIRECT("Table!" &amp; $AJ$69 &amp; $AG58),0)),"",INDIRECT(CONCATENATE("Table!",ADDRESS($AC58,MATCH(L$1,INDIRECT("Table!A" &amp; $AG58):INDIRECT("Table!" &amp; $AJ$69 &amp; $AG58),0)))))</f>
        <v>0.82496904578116004</v>
      </c>
      <c r="M58" s="273">
        <f ca="1">IF(ISERROR(MATCH(M$1,INDIRECT("Table!A"&amp;$AG58):INDIRECT("Table!" &amp; $AJ$69 &amp; $AG58),0)),"",INDIRECT(CONCATENATE("Table!",ADDRESS($AC58,MATCH(M$1,INDIRECT("Table!A" &amp; $AG58):INDIRECT("Table!" &amp; $AJ$69 &amp; $AG58),0)))))</f>
        <v>0.48442544663602055</v>
      </c>
      <c r="N58" s="273">
        <f ca="1">IF(ISERROR(MATCH(N$1,INDIRECT("Table!A"&amp;$AG58):INDIRECT("Table!" &amp; $AJ$69 &amp; $AG58),0)),"",INDIRECT(CONCATENATE("Table!",ADDRESS($AC58,MATCH(N$1,INDIRECT("Table!A" &amp; $AG58):INDIRECT("Table!" &amp; $AJ$69 &amp; $AG58),0)))))</f>
        <v>0.61796792555692681</v>
      </c>
      <c r="O58" s="273">
        <f ca="1">IF(ISERROR(MATCH(O$1,INDIRECT("Table!A"&amp;$AG58):INDIRECT("Table!" &amp; $AJ$69 &amp; $AG58),0)),"",INDIRECT(CONCATENATE("Table!",ADDRESS($AC58,MATCH(O$1,INDIRECT("Table!A" &amp; $AG58):INDIRECT("Table!" &amp; $AJ$69 &amp; $AG58),0)))))</f>
        <v>0.56538086344762561</v>
      </c>
      <c r="P58" s="273">
        <f ca="1">IF(ISERROR(MATCH(P$1,INDIRECT("Table!A"&amp;$AG58):INDIRECT("Table!" &amp; $AJ$69 &amp; $AG58),0)),"",INDIRECT(CONCATENATE("Table!",ADDRESS($AC58,MATCH(P$1,INDIRECT("Table!A" &amp; $AG58):INDIRECT("Table!" &amp; $AJ$69 &amp; $AG58),0)))))</f>
        <v>8.6601476414696704E-2</v>
      </c>
      <c r="Q58" s="273" t="str">
        <f ca="1">IF(ISERROR(MATCH(Q$1,INDIRECT("Table!A"&amp;$AG58):INDIRECT("Table!" &amp; $AJ$69 &amp; $AG58),0)),"",INDIRECT(CONCATENATE("Table!",ADDRESS($AC58,MATCH(Q$1,INDIRECT("Table!A" &amp; $AG58):INDIRECT("Table!" &amp; $AJ$69 &amp; $AG58),0)))))</f>
        <v/>
      </c>
      <c r="R58" s="273" t="str">
        <f ca="1">IF(ISERROR(MATCH(R$1,INDIRECT("Table!A"&amp;$AG58):INDIRECT("Table!" &amp; $AJ$69 &amp; $AG58),0)),"",INDIRECT(CONCATENATE("Table!",ADDRESS($AC58,MATCH(R$1,INDIRECT("Table!A" &amp; $AG58):INDIRECT("Table!" &amp; $AJ$69 &amp; $AG58),0)))))</f>
        <v/>
      </c>
      <c r="S58" s="273">
        <f ca="1">IF(ISERROR(MATCH(S$1,INDIRECT("Table!A"&amp;$AG58):INDIRECT("Table!" &amp; $AJ$69 &amp; $AG58),0)),"",INDIRECT(CONCATENATE("Table!",ADDRESS($AC58,MATCH(S$1,INDIRECT("Table!A" &amp; $AG58):INDIRECT("Table!" &amp; $AJ$69 &amp; $AG58),0)))))</f>
        <v>0.12786168881797247</v>
      </c>
      <c r="T58" s="273">
        <f ca="1">IF(ISERROR(MATCH(T$1,INDIRECT("Table!A"&amp;$AG58):INDIRECT("Table!" &amp; $AJ$69 &amp; $AG58),0)),"",INDIRECT(CONCATENATE("Table!",ADDRESS($AC58,MATCH(T$1,INDIRECT("Table!A" &amp; $AG58):INDIRECT("Table!" &amp; $AJ$69 &amp; $AG58),0)))))</f>
        <v>0.12060863389794654</v>
      </c>
      <c r="U58" s="596" t="str">
        <f ca="1">IF(ISERROR(MATCH(U$1,INDIRECT("Table!A"&amp;$AG58):INDIRECT("Table!" &amp; $AJ$69 &amp; $AG58),0)),"",INDIRECT(CONCATENATE("Table!",ADDRESS($AC58,MATCH(U$1,INDIRECT("Table!A" &amp; $AG58):INDIRECT("Table!" &amp; $AJ$69 &amp; $AG58),0)))))</f>
        <v/>
      </c>
      <c r="V58" s="596"/>
      <c r="W58" s="596"/>
      <c r="X58" s="596"/>
      <c r="Y58" s="596"/>
      <c r="Z58" s="596"/>
      <c r="AA58" s="596"/>
      <c r="AB58" s="596"/>
      <c r="AC58" s="272">
        <f>MATCH($A58,Table!$A:$A,0)+$AE$2-1</f>
        <v>680</v>
      </c>
      <c r="AD58" s="369"/>
      <c r="AE58" s="369"/>
      <c r="AF58" s="369"/>
      <c r="AG58" s="272">
        <f>MATCH($A58,Table!$A:$A,0)+$AI$2-1</f>
        <v>677</v>
      </c>
      <c r="AH58" s="369"/>
      <c r="AJ58" s="743" t="s">
        <v>285</v>
      </c>
    </row>
    <row r="59" spans="1:36" s="267" customFormat="1" ht="15.75" customHeight="1" x14ac:dyDescent="0.25">
      <c r="A59" s="268">
        <v>41401</v>
      </c>
      <c r="B59" s="273">
        <f ca="1">IF(ISERROR(MATCH(B$1,INDIRECT("Table!A"&amp;$AG59):INDIRECT("Table!" &amp; $AJ$91 &amp; $AG59),0)),"",INDIRECT(CONCATENATE("Table!",ADDRESS($AC59,MATCH(B$1,INDIRECT("Table!A" &amp; $AG59):INDIRECT("Table!" &amp; $AJ$90 &amp; $AG59),0)))))</f>
        <v>0.27719848080997428</v>
      </c>
      <c r="C59" s="273">
        <f ca="1">IF(ISERROR(MATCH(C$1,INDIRECT("Table!A"&amp;$AG59):INDIRECT("Table!" &amp; $AJ$90 &amp; $AG59),0)),"",INDIRECT(CONCATENATE("Table!",ADDRESS($AC59,MATCH(C$1,INDIRECT("Table!A" &amp; $AG59):INDIRECT("Table!" &amp; $AJ$90 &amp; $AG59),0)))))</f>
        <v>0.51861930774044984</v>
      </c>
      <c r="D59" s="273">
        <f ca="1">IF(ISERROR(MATCH(D$1,INDIRECT("Table!A"&amp;$AG59):INDIRECT("Table!" &amp; $AJ$90 &amp; $AG59),0)),"",INDIRECT(CONCATENATE("Table!",ADDRESS($AC59,MATCH(D$1,INDIRECT("Table!A" &amp; $AG59):INDIRECT("Table!" &amp; $AJ$90 &amp; $AG59),0)))))</f>
        <v>0.52886673691399844</v>
      </c>
      <c r="E59" s="273">
        <f ca="1">IF(ISERROR(MATCH(E$1,INDIRECT("Table!A"&amp;$AG59):INDIRECT("Table!" &amp; $AJ$90 &amp; $AG59),0)),"",INDIRECT(CONCATENATE("Table!",ADDRESS($AC59,MATCH(E$1,INDIRECT("Table!A" &amp; $AG59):INDIRECT("Table!" &amp; $AJ$90 &amp; $AG59),0)))))</f>
        <v>0.87133635681310428</v>
      </c>
      <c r="F59" s="273">
        <f ca="1">IF(ISERROR(MATCH(F$1,INDIRECT("Table!A"&amp;$AG59):INDIRECT("Table!" &amp; $AJ$90 &amp; $AG59),0)),"",INDIRECT(CONCATENATE("Table!",ADDRESS($AC59,MATCH(F$1,INDIRECT("Table!A" &amp; $AG59):INDIRECT("Table!" &amp; $AJ$90 &amp; $AG59),0)))))</f>
        <v>0.59451202006618209</v>
      </c>
      <c r="G59" s="273">
        <f ca="1">IF(ISERROR(MATCH(G$1,INDIRECT("Table!A"&amp;$AG59):INDIRECT("Table!" &amp; $AJ$90 &amp; $AG59),0)),"",INDIRECT(CONCATENATE("Table!",ADDRESS($AC59,MATCH(G$1,INDIRECT("Table!A" &amp; $AG59):INDIRECT("Table!" &amp; $AJ$90 &amp; $AG59),0)))))</f>
        <v>0.38604955650410194</v>
      </c>
      <c r="H59" s="273">
        <f ca="1">IF(ISERROR(MATCH(H$1,INDIRECT("Table!A"&amp;$AG59):INDIRECT("Table!" &amp; $AJ$90 &amp; $AG59),0)),"",INDIRECT(CONCATENATE("Table!",ADDRESS($AC59,MATCH(H$1,INDIRECT("Table!A" &amp; $AG59):INDIRECT("Table!" &amp; $AJ$90 &amp; $AG59),0)))))</f>
        <v>0.69532884206778434</v>
      </c>
      <c r="I59" s="273">
        <f ca="1">IF(ISERROR(MATCH(I$1,INDIRECT("Table!A"&amp;$AG59):INDIRECT("Table!" &amp; $AJ$69 &amp; $AG59),0)),"",INDIRECT(CONCATENATE("Table!",ADDRESS($AC59,MATCH(I$1,INDIRECT("Table!A" &amp; $AG59):INDIRECT("Table!" &amp; $AJ$69 &amp; $AG59),0)))))</f>
        <v>8.2987561861030276E-2</v>
      </c>
      <c r="J59" s="273" t="str">
        <f ca="1">IF(ISERROR(MATCH(J$1,INDIRECT("Table!A"&amp;$AG59):INDIRECT("Table!" &amp; $AJ$69 &amp; $AG59),0)),"",INDIRECT(CONCATENATE("Table!",ADDRESS($AC59,MATCH(J$1,INDIRECT("Table!A" &amp; $AG59):INDIRECT("Table!" &amp; $AJ$69 &amp; $AG59),0)))))</f>
        <v/>
      </c>
      <c r="K59" s="273" t="str">
        <f ca="1">IF(ISERROR(MATCH(K$1,INDIRECT("Table!A"&amp;$AG59):INDIRECT("Table!" &amp; $AJ$69 &amp; $AG59),0)),"",INDIRECT(CONCATENATE("Table!",ADDRESS($AC59,MATCH(K$1,INDIRECT("Table!A" &amp; $AG59):INDIRECT("Table!" &amp; $AJ$69 &amp; $AG59),0)))))</f>
        <v/>
      </c>
      <c r="L59" s="273">
        <f ca="1">IF(ISERROR(MATCH(L$1,INDIRECT("Table!A"&amp;$AG59):INDIRECT("Table!" &amp; $AJ$69 &amp; $AG59),0)),"",INDIRECT(CONCATENATE("Table!",ADDRESS($AC59,MATCH(L$1,INDIRECT("Table!A" &amp; $AG59):INDIRECT("Table!" &amp; $AJ$69 &amp; $AG59),0)))))</f>
        <v>0.82352727856724706</v>
      </c>
      <c r="M59" s="273">
        <f ca="1">IF(ISERROR(MATCH(M$1,INDIRECT("Table!A"&amp;$AG59):INDIRECT("Table!" &amp; $AJ$69 &amp; $AG59),0)),"",INDIRECT(CONCATENATE("Table!",ADDRESS($AC59,MATCH(M$1,INDIRECT("Table!A" &amp; $AG59):INDIRECT("Table!" &amp; $AJ$69 &amp; $AG59),0)))))</f>
        <v>0.47882575178495473</v>
      </c>
      <c r="N59" s="273">
        <f ca="1">IF(ISERROR(MATCH(N$1,INDIRECT("Table!A"&amp;$AG59):INDIRECT("Table!" &amp; $AJ$69 &amp; $AG59),0)),"",INDIRECT(CONCATENATE("Table!",ADDRESS($AC59,MATCH(N$1,INDIRECT("Table!A" &amp; $AG59):INDIRECT("Table!" &amp; $AJ$69 &amp; $AG59),0)))))</f>
        <v>0.61271083077570254</v>
      </c>
      <c r="O59" s="273">
        <f ca="1">IF(ISERROR(MATCH(O$1,INDIRECT("Table!A"&amp;$AG59):INDIRECT("Table!" &amp; $AJ$69 &amp; $AG59),0)),"",INDIRECT(CONCATENATE("Table!",ADDRESS($AC59,MATCH(O$1,INDIRECT("Table!A" &amp; $AG59):INDIRECT("Table!" &amp; $AJ$69 &amp; $AG59),0)))))</f>
        <v>0.87670802860563657</v>
      </c>
      <c r="P59" s="273">
        <f ca="1">IF(ISERROR(MATCH(P$1,INDIRECT("Table!A"&amp;$AG59):INDIRECT("Table!" &amp; $AJ$69 &amp; $AG59),0)),"",INDIRECT(CONCATENATE("Table!",ADDRESS($AC59,MATCH(P$1,INDIRECT("Table!A" &amp; $AG59):INDIRECT("Table!" &amp; $AJ$69 &amp; $AG59),0)))))</f>
        <v>8.4215850383554711E-2</v>
      </c>
      <c r="Q59" s="273" t="str">
        <f ca="1">IF(ISERROR(MATCH(Q$1,INDIRECT("Table!A"&amp;$AG59):INDIRECT("Table!" &amp; $AJ$69 &amp; $AG59),0)),"",INDIRECT(CONCATENATE("Table!",ADDRESS($AC59,MATCH(Q$1,INDIRECT("Table!A" &amp; $AG59):INDIRECT("Table!" &amp; $AJ$69 &amp; $AG59),0)))))</f>
        <v/>
      </c>
      <c r="R59" s="273" t="str">
        <f ca="1">IF(ISERROR(MATCH(R$1,INDIRECT("Table!A"&amp;$AG59):INDIRECT("Table!" &amp; $AJ$69 &amp; $AG59),0)),"",INDIRECT(CONCATENATE("Table!",ADDRESS($AC59,MATCH(R$1,INDIRECT("Table!A" &amp; $AG59):INDIRECT("Table!" &amp; $AJ$69 &amp; $AG59),0)))))</f>
        <v/>
      </c>
      <c r="S59" s="273">
        <f ca="1">IF(ISERROR(MATCH(S$1,INDIRECT("Table!A"&amp;$AG59):INDIRECT("Table!" &amp; $AJ$69 &amp; $AG59),0)),"",INDIRECT(CONCATENATE("Table!",ADDRESS($AC59,MATCH(S$1,INDIRECT("Table!A" &amp; $AG59):INDIRECT("Table!" &amp; $AJ$69 &amp; $AG59),0)))))</f>
        <v>0.12721800148682708</v>
      </c>
      <c r="T59" s="273">
        <f ca="1">IF(ISERROR(MATCH(T$1,INDIRECT("Table!A"&amp;$AG59):INDIRECT("Table!" &amp; $AJ$69 &amp; $AG59),0)),"",INDIRECT(CONCATENATE("Table!",ADDRESS($AC59,MATCH(T$1,INDIRECT("Table!A" &amp; $AG59):INDIRECT("Table!" &amp; $AJ$69 &amp; $AG59),0)))))</f>
        <v>0.10476118523443284</v>
      </c>
      <c r="U59" s="596" t="str">
        <f ca="1">IF(ISERROR(MATCH(U$1,INDIRECT("Table!A"&amp;$AG59):INDIRECT("Table!" &amp; $AJ$69 &amp; $AG59),0)),"",INDIRECT(CONCATENATE("Table!",ADDRESS($AC59,MATCH(U$1,INDIRECT("Table!A" &amp; $AG59):INDIRECT("Table!" &amp; $AJ$69 &amp; $AG59),0)))))</f>
        <v/>
      </c>
      <c r="V59" s="596"/>
      <c r="W59" s="596"/>
      <c r="X59" s="596"/>
      <c r="Y59" s="596"/>
      <c r="Z59" s="596"/>
      <c r="AA59" s="596"/>
      <c r="AB59" s="596"/>
      <c r="AC59" s="272">
        <f>MATCH($A59,Table!$A:$A,0)+$AE$2-1</f>
        <v>692</v>
      </c>
      <c r="AD59" s="369"/>
      <c r="AE59" s="369"/>
      <c r="AF59" s="369"/>
      <c r="AG59" s="272">
        <f>MATCH($A59,Table!$A:$A,0)+$AI$2-1</f>
        <v>689</v>
      </c>
      <c r="AH59" s="369"/>
      <c r="AJ59" s="743" t="s">
        <v>285</v>
      </c>
    </row>
    <row r="60" spans="1:36" s="267" customFormat="1" ht="15.75" customHeight="1" x14ac:dyDescent="0.25">
      <c r="A60" s="268">
        <v>41395</v>
      </c>
      <c r="B60" s="273">
        <f ca="1">IF(ISERROR(MATCH(B$1,INDIRECT("Table!A"&amp;$AG60):INDIRECT("Table!" &amp; $AJ$91 &amp; $AG60),0)),"",INDIRECT(CONCATENATE("Table!",ADDRESS($AC60,MATCH(B$1,INDIRECT("Table!A" &amp; $AG60):INDIRECT("Table!" &amp; $AJ$90 &amp; $AG60),0)))))</f>
        <v>0.30140272622918124</v>
      </c>
      <c r="C60" s="273">
        <f ca="1">IF(ISERROR(MATCH(C$1,INDIRECT("Table!A"&amp;$AG60):INDIRECT("Table!" &amp; $AJ$90 &amp; $AG60),0)),"",INDIRECT(CONCATENATE("Table!",ADDRESS($AC60,MATCH(C$1,INDIRECT("Table!A" &amp; $AG60):INDIRECT("Table!" &amp; $AJ$90 &amp; $AG60),0)))))</f>
        <v>0.51693775670062547</v>
      </c>
      <c r="D60" s="273">
        <f ca="1">IF(ISERROR(MATCH(D$1,INDIRECT("Table!A"&amp;$AG60):INDIRECT("Table!" &amp; $AJ$90 &amp; $AG60),0)),"",INDIRECT(CONCATENATE("Table!",ADDRESS($AC60,MATCH(D$1,INDIRECT("Table!A" &amp; $AG60):INDIRECT("Table!" &amp; $AJ$90 &amp; $AG60),0)))))</f>
        <v>0.5273645690352774</v>
      </c>
      <c r="E60" s="273">
        <f ca="1">IF(ISERROR(MATCH(E$1,INDIRECT("Table!A"&amp;$AG60):INDIRECT("Table!" &amp; $AJ$90 &amp; $AG60),0)),"",INDIRECT(CONCATENATE("Table!",ADDRESS($AC60,MATCH(E$1,INDIRECT("Table!A" &amp; $AG60):INDIRECT("Table!" &amp; $AJ$90 &amp; $AG60),0)))))</f>
        <v>0.86762037782874302</v>
      </c>
      <c r="F60" s="273">
        <f ca="1">IF(ISERROR(MATCH(F$1,INDIRECT("Table!A"&amp;$AG60):INDIRECT("Table!" &amp; $AJ$90 &amp; $AG60),0)),"",INDIRECT(CONCATENATE("Table!",ADDRESS($AC60,MATCH(F$1,INDIRECT("Table!A" &amp; $AG60):INDIRECT("Table!" &amp; $AJ$90 &amp; $AG60),0)))))</f>
        <v>0.58990163339931401</v>
      </c>
      <c r="G60" s="273">
        <f ca="1">IF(ISERROR(MATCH(G$1,INDIRECT("Table!A"&amp;$AG60):INDIRECT("Table!" &amp; $AJ$90 &amp; $AG60),0)),"",INDIRECT(CONCATENATE("Table!",ADDRESS($AC60,MATCH(G$1,INDIRECT("Table!A" &amp; $AG60):INDIRECT("Table!" &amp; $AJ$90 &amp; $AG60),0)))))</f>
        <v>0.38434292979747525</v>
      </c>
      <c r="H60" s="273">
        <f ca="1">IF(ISERROR(MATCH(H$1,INDIRECT("Table!A"&amp;$AG60):INDIRECT("Table!" &amp; $AJ$90 &amp; $AG60),0)),"",INDIRECT(CONCATENATE("Table!",ADDRESS($AC60,MATCH(H$1,INDIRECT("Table!A" &amp; $AG60):INDIRECT("Table!" &amp; $AJ$90 &amp; $AG60),0)))))</f>
        <v>0.69353376443768244</v>
      </c>
      <c r="I60" s="273">
        <f ca="1">IF(ISERROR(MATCH(I$1,INDIRECT("Table!A"&amp;$AG60):INDIRECT("Table!" &amp; $AJ$69 &amp; $AG60),0)),"",INDIRECT(CONCATENATE("Table!",ADDRESS($AC60,MATCH(I$1,INDIRECT("Table!A" &amp; $AG60):INDIRECT("Table!" &amp; $AJ$69 &amp; $AG60),0)))))</f>
        <v>8.2836427965430684E-2</v>
      </c>
      <c r="J60" s="273" t="str">
        <f ca="1">IF(ISERROR(MATCH(J$1,INDIRECT("Table!A"&amp;$AG60):INDIRECT("Table!" &amp; $AJ$69 &amp; $AG60),0)),"",INDIRECT(CONCATENATE("Table!",ADDRESS($AC60,MATCH(J$1,INDIRECT("Table!A" &amp; $AG60):INDIRECT("Table!" &amp; $AJ$69 &amp; $AG60),0)))))</f>
        <v/>
      </c>
      <c r="K60" s="273" t="str">
        <f ca="1">IF(ISERROR(MATCH(K$1,INDIRECT("Table!A"&amp;$AG60):INDIRECT("Table!" &amp; $AJ$69 &amp; $AG60),0)),"",INDIRECT(CONCATENATE("Table!",ADDRESS($AC60,MATCH(K$1,INDIRECT("Table!A" &amp; $AG60):INDIRECT("Table!" &amp; $AJ$69 &amp; $AG60),0)))))</f>
        <v/>
      </c>
      <c r="L60" s="273">
        <f ca="1">IF(ISERROR(MATCH(L$1,INDIRECT("Table!A"&amp;$AG60):INDIRECT("Table!" &amp; $AJ$69 &amp; $AG60),0)),"",INDIRECT(CONCATENATE("Table!",ADDRESS($AC60,MATCH(L$1,INDIRECT("Table!A" &amp; $AG60):INDIRECT("Table!" &amp; $AJ$69 &amp; $AG60),0)))))</f>
        <v>0.82183580535365519</v>
      </c>
      <c r="M60" s="273">
        <f ca="1">IF(ISERROR(MATCH(M$1,INDIRECT("Table!A"&amp;$AG60):INDIRECT("Table!" &amp; $AJ$69 &amp; $AG60),0)),"",INDIRECT(CONCATENATE("Table!",ADDRESS($AC60,MATCH(M$1,INDIRECT("Table!A" &amp; $AG60):INDIRECT("Table!" &amp; $AJ$69 &amp; $AG60),0)))))</f>
        <v>0.49346487835667607</v>
      </c>
      <c r="N60" s="273">
        <f ca="1">IF(ISERROR(MATCH(N$1,INDIRECT("Table!A"&amp;$AG60):INDIRECT("Table!" &amp; $AJ$69 &amp; $AG60),0)),"",INDIRECT(CONCATENATE("Table!",ADDRESS($AC60,MATCH(N$1,INDIRECT("Table!A" &amp; $AG60):INDIRECT("Table!" &amp; $AJ$69 &amp; $AG60),0)))))</f>
        <v>0.60816088716647543</v>
      </c>
      <c r="O60" s="273">
        <f ca="1">IF(ISERROR(MATCH(O$1,INDIRECT("Table!A"&amp;$AG60):INDIRECT("Table!" &amp; $AJ$69 &amp; $AG60),0)),"",INDIRECT(CONCATENATE("Table!",ADDRESS($AC60,MATCH(O$1,INDIRECT("Table!A" &amp; $AG60):INDIRECT("Table!" &amp; $AJ$69 &amp; $AG60),0)))))</f>
        <v>0.87539798518495016</v>
      </c>
      <c r="P60" s="273">
        <f ca="1">IF(ISERROR(MATCH(P$1,INDIRECT("Table!A"&amp;$AG60):INDIRECT("Table!" &amp; $AJ$69 &amp; $AG60),0)),"",INDIRECT(CONCATENATE("Table!",ADDRESS($AC60,MATCH(P$1,INDIRECT("Table!A" &amp; $AG60):INDIRECT("Table!" &amp; $AJ$69 &amp; $AG60),0)))))</f>
        <v>8.4047254904322063E-2</v>
      </c>
      <c r="Q60" s="273" t="str">
        <f ca="1">IF(ISERROR(MATCH(Q$1,INDIRECT("Table!A"&amp;$AG60):INDIRECT("Table!" &amp; $AJ$69 &amp; $AG60),0)),"",INDIRECT(CONCATENATE("Table!",ADDRESS($AC60,MATCH(Q$1,INDIRECT("Table!A" &amp; $AG60):INDIRECT("Table!" &amp; $AJ$69 &amp; $AG60),0)))))</f>
        <v/>
      </c>
      <c r="R60" s="273" t="str">
        <f ca="1">IF(ISERROR(MATCH(R$1,INDIRECT("Table!A"&amp;$AG60):INDIRECT("Table!" &amp; $AJ$69 &amp; $AG60),0)),"",INDIRECT(CONCATENATE("Table!",ADDRESS($AC60,MATCH(R$1,INDIRECT("Table!A" &amp; $AG60):INDIRECT("Table!" &amp; $AJ$69 &amp; $AG60),0)))))</f>
        <v/>
      </c>
      <c r="S60" s="273">
        <f ca="1">IF(ISERROR(MATCH(S$1,INDIRECT("Table!A"&amp;$AG60):INDIRECT("Table!" &amp; $AJ$69 &amp; $AG60),0)),"",INDIRECT(CONCATENATE("Table!",ADDRESS($AC60,MATCH(S$1,INDIRECT("Table!A" &amp; $AG60):INDIRECT("Table!" &amp; $AJ$69 &amp; $AG60),0)))))</f>
        <v>0.1269206360718754</v>
      </c>
      <c r="T60" s="273">
        <f ca="1">IF(ISERROR(MATCH(T$1,INDIRECT("Table!A"&amp;$AG60):INDIRECT("Table!" &amp; $AJ$69 &amp; $AG60),0)),"",INDIRECT(CONCATENATE("Table!",ADDRESS($AC60,MATCH(T$1,INDIRECT("Table!A" &amp; $AG60):INDIRECT("Table!" &amp; $AJ$69 &amp; $AG60),0)))))</f>
        <v>0.10436227920400115</v>
      </c>
      <c r="U60" s="596" t="str">
        <f ca="1">IF(ISERROR(MATCH(U$1,INDIRECT("Table!A"&amp;$AG60):INDIRECT("Table!" &amp; $AJ$69 &amp; $AG60),0)),"",INDIRECT(CONCATENATE("Table!",ADDRESS($AC60,MATCH(U$1,INDIRECT("Table!A" &amp; $AG60):INDIRECT("Table!" &amp; $AJ$69 &amp; $AG60),0)))))</f>
        <v/>
      </c>
      <c r="V60" s="596"/>
      <c r="W60" s="596"/>
      <c r="X60" s="596"/>
      <c r="Y60" s="596"/>
      <c r="Z60" s="596"/>
      <c r="AA60" s="596"/>
      <c r="AB60" s="596"/>
      <c r="AC60" s="272">
        <f>MATCH($A60,Table!$A:$A,0)+$AE$2-1</f>
        <v>704</v>
      </c>
      <c r="AD60" s="366"/>
      <c r="AE60" s="366"/>
      <c r="AF60" s="366"/>
      <c r="AG60" s="272">
        <f>MATCH($A60,Table!$A:$A,0)+$AI$2-1</f>
        <v>701</v>
      </c>
      <c r="AH60" s="366"/>
      <c r="AJ60" s="743" t="s">
        <v>285</v>
      </c>
    </row>
    <row r="61" spans="1:36" s="267" customFormat="1" ht="15.75" customHeight="1" x14ac:dyDescent="0.25">
      <c r="A61" s="268">
        <v>41393</v>
      </c>
      <c r="B61" s="273">
        <f ca="1">IF(ISERROR(MATCH(B$1,INDIRECT("Table!A"&amp;$AG61):INDIRECT("Table!" &amp; $AJ$91 &amp; $AG61),0)),"",INDIRECT(CONCATENATE("Table!",ADDRESS($AC61,MATCH(B$1,INDIRECT("Table!A" &amp; $AG61):INDIRECT("Table!" &amp; $AJ$90 &amp; $AG61),0)))))</f>
        <v>0.29606143151440595</v>
      </c>
      <c r="C61" s="273">
        <f ca="1">IF(ISERROR(MATCH(C$1,INDIRECT("Table!A"&amp;$AG61):INDIRECT("Table!" &amp; $AJ$90 &amp; $AG61),0)),"",INDIRECT(CONCATENATE("Table!",ADDRESS($AC61,MATCH(C$1,INDIRECT("Table!A" &amp; $AG61):INDIRECT("Table!" &amp; $AJ$90 &amp; $AG61),0)))))</f>
        <v>0.51687929107774733</v>
      </c>
      <c r="D61" s="273">
        <f ca="1">IF(ISERROR(MATCH(D$1,INDIRECT("Table!A"&amp;$AG61):INDIRECT("Table!" &amp; $AJ$90 &amp; $AG61),0)),"",INDIRECT(CONCATENATE("Table!",ADDRESS($AC61,MATCH(D$1,INDIRECT("Table!A" &amp; $AG61):INDIRECT("Table!" &amp; $AJ$90 &amp; $AG61),0)))))</f>
        <v>0.52730676779447738</v>
      </c>
      <c r="E61" s="273">
        <f ca="1">IF(ISERROR(MATCH(E$1,INDIRECT("Table!A"&amp;$AG61):INDIRECT("Table!" &amp; $AJ$90 &amp; $AG61),0)),"",INDIRECT(CONCATENATE("Table!",ADDRESS($AC61,MATCH(E$1,INDIRECT("Table!A" &amp; $AG61):INDIRECT("Table!" &amp; $AJ$90 &amp; $AG61),0)))))</f>
        <v>0.86698960097319866</v>
      </c>
      <c r="F61" s="273">
        <f ca="1">IF(ISERROR(MATCH(F$1,INDIRECT("Table!A"&amp;$AG61):INDIRECT("Table!" &amp; $AJ$90 &amp; $AG61),0)),"",INDIRECT(CONCATENATE("Table!",ADDRESS($AC61,MATCH(F$1,INDIRECT("Table!A" &amp; $AG61):INDIRECT("Table!" &amp; $AJ$90 &amp; $AG61),0)))))</f>
        <v>0.58897931430470984</v>
      </c>
      <c r="G61" s="273">
        <f ca="1">IF(ISERROR(MATCH(G$1,INDIRECT("Table!A"&amp;$AG61):INDIRECT("Table!" &amp; $AJ$90 &amp; $AG61),0)),"",INDIRECT(CONCATENATE("Table!",ADDRESS($AC61,MATCH(G$1,INDIRECT("Table!A" &amp; $AG61):INDIRECT("Table!" &amp; $AJ$90 &amp; $AG61),0)))))</f>
        <v>0.38990025126388766</v>
      </c>
      <c r="H61" s="273">
        <f ca="1">IF(ISERROR(MATCH(H$1,INDIRECT("Table!A"&amp;$AG61):INDIRECT("Table!" &amp; $AJ$90 &amp; $AG61),0)),"",INDIRECT(CONCATENATE("Table!",ADDRESS($AC61,MATCH(H$1,INDIRECT("Table!A" &amp; $AG61):INDIRECT("Table!" &amp; $AJ$90 &amp; $AG61),0)))))</f>
        <v>0.6927837549595407</v>
      </c>
      <c r="I61" s="273">
        <f ca="1">IF(ISERROR(MATCH(I$1,INDIRECT("Table!A"&amp;$AG61):INDIRECT("Table!" &amp; $AJ$69 &amp; $AG61),0)),"",INDIRECT(CONCATENATE("Table!",ADDRESS($AC61,MATCH(I$1,INDIRECT("Table!A" &amp; $AG61):INDIRECT("Table!" &amp; $AJ$69 &amp; $AG61),0)))))</f>
        <v>8.283582583835658E-2</v>
      </c>
      <c r="J61" s="273" t="str">
        <f ca="1">IF(ISERROR(MATCH(J$1,INDIRECT("Table!A"&amp;$AG61):INDIRECT("Table!" &amp; $AJ$69 &amp; $AG61),0)),"",INDIRECT(CONCATENATE("Table!",ADDRESS($AC61,MATCH(J$1,INDIRECT("Table!A" &amp; $AG61):INDIRECT("Table!" &amp; $AJ$69 &amp; $AG61),0)))))</f>
        <v/>
      </c>
      <c r="K61" s="273" t="str">
        <f ca="1">IF(ISERROR(MATCH(K$1,INDIRECT("Table!A"&amp;$AG61):INDIRECT("Table!" &amp; $AJ$69 &amp; $AG61),0)),"",INDIRECT(CONCATENATE("Table!",ADDRESS($AC61,MATCH(K$1,INDIRECT("Table!A" &amp; $AG61):INDIRECT("Table!" &amp; $AJ$69 &amp; $AG61),0)))))</f>
        <v/>
      </c>
      <c r="L61" s="273">
        <f ca="1">IF(ISERROR(MATCH(L$1,INDIRECT("Table!A"&amp;$AG61):INDIRECT("Table!" &amp; $AJ$69 &amp; $AG61),0)),"",INDIRECT(CONCATENATE("Table!",ADDRESS($AC61,MATCH(L$1,INDIRECT("Table!A" &amp; $AG61):INDIRECT("Table!" &amp; $AJ$69 &amp; $AG61),0)))))</f>
        <v>0.82151823320053674</v>
      </c>
      <c r="M61" s="273">
        <f ca="1">IF(ISERROR(MATCH(M$1,INDIRECT("Table!A"&amp;$AG61):INDIRECT("Table!" &amp; $AJ$69 &amp; $AG61),0)),"",INDIRECT(CONCATENATE("Table!",ADDRESS($AC61,MATCH(M$1,INDIRECT("Table!A" &amp; $AG61):INDIRECT("Table!" &amp; $AJ$69 &amp; $AG61),0)))))</f>
        <v>0.49179155421615622</v>
      </c>
      <c r="N61" s="273">
        <f ca="1">IF(ISERROR(MATCH(N$1,INDIRECT("Table!A"&amp;$AG61):INDIRECT("Table!" &amp; $AJ$69 &amp; $AG61),0)),"",INDIRECT(CONCATENATE("Table!",ADDRESS($AC61,MATCH(N$1,INDIRECT("Table!A" &amp; $AG61):INDIRECT("Table!" &amp; $AJ$69 &amp; $AG61),0)))))</f>
        <v>0.607152743444346</v>
      </c>
      <c r="O61" s="273">
        <f ca="1">IF(ISERROR(MATCH(O$1,INDIRECT("Table!A"&amp;$AG61):INDIRECT("Table!" &amp; $AJ$69 &amp; $AG61),0)),"",INDIRECT(CONCATENATE("Table!",ADDRESS($AC61,MATCH(O$1,INDIRECT("Table!A" &amp; $AG61):INDIRECT("Table!" &amp; $AJ$69 &amp; $AG61),0)))))</f>
        <v>0.87552434317924632</v>
      </c>
      <c r="P61" s="273">
        <f ca="1">IF(ISERROR(MATCH(P$1,INDIRECT("Table!A"&amp;$AG61):INDIRECT("Table!" &amp; $AJ$69 &amp; $AG61),0)),"",INDIRECT(CONCATENATE("Table!",ADDRESS($AC61,MATCH(P$1,INDIRECT("Table!A" &amp; $AG61):INDIRECT("Table!" &amp; $AJ$69 &amp; $AG61),0)))))</f>
        <v>8.4047254904322063E-2</v>
      </c>
      <c r="Q61" s="273" t="str">
        <f ca="1">IF(ISERROR(MATCH(Q$1,INDIRECT("Table!A"&amp;$AG61):INDIRECT("Table!" &amp; $AJ$69 &amp; $AG61),0)),"",INDIRECT(CONCATENATE("Table!",ADDRESS($AC61,MATCH(Q$1,INDIRECT("Table!A" &amp; $AG61):INDIRECT("Table!" &amp; $AJ$69 &amp; $AG61),0)))))</f>
        <v/>
      </c>
      <c r="R61" s="273" t="str">
        <f ca="1">IF(ISERROR(MATCH(R$1,INDIRECT("Table!A"&amp;$AG61):INDIRECT("Table!" &amp; $AJ$69 &amp; $AG61),0)),"",INDIRECT(CONCATENATE("Table!",ADDRESS($AC61,MATCH(R$1,INDIRECT("Table!A" &amp; $AG61):INDIRECT("Table!" &amp; $AJ$69 &amp; $AG61),0)))))</f>
        <v/>
      </c>
      <c r="S61" s="273">
        <f ca="1">IF(ISERROR(MATCH(S$1,INDIRECT("Table!A"&amp;$AG61):INDIRECT("Table!" &amp; $AJ$69 &amp; $AG61),0)),"",INDIRECT(CONCATENATE("Table!",ADDRESS($AC61,MATCH(S$1,INDIRECT("Table!A" &amp; $AG61):INDIRECT("Table!" &amp; $AJ$69 &amp; $AG61),0)))))</f>
        <v>0.12686442675563453</v>
      </c>
      <c r="T61" s="273">
        <f ca="1">IF(ISERROR(MATCH(T$1,INDIRECT("Table!A"&amp;$AG61):INDIRECT("Table!" &amp; $AJ$69 &amp; $AG61),0)),"",INDIRECT(CONCATENATE("Table!",ADDRESS($AC61,MATCH(T$1,INDIRECT("Table!A" &amp; $AG61):INDIRECT("Table!" &amp; $AJ$69 &amp; $AG61),0)))))</f>
        <v>0.10415980417340323</v>
      </c>
      <c r="U61" s="596" t="str">
        <f ca="1">IF(ISERROR(MATCH(U$1,INDIRECT("Table!A"&amp;$AG61):INDIRECT("Table!" &amp; $AJ$69 &amp; $AG61),0)),"",INDIRECT(CONCATENATE("Table!",ADDRESS($AC61,MATCH(U$1,INDIRECT("Table!A" &amp; $AG61):INDIRECT("Table!" &amp; $AJ$69 &amp; $AG61),0)))))</f>
        <v/>
      </c>
      <c r="V61" s="596"/>
      <c r="W61" s="596"/>
      <c r="X61" s="596"/>
      <c r="Y61" s="596"/>
      <c r="Z61" s="596"/>
      <c r="AA61" s="596"/>
      <c r="AB61" s="596"/>
      <c r="AC61" s="272">
        <f>MATCH($A61,Table!$A:$A,0)+$AE$2-1</f>
        <v>716</v>
      </c>
      <c r="AD61" s="365"/>
      <c r="AE61" s="365"/>
      <c r="AF61" s="365"/>
      <c r="AG61" s="272">
        <f>MATCH($A61,Table!$A:$A,0)+$AI$2-1</f>
        <v>713</v>
      </c>
      <c r="AH61" s="365"/>
      <c r="AJ61" s="743" t="s">
        <v>285</v>
      </c>
    </row>
    <row r="62" spans="1:36" s="267" customFormat="1" ht="15.75" customHeight="1" x14ac:dyDescent="0.25">
      <c r="A62" s="268">
        <v>41390</v>
      </c>
      <c r="B62" s="273">
        <f ca="1">IF(ISERROR(MATCH(B$1,INDIRECT("Table!A"&amp;$AG62):INDIRECT("Table!" &amp; $AJ$91 &amp; $AG62),0)),"",INDIRECT(CONCATENATE("Table!",ADDRESS($AC62,MATCH(B$1,INDIRECT("Table!A" &amp; $AG62):INDIRECT("Table!" &amp; $AJ$90 &amp; $AG62),0)))))</f>
        <v>0.29424961748268036</v>
      </c>
      <c r="C62" s="273">
        <f ca="1">IF(ISERROR(MATCH(C$1,INDIRECT("Table!A"&amp;$AG62):INDIRECT("Table!" &amp; $AJ$90 &amp; $AG62),0)),"",INDIRECT(CONCATENATE("Table!",ADDRESS($AC62,MATCH(C$1,INDIRECT("Table!A" &amp; $AG62):INDIRECT("Table!" &amp; $AJ$90 &amp; $AG62),0)))))</f>
        <v>7.0000000000000007E-2</v>
      </c>
      <c r="D62" s="273">
        <f ca="1">IF(ISERROR(MATCH(D$1,INDIRECT("Table!A"&amp;$AG62):INDIRECT("Table!" &amp; $AJ$90 &amp; $AG62),0)),"",INDIRECT(CONCATENATE("Table!",ADDRESS($AC62,MATCH(D$1,INDIRECT("Table!A" &amp; $AG62):INDIRECT("Table!" &amp; $AJ$90 &amp; $AG62),0)))))</f>
        <v>0.5269752411374754</v>
      </c>
      <c r="E62" s="273">
        <f ca="1">IF(ISERROR(MATCH(E$1,INDIRECT("Table!A"&amp;$AG62):INDIRECT("Table!" &amp; $AJ$90 &amp; $AG62),0)),"",INDIRECT(CONCATENATE("Table!",ADDRESS($AC62,MATCH(E$1,INDIRECT("Table!A" &amp; $AG62):INDIRECT("Table!" &amp; $AJ$90 &amp; $AG62),0)))))</f>
        <v>0.86663904728518704</v>
      </c>
      <c r="F62" s="273">
        <f ca="1">IF(ISERROR(MATCH(F$1,INDIRECT("Table!A"&amp;$AG62):INDIRECT("Table!" &amp; $AJ$90 &amp; $AG62),0)),"",INDIRECT(CONCATENATE("Table!",ADDRESS($AC62,MATCH(F$1,INDIRECT("Table!A" &amp; $AG62):INDIRECT("Table!" &amp; $AJ$90 &amp; $AG62),0)))))</f>
        <v>0.58710022514014593</v>
      </c>
      <c r="G62" s="273">
        <f ca="1">IF(ISERROR(MATCH(G$1,INDIRECT("Table!A"&amp;$AG62):INDIRECT("Table!" &amp; $AJ$90 &amp; $AG62),0)),"",INDIRECT(CONCATENATE("Table!",ADDRESS($AC62,MATCH(G$1,INDIRECT("Table!A" &amp; $AG62):INDIRECT("Table!" &amp; $AJ$90 &amp; $AG62),0)))))</f>
        <v>0.37599597372324645</v>
      </c>
      <c r="H62" s="273">
        <f ca="1">IF(ISERROR(MATCH(H$1,INDIRECT("Table!A"&amp;$AG62):INDIRECT("Table!" &amp; $AJ$90 &amp; $AG62),0)),"",INDIRECT(CONCATENATE("Table!",ADDRESS($AC62,MATCH(H$1,INDIRECT("Table!A" &amp; $AG62):INDIRECT("Table!" &amp; $AJ$90 &amp; $AG62),0)))))</f>
        <v>0.68529931971667779</v>
      </c>
      <c r="I62" s="273">
        <f ca="1">IF(ISERROR(MATCH(I$1,INDIRECT("Table!A"&amp;$AG62):INDIRECT("Table!" &amp; $AJ$69 &amp; $AG62),0)),"",INDIRECT(CONCATENATE("Table!",ADDRESS($AC62,MATCH(I$1,INDIRECT("Table!A" &amp; $AG62):INDIRECT("Table!" &amp; $AJ$69 &amp; $AG62),0)))))</f>
        <v>8.2793676943169442E-2</v>
      </c>
      <c r="J62" s="273" t="str">
        <f ca="1">IF(ISERROR(MATCH(J$1,INDIRECT("Table!A"&amp;$AG62):INDIRECT("Table!" &amp; $AJ$69 &amp; $AG62),0)),"",INDIRECT(CONCATENATE("Table!",ADDRESS($AC62,MATCH(J$1,INDIRECT("Table!A" &amp; $AG62):INDIRECT("Table!" &amp; $AJ$69 &amp; $AG62),0)))))</f>
        <v/>
      </c>
      <c r="K62" s="273" t="str">
        <f ca="1">IF(ISERROR(MATCH(K$1,INDIRECT("Table!A"&amp;$AG62):INDIRECT("Table!" &amp; $AJ$69 &amp; $AG62),0)),"",INDIRECT(CONCATENATE("Table!",ADDRESS($AC62,MATCH(K$1,INDIRECT("Table!A" &amp; $AG62):INDIRECT("Table!" &amp; $AJ$69 &amp; $AG62),0)))))</f>
        <v/>
      </c>
      <c r="L62" s="273">
        <f ca="1">IF(ISERROR(MATCH(L$1,INDIRECT("Table!A"&amp;$AG62):INDIRECT("Table!" &amp; $AJ$69 &amp; $AG62),0)),"",INDIRECT(CONCATENATE("Table!",ADDRESS($AC62,MATCH(L$1,INDIRECT("Table!A" &amp; $AG62):INDIRECT("Table!" &amp; $AJ$69 &amp; $AG62),0)))))</f>
        <v>0.82099913483605924</v>
      </c>
      <c r="M62" s="273">
        <f ca="1">IF(ISERROR(MATCH(M$1,INDIRECT("Table!A"&amp;$AG62):INDIRECT("Table!" &amp; $AJ$69 &amp; $AG62),0)),"",INDIRECT(CONCATENATE("Table!",ADDRESS($AC62,MATCH(M$1,INDIRECT("Table!A" &amp; $AG62):INDIRECT("Table!" &amp; $AJ$69 &amp; $AG62),0)))))</f>
        <v>0.47222327335804593</v>
      </c>
      <c r="N62" s="273">
        <f ca="1">IF(ISERROR(MATCH(N$1,INDIRECT("Table!A"&amp;$AG62):INDIRECT("Table!" &amp; $AJ$69 &amp; $AG62),0)),"",INDIRECT(CONCATENATE("Table!",ADDRESS($AC62,MATCH(N$1,INDIRECT("Table!A" &amp; $AG62):INDIRECT("Table!" &amp; $AJ$69 &amp; $AG62),0)))))</f>
        <v>0.60495392638133216</v>
      </c>
      <c r="O62" s="273">
        <f ca="1">IF(ISERROR(MATCH(O$1,INDIRECT("Table!A"&amp;$AG62):INDIRECT("Table!" &amp; $AJ$69 &amp; $AG62),0)),"",INDIRECT(CONCATENATE("Table!",ADDRESS($AC62,MATCH(O$1,INDIRECT("Table!A" &amp; $AG62):INDIRECT("Table!" &amp; $AJ$69 &amp; $AG62),0)))))</f>
        <v>0.86422975169804173</v>
      </c>
      <c r="P62" s="273">
        <f ca="1">IF(ISERROR(MATCH(P$1,INDIRECT("Table!A"&amp;$AG62):INDIRECT("Table!" &amp; $AJ$69 &amp; $AG62),0)),"",INDIRECT(CONCATENATE("Table!",ADDRESS($AC62,MATCH(P$1,INDIRECT("Table!A" &amp; $AG62):INDIRECT("Table!" &amp; $AJ$69 &amp; $AG62),0)))))</f>
        <v>8.3983429472898274E-2</v>
      </c>
      <c r="Q62" s="273" t="str">
        <f ca="1">IF(ISERROR(MATCH(Q$1,INDIRECT("Table!A"&amp;$AG62):INDIRECT("Table!" &amp; $AJ$69 &amp; $AG62),0)),"",INDIRECT(CONCATENATE("Table!",ADDRESS($AC62,MATCH(Q$1,INDIRECT("Table!A" &amp; $AG62):INDIRECT("Table!" &amp; $AJ$69 &amp; $AG62),0)))))</f>
        <v/>
      </c>
      <c r="R62" s="273" t="str">
        <f ca="1">IF(ISERROR(MATCH(R$1,INDIRECT("Table!A"&amp;$AG62):INDIRECT("Table!" &amp; $AJ$69 &amp; $AG62),0)),"",INDIRECT(CONCATENATE("Table!",ADDRESS($AC62,MATCH(R$1,INDIRECT("Table!A" &amp; $AG62):INDIRECT("Table!" &amp; $AJ$69 &amp; $AG62),0)))))</f>
        <v/>
      </c>
      <c r="S62" s="273">
        <f ca="1">IF(ISERROR(MATCH(S$1,INDIRECT("Table!A"&amp;$AG62):INDIRECT("Table!" &amp; $AJ$69 &amp; $AG62),0)),"",INDIRECT(CONCATENATE("Table!",ADDRESS($AC62,MATCH(S$1,INDIRECT("Table!A" &amp; $AG62):INDIRECT("Table!" &amp; $AJ$69 &amp; $AG62),0)))))</f>
        <v>0.12679915142064516</v>
      </c>
      <c r="T62" s="273">
        <f ca="1">IF(ISERROR(MATCH(T$1,INDIRECT("Table!A"&amp;$AG62):INDIRECT("Table!" &amp; $AJ$69 &amp; $AG62),0)),"",INDIRECT(CONCATENATE("Table!",ADDRESS($AC62,MATCH(T$1,INDIRECT("Table!A" &amp; $AG62):INDIRECT("Table!" &amp; $AJ$69 &amp; $AG62),0)))))</f>
        <v>0.10401776945044651</v>
      </c>
      <c r="U62" s="596" t="str">
        <f ca="1">IF(ISERROR(MATCH(U$1,INDIRECT("Table!A"&amp;$AG62):INDIRECT("Table!" &amp; $AJ$69 &amp; $AG62),0)),"",INDIRECT(CONCATENATE("Table!",ADDRESS($AC62,MATCH(U$1,INDIRECT("Table!A" &amp; $AG62):INDIRECT("Table!" &amp; $AJ$69 &amp; $AG62),0)))))</f>
        <v/>
      </c>
      <c r="V62" s="596"/>
      <c r="W62" s="596"/>
      <c r="X62" s="596"/>
      <c r="Y62" s="596"/>
      <c r="Z62" s="596"/>
      <c r="AA62" s="596"/>
      <c r="AB62" s="596"/>
      <c r="AC62" s="272">
        <f>MATCH($A62,Table!$A:$A,0)+$AE$2-1</f>
        <v>728</v>
      </c>
      <c r="AD62" s="364"/>
      <c r="AE62" s="364"/>
      <c r="AF62" s="364"/>
      <c r="AG62" s="272">
        <f>MATCH($A62,Table!$A:$A,0)+$AI$2-1</f>
        <v>725</v>
      </c>
      <c r="AH62" s="364"/>
      <c r="AJ62" s="743" t="s">
        <v>285</v>
      </c>
    </row>
    <row r="63" spans="1:36" s="267" customFormat="1" ht="15.75" customHeight="1" x14ac:dyDescent="0.25">
      <c r="A63" s="268">
        <v>41387</v>
      </c>
      <c r="B63" s="273">
        <f ca="1">IF(ISERROR(MATCH(B$1,INDIRECT("Table!A"&amp;$AG63):INDIRECT("Table!" &amp; $AJ$91 &amp; $AG63),0)),"",INDIRECT(CONCATENATE("Table!",ADDRESS($AC63,MATCH(B$1,INDIRECT("Table!A" &amp; $AG63):INDIRECT("Table!" &amp; $AJ$90 &amp; $AG63),0)))))</f>
        <v>0.27139969956524829</v>
      </c>
      <c r="C63" s="273">
        <f ca="1">IF(ISERROR(MATCH(C$1,INDIRECT("Table!A"&amp;$AG63):INDIRECT("Table!" &amp; $AJ$90 &amp; $AG63),0)),"",INDIRECT(CONCATENATE("Table!",ADDRESS($AC63,MATCH(C$1,INDIRECT("Table!A" &amp; $AG63):INDIRECT("Table!" &amp; $AJ$90 &amp; $AG63),0)))))</f>
        <v>0.5163703744058763</v>
      </c>
      <c r="D63" s="273">
        <f ca="1">IF(ISERROR(MATCH(D$1,INDIRECT("Table!A"&amp;$AG63):INDIRECT("Table!" &amp; $AJ$90 &amp; $AG63),0)),"",INDIRECT(CONCATENATE("Table!",ADDRESS($AC63,MATCH(D$1,INDIRECT("Table!A" &amp; $AG63):INDIRECT("Table!" &amp; $AJ$90 &amp; $AG63),0)))))</f>
        <v>0.52679851550468459</v>
      </c>
      <c r="E63" s="273">
        <f ca="1">IF(ISERROR(MATCH(E$1,INDIRECT("Table!A"&amp;$AG63):INDIRECT("Table!" &amp; $AJ$90 &amp; $AG63),0)),"",INDIRECT(CONCATENATE("Table!",ADDRESS($AC63,MATCH(E$1,INDIRECT("Table!A" &amp; $AG63):INDIRECT("Table!" &amp; $AJ$90 &amp; $AG63),0)))))</f>
        <v>0.86588464256161346</v>
      </c>
      <c r="F63" s="273">
        <f ca="1">IF(ISERROR(MATCH(F$1,INDIRECT("Table!A"&amp;$AG63):INDIRECT("Table!" &amp; $AJ$90 &amp; $AG63),0)),"",INDIRECT(CONCATENATE("Table!",ADDRESS($AC63,MATCH(F$1,INDIRECT("Table!A" &amp; $AG63):INDIRECT("Table!" &amp; $AJ$90 &amp; $AG63),0)))))</f>
        <v>0.5828754476360285</v>
      </c>
      <c r="G63" s="273">
        <f ca="1">IF(ISERROR(MATCH(G$1,INDIRECT("Table!A"&amp;$AG63):INDIRECT("Table!" &amp; $AJ$90 &amp; $AG63),0)),"",INDIRECT(CONCATENATE("Table!",ADDRESS($AC63,MATCH(G$1,INDIRECT("Table!A" &amp; $AG63):INDIRECT("Table!" &amp; $AJ$90 &amp; $AG63),0)))))</f>
        <v>0.40295840523113247</v>
      </c>
      <c r="H63" s="273">
        <f ca="1">IF(ISERROR(MATCH(H$1,INDIRECT("Table!A"&amp;$AG63):INDIRECT("Table!" &amp; $AJ$90 &amp; $AG63),0)),"",INDIRECT(CONCATENATE("Table!",ADDRESS($AC63,MATCH(H$1,INDIRECT("Table!A" &amp; $AG63):INDIRECT("Table!" &amp; $AJ$90 &amp; $AG63),0)))))</f>
        <v>0.68425013063351903</v>
      </c>
      <c r="I63" s="273">
        <f ca="1">IF(ISERROR(MATCH(I$1,INDIRECT("Table!A"&amp;$AG63):INDIRECT("Table!" &amp; $AJ$69 &amp; $AG63),0)),"",INDIRECT(CONCATENATE("Table!",ADDRESS($AC63,MATCH(I$1,INDIRECT("Table!A" &amp; $AG63):INDIRECT("Table!" &amp; $AJ$69 &amp; $AG63),0)))))</f>
        <v>8.1001144643567877E-2</v>
      </c>
      <c r="J63" s="273" t="str">
        <f ca="1">IF(ISERROR(MATCH(J$1,INDIRECT("Table!A"&amp;$AG63):INDIRECT("Table!" &amp; $AJ$69 &amp; $AG63),0)),"",INDIRECT(CONCATENATE("Table!",ADDRESS($AC63,MATCH(J$1,INDIRECT("Table!A" &amp; $AG63):INDIRECT("Table!" &amp; $AJ$69 &amp; $AG63),0)))))</f>
        <v/>
      </c>
      <c r="K63" s="273" t="str">
        <f ca="1">IF(ISERROR(MATCH(K$1,INDIRECT("Table!A"&amp;$AG63):INDIRECT("Table!" &amp; $AJ$69 &amp; $AG63),0)),"",INDIRECT(CONCATENATE("Table!",ADDRESS($AC63,MATCH(K$1,INDIRECT("Table!A" &amp; $AG63):INDIRECT("Table!" &amp; $AJ$69 &amp; $AG63),0)))))</f>
        <v/>
      </c>
      <c r="L63" s="273">
        <f ca="1">IF(ISERROR(MATCH(L$1,INDIRECT("Table!A"&amp;$AG63):INDIRECT("Table!" &amp; $AJ$69 &amp; $AG63),0)),"",INDIRECT(CONCATENATE("Table!",ADDRESS($AC63,MATCH(L$1,INDIRECT("Table!A" &amp; $AG63):INDIRECT("Table!" &amp; $AJ$69 &amp; $AG63),0)))))</f>
        <v>0.81983297673382483</v>
      </c>
      <c r="M63" s="273">
        <f ca="1">IF(ISERROR(MATCH(M$1,INDIRECT("Table!A"&amp;$AG63):INDIRECT("Table!" &amp; $AJ$69 &amp; $AG63),0)),"",INDIRECT(CONCATENATE("Table!",ADDRESS($AC63,MATCH(M$1,INDIRECT("Table!A" &amp; $AG63):INDIRECT("Table!" &amp; $AJ$69 &amp; $AG63),0)))))</f>
        <v>0.48772895630285418</v>
      </c>
      <c r="N63" s="273">
        <f ca="1">IF(ISERROR(MATCH(N$1,INDIRECT("Table!A"&amp;$AG63):INDIRECT("Table!" &amp; $AJ$69 &amp; $AG63),0)),"",INDIRECT(CONCATENATE("Table!",ADDRESS($AC63,MATCH(N$1,INDIRECT("Table!A" &amp; $AG63):INDIRECT("Table!" &amp; $AJ$69 &amp; $AG63),0)))))</f>
        <v>0.60049706078961584</v>
      </c>
      <c r="O63" s="273">
        <f ca="1">IF(ISERROR(MATCH(O$1,INDIRECT("Table!A"&amp;$AG63):INDIRECT("Table!" &amp; $AJ$69 &amp; $AG63),0)),"",INDIRECT(CONCATENATE("Table!",ADDRESS($AC63,MATCH(O$1,INDIRECT("Table!A" &amp; $AG63):INDIRECT("Table!" &amp; $AJ$69 &amp; $AG63),0)))))</f>
        <v>0.85670323493464218</v>
      </c>
      <c r="P63" s="273">
        <f ca="1">IF(ISERROR(MATCH(P$1,INDIRECT("Table!A"&amp;$AG63):INDIRECT("Table!" &amp; $AJ$69 &amp; $AG63),0)),"",INDIRECT(CONCATENATE("Table!",ADDRESS($AC63,MATCH(P$1,INDIRECT("Table!A" &amp; $AG63):INDIRECT("Table!" &amp; $AJ$69 &amp; $AG63),0)))))</f>
        <v>8.2190296125916731E-2</v>
      </c>
      <c r="Q63" s="273" t="str">
        <f ca="1">IF(ISERROR(MATCH(Q$1,INDIRECT("Table!A"&amp;$AG63):INDIRECT("Table!" &amp; $AJ$69 &amp; $AG63),0)),"",INDIRECT(CONCATENATE("Table!",ADDRESS($AC63,MATCH(Q$1,INDIRECT("Table!A" &amp; $AG63):INDIRECT("Table!" &amp; $AJ$69 &amp; $AG63),0)))))</f>
        <v/>
      </c>
      <c r="R63" s="273" t="str">
        <f ca="1">IF(ISERROR(MATCH(R$1,INDIRECT("Table!A"&amp;$AG63):INDIRECT("Table!" &amp; $AJ$69 &amp; $AG63),0)),"",INDIRECT(CONCATENATE("Table!",ADDRESS($AC63,MATCH(R$1,INDIRECT("Table!A" &amp; $AG63):INDIRECT("Table!" &amp; $AJ$69 &amp; $AG63),0)))))</f>
        <v/>
      </c>
      <c r="S63" s="273">
        <f ca="1">IF(ISERROR(MATCH(S$1,INDIRECT("Table!A"&amp;$AG63):INDIRECT("Table!" &amp; $AJ$69 &amp; $AG63),0)),"",INDIRECT(CONCATENATE("Table!",ADDRESS($AC63,MATCH(S$1,INDIRECT("Table!A" &amp; $AG63):INDIRECT("Table!" &amp; $AJ$69 &amp; $AG63),0)))))</f>
        <v>0.12678283258689779</v>
      </c>
      <c r="T63" s="273">
        <f ca="1">IF(ISERROR(MATCH(T$1,INDIRECT("Table!A"&amp;$AG63):INDIRECT("Table!" &amp; $AJ$69 &amp; $AG63),0)),"",INDIRECT(CONCATENATE("Table!",ADDRESS($AC63,MATCH(T$1,INDIRECT("Table!A" &amp; $AG63):INDIRECT("Table!" &amp; $AJ$69 &amp; $AG63),0)))))</f>
        <v>0.10391502092745651</v>
      </c>
      <c r="U63" s="596" t="str">
        <f ca="1">IF(ISERROR(MATCH(U$1,INDIRECT("Table!A"&amp;$AG63):INDIRECT("Table!" &amp; $AJ$69 &amp; $AG63),0)),"",INDIRECT(CONCATENATE("Table!",ADDRESS($AC63,MATCH(U$1,INDIRECT("Table!A" &amp; $AG63):INDIRECT("Table!" &amp; $AJ$69 &amp; $AG63),0)))))</f>
        <v/>
      </c>
      <c r="V63" s="596"/>
      <c r="W63" s="596"/>
      <c r="X63" s="596"/>
      <c r="Y63" s="596"/>
      <c r="Z63" s="596"/>
      <c r="AA63" s="596"/>
      <c r="AB63" s="596"/>
      <c r="AC63" s="272">
        <f>MATCH($A63,Table!$A:$A,0)+$AE$2-1</f>
        <v>740</v>
      </c>
      <c r="AD63" s="363"/>
      <c r="AE63" s="363"/>
      <c r="AF63" s="363"/>
      <c r="AG63" s="272">
        <f>MATCH($A63,Table!$A:$A,0)+$AI$2-1</f>
        <v>737</v>
      </c>
      <c r="AH63" s="363"/>
      <c r="AJ63" s="743" t="s">
        <v>285</v>
      </c>
    </row>
    <row r="64" spans="1:36" s="267" customFormat="1" ht="15.75" customHeight="1" x14ac:dyDescent="0.25">
      <c r="A64" s="268">
        <v>41383</v>
      </c>
      <c r="B64" s="273">
        <f ca="1">IF(ISERROR(MATCH(B$1,INDIRECT("Table!A"&amp;$AG64):INDIRECT("Table!" &amp; $AJ$91 &amp; $AG64),0)),"",INDIRECT(CONCATENATE("Table!",ADDRESS($AC64,MATCH(B$1,INDIRECT("Table!A" &amp; $AG64):INDIRECT("Table!" &amp; $AJ$90 &amp; $AG64),0)))))</f>
        <v>0.26251985812338469</v>
      </c>
      <c r="C64" s="273">
        <f ca="1">IF(ISERROR(MATCH(C$1,INDIRECT("Table!A"&amp;$AG64):INDIRECT("Table!" &amp; $AJ$90 &amp; $AG64),0)),"",INDIRECT(CONCATENATE("Table!",ADDRESS($AC64,MATCH(C$1,INDIRECT("Table!A" &amp; $AG64):INDIRECT("Table!" &amp; $AJ$90 &amp; $AG64),0)))))</f>
        <v>0.5161258818011133</v>
      </c>
      <c r="D64" s="273">
        <f ca="1">IF(ISERROR(MATCH(D$1,INDIRECT("Table!A"&amp;$AG64):INDIRECT("Table!" &amp; $AJ$90 &amp; $AG64),0)),"",INDIRECT(CONCATENATE("Table!",ADDRESS($AC64,MATCH(D$1,INDIRECT("Table!A" &amp; $AG64):INDIRECT("Table!" &amp; $AJ$90 &amp; $AG64),0)))))</f>
        <v>0.52549699101356806</v>
      </c>
      <c r="E64" s="273">
        <f ca="1">IF(ISERROR(MATCH(E$1,INDIRECT("Table!A"&amp;$AG64):INDIRECT("Table!" &amp; $AJ$90 &amp; $AG64),0)),"",INDIRECT(CONCATENATE("Table!",ADDRESS($AC64,MATCH(E$1,INDIRECT("Table!A" &amp; $AG64):INDIRECT("Table!" &amp; $AJ$90 &amp; $AG64),0)))))</f>
        <v>0.86532749296969536</v>
      </c>
      <c r="F64" s="273">
        <f ca="1">IF(ISERROR(MATCH(F$1,INDIRECT("Table!A"&amp;$AG64):INDIRECT("Table!" &amp; $AJ$90 &amp; $AG64),0)),"",INDIRECT(CONCATENATE("Table!",ADDRESS($AC64,MATCH(F$1,INDIRECT("Table!A" &amp; $AG64):INDIRECT("Table!" &amp; $AJ$90 &amp; $AG64),0)))))</f>
        <v>0.57972832081715298</v>
      </c>
      <c r="G64" s="273">
        <f ca="1">IF(ISERROR(MATCH(G$1,INDIRECT("Table!A"&amp;$AG64):INDIRECT("Table!" &amp; $AJ$90 &amp; $AG64),0)),"",INDIRECT(CONCATENATE("Table!",ADDRESS($AC64,MATCH(G$1,INDIRECT("Table!A" &amp; $AG64):INDIRECT("Table!" &amp; $AJ$90 &amp; $AG64),0)))))</f>
        <v>0.38223367541549363</v>
      </c>
      <c r="H64" s="273">
        <f ca="1">IF(ISERROR(MATCH(H$1,INDIRECT("Table!A"&amp;$AG64):INDIRECT("Table!" &amp; $AJ$90 &amp; $AG64),0)),"",INDIRECT(CONCATENATE("Table!",ADDRESS($AC64,MATCH(H$1,INDIRECT("Table!A" &amp; $AG64):INDIRECT("Table!" &amp; $AJ$90 &amp; $AG64),0)))))</f>
        <v>0.64368780484588539</v>
      </c>
      <c r="I64" s="273">
        <f ca="1">IF(ISERROR(MATCH(I$1,INDIRECT("Table!A"&amp;$AG64):INDIRECT("Table!" &amp; $AJ$69 &amp; $AG64),0)),"",INDIRECT(CONCATENATE("Table!",ADDRESS($AC64,MATCH(I$1,INDIRECT("Table!A" &amp; $AG64):INDIRECT("Table!" &amp; $AJ$69 &amp; $AG64),0)))))</f>
        <v>8.0878310720451069E-2</v>
      </c>
      <c r="J64" s="273" t="str">
        <f ca="1">IF(ISERROR(MATCH(J$1,INDIRECT("Table!A"&amp;$AG64):INDIRECT("Table!" &amp; $AJ$69 &amp; $AG64),0)),"",INDIRECT(CONCATENATE("Table!",ADDRESS($AC64,MATCH(J$1,INDIRECT("Table!A" &amp; $AG64):INDIRECT("Table!" &amp; $AJ$69 &amp; $AG64),0)))))</f>
        <v/>
      </c>
      <c r="K64" s="273" t="str">
        <f ca="1">IF(ISERROR(MATCH(K$1,INDIRECT("Table!A"&amp;$AG64):INDIRECT("Table!" &amp; $AJ$69 &amp; $AG64),0)),"",INDIRECT(CONCATENATE("Table!",ADDRESS($AC64,MATCH(K$1,INDIRECT("Table!A" &amp; $AG64):INDIRECT("Table!" &amp; $AJ$69 &amp; $AG64),0)))))</f>
        <v/>
      </c>
      <c r="L64" s="273">
        <f ca="1">IF(ISERROR(MATCH(L$1,INDIRECT("Table!A"&amp;$AG64):INDIRECT("Table!" &amp; $AJ$69 &amp; $AG64),0)),"",INDIRECT(CONCATENATE("Table!",ADDRESS($AC64,MATCH(L$1,INDIRECT("Table!A" &amp; $AG64):INDIRECT("Table!" &amp; $AJ$69 &amp; $AG64),0)))))</f>
        <v>0.81218067938682148</v>
      </c>
      <c r="M64" s="273">
        <f ca="1">IF(ISERROR(MATCH(M$1,INDIRECT("Table!A"&amp;$AG64):INDIRECT("Table!" &amp; $AJ$69 &amp; $AG64),0)),"",INDIRECT(CONCATENATE("Table!",ADDRESS($AC64,MATCH(M$1,INDIRECT("Table!A" &amp; $AG64):INDIRECT("Table!" &amp; $AJ$69 &amp; $AG64),0)))))</f>
        <v>0.41817058975783344</v>
      </c>
      <c r="N64" s="273">
        <f ca="1">IF(ISERROR(MATCH(N$1,INDIRECT("Table!A"&amp;$AG64):INDIRECT("Table!" &amp; $AJ$69 &amp; $AG64),0)),"",INDIRECT(CONCATENATE("Table!",ADDRESS($AC64,MATCH(N$1,INDIRECT("Table!A" &amp; $AG64):INDIRECT("Table!" &amp; $AJ$69 &amp; $AG64),0)))))</f>
        <v>0.59477941114252664</v>
      </c>
      <c r="O64" s="273">
        <f ca="1">IF(ISERROR(MATCH(O$1,INDIRECT("Table!A"&amp;$AG64):INDIRECT("Table!" &amp; $AJ$69 &amp; $AG64),0)),"",INDIRECT(CONCATENATE("Table!",ADDRESS($AC64,MATCH(O$1,INDIRECT("Table!A" &amp; $AG64):INDIRECT("Table!" &amp; $AJ$69 &amp; $AG64),0)))))</f>
        <v>0.8119980032037134</v>
      </c>
      <c r="P64" s="273">
        <f ca="1">IF(ISERROR(MATCH(P$1,INDIRECT("Table!A"&amp;$AG64):INDIRECT("Table!" &amp; $AJ$69 &amp; $AG64),0)),"",INDIRECT(CONCATENATE("Table!",ADDRESS($AC64,MATCH(P$1,INDIRECT("Table!A" &amp; $AG64):INDIRECT("Table!" &amp; $AJ$69 &amp; $AG64),0)))))</f>
        <v>8.2067462276761524E-2</v>
      </c>
      <c r="Q64" s="273" t="str">
        <f ca="1">IF(ISERROR(MATCH(Q$1,INDIRECT("Table!A"&amp;$AG64):INDIRECT("Table!" &amp; $AJ$69 &amp; $AG64),0)),"",INDIRECT(CONCATENATE("Table!",ADDRESS($AC64,MATCH(Q$1,INDIRECT("Table!A" &amp; $AG64):INDIRECT("Table!" &amp; $AJ$69 &amp; $AG64),0)))))</f>
        <v/>
      </c>
      <c r="R64" s="273" t="str">
        <f ca="1">IF(ISERROR(MATCH(R$1,INDIRECT("Table!A"&amp;$AG64):INDIRECT("Table!" &amp; $AJ$69 &amp; $AG64),0)),"",INDIRECT(CONCATENATE("Table!",ADDRESS($AC64,MATCH(R$1,INDIRECT("Table!A" &amp; $AG64):INDIRECT("Table!" &amp; $AJ$69 &amp; $AG64),0)))))</f>
        <v/>
      </c>
      <c r="S64" s="273">
        <f ca="1">IF(ISERROR(MATCH(S$1,INDIRECT("Table!A"&amp;$AG64):INDIRECT("Table!" &amp; $AJ$69 &amp; $AG64),0)),"",INDIRECT(CONCATENATE("Table!",ADDRESS($AC64,MATCH(S$1,INDIRECT("Table!A" &amp; $AG64):INDIRECT("Table!" &amp; $AJ$69 &amp; $AG64),0)))))</f>
        <v>0.12676107414190133</v>
      </c>
      <c r="T64" s="273">
        <f ca="1">IF(ISERROR(MATCH(T$1,INDIRECT("Table!A"&amp;$AG64):INDIRECT("Table!" &amp; $AJ$69 &amp; $AG64),0)),"",INDIRECT(CONCATENATE("Table!",ADDRESS($AC64,MATCH(T$1,INDIRECT("Table!A" &amp; $AG64):INDIRECT("Table!" &amp; $AJ$69 &amp; $AG64),0)))))</f>
        <v>0.10391502092745651</v>
      </c>
      <c r="U64" s="596" t="str">
        <f ca="1">IF(ISERROR(MATCH(U$1,INDIRECT("Table!A"&amp;$AG64):INDIRECT("Table!" &amp; $AJ$69 &amp; $AG64),0)),"",INDIRECT(CONCATENATE("Table!",ADDRESS($AC64,MATCH(U$1,INDIRECT("Table!A" &amp; $AG64):INDIRECT("Table!" &amp; $AJ$69 &amp; $AG64),0)))))</f>
        <v/>
      </c>
      <c r="V64" s="596"/>
      <c r="W64" s="596"/>
      <c r="X64" s="596"/>
      <c r="Y64" s="596"/>
      <c r="Z64" s="596"/>
      <c r="AA64" s="596"/>
      <c r="AB64" s="596"/>
      <c r="AC64" s="272">
        <f>MATCH($A64,Table!$A:$A,0)+$AE$2-1</f>
        <v>752</v>
      </c>
      <c r="AD64" s="362"/>
      <c r="AE64" s="362"/>
      <c r="AF64" s="362"/>
      <c r="AG64" s="272">
        <f>MATCH($A64,Table!$A:$A,0)+$AI$2-1</f>
        <v>749</v>
      </c>
      <c r="AH64" s="362"/>
      <c r="AJ64" s="743" t="s">
        <v>285</v>
      </c>
    </row>
    <row r="65" spans="1:36" s="267" customFormat="1" ht="15.75" customHeight="1" x14ac:dyDescent="0.25">
      <c r="A65" s="268">
        <v>41379</v>
      </c>
      <c r="B65" s="273">
        <f ca="1">IF(ISERROR(MATCH(B$1,INDIRECT("Table!A"&amp;$AG65):INDIRECT("Table!" &amp; $AJ$91 &amp; $AG65),0)),"",INDIRECT(CONCATENATE("Table!",ADDRESS($AC65,MATCH(B$1,INDIRECT("Table!A" &amp; $AG65):INDIRECT("Table!" &amp; $AJ$90 &amp; $AG65),0)))))</f>
        <v>0.2636077834080236</v>
      </c>
      <c r="C65" s="273">
        <f ca="1">IF(ISERROR(MATCH(C$1,INDIRECT("Table!A"&amp;$AG65):INDIRECT("Table!" &amp; $AJ$90 &amp; $AG65),0)),"",INDIRECT(CONCATENATE("Table!",ADDRESS($AC65,MATCH(C$1,INDIRECT("Table!A" &amp; $AG65):INDIRECT("Table!" &amp; $AJ$90 &amp; $AG65),0)))))</f>
        <v>0.51565882120016637</v>
      </c>
      <c r="D65" s="273">
        <f ca="1">IF(ISERROR(MATCH(D$1,INDIRECT("Table!A"&amp;$AG65):INDIRECT("Table!" &amp; $AJ$90 &amp; $AG65),0)),"",INDIRECT(CONCATENATE("Table!",ADDRESS($AC65,MATCH(D$1,INDIRECT("Table!A" &amp; $AG65):INDIRECT("Table!" &amp; $AJ$90 &amp; $AG65),0)))))</f>
        <v>0.52503059479469927</v>
      </c>
      <c r="E65" s="273">
        <f ca="1">IF(ISERROR(MATCH(E$1,INDIRECT("Table!A"&amp;$AG65):INDIRECT("Table!" &amp; $AJ$90 &amp; $AG65),0)),"",INDIRECT(CONCATENATE("Table!",ADDRESS($AC65,MATCH(E$1,INDIRECT("Table!A" &amp; $AG65):INDIRECT("Table!" &amp; $AJ$90 &amp; $AG65),0)))))</f>
        <v>0.8645708904173568</v>
      </c>
      <c r="F65" s="273">
        <f ca="1">IF(ISERROR(MATCH(F$1,INDIRECT("Table!A"&amp;$AG65):INDIRECT("Table!" &amp; $AJ$90 &amp; $AG65),0)),"",INDIRECT(CONCATENATE("Table!",ADDRESS($AC65,MATCH(F$1,INDIRECT("Table!A" &amp; $AG65):INDIRECT("Table!" &amp; $AJ$90 &amp; $AG65),0)))))</f>
        <v>0.56729091431075385</v>
      </c>
      <c r="G65" s="273">
        <f ca="1">IF(ISERROR(MATCH(G$1,INDIRECT("Table!A"&amp;$AG65):INDIRECT("Table!" &amp; $AJ$90 &amp; $AG65),0)),"",INDIRECT(CONCATENATE("Table!",ADDRESS($AC65,MATCH(G$1,INDIRECT("Table!A" &amp; $AG65):INDIRECT("Table!" &amp; $AJ$90 &amp; $AG65),0)))))</f>
        <v>0.3913798322889232</v>
      </c>
      <c r="H65" s="273">
        <f ca="1">IF(ISERROR(MATCH(H$1,INDIRECT("Table!A"&amp;$AG65):INDIRECT("Table!" &amp; $AJ$90 &amp; $AG65),0)),"",INDIRECT(CONCATENATE("Table!",ADDRESS($AC65,MATCH(H$1,INDIRECT("Table!A" &amp; $AG65):INDIRECT("Table!" &amp; $AJ$90 &amp; $AG65),0)))))</f>
        <v>0.64286691535112805</v>
      </c>
      <c r="I65" s="273">
        <f ca="1">IF(ISERROR(MATCH(I$1,INDIRECT("Table!A"&amp;$AG65):INDIRECT("Table!" &amp; $AJ$69 &amp; $AG65),0)),"",INDIRECT(CONCATENATE("Table!",ADDRESS($AC65,MATCH(I$1,INDIRECT("Table!A" &amp; $AG65):INDIRECT("Table!" &amp; $AJ$69 &amp; $AG65),0)))))</f>
        <v>7.9640337456097415E-2</v>
      </c>
      <c r="J65" s="273" t="str">
        <f ca="1">IF(ISERROR(MATCH(J$1,INDIRECT("Table!A"&amp;$AG65):INDIRECT("Table!" &amp; $AJ$69 &amp; $AG65),0)),"",INDIRECT(CONCATENATE("Table!",ADDRESS($AC65,MATCH(J$1,INDIRECT("Table!A" &amp; $AG65):INDIRECT("Table!" &amp; $AJ$69 &amp; $AG65),0)))))</f>
        <v/>
      </c>
      <c r="K65" s="273" t="str">
        <f ca="1">IF(ISERROR(MATCH(K$1,INDIRECT("Table!A"&amp;$AG65):INDIRECT("Table!" &amp; $AJ$69 &amp; $AG65),0)),"",INDIRECT(CONCATENATE("Table!",ADDRESS($AC65,MATCH(K$1,INDIRECT("Table!A" &amp; $AG65):INDIRECT("Table!" &amp; $AJ$69 &amp; $AG65),0)))))</f>
        <v/>
      </c>
      <c r="L65" s="273">
        <f ca="1">IF(ISERROR(MATCH(L$1,INDIRECT("Table!A"&amp;$AG65):INDIRECT("Table!" &amp; $AJ$69 &amp; $AG65),0)),"",INDIRECT(CONCATENATE("Table!",ADDRESS($AC65,MATCH(L$1,INDIRECT("Table!A" &amp; $AG65):INDIRECT("Table!" &amp; $AJ$69 &amp; $AG65),0)))))</f>
        <v>0.81218067938682148</v>
      </c>
      <c r="M65" s="273">
        <f ca="1">IF(ISERROR(MATCH(M$1,INDIRECT("Table!A"&amp;$AG65):INDIRECT("Table!" &amp; $AJ$69 &amp; $AG65),0)),"",INDIRECT(CONCATENATE("Table!",ADDRESS($AC65,MATCH(M$1,INDIRECT("Table!A" &amp; $AG65):INDIRECT("Table!" &amp; $AJ$69 &amp; $AG65),0)))))</f>
        <v>0.41817058975783344</v>
      </c>
      <c r="N65" s="273">
        <f ca="1">IF(ISERROR(MATCH(N$1,INDIRECT("Table!A"&amp;$AG65):INDIRECT("Table!" &amp; $AJ$69 &amp; $AG65),0)),"",INDIRECT(CONCATENATE("Table!",ADDRESS($AC65,MATCH(N$1,INDIRECT("Table!A" &amp; $AG65):INDIRECT("Table!" &amp; $AJ$69 &amp; $AG65),0)))))</f>
        <v>0.59477941114252664</v>
      </c>
      <c r="O65" s="273">
        <f ca="1">IF(ISERROR(MATCH(O$1,INDIRECT("Table!A"&amp;$AG65):INDIRECT("Table!" &amp; $AJ$69 &amp; $AG65),0)),"",INDIRECT(CONCATENATE("Table!",ADDRESS($AC65,MATCH(O$1,INDIRECT("Table!A" &amp; $AG65):INDIRECT("Table!" &amp; $AJ$69 &amp; $AG65),0)))))</f>
        <v>0.8119980032037134</v>
      </c>
      <c r="P65" s="273">
        <f ca="1">IF(ISERROR(MATCH(P$1,INDIRECT("Table!A"&amp;$AG65):INDIRECT("Table!" &amp; $AJ$69 &amp; $AG65),0)),"",INDIRECT(CONCATENATE("Table!",ADDRESS($AC65,MATCH(P$1,INDIRECT("Table!A" &amp; $AG65):INDIRECT("Table!" &amp; $AJ$69 &amp; $AG65),0)))))</f>
        <v>8.0760847312708495E-2</v>
      </c>
      <c r="Q65" s="273" t="str">
        <f ca="1">IF(ISERROR(MATCH(Q$1,INDIRECT("Table!A"&amp;$AG65):INDIRECT("Table!" &amp; $AJ$69 &amp; $AG65),0)),"",INDIRECT(CONCATENATE("Table!",ADDRESS($AC65,MATCH(Q$1,INDIRECT("Table!A" &amp; $AG65):INDIRECT("Table!" &amp; $AJ$69 &amp; $AG65),0)))))</f>
        <v/>
      </c>
      <c r="R65" s="273" t="str">
        <f ca="1">IF(ISERROR(MATCH(R$1,INDIRECT("Table!A"&amp;$AG65):INDIRECT("Table!" &amp; $AJ$69 &amp; $AG65),0)),"",INDIRECT(CONCATENATE("Table!",ADDRESS($AC65,MATCH(R$1,INDIRECT("Table!A" &amp; $AG65):INDIRECT("Table!" &amp; $AJ$69 &amp; $AG65),0)))))</f>
        <v/>
      </c>
      <c r="S65" s="273">
        <f ca="1">IF(ISERROR(MATCH(S$1,INDIRECT("Table!A"&amp;$AG65):INDIRECT("Table!" &amp; $AJ$69 &amp; $AG65),0)),"",INDIRECT(CONCATENATE("Table!",ADDRESS($AC65,MATCH(S$1,INDIRECT("Table!A" &amp; $AG65):INDIRECT("Table!" &amp; $AJ$69 &amp; $AG65),0)))))</f>
        <v>0.12649634639444435</v>
      </c>
      <c r="T65" s="273">
        <f ca="1">IF(ISERROR(MATCH(T$1,INDIRECT("Table!A"&amp;$AG65):INDIRECT("Table!" &amp; $AJ$69 &amp; $AG65),0)),"",INDIRECT(CONCATENATE("Table!",ADDRESS($AC65,MATCH(T$1,INDIRECT("Table!A" &amp; $AG65):INDIRECT("Table!" &amp; $AJ$69 &amp; $AG65),0)))))</f>
        <v>0.10381227240446653</v>
      </c>
      <c r="U65" s="596" t="str">
        <f ca="1">IF(ISERROR(MATCH(U$1,INDIRECT("Table!A"&amp;$AG65):INDIRECT("Table!" &amp; $AJ$69 &amp; $AG65),0)),"",INDIRECT(CONCATENATE("Table!",ADDRESS($AC65,MATCH(U$1,INDIRECT("Table!A" &amp; $AG65):INDIRECT("Table!" &amp; $AJ$69 &amp; $AG65),0)))))</f>
        <v/>
      </c>
      <c r="V65" s="596"/>
      <c r="W65" s="596"/>
      <c r="X65" s="596"/>
      <c r="Y65" s="596"/>
      <c r="Z65" s="596"/>
      <c r="AA65" s="596"/>
      <c r="AB65" s="596"/>
      <c r="AC65" s="272">
        <f>MATCH($A65,Table!$A:$A,0)+$AE$2-1</f>
        <v>764</v>
      </c>
      <c r="AD65" s="361"/>
      <c r="AE65" s="361"/>
      <c r="AF65" s="361"/>
      <c r="AG65" s="272">
        <f>MATCH($A65,Table!$A:$A,0)+$AI$2-1</f>
        <v>761</v>
      </c>
      <c r="AH65" s="361"/>
      <c r="AJ65" s="743" t="s">
        <v>285</v>
      </c>
    </row>
    <row r="66" spans="1:36" s="267" customFormat="1" ht="15.75" customHeight="1" x14ac:dyDescent="0.25">
      <c r="A66" s="268">
        <v>41374</v>
      </c>
      <c r="B66" s="273">
        <f ca="1">IF(ISERROR(MATCH(B$1,INDIRECT("Table!A"&amp;$AG66):INDIRECT("Table!" &amp; $AJ$91 &amp; $AG66),0)),"",INDIRECT(CONCATENATE("Table!",ADDRESS($AC66,MATCH(B$1,INDIRECT("Table!A" &amp; $AG66):INDIRECT("Table!" &amp; $AJ$90 &amp; $AG66),0)))))</f>
        <v>0.27254481066613107</v>
      </c>
      <c r="C66" s="273">
        <f ca="1">IF(ISERROR(MATCH(C$1,INDIRECT("Table!A"&amp;$AG66):INDIRECT("Table!" &amp; $AJ$90 &amp; $AG66),0)),"",INDIRECT(CONCATENATE("Table!",ADDRESS($AC66,MATCH(C$1,INDIRECT("Table!A" &amp; $AG66):INDIRECT("Table!" &amp; $AJ$90 &amp; $AG66),0)))))</f>
        <v>0.51547810927490678</v>
      </c>
      <c r="D66" s="273">
        <f ca="1">IF(ISERROR(MATCH(D$1,INDIRECT("Table!A"&amp;$AG66):INDIRECT("Table!" &amp; $AJ$90 &amp; $AG66),0)),"",INDIRECT(CONCATENATE("Table!",ADDRESS($AC66,MATCH(D$1,INDIRECT("Table!A" &amp; $AG66):INDIRECT("Table!" &amp; $AJ$90 &amp; $AG66),0)))))</f>
        <v>0.52485254039775231</v>
      </c>
      <c r="E66" s="273">
        <f ca="1">IF(ISERROR(MATCH(E$1,INDIRECT("Table!A"&amp;$AG66):INDIRECT("Table!" &amp; $AJ$90 &amp; $AG66),0)),"",INDIRECT(CONCATENATE("Table!",ADDRESS($AC66,MATCH(E$1,INDIRECT("Table!A" &amp; $AG66):INDIRECT("Table!" &amp; $AJ$90 &amp; $AG66),0)))))</f>
        <v>0.86976106304581713</v>
      </c>
      <c r="F66" s="273">
        <f ca="1">IF(ISERROR(MATCH(F$1,INDIRECT("Table!A"&amp;$AG66):INDIRECT("Table!" &amp; $AJ$90 &amp; $AG66),0)),"",INDIRECT(CONCATENATE("Table!",ADDRESS($AC66,MATCH(F$1,INDIRECT("Table!A" &amp; $AG66):INDIRECT("Table!" &amp; $AJ$90 &amp; $AG66),0)))))</f>
        <v>0.56729091431075385</v>
      </c>
      <c r="G66" s="273">
        <f ca="1">IF(ISERROR(MATCH(G$1,INDIRECT("Table!A"&amp;$AG66):INDIRECT("Table!" &amp; $AJ$90 &amp; $AG66),0)),"",INDIRECT(CONCATENATE("Table!",ADDRESS($AC66,MATCH(G$1,INDIRECT("Table!A" &amp; $AG66):INDIRECT("Table!" &amp; $AJ$90 &amp; $AG66),0)))))</f>
        <v>0.38039233493778946</v>
      </c>
      <c r="H66" s="273">
        <f ca="1">IF(ISERROR(MATCH(H$1,INDIRECT("Table!A"&amp;$AG66):INDIRECT("Table!" &amp; $AJ$90 &amp; $AG66),0)),"",INDIRECT(CONCATENATE("Table!",ADDRESS($AC66,MATCH(H$1,INDIRECT("Table!A" &amp; $AG66):INDIRECT("Table!" &amp; $AJ$90 &amp; $AG66),0)))))</f>
        <v>0.62978543135435228</v>
      </c>
      <c r="I66" s="273">
        <f ca="1">IF(ISERROR(MATCH(I$1,INDIRECT("Table!A"&amp;$AG66):INDIRECT("Table!" &amp; $AJ$69 &amp; $AG66),0)),"",INDIRECT(CONCATENATE("Table!",ADDRESS($AC66,MATCH(I$1,INDIRECT("Table!A" &amp; $AG66):INDIRECT("Table!" &amp; $AJ$69 &amp; $AG66),0)))))</f>
        <v>7.8026636897504123E-2</v>
      </c>
      <c r="J66" s="273" t="str">
        <f ca="1">IF(ISERROR(MATCH(J$1,INDIRECT("Table!A"&amp;$AG66):INDIRECT("Table!" &amp; $AJ$69 &amp; $AG66),0)),"",INDIRECT(CONCATENATE("Table!",ADDRESS($AC66,MATCH(J$1,INDIRECT("Table!A" &amp; $AG66):INDIRECT("Table!" &amp; $AJ$69 &amp; $AG66),0)))))</f>
        <v/>
      </c>
      <c r="K66" s="273" t="str">
        <f ca="1">IF(ISERROR(MATCH(K$1,INDIRECT("Table!A"&amp;$AG66):INDIRECT("Table!" &amp; $AJ$69 &amp; $AG66),0)),"",INDIRECT(CONCATENATE("Table!",ADDRESS($AC66,MATCH(K$1,INDIRECT("Table!A" &amp; $AG66):INDIRECT("Table!" &amp; $AJ$69 &amp; $AG66),0)))))</f>
        <v/>
      </c>
      <c r="L66" s="273">
        <f ca="1">IF(ISERROR(MATCH(L$1,INDIRECT("Table!A"&amp;$AG66):INDIRECT("Table!" &amp; $AJ$69 &amp; $AG66),0)),"",INDIRECT(CONCATENATE("Table!",ADDRESS($AC66,MATCH(L$1,INDIRECT("Table!A" &amp; $AG66):INDIRECT("Table!" &amp; $AJ$69 &amp; $AG66),0)))))</f>
        <v>0.81258684018297966</v>
      </c>
      <c r="M66" s="273">
        <f ca="1">IF(ISERROR(MATCH(M$1,INDIRECT("Table!A"&amp;$AG66):INDIRECT("Table!" &amp; $AJ$69 &amp; $AG66),0)),"",INDIRECT(CONCATENATE("Table!",ADDRESS($AC66,MATCH(M$1,INDIRECT("Table!A" &amp; $AG66):INDIRECT("Table!" &amp; $AJ$69 &amp; $AG66),0)))))</f>
        <v>0.42306871451470568</v>
      </c>
      <c r="N66" s="273">
        <f ca="1">IF(ISERROR(MATCH(N$1,INDIRECT("Table!A"&amp;$AG66):INDIRECT("Table!" &amp; $AJ$69 &amp; $AG66),0)),"",INDIRECT(CONCATENATE("Table!",ADDRESS($AC66,MATCH(N$1,INDIRECT("Table!A" &amp; $AG66):INDIRECT("Table!" &amp; $AJ$69 &amp; $AG66),0)))))</f>
        <v>0.58787713218166415</v>
      </c>
      <c r="O66" s="273">
        <f ca="1">IF(ISERROR(MATCH(O$1,INDIRECT("Table!A"&amp;$AG66):INDIRECT("Table!" &amp; $AJ$69 &amp; $AG66),0)),"",INDIRECT(CONCATENATE("Table!",ADDRESS($AC66,MATCH(O$1,INDIRECT("Table!A" &amp; $AG66):INDIRECT("Table!" &amp; $AJ$69 &amp; $AG66),0)))))</f>
        <v>0.78343826335385836</v>
      </c>
      <c r="P66" s="273">
        <f ca="1">IF(ISERROR(MATCH(P$1,INDIRECT("Table!A"&amp;$AG66):INDIRECT("Table!" &amp; $AJ$69 &amp; $AG66),0)),"",INDIRECT(CONCATENATE("Table!",ADDRESS($AC66,MATCH(P$1,INDIRECT("Table!A" &amp; $AG66):INDIRECT("Table!" &amp; $AJ$69 &amp; $AG66),0)))))</f>
        <v>8.1313599633906955E-2</v>
      </c>
      <c r="Q66" s="273" t="str">
        <f ca="1">IF(ISERROR(MATCH(Q$1,INDIRECT("Table!A"&amp;$AG66):INDIRECT("Table!" &amp; $AJ$69 &amp; $AG66),0)),"",INDIRECT(CONCATENATE("Table!",ADDRESS($AC66,MATCH(Q$1,INDIRECT("Table!A" &amp; $AG66):INDIRECT("Table!" &amp; $AJ$69 &amp; $AG66),0)))))</f>
        <v/>
      </c>
      <c r="R66" s="273" t="str">
        <f ca="1">IF(ISERROR(MATCH(R$1,INDIRECT("Table!A"&amp;$AG66):INDIRECT("Table!" &amp; $AJ$69 &amp; $AG66),0)),"",INDIRECT(CONCATENATE("Table!",ADDRESS($AC66,MATCH(R$1,INDIRECT("Table!A" &amp; $AG66):INDIRECT("Table!" &amp; $AJ$69 &amp; $AG66),0)))))</f>
        <v/>
      </c>
      <c r="S66" s="273">
        <f ca="1">IF(ISERROR(MATCH(S$1,INDIRECT("Table!A"&amp;$AG66):INDIRECT("Table!" &amp; $AJ$69 &amp; $AG66),0)),"",INDIRECT(CONCATENATE("Table!",ADDRESS($AC66,MATCH(S$1,INDIRECT("Table!A" &amp; $AG66):INDIRECT("Table!" &amp; $AJ$69 &amp; $AG66),0)))))</f>
        <v>0.12576743848706279</v>
      </c>
      <c r="T66" s="273">
        <f ca="1">IF(ISERROR(MATCH(T$1,INDIRECT("Table!A"&amp;$AG66):INDIRECT("Table!" &amp; $AJ$69 &amp; $AG66),0)),"",INDIRECT(CONCATENATE("Table!",ADDRESS($AC66,MATCH(T$1,INDIRECT("Table!A" &amp; $AG66):INDIRECT("Table!" &amp; $AJ$69 &amp; $AG66),0)))))</f>
        <v>0.10059382602257445</v>
      </c>
      <c r="U66" s="596" t="str">
        <f ca="1">IF(ISERROR(MATCH(U$1,INDIRECT("Table!A"&amp;$AG66):INDIRECT("Table!" &amp; $AJ$69 &amp; $AG66),0)),"",INDIRECT(CONCATENATE("Table!",ADDRESS($AC66,MATCH(U$1,INDIRECT("Table!A" &amp; $AG66):INDIRECT("Table!" &amp; $AJ$69 &amp; $AG66),0)))))</f>
        <v/>
      </c>
      <c r="V66" s="596"/>
      <c r="W66" s="596"/>
      <c r="X66" s="596"/>
      <c r="Y66" s="596"/>
      <c r="Z66" s="596"/>
      <c r="AA66" s="596"/>
      <c r="AB66" s="596"/>
      <c r="AC66" s="272">
        <f>MATCH($A66,Table!$A:$A,0)+$AE$2-1</f>
        <v>776</v>
      </c>
      <c r="AD66" s="360"/>
      <c r="AE66" s="360"/>
      <c r="AF66" s="360"/>
      <c r="AG66" s="272">
        <f>MATCH($A66,Table!$A:$A,0)+$AI$2-1</f>
        <v>773</v>
      </c>
      <c r="AH66" s="360"/>
      <c r="AJ66" s="743" t="s">
        <v>285</v>
      </c>
    </row>
    <row r="67" spans="1:36" s="267" customFormat="1" ht="15.75" customHeight="1" x14ac:dyDescent="0.25">
      <c r="A67" s="268">
        <v>41373</v>
      </c>
      <c r="B67" s="273">
        <f ca="1">IF(ISERROR(MATCH(B$1,INDIRECT("Table!A"&amp;$AG67):INDIRECT("Table!" &amp; $AJ$91 &amp; $AG67),0)),"",INDIRECT(CONCATENATE("Table!",ADDRESS($AC67,MATCH(B$1,INDIRECT("Table!A" &amp; $AG67):INDIRECT("Table!" &amp; $AJ$90 &amp; $AG67),0)))))</f>
        <v>0.27926693362679417</v>
      </c>
      <c r="C67" s="273">
        <f ca="1">IF(ISERROR(MATCH(C$1,INDIRECT("Table!A"&amp;$AG67):INDIRECT("Table!" &amp; $AJ$90 &amp; $AG67),0)),"",INDIRECT(CONCATENATE("Table!",ADDRESS($AC67,MATCH(C$1,INDIRECT("Table!A" &amp; $AG67):INDIRECT("Table!" &amp; $AJ$90 &amp; $AG67),0)))))</f>
        <v>0.51541167106709074</v>
      </c>
      <c r="D67" s="273">
        <f ca="1">IF(ISERROR(MATCH(D$1,INDIRECT("Table!A"&amp;$AG67):INDIRECT("Table!" &amp; $AJ$90 &amp; $AG67),0)),"",INDIRECT(CONCATENATE("Table!",ADDRESS($AC67,MATCH(D$1,INDIRECT("Table!A" &amp; $AG67):INDIRECT("Table!" &amp; $AJ$90 &amp; $AG67),0)))))</f>
        <v>0.5247867665720144</v>
      </c>
      <c r="E67" s="273">
        <f ca="1">IF(ISERROR(MATCH(E$1,INDIRECT("Table!A"&amp;$AG67):INDIRECT("Table!" &amp; $AJ$90 &amp; $AG67),0)),"",INDIRECT(CONCATENATE("Table!",ADDRESS($AC67,MATCH(E$1,INDIRECT("Table!A" &amp; $AG67):INDIRECT("Table!" &amp; $AJ$90 &amp; $AG67),0)))))</f>
        <v>0.86937534409756601</v>
      </c>
      <c r="F67" s="273">
        <f ca="1">IF(ISERROR(MATCH(F$1,INDIRECT("Table!A"&amp;$AG67):INDIRECT("Table!" &amp; $AJ$90 &amp; $AG67),0)),"",INDIRECT(CONCATENATE("Table!",ADDRESS($AC67,MATCH(F$1,INDIRECT("Table!A" &amp; $AG67):INDIRECT("Table!" &amp; $AJ$90 &amp; $AG67),0)))))</f>
        <v>0.56639398014535891</v>
      </c>
      <c r="G67" s="273">
        <f ca="1">IF(ISERROR(MATCH(G$1,INDIRECT("Table!A"&amp;$AG67):INDIRECT("Table!" &amp; $AJ$90 &amp; $AG67),0)),"",INDIRECT(CONCATENATE("Table!",ADDRESS($AC67,MATCH(G$1,INDIRECT("Table!A" &amp; $AG67):INDIRECT("Table!" &amp; $AJ$90 &amp; $AG67),0)))))</f>
        <v>0.3840265794811249</v>
      </c>
      <c r="H67" s="273">
        <f ca="1">IF(ISERROR(MATCH(H$1,INDIRECT("Table!A"&amp;$AG67):INDIRECT("Table!" &amp; $AJ$90 &amp; $AG67),0)),"",INDIRECT(CONCATENATE("Table!",ADDRESS($AC67,MATCH(H$1,INDIRECT("Table!A" &amp; $AG67):INDIRECT("Table!" &amp; $AJ$90 &amp; $AG67),0)))))</f>
        <v>0.62559691688411445</v>
      </c>
      <c r="I67" s="273">
        <f ca="1">IF(ISERROR(MATCH(I$1,INDIRECT("Table!A"&amp;$AG67):INDIRECT("Table!" &amp; $AJ$69 &amp; $AG67),0)),"",INDIRECT(CONCATENATE("Table!",ADDRESS($AC67,MATCH(I$1,INDIRECT("Table!A" &amp; $AG67):INDIRECT("Table!" &amp; $AJ$69 &amp; $AG67),0)))))</f>
        <v>5.3613394678039647E-2</v>
      </c>
      <c r="J67" s="273" t="str">
        <f ca="1">IF(ISERROR(MATCH(J$1,INDIRECT("Table!A"&amp;$AG67):INDIRECT("Table!" &amp; $AJ$69 &amp; $AG67),0)),"",INDIRECT(CONCATENATE("Table!",ADDRESS($AC67,MATCH(J$1,INDIRECT("Table!A" &amp; $AG67):INDIRECT("Table!" &amp; $AJ$69 &amp; $AG67),0)))))</f>
        <v/>
      </c>
      <c r="K67" s="273" t="str">
        <f ca="1">IF(ISERROR(MATCH(K$1,INDIRECT("Table!A"&amp;$AG67):INDIRECT("Table!" &amp; $AJ$69 &amp; $AG67),0)),"",INDIRECT(CONCATENATE("Table!",ADDRESS($AC67,MATCH(K$1,INDIRECT("Table!A" &amp; $AG67):INDIRECT("Table!" &amp; $AJ$69 &amp; $AG67),0)))))</f>
        <v/>
      </c>
      <c r="L67" s="273">
        <f ca="1">IF(ISERROR(MATCH(L$1,INDIRECT("Table!A"&amp;$AG67):INDIRECT("Table!" &amp; $AJ$69 &amp; $AG67),0)),"",INDIRECT(CONCATENATE("Table!",ADDRESS($AC67,MATCH(L$1,INDIRECT("Table!A" &amp; $AG67):INDIRECT("Table!" &amp; $AJ$69 &amp; $AG67),0)))))</f>
        <v>0.81226667771866112</v>
      </c>
      <c r="M67" s="273">
        <f ca="1">IF(ISERROR(MATCH(M$1,INDIRECT("Table!A"&amp;$AG67):INDIRECT("Table!" &amp; $AJ$69 &amp; $AG67),0)),"",INDIRECT(CONCATENATE("Table!",ADDRESS($AC67,MATCH(M$1,INDIRECT("Table!A" &amp; $AG67):INDIRECT("Table!" &amp; $AJ$69 &amp; $AG67),0)))))</f>
        <v>0.42944263396810156</v>
      </c>
      <c r="N67" s="273">
        <f ca="1">IF(ISERROR(MATCH(N$1,INDIRECT("Table!A"&amp;$AG67):INDIRECT("Table!" &amp; $AJ$69 &amp; $AG67),0)),"",INDIRECT(CONCATENATE("Table!",ADDRESS($AC67,MATCH(N$1,INDIRECT("Table!A" &amp; $AG67):INDIRECT("Table!" &amp; $AJ$69 &amp; $AG67),0)))))</f>
        <v>0.58697657214211196</v>
      </c>
      <c r="O67" s="273">
        <f ca="1">IF(ISERROR(MATCH(O$1,INDIRECT("Table!A"&amp;$AG67):INDIRECT("Table!" &amp; $AJ$69 &amp; $AG67),0)),"",INDIRECT(CONCATENATE("Table!",ADDRESS($AC67,MATCH(O$1,INDIRECT("Table!A" &amp; $AG67):INDIRECT("Table!" &amp; $AJ$69 &amp; $AG67),0)))))</f>
        <v>0.78337366778726747</v>
      </c>
      <c r="P67" s="273">
        <f ca="1">IF(ISERROR(MATCH(P$1,INDIRECT("Table!A"&amp;$AG67):INDIRECT("Table!" &amp; $AJ$69 &amp; $AG67),0)),"",INDIRECT(CONCATENATE("Table!",ADDRESS($AC67,MATCH(P$1,INDIRECT("Table!A" &amp; $AG67):INDIRECT("Table!" &amp; $AJ$69 &amp; $AG67),0)))))</f>
        <v>7.8507689158106436E-2</v>
      </c>
      <c r="Q67" s="273" t="str">
        <f ca="1">IF(ISERROR(MATCH(Q$1,INDIRECT("Table!A"&amp;$AG67):INDIRECT("Table!" &amp; $AJ$69 &amp; $AG67),0)),"",INDIRECT(CONCATENATE("Table!",ADDRESS($AC67,MATCH(Q$1,INDIRECT("Table!A" &amp; $AG67):INDIRECT("Table!" &amp; $AJ$69 &amp; $AG67),0)))))</f>
        <v/>
      </c>
      <c r="R67" s="273" t="str">
        <f ca="1">IF(ISERROR(MATCH(R$1,INDIRECT("Table!A"&amp;$AG67):INDIRECT("Table!" &amp; $AJ$69 &amp; $AG67),0)),"",INDIRECT(CONCATENATE("Table!",ADDRESS($AC67,MATCH(R$1,INDIRECT("Table!A" &amp; $AG67):INDIRECT("Table!" &amp; $AJ$69 &amp; $AG67),0)))))</f>
        <v/>
      </c>
      <c r="S67" s="273">
        <f ca="1">IF(ISERROR(MATCH(S$1,INDIRECT("Table!A"&amp;$AG67):INDIRECT("Table!" &amp; $AJ$69 &amp; $AG67),0)),"",INDIRECT(CONCATENATE("Table!",ADDRESS($AC67,MATCH(S$1,INDIRECT("Table!A" &amp; $AG67):INDIRECT("Table!" &amp; $AJ$69 &amp; $AG67),0)))))</f>
        <v>8.1467244474261569E-2</v>
      </c>
      <c r="T67" s="273">
        <f ca="1">IF(ISERROR(MATCH(T$1,INDIRECT("Table!A"&amp;$AG67):INDIRECT("Table!" &amp; $AJ$69 &amp; $AG67),0)),"",INDIRECT(CONCATENATE("Table!",ADDRESS($AC67,MATCH(T$1,INDIRECT("Table!A" &amp; $AG67):INDIRECT("Table!" &amp; $AJ$69 &amp; $AG67),0)))))</f>
        <v>9.5172330427161875E-2</v>
      </c>
      <c r="U67" s="596" t="str">
        <f ca="1">IF(ISERROR(MATCH(U$1,INDIRECT("Table!A"&amp;$AG67):INDIRECT("Table!" &amp; $AJ$69 &amp; $AG67),0)),"",INDIRECT(CONCATENATE("Table!",ADDRESS($AC67,MATCH(U$1,INDIRECT("Table!A" &amp; $AG67):INDIRECT("Table!" &amp; $AJ$69 &amp; $AG67),0)))))</f>
        <v/>
      </c>
      <c r="V67" s="596"/>
      <c r="W67" s="596"/>
      <c r="X67" s="596"/>
      <c r="Y67" s="596"/>
      <c r="Z67" s="596"/>
      <c r="AA67" s="596"/>
      <c r="AB67" s="596"/>
      <c r="AC67" s="272">
        <f>MATCH($A67,Table!$A:$A,0)+$AE$2-1</f>
        <v>788</v>
      </c>
      <c r="AD67" s="359"/>
      <c r="AE67" s="359"/>
      <c r="AF67" s="359"/>
      <c r="AG67" s="272">
        <f>MATCH($A67,Table!$A:$A,0)+$AI$2-1</f>
        <v>785</v>
      </c>
      <c r="AH67" s="359"/>
      <c r="AJ67" s="743" t="s">
        <v>285</v>
      </c>
    </row>
    <row r="68" spans="1:36" s="267" customFormat="1" ht="15.75" customHeight="1" x14ac:dyDescent="0.25">
      <c r="A68" s="268">
        <v>41361</v>
      </c>
      <c r="B68" s="273">
        <f ca="1">IF(ISERROR(MATCH(B$1,INDIRECT("Table!A"&amp;$AG68):INDIRECT("Table!" &amp; $AJ$91 &amp; $AG68),0)),"",INDIRECT(CONCATENATE("Table!",ADDRESS($AC68,MATCH(B$1,INDIRECT("Table!A" &amp; $AG68):INDIRECT("Table!" &amp; $AJ$90 &amp; $AG68),0)))))</f>
        <v>0.32784070542191274</v>
      </c>
      <c r="C68" s="273">
        <f ca="1">IF(ISERROR(MATCH(C$1,INDIRECT("Table!A"&amp;$AG68):INDIRECT("Table!" &amp; $AJ$90 &amp; $AG68),0)),"",INDIRECT(CONCATENATE("Table!",ADDRESS($AC68,MATCH(C$1,INDIRECT("Table!A" &amp; $AG68):INDIRECT("Table!" &amp; $AJ$90 &amp; $AG68),0)))))</f>
        <v>0.51516850722648388</v>
      </c>
      <c r="D68" s="273">
        <f ca="1">IF(ISERROR(MATCH(D$1,INDIRECT("Table!A"&amp;$AG68):INDIRECT("Table!" &amp; $AJ$90 &amp; $AG68),0)),"",INDIRECT(CONCATENATE("Table!",ADDRESS($AC68,MATCH(D$1,INDIRECT("Table!A" &amp; $AG68):INDIRECT("Table!" &amp; $AJ$90 &amp; $AG68),0)))))</f>
        <v>0.52454692464179853</v>
      </c>
      <c r="E68" s="273">
        <f ca="1">IF(ISERROR(MATCH(E$1,INDIRECT("Table!A"&amp;$AG68):INDIRECT("Table!" &amp; $AJ$90 &amp; $AG68),0)),"",INDIRECT(CONCATENATE("Table!",ADDRESS($AC68,MATCH(E$1,INDIRECT("Table!A" &amp; $AG68):INDIRECT("Table!" &amp; $AJ$90 &amp; $AG68),0)))))</f>
        <v>0.86600991880121625</v>
      </c>
      <c r="F68" s="273">
        <f ca="1">IF(ISERROR(MATCH(F$1,INDIRECT("Table!A"&amp;$AG68):INDIRECT("Table!" &amp; $AJ$90 &amp; $AG68),0)),"",INDIRECT(CONCATENATE("Table!",ADDRESS($AC68,MATCH(F$1,INDIRECT("Table!A" &amp; $AG68):INDIRECT("Table!" &amp; $AJ$90 &amp; $AG68),0)))))</f>
        <v>0.53617987035554016</v>
      </c>
      <c r="G68" s="273">
        <f ca="1">IF(ISERROR(MATCH(G$1,INDIRECT("Table!A"&amp;$AG68):INDIRECT("Table!" &amp; $AJ$90 &amp; $AG68),0)),"",INDIRECT(CONCATENATE("Table!",ADDRESS($AC68,MATCH(G$1,INDIRECT("Table!A" &amp; $AG68):INDIRECT("Table!" &amp; $AJ$90 &amp; $AG68),0)))))</f>
        <v>0.36703296703296706</v>
      </c>
      <c r="H68" s="273">
        <f ca="1">IF(ISERROR(MATCH(H$1,INDIRECT("Table!A"&amp;$AG68):INDIRECT("Table!" &amp; $AJ$90 &amp; $AG68),0)),"",INDIRECT(CONCATENATE("Table!",ADDRESS($AC68,MATCH(H$1,INDIRECT("Table!A" &amp; $AG68):INDIRECT("Table!" &amp; $AJ$90 &amp; $AG68),0)))))</f>
        <v>0.59642237237063989</v>
      </c>
      <c r="I68" s="273">
        <f ca="1">IF(ISERROR(MATCH(I$1,INDIRECT("Table!A"&amp;$AG68):INDIRECT("Table!" &amp; $AJ$69 &amp; $AG68),0)),"",INDIRECT(CONCATENATE("Table!",ADDRESS($AC68,MATCH(I$1,INDIRECT("Table!A" &amp; $AG68):INDIRECT("Table!" &amp; $AJ$69 &amp; $AG68),0)))))</f>
        <v>5.3613394678039647E-2</v>
      </c>
      <c r="J68" s="273" t="str">
        <f ca="1">IF(ISERROR(MATCH(J$1,INDIRECT("Table!A"&amp;$AG68):INDIRECT("Table!" &amp; $AJ$69 &amp; $AG68),0)),"",INDIRECT(CONCATENATE("Table!",ADDRESS($AC68,MATCH(J$1,INDIRECT("Table!A" &amp; $AG68):INDIRECT("Table!" &amp; $AJ$69 &amp; $AG68),0)))))</f>
        <v/>
      </c>
      <c r="K68" s="273" t="str">
        <f ca="1">IF(ISERROR(MATCH(K$1,INDIRECT("Table!A"&amp;$AG68):INDIRECT("Table!" &amp; $AJ$69 &amp; $AG68),0)),"",INDIRECT(CONCATENATE("Table!",ADDRESS($AC68,MATCH(K$1,INDIRECT("Table!A" &amp; $AG68):INDIRECT("Table!" &amp; $AJ$69 &amp; $AG68),0)))))</f>
        <v/>
      </c>
      <c r="L68" s="273">
        <f ca="1">IF(ISERROR(MATCH(L$1,INDIRECT("Table!A"&amp;$AG68):INDIRECT("Table!" &amp; $AJ$69 &amp; $AG68),0)),"",INDIRECT(CONCATENATE("Table!",ADDRESS($AC68,MATCH(L$1,INDIRECT("Table!A" &amp; $AG68):INDIRECT("Table!" &amp; $AJ$69 &amp; $AG68),0)))))</f>
        <v>0.80800665191916154</v>
      </c>
      <c r="M68" s="273">
        <f ca="1">IF(ISERROR(MATCH(M$1,INDIRECT("Table!A"&amp;$AG68):INDIRECT("Table!" &amp; $AJ$69 &amp; $AG68),0)),"",INDIRECT(CONCATENATE("Table!",ADDRESS($AC68,MATCH(M$1,INDIRECT("Table!A" &amp; $AG68):INDIRECT("Table!" &amp; $AJ$69 &amp; $AG68),0)))))</f>
        <v>0.49197243366870447</v>
      </c>
      <c r="N68" s="273">
        <f ca="1">IF(ISERROR(MATCH(N$1,INDIRECT("Table!A"&amp;$AG68):INDIRECT("Table!" &amp; $AJ$69 &amp; $AG68),0)),"",INDIRECT(CONCATENATE("Table!",ADDRESS($AC68,MATCH(N$1,INDIRECT("Table!A" &amp; $AG68):INDIRECT("Table!" &amp; $AJ$69 &amp; $AG68),0)))))</f>
        <v>0.55628621127742928</v>
      </c>
      <c r="O68" s="273">
        <f ca="1">IF(ISERROR(MATCH(O$1,INDIRECT("Table!A"&amp;$AG68):INDIRECT("Table!" &amp; $AJ$69 &amp; $AG68),0)),"",INDIRECT(CONCATENATE("Table!",ADDRESS($AC68,MATCH(O$1,INDIRECT("Table!A" &amp; $AG68):INDIRECT("Table!" &amp; $AJ$69 &amp; $AG68),0)))))</f>
        <v>0.77393704878721814</v>
      </c>
      <c r="P68" s="273">
        <f ca="1">IF(ISERROR(MATCH(P$1,INDIRECT("Table!A"&amp;$AG68):INDIRECT("Table!" &amp; $AJ$69 &amp; $AG68),0)),"",INDIRECT(CONCATENATE("Table!",ADDRESS($AC68,MATCH(P$1,INDIRECT("Table!A" &amp; $AG68):INDIRECT("Table!" &amp; $AJ$69 &amp; $AG68),0)))))</f>
        <v>5.4736930839725917E-2</v>
      </c>
      <c r="Q68" s="273" t="str">
        <f ca="1">IF(ISERROR(MATCH(Q$1,INDIRECT("Table!A"&amp;$AG68):INDIRECT("Table!" &amp; $AJ$69 &amp; $AG68),0)),"",INDIRECT(CONCATENATE("Table!",ADDRESS($AC68,MATCH(Q$1,INDIRECT("Table!A" &amp; $AG68):INDIRECT("Table!" &amp; $AJ$69 &amp; $AG68),0)))))</f>
        <v/>
      </c>
      <c r="R68" s="273" t="str">
        <f ca="1">IF(ISERROR(MATCH(R$1,INDIRECT("Table!A"&amp;$AG68):INDIRECT("Table!" &amp; $AJ$69 &amp; $AG68),0)),"",INDIRECT(CONCATENATE("Table!",ADDRESS($AC68,MATCH(R$1,INDIRECT("Table!A" &amp; $AG68):INDIRECT("Table!" &amp; $AJ$69 &amp; $AG68),0)))))</f>
        <v/>
      </c>
      <c r="S68" s="273">
        <f ca="1">IF(ISERROR(MATCH(S$1,INDIRECT("Table!A"&amp;$AG68):INDIRECT("Table!" &amp; $AJ$69 &amp; $AG68),0)),"",INDIRECT(CONCATENATE("Table!",ADDRESS($AC68,MATCH(S$1,INDIRECT("Table!A" &amp; $AG68):INDIRECT("Table!" &amp; $AJ$69 &amp; $AG68),0)))))</f>
        <v>8.1467244474261569E-2</v>
      </c>
      <c r="T68" s="273">
        <f ca="1">IF(ISERROR(MATCH(T$1,INDIRECT("Table!A"&amp;$AG68):INDIRECT("Table!" &amp; $AJ$69 &amp; $AG68),0)),"",INDIRECT(CONCATENATE("Table!",ADDRESS($AC68,MATCH(T$1,INDIRECT("Table!A" &amp; $AG68):INDIRECT("Table!" &amp; $AJ$69 &amp; $AG68),0)))))</f>
        <v>9.5172330427161875E-2</v>
      </c>
      <c r="U68" s="596" t="str">
        <f ca="1">IF(ISERROR(MATCH(U$1,INDIRECT("Table!A"&amp;$AG68):INDIRECT("Table!" &amp; $AJ$69 &amp; $AG68),0)),"",INDIRECT(CONCATENATE("Table!",ADDRESS($AC68,MATCH(U$1,INDIRECT("Table!A" &amp; $AG68):INDIRECT("Table!" &amp; $AJ$69 &amp; $AG68),0)))))</f>
        <v/>
      </c>
      <c r="V68" s="596"/>
      <c r="W68" s="596"/>
      <c r="X68" s="596"/>
      <c r="Y68" s="596"/>
      <c r="Z68" s="596"/>
      <c r="AA68" s="596"/>
      <c r="AB68" s="596"/>
      <c r="AC68" s="272">
        <f>MATCH($A68,Table!$A:$A,0)+$AE$2-1</f>
        <v>800</v>
      </c>
      <c r="AD68" s="356"/>
      <c r="AE68" s="356"/>
      <c r="AF68" s="356"/>
      <c r="AG68" s="272">
        <f>MATCH($A68,Table!$A:$A,0)+$AI$2-1</f>
        <v>797</v>
      </c>
      <c r="AH68" s="356"/>
      <c r="AJ68" s="743" t="s">
        <v>285</v>
      </c>
    </row>
    <row r="69" spans="1:36" ht="15.75" customHeight="1" x14ac:dyDescent="0.25">
      <c r="A69" s="4">
        <v>41359</v>
      </c>
      <c r="B69" s="24">
        <f ca="1">IF(ISERROR(MATCH(B$1,INDIRECT("Table!A"&amp;$AG69):INDIRECT("Table!" &amp; $AJ$91 &amp; $AG69),0)),"",INDIRECT(CONCATENATE("Table!",ADDRESS($AC69,MATCH(B$1,INDIRECT("Table!A" &amp; $AG69):INDIRECT("Table!" &amp; $AJ$90 &amp; $AG69),0)))))</f>
        <v>0.32841186619634816</v>
      </c>
      <c r="C69" s="24">
        <f ca="1">IF(ISERROR(MATCH(C$1,INDIRECT("Table!A"&amp;$AG69):INDIRECT("Table!" &amp; $AJ$90 &amp; $AG69),0)),"",INDIRECT(CONCATENATE("Table!",ADDRESS($AC69,MATCH(C$1,INDIRECT("Table!A" &amp; $AG69):INDIRECT("Table!" &amp; $AJ$90 &amp; $AG69),0)))))</f>
        <v>0.51508213755632304</v>
      </c>
      <c r="D69" s="24">
        <f ca="1">IF(ISERROR(MATCH(D$1,INDIRECT("Table!A"&amp;$AG69):INDIRECT("Table!" &amp; $AJ$90 &amp; $AG69),0)),"",INDIRECT(CONCATENATE("Table!",ADDRESS($AC69,MATCH(D$1,INDIRECT("Table!A" &amp; $AG69):INDIRECT("Table!" &amp; $AJ$90 &amp; $AG69),0)))))</f>
        <v>0.52445989058955944</v>
      </c>
      <c r="E69" s="24">
        <f ca="1">IF(ISERROR(MATCH(E$1,INDIRECT("Table!A"&amp;$AG69):INDIRECT("Table!" &amp; $AJ$90 &amp; $AG69),0)),"",INDIRECT(CONCATENATE("Table!",ADDRESS($AC69,MATCH(E$1,INDIRECT("Table!A" &amp; $AG69):INDIRECT("Table!" &amp; $AJ$90 &amp; $AG69),0)))))</f>
        <v>0.86579892723977991</v>
      </c>
      <c r="F69" s="24">
        <f ca="1">IF(ISERROR(MATCH(F$1,INDIRECT("Table!A"&amp;$AG69):INDIRECT("Table!" &amp; $AJ$90 &amp; $AG69),0)),"",INDIRECT(CONCATENATE("Table!",ADDRESS($AC69,MATCH(F$1,INDIRECT("Table!A" &amp; $AG69):INDIRECT("Table!" &amp; $AJ$90 &amp; $AG69),0)))))</f>
        <v>0.53530650791012524</v>
      </c>
      <c r="G69" s="24">
        <f ca="1">IF(ISERROR(MATCH(G$1,INDIRECT("Table!A"&amp;$AG69):INDIRECT("Table!" &amp; $AJ$90 &amp; $AG69),0)),"",INDIRECT(CONCATENATE("Table!",ADDRESS($AC69,MATCH(G$1,INDIRECT("Table!A" &amp; $AG69):INDIRECT("Table!" &amp; $AJ$90 &amp; $AG69),0)))))</f>
        <v>0.36941164895710349</v>
      </c>
      <c r="H69" s="24">
        <f ca="1">IF(ISERROR(MATCH(H$1,INDIRECT("Table!A"&amp;$AG69):INDIRECT("Table!" &amp; $AJ$90 &amp; $AG69),0)),"",INDIRECT(CONCATENATE("Table!",ADDRESS($AC69,MATCH(H$1,INDIRECT("Table!A" &amp; $AG69):INDIRECT("Table!" &amp; $AJ$90 &amp; $AG69),0)))))</f>
        <v>0.57789631407429876</v>
      </c>
      <c r="I69" s="273">
        <f ca="1">IF(ISERROR(MATCH(I$1,INDIRECT("Table!A"&amp;$AG69):INDIRECT("Table!" &amp; $AJ$69 &amp; $AG69),0)),"",INDIRECT(CONCATENATE("Table!",ADDRESS($AC69,MATCH(I$1,INDIRECT("Table!A" &amp; $AG69):INDIRECT("Table!" &amp; $AJ$69 &amp; $AG69),0)))))</f>
        <v>5.3298482218284315E-2</v>
      </c>
      <c r="J69" s="273" t="str">
        <f ca="1">IF(ISERROR(MATCH(J$1,INDIRECT("Table!A"&amp;$AG69):INDIRECT("Table!" &amp; $AJ$69 &amp; $AG69),0)),"",INDIRECT(CONCATENATE("Table!",ADDRESS($AC69,MATCH(J$1,INDIRECT("Table!A" &amp; $AG69):INDIRECT("Table!" &amp; $AJ$69 &amp; $AG69),0)))))</f>
        <v/>
      </c>
      <c r="K69" s="273" t="str">
        <f ca="1">IF(ISERROR(MATCH(K$1,INDIRECT("Table!A"&amp;$AG69):INDIRECT("Table!" &amp; $AJ$69 &amp; $AG69),0)),"",INDIRECT(CONCATENATE("Table!",ADDRESS($AC69,MATCH(K$1,INDIRECT("Table!A" &amp; $AG69):INDIRECT("Table!" &amp; $AJ$69 &amp; $AG69),0)))))</f>
        <v/>
      </c>
      <c r="L69" s="24">
        <f ca="1">IF(ISERROR(MATCH(L$1,INDIRECT("Table!A"&amp;$AG69):INDIRECT("Table!" &amp; $AJ$69 &amp; $AG69),0)),"",INDIRECT(CONCATENATE("Table!",ADDRESS($AC69,MATCH(L$1,INDIRECT("Table!A" &amp; $AG69):INDIRECT("Table!" &amp; $AJ$69 &amp; $AG69),0)))))</f>
        <v>0.80767871852124307</v>
      </c>
      <c r="M69" s="24">
        <f ca="1">IF(ISERROR(MATCH(M$1,INDIRECT("Table!A"&amp;$AG69):INDIRECT("Table!" &amp; $AJ$69 &amp; $AG69),0)),"",INDIRECT(CONCATENATE("Table!",ADDRESS($AC69,MATCH(M$1,INDIRECT("Table!A" &amp; $AG69):INDIRECT("Table!" &amp; $AJ$69 &amp; $AG69),0)))))</f>
        <v>0.46187076276638089</v>
      </c>
      <c r="N69" s="24">
        <f ca="1">IF(ISERROR(MATCH(N$1,INDIRECT("Table!A"&amp;$AG69):INDIRECT("Table!" &amp; $AJ$69 &amp; $AG69),0)),"",INDIRECT(CONCATENATE("Table!",ADDRESS($AC69,MATCH(N$1,INDIRECT("Table!A" &amp; $AG69):INDIRECT("Table!" &amp; $AJ$69 &amp; $AG69),0)))))</f>
        <v>0.55538444243245499</v>
      </c>
      <c r="O69" s="24">
        <f ca="1">IF(ISERROR(MATCH(O$1,INDIRECT("Table!A"&amp;$AG69):INDIRECT("Table!" &amp; $AJ$69 &amp; $AG69),0)),"",INDIRECT(CONCATENATE("Table!",ADDRESS($AC69,MATCH(O$1,INDIRECT("Table!A" &amp; $AG69):INDIRECT("Table!" &amp; $AJ$69 &amp; $AG69),0)))))</f>
        <v>0.77272163220530954</v>
      </c>
      <c r="P69" s="273">
        <f ca="1">IF(ISERROR(MATCH(P$1,INDIRECT("Table!A"&amp;$AG69):INDIRECT("Table!" &amp; $AJ$69 &amp; $AG69),0)),"",INDIRECT(CONCATENATE("Table!",ADDRESS($AC69,MATCH(P$1,INDIRECT("Table!A" &amp; $AG69):INDIRECT("Table!" &amp; $AJ$69 &amp; $AG69),0)))))</f>
        <v>5.4417803682606972E-2</v>
      </c>
      <c r="Q69" s="273" t="str">
        <f ca="1">IF(ISERROR(MATCH(Q$1,INDIRECT("Table!A"&amp;$AG69):INDIRECT("Table!" &amp; $AJ$69 &amp; $AG69),0)),"",INDIRECT(CONCATENATE("Table!",ADDRESS($AC69,MATCH(Q$1,INDIRECT("Table!A" &amp; $AG69):INDIRECT("Table!" &amp; $AJ$69 &amp; $AG69),0)))))</f>
        <v/>
      </c>
      <c r="R69" s="273" t="str">
        <f ca="1">IF(ISERROR(MATCH(R$1,INDIRECT("Table!A"&amp;$AG69):INDIRECT("Table!" &amp; $AJ$69 &amp; $AG69),0)),"",INDIRECT(CONCATENATE("Table!",ADDRESS($AC69,MATCH(R$1,INDIRECT("Table!A" &amp; $AG69):INDIRECT("Table!" &amp; $AJ$69 &amp; $AG69),0)))))</f>
        <v/>
      </c>
      <c r="S69" s="273">
        <f ca="1">IF(ISERROR(MATCH(S$1,INDIRECT("Table!A"&amp;$AG69):INDIRECT("Table!" &amp; $AJ$69 &amp; $AG69),0)),"",INDIRECT(CONCATENATE("Table!",ADDRESS($AC69,MATCH(S$1,INDIRECT("Table!A" &amp; $AG69):INDIRECT("Table!" &amp; $AJ$69 &amp; $AG69),0)))))</f>
        <v>8.0828996754365293E-2</v>
      </c>
      <c r="T69" s="273">
        <f ca="1">IF(ISERROR(MATCH(T$1,INDIRECT("Table!A"&amp;$AG69):INDIRECT("Table!" &amp; $AJ$69 &amp; $AG69),0)),"",INDIRECT(CONCATENATE("Table!",ADDRESS($AC69,MATCH(T$1,INDIRECT("Table!A" &amp; $AG69):INDIRECT("Table!" &amp; $AJ$69 &amp; $AG69),0)))))</f>
        <v>9.0261555431317156E-2</v>
      </c>
      <c r="U69" s="596" t="str">
        <f ca="1">IF(ISERROR(MATCH(U$1,INDIRECT("Table!A"&amp;$AG69):INDIRECT("Table!" &amp; $AJ$69 &amp; $AG69),0)),"",INDIRECT(CONCATENATE("Table!",ADDRESS($AC69,MATCH(U$1,INDIRECT("Table!A" &amp; $AG69):INDIRECT("Table!" &amp; $AJ$69 &amp; $AG69),0)))))</f>
        <v/>
      </c>
      <c r="V69" s="596"/>
      <c r="W69" s="596"/>
      <c r="X69" s="596"/>
      <c r="Y69" s="596"/>
      <c r="Z69" s="596"/>
      <c r="AA69" s="596"/>
      <c r="AB69" s="596"/>
      <c r="AC69" s="22">
        <f>MATCH($A69,Table!$A:$A,0)+$AE$2-1</f>
        <v>812</v>
      </c>
      <c r="AD69" s="248"/>
      <c r="AE69" s="248"/>
      <c r="AF69" s="248"/>
      <c r="AG69" s="22">
        <f>MATCH($A69,Table!$A:$A,0)+$AI$2-1</f>
        <v>809</v>
      </c>
      <c r="AH69" s="248"/>
      <c r="AJ69" s="743" t="s">
        <v>285</v>
      </c>
    </row>
    <row r="70" spans="1:36" s="267" customFormat="1" ht="15.75" customHeight="1" x14ac:dyDescent="0.25">
      <c r="A70" s="268">
        <v>41355</v>
      </c>
      <c r="B70" s="273">
        <f ca="1">IF(ISERROR(MATCH(B$1,INDIRECT("Table!A"&amp;$AG70):INDIRECT("Table!" &amp; $AJ$91 &amp; $AG70),0)),"",INDIRECT(CONCATENATE("Table!",ADDRESS($AC70,MATCH(B$1,INDIRECT("Table!A" &amp; $AG70):INDIRECT("Table!" &amp; $AJ$90 &amp; $AG70),0)))))</f>
        <v>0.26990659185088167</v>
      </c>
      <c r="C70" s="273">
        <f ca="1">IF(ISERROR(MATCH(C$1,INDIRECT("Table!A"&amp;$AG70):INDIRECT("Table!" &amp; $AJ$90 &amp; $AG70),0)),"",INDIRECT(CONCATENATE("Table!",ADDRESS($AC70,MATCH(C$1,INDIRECT("Table!A" &amp; $AG70):INDIRECT("Table!" &amp; $AJ$90 &amp; $AG70),0)))))</f>
        <v>0.51455328942210721</v>
      </c>
      <c r="D70" s="273">
        <f ca="1">IF(ISERROR(MATCH(D$1,INDIRECT("Table!A"&amp;$AG70):INDIRECT("Table!" &amp; $AJ$90 &amp; $AG70),0)),"",INDIRECT(CONCATENATE("Table!",ADDRESS($AC70,MATCH(D$1,INDIRECT("Table!A" &amp; $AG70):INDIRECT("Table!" &amp; $AJ$90 &amp; $AG70),0)))))</f>
        <v>0.52393303560157811</v>
      </c>
      <c r="E70" s="273">
        <f ca="1">IF(ISERROR(MATCH(E$1,INDIRECT("Table!A"&amp;$AG70):INDIRECT("Table!" &amp; $AJ$90 &amp; $AG70),0)),"",INDIRECT(CONCATENATE("Table!",ADDRESS($AC70,MATCH(E$1,INDIRECT("Table!A" &amp; $AG70):INDIRECT("Table!" &amp; $AJ$90 &amp; $AG70),0)))))</f>
        <v>0.86513738078152602</v>
      </c>
      <c r="F70" s="273">
        <f ca="1">IF(ISERROR(MATCH(F$1,INDIRECT("Table!A"&amp;$AG70):INDIRECT("Table!" &amp; $AJ$90 &amp; $AG70),0)),"",INDIRECT(CONCATENATE("Table!",ADDRESS($AC70,MATCH(F$1,INDIRECT("Table!A" &amp; $AG70):INDIRECT("Table!" &amp; $AJ$90 &amp; $AG70),0)))))</f>
        <v>0.53301279823514303</v>
      </c>
      <c r="G70" s="273">
        <f ca="1">IF(ISERROR(MATCH(G$1,INDIRECT("Table!A"&amp;$AG70):INDIRECT("Table!" &amp; $AJ$90 &amp; $AG70),0)),"",INDIRECT(CONCATENATE("Table!",ADDRESS($AC70,MATCH(G$1,INDIRECT("Table!A" &amp; $AG70):INDIRECT("Table!" &amp; $AJ$90 &amp; $AG70),0)))))</f>
        <v>0.34652014652014651</v>
      </c>
      <c r="H70" s="273">
        <f ca="1">IF(ISERROR(MATCH(H$1,INDIRECT("Table!A"&amp;$AG70):INDIRECT("Table!" &amp; $AJ$90 &amp; $AG70),0)),"",INDIRECT(CONCATENATE("Table!",ADDRESS($AC70,MATCH(H$1,INDIRECT("Table!A" &amp; $AG70):INDIRECT("Table!" &amp; $AJ$90 &amp; $AG70),0)))))</f>
        <v>0.56124857621827096</v>
      </c>
      <c r="I70" s="273">
        <f ca="1">IF(ISERROR(MATCH(I$1,INDIRECT("Table!A"&amp;$AG70):INDIRECT("Table!" &amp; $AJ$69 &amp; $AG70),0)),"",INDIRECT(CONCATENATE("Table!",ADDRESS($AC70,MATCH(I$1,INDIRECT("Table!A" &amp; $AG70):INDIRECT("Table!" &amp; $AJ$69 &amp; $AG70),0)))))</f>
        <v>4.8819861041113841E-2</v>
      </c>
      <c r="J70" s="273" t="str">
        <f ca="1">IF(ISERROR(MATCH(J$1,INDIRECT("Table!A"&amp;$AG70):INDIRECT("Table!" &amp; $AJ$69 &amp; $AG70),0)),"",INDIRECT(CONCATENATE("Table!",ADDRESS($AC70,MATCH(J$1,INDIRECT("Table!A" &amp; $AG70):INDIRECT("Table!" &amp; $AJ$69 &amp; $AG70),0)))))</f>
        <v/>
      </c>
      <c r="K70" s="273" t="str">
        <f ca="1">IF(ISERROR(MATCH(K$1,INDIRECT("Table!A"&amp;$AG70):INDIRECT("Table!" &amp; $AJ$69 &amp; $AG70),0)),"",INDIRECT(CONCATENATE("Table!",ADDRESS($AC70,MATCH(K$1,INDIRECT("Table!A" &amp; $AG70):INDIRECT("Table!" &amp; $AJ$69 &amp; $AG70),0)))))</f>
        <v/>
      </c>
      <c r="L70" s="273">
        <f ca="1">IF(ISERROR(MATCH(L$1,INDIRECT("Table!A"&amp;$AG70):INDIRECT("Table!" &amp; $AJ$69 &amp; $AG70),0)),"",INDIRECT(CONCATENATE("Table!",ADDRESS($AC70,MATCH(L$1,INDIRECT("Table!A" &amp; $AG70):INDIRECT("Table!" &amp; $AJ$69 &amp; $AG70),0)))))</f>
        <v>0.80695913006988662</v>
      </c>
      <c r="M70" s="273">
        <f ca="1">IF(ISERROR(MATCH(M$1,INDIRECT("Table!A"&amp;$AG70):INDIRECT("Table!" &amp; $AJ$69 &amp; $AG70),0)),"",INDIRECT(CONCATENATE("Table!",ADDRESS($AC70,MATCH(M$1,INDIRECT("Table!A" &amp; $AG70):INDIRECT("Table!" &amp; $AJ$69 &amp; $AG70),0)))))</f>
        <v>0.42537473833024797</v>
      </c>
      <c r="N70" s="273">
        <f ca="1">IF(ISERROR(MATCH(N$1,INDIRECT("Table!A"&amp;$AG70):INDIRECT("Table!" &amp; $AJ$69 &amp; $AG70),0)),"",INDIRECT(CONCATENATE("Table!",ADDRESS($AC70,MATCH(N$1,INDIRECT("Table!A" &amp; $AG70):INDIRECT("Table!" &amp; $AJ$69 &amp; $AG70),0)))))</f>
        <v>0.5530792504922859</v>
      </c>
      <c r="O70" s="273">
        <f ca="1">IF(ISERROR(MATCH(O$1,INDIRECT("Table!A"&amp;$AG70):INDIRECT("Table!" &amp; $AJ$69 &amp; $AG70),0)),"",INDIRECT(CONCATENATE("Table!",ADDRESS($AC70,MATCH(O$1,INDIRECT("Table!A" &amp; $AG70):INDIRECT("Table!" &amp; $AJ$69 &amp; $AG70),0)))))</f>
        <v>0.75008371925406836</v>
      </c>
      <c r="P70" s="273">
        <f ca="1">IF(ISERROR(MATCH(P$1,INDIRECT("Table!A"&amp;$AG70):INDIRECT("Table!" &amp; $AJ$69 &amp; $AG70),0)),"",INDIRECT(CONCATENATE("Table!",ADDRESS($AC70,MATCH(P$1,INDIRECT("Table!A" &amp; $AG70):INDIRECT("Table!" &amp; $AJ$69 &amp; $AG70),0)))))</f>
        <v>4.9939185202133932E-2</v>
      </c>
      <c r="Q70" s="273" t="str">
        <f ca="1">IF(ISERROR(MATCH(Q$1,INDIRECT("Table!A"&amp;$AG70):INDIRECT("Table!" &amp; $AJ$69 &amp; $AG70),0)),"",INDIRECT(CONCATENATE("Table!",ADDRESS($AC70,MATCH(Q$1,INDIRECT("Table!A" &amp; $AG70):INDIRECT("Table!" &amp; $AJ$69 &amp; $AG70),0)))))</f>
        <v/>
      </c>
      <c r="R70" s="273" t="str">
        <f ca="1">IF(ISERROR(MATCH(R$1,INDIRECT("Table!A"&amp;$AG70):INDIRECT("Table!" &amp; $AJ$69 &amp; $AG70),0)),"",INDIRECT(CONCATENATE("Table!",ADDRESS($AC70,MATCH(R$1,INDIRECT("Table!A" &amp; $AG70):INDIRECT("Table!" &amp; $AJ$69 &amp; $AG70),0)))))</f>
        <v/>
      </c>
      <c r="S70" s="273">
        <f ca="1">IF(ISERROR(MATCH(S$1,INDIRECT("Table!A"&amp;$AG70):INDIRECT("Table!" &amp; $AJ$69 &amp; $AG70),0)),"",INDIRECT(CONCATENATE("Table!",ADDRESS($AC70,MATCH(S$1,INDIRECT("Table!A" &amp; $AG70):INDIRECT("Table!" &amp; $AJ$69 &amp; $AG70),0)))))</f>
        <v>7.986437235952204E-2</v>
      </c>
      <c r="T70" s="273">
        <f ca="1">IF(ISERROR(MATCH(T$1,INDIRECT("Table!A"&amp;$AG70):INDIRECT("Table!" &amp; $AJ$69 &amp; $AG70),0)),"",INDIRECT(CONCATENATE("Table!",ADDRESS($AC70,MATCH(T$1,INDIRECT("Table!A" &amp; $AG70):INDIRECT("Table!" &amp; $AJ$69 &amp; $AG70),0)))))</f>
        <v>7.1899789969930947E-2</v>
      </c>
      <c r="U70" s="596" t="str">
        <f ca="1">IF(ISERROR(MATCH(U$1,INDIRECT("Table!A"&amp;$AG70):INDIRECT("Table!" &amp; $AJ$69 &amp; $AG70),0)),"",INDIRECT(CONCATENATE("Table!",ADDRESS($AC70,MATCH(U$1,INDIRECT("Table!A" &amp; $AG70):INDIRECT("Table!" &amp; $AJ$69 &amp; $AG70),0)))))</f>
        <v/>
      </c>
      <c r="V70" s="596"/>
      <c r="W70" s="596"/>
      <c r="X70" s="596"/>
      <c r="Y70" s="596"/>
      <c r="Z70" s="596"/>
      <c r="AA70" s="596"/>
      <c r="AB70" s="596"/>
      <c r="AC70" s="272">
        <f>MATCH($A70,Table!$A:$A,0)+$AE$2-1</f>
        <v>824</v>
      </c>
      <c r="AD70" s="353"/>
      <c r="AE70" s="353"/>
      <c r="AF70" s="353"/>
      <c r="AG70" s="272">
        <f>MATCH($A70,Table!$A:$A,0)+$AI$2-1</f>
        <v>821</v>
      </c>
      <c r="AH70" s="353"/>
      <c r="AJ70" s="743" t="s">
        <v>285</v>
      </c>
    </row>
    <row r="71" spans="1:36" s="267" customFormat="1" ht="15.75" customHeight="1" x14ac:dyDescent="0.25">
      <c r="A71" s="268">
        <v>41353</v>
      </c>
      <c r="B71" s="273">
        <f ca="1">IF(ISERROR(MATCH(B$1,INDIRECT("Table!A"&amp;$AG71):INDIRECT("Table!" &amp; $AJ$91 &amp; $AG71),0)),"",INDIRECT(CONCATENATE("Table!",ADDRESS($AC71,MATCH(B$1,INDIRECT("Table!A" &amp; $AG71):INDIRECT("Table!" &amp; $AJ$90 &amp; $AG71),0)))))</f>
        <v>0.27305948301232558</v>
      </c>
      <c r="C71" s="273">
        <f ca="1">IF(ISERROR(MATCH(C$1,INDIRECT("Table!A"&amp;$AG71):INDIRECT("Table!" &amp; $AJ$90 &amp; $AG71),0)),"",INDIRECT(CONCATENATE("Table!",ADDRESS($AC71,MATCH(C$1,INDIRECT("Table!A" &amp; $AG71):INDIRECT("Table!" &amp; $AJ$90 &amp; $AG71),0)))))</f>
        <v>0.51443702255842905</v>
      </c>
      <c r="D71" s="273">
        <f ca="1">IF(ISERROR(MATCH(D$1,INDIRECT("Table!A"&amp;$AG71):INDIRECT("Table!" &amp; $AJ$90 &amp; $AG71),0)),"",INDIRECT(CONCATENATE("Table!",ADDRESS($AC71,MATCH(D$1,INDIRECT("Table!A" &amp; $AG71):INDIRECT("Table!" &amp; $AJ$90 &amp; $AG71),0)))))</f>
        <v>0.52381676873789995</v>
      </c>
      <c r="E71" s="273">
        <f ca="1">IF(ISERROR(MATCH(E$1,INDIRECT("Table!A"&amp;$AG71):INDIRECT("Table!" &amp; $AJ$90 &amp; $AG71),0)),"",INDIRECT(CONCATENATE("Table!",ADDRESS($AC71,MATCH(E$1,INDIRECT("Table!A" &amp; $AG71):INDIRECT("Table!" &amp; $AJ$90 &amp; $AG71),0)))))</f>
        <v>0.86459671490534518</v>
      </c>
      <c r="F71" s="273">
        <f ca="1">IF(ISERROR(MATCH(F$1,INDIRECT("Table!A"&amp;$AG71):INDIRECT("Table!" &amp; $AJ$90 &amp; $AG71),0)),"",INDIRECT(CONCATENATE("Table!",ADDRESS($AC71,MATCH(F$1,INDIRECT("Table!A" &amp; $AG71):INDIRECT("Table!" &amp; $AJ$90 &amp; $AG71),0)))))</f>
        <v>0.53143591060878492</v>
      </c>
      <c r="G71" s="273">
        <f ca="1">IF(ISERROR(MATCH(G$1,INDIRECT("Table!A"&amp;$AG71):INDIRECT("Table!" &amp; $AJ$90 &amp; $AG71),0)),"",INDIRECT(CONCATENATE("Table!",ADDRESS($AC71,MATCH(G$1,INDIRECT("Table!A" &amp; $AG71):INDIRECT("Table!" &amp; $AJ$90 &amp; $AG71),0)))))</f>
        <v>0.3491236036690582</v>
      </c>
      <c r="H71" s="273">
        <f ca="1">IF(ISERROR(MATCH(H$1,INDIRECT("Table!A"&amp;$AG71):INDIRECT("Table!" &amp; $AJ$90 &amp; $AG71),0)),"",INDIRECT(CONCATENATE("Table!",ADDRESS($AC71,MATCH(H$1,INDIRECT("Table!A" &amp; $AG71):INDIRECT("Table!" &amp; $AJ$90 &amp; $AG71),0)))))</f>
        <v>0.56103758454090347</v>
      </c>
      <c r="I71" s="273">
        <f ca="1">IF(ISERROR(MATCH(I$1,INDIRECT("Table!A"&amp;$AG71):INDIRECT("Table!" &amp; $AJ$69 &amp; $AG71),0)),"",INDIRECT(CONCATENATE("Table!",ADDRESS($AC71,MATCH(I$1,INDIRECT("Table!A" &amp; $AG71):INDIRECT("Table!" &amp; $AJ$69 &amp; $AG71),0)))))</f>
        <v>4.8803603610113086E-2</v>
      </c>
      <c r="J71" s="273" t="str">
        <f ca="1">IF(ISERROR(MATCH(J$1,INDIRECT("Table!A"&amp;$AG71):INDIRECT("Table!" &amp; $AJ$69 &amp; $AG71),0)),"",INDIRECT(CONCATENATE("Table!",ADDRESS($AC71,MATCH(J$1,INDIRECT("Table!A" &amp; $AG71):INDIRECT("Table!" &amp; $AJ$69 &amp; $AG71),0)))))</f>
        <v/>
      </c>
      <c r="K71" s="273" t="str">
        <f ca="1">IF(ISERROR(MATCH(K$1,INDIRECT("Table!A"&amp;$AG71):INDIRECT("Table!" &amp; $AJ$69 &amp; $AG71),0)),"",INDIRECT(CONCATENATE("Table!",ADDRESS($AC71,MATCH(K$1,INDIRECT("Table!A" &amp; $AG71):INDIRECT("Table!" &amp; $AJ$69 &amp; $AG71),0)))))</f>
        <v/>
      </c>
      <c r="L71" s="273">
        <f ca="1">IF(ISERROR(MATCH(L$1,INDIRECT("Table!A"&amp;$AG71):INDIRECT("Table!" &amp; $AJ$69 &amp; $AG71),0)),"",INDIRECT(CONCATENATE("Table!",ADDRESS($AC71,MATCH(L$1,INDIRECT("Table!A" &amp; $AG71):INDIRECT("Table!" &amp; $AJ$69 &amp; $AG71),0)))))</f>
        <v>0.80678350697052748</v>
      </c>
      <c r="M71" s="273">
        <f ca="1">IF(ISERROR(MATCH(M$1,INDIRECT("Table!A"&amp;$AG71):INDIRECT("Table!" &amp; $AJ$69 &amp; $AG71),0)),"",INDIRECT(CONCATENATE("Table!",ADDRESS($AC71,MATCH(M$1,INDIRECT("Table!A" &amp; $AG71):INDIRECT("Table!" &amp; $AJ$69 &amp; $AG71),0)))))</f>
        <v>0.44071694863174909</v>
      </c>
      <c r="N71" s="273">
        <f ca="1">IF(ISERROR(MATCH(N$1,INDIRECT("Table!A"&amp;$AG71):INDIRECT("Table!" &amp; $AJ$69 &amp; $AG71),0)),"",INDIRECT(CONCATENATE("Table!",ADDRESS($AC71,MATCH(N$1,INDIRECT("Table!A" &amp; $AG71):INDIRECT("Table!" &amp; $AJ$69 &amp; $AG71),0)))))</f>
        <v>0.55182451046402414</v>
      </c>
      <c r="O71" s="273">
        <f ca="1">IF(ISERROR(MATCH(O$1,INDIRECT("Table!A"&amp;$AG71):INDIRECT("Table!" &amp; $AJ$69 &amp; $AG71),0)),"",INDIRECT(CONCATENATE("Table!",ADDRESS($AC71,MATCH(O$1,INDIRECT("Table!A" &amp; $AG71):INDIRECT("Table!" &amp; $AJ$69 &amp; $AG71),0)))))</f>
        <v>0.74971881096560733</v>
      </c>
      <c r="P71" s="273">
        <f ca="1">IF(ISERROR(MATCH(P$1,INDIRECT("Table!A"&amp;$AG71):INDIRECT("Table!" &amp; $AJ$69 &amp; $AG71),0)),"",INDIRECT(CONCATENATE("Table!",ADDRESS($AC71,MATCH(P$1,INDIRECT("Table!A" &amp; $AG71):INDIRECT("Table!" &amp; $AJ$69 &amp; $AG71),0)))))</f>
        <v>4.9919917147364497E-2</v>
      </c>
      <c r="Q71" s="273" t="str">
        <f ca="1">IF(ISERROR(MATCH(Q$1,INDIRECT("Table!A"&amp;$AG71):INDIRECT("Table!" &amp; $AJ$69 &amp; $AG71),0)),"",INDIRECT(CONCATENATE("Table!",ADDRESS($AC71,MATCH(Q$1,INDIRECT("Table!A" &amp; $AG71):INDIRECT("Table!" &amp; $AJ$69 &amp; $AG71),0)))))</f>
        <v/>
      </c>
      <c r="R71" s="273" t="str">
        <f ca="1">IF(ISERROR(MATCH(R$1,INDIRECT("Table!A"&amp;$AG71):INDIRECT("Table!" &amp; $AJ$69 &amp; $AG71),0)),"",INDIRECT(CONCATENATE("Table!",ADDRESS($AC71,MATCH(R$1,INDIRECT("Table!A" &amp; $AG71):INDIRECT("Table!" &amp; $AJ$69 &amp; $AG71),0)))))</f>
        <v/>
      </c>
      <c r="S71" s="273">
        <f ca="1">IF(ISERROR(MATCH(S$1,INDIRECT("Table!A"&amp;$AG71):INDIRECT("Table!" &amp; $AJ$69 &amp; $AG71),0)),"",INDIRECT(CONCATENATE("Table!",ADDRESS($AC71,MATCH(S$1,INDIRECT("Table!A" &amp; $AG71):INDIRECT("Table!" &amp; $AJ$69 &amp; $AG71),0)))))</f>
        <v>7.8522601584740087E-2</v>
      </c>
      <c r="T71" s="273">
        <f ca="1">IF(ISERROR(MATCH(T$1,INDIRECT("Table!A"&amp;$AG71):INDIRECT("Table!" &amp; $AJ$69 &amp; $AG71),0)),"",INDIRECT(CONCATENATE("Table!",ADDRESS($AC71,MATCH(T$1,INDIRECT("Table!A" &amp; $AG71):INDIRECT("Table!" &amp; $AJ$69 &amp; $AG71),0)))))</f>
        <v>7.1286320847373116E-2</v>
      </c>
      <c r="U71" s="596" t="str">
        <f ca="1">IF(ISERROR(MATCH(U$1,INDIRECT("Table!A"&amp;$AG71):INDIRECT("Table!" &amp; $AJ$69 &amp; $AG71),0)),"",INDIRECT(CONCATENATE("Table!",ADDRESS($AC71,MATCH(U$1,INDIRECT("Table!A" &amp; $AG71):INDIRECT("Table!" &amp; $AJ$69 &amp; $AG71),0)))))</f>
        <v/>
      </c>
      <c r="V71" s="596"/>
      <c r="W71" s="596"/>
      <c r="X71" s="596"/>
      <c r="Y71" s="596"/>
      <c r="Z71" s="596"/>
      <c r="AA71" s="596"/>
      <c r="AB71" s="596"/>
      <c r="AC71" s="272">
        <f>MATCH($A71,Table!$A:$A,0)+$AE$2-1</f>
        <v>836</v>
      </c>
      <c r="AD71" s="352"/>
      <c r="AE71" s="352"/>
      <c r="AF71" s="352"/>
      <c r="AG71" s="272">
        <f>MATCH($A71,Table!$A:$A,0)+$AI$2-1</f>
        <v>833</v>
      </c>
      <c r="AH71" s="352"/>
      <c r="AJ71" s="743" t="s">
        <v>285</v>
      </c>
    </row>
    <row r="72" spans="1:36" s="267" customFormat="1" ht="15.75" customHeight="1" x14ac:dyDescent="0.25">
      <c r="A72" s="268">
        <v>41351</v>
      </c>
      <c r="B72" s="273">
        <f ca="1">IF(ISERROR(MATCH(B$1,INDIRECT("Table!A"&amp;$AG72):INDIRECT("Table!" &amp; $AJ$91 &amp; $AG72),0)),"",INDIRECT(CONCATENATE("Table!",ADDRESS($AC72,MATCH(B$1,INDIRECT("Table!A" &amp; $AG72):INDIRECT("Table!" &amp; $AJ$90 &amp; $AG72),0)))))</f>
        <v>0.27586646972429457</v>
      </c>
      <c r="C72" s="273">
        <f ca="1">IF(ISERROR(MATCH(C$1,INDIRECT("Table!A"&amp;$AG72):INDIRECT("Table!" &amp; $AJ$90 &amp; $AG72),0)),"",INDIRECT(CONCATENATE("Table!",ADDRESS($AC72,MATCH(C$1,INDIRECT("Table!A" &amp; $AG72):INDIRECT("Table!" &amp; $AJ$90 &amp; $AG72),0)))))</f>
        <v>0.51431809816643836</v>
      </c>
      <c r="D72" s="273">
        <f ca="1">IF(ISERROR(MATCH(D$1,INDIRECT("Table!A"&amp;$AG72):INDIRECT("Table!" &amp; $AJ$90 &amp; $AG72),0)),"",INDIRECT(CONCATENATE("Table!",ADDRESS($AC72,MATCH(D$1,INDIRECT("Table!A" &amp; $AG72):INDIRECT("Table!" &amp; $AJ$90 &amp; $AG72),0)))))</f>
        <v>0.5236985087279874</v>
      </c>
      <c r="E72" s="273">
        <f ca="1">IF(ISERROR(MATCH(E$1,INDIRECT("Table!A"&amp;$AG72):INDIRECT("Table!" &amp; $AJ$90 &amp; $AG72),0)),"",INDIRECT(CONCATENATE("Table!",ADDRESS($AC72,MATCH(E$1,INDIRECT("Table!A" &amp; $AG72):INDIRECT("Table!" &amp; $AJ$90 &amp; $AG72),0)))))</f>
        <v>0.86085491143299542</v>
      </c>
      <c r="F72" s="273">
        <f ca="1">IF(ISERROR(MATCH(F$1,INDIRECT("Table!A"&amp;$AG72):INDIRECT("Table!" &amp; $AJ$90 &amp; $AG72),0)),"",INDIRECT(CONCATENATE("Table!",ADDRESS($AC72,MATCH(F$1,INDIRECT("Table!A" &amp; $AG72):INDIRECT("Table!" &amp; $AJ$90 &amp; $AG72),0)))))</f>
        <v>0.53057886704643331</v>
      </c>
      <c r="G72" s="273">
        <f ca="1">IF(ISERROR(MATCH(G$1,INDIRECT("Table!A"&amp;$AG72):INDIRECT("Table!" &amp; $AJ$90 &amp; $AG72),0)),"",INDIRECT(CONCATENATE("Table!",ADDRESS($AC72,MATCH(G$1,INDIRECT("Table!A" &amp; $AG72):INDIRECT("Table!" &amp; $AJ$90 &amp; $AG72),0)))))</f>
        <v>0.35431992250174066</v>
      </c>
      <c r="H72" s="273">
        <f ca="1">IF(ISERROR(MATCH(H$1,INDIRECT("Table!A"&amp;$AG72):INDIRECT("Table!" &amp; $AJ$90 &amp; $AG72),0)),"",INDIRECT(CONCATENATE("Table!",ADDRESS($AC72,MATCH(H$1,INDIRECT("Table!A" &amp; $AG72):INDIRECT("Table!" &amp; $AJ$90 &amp; $AG72),0)))))</f>
        <v>0.56082082355985807</v>
      </c>
      <c r="I72" s="273">
        <f ca="1">IF(ISERROR(MATCH(I$1,INDIRECT("Table!A"&amp;$AG72):INDIRECT("Table!" &amp; $AJ$69 &amp; $AG72),0)),"",INDIRECT(CONCATENATE("Table!",ADDRESS($AC72,MATCH(I$1,INDIRECT("Table!A" &amp; $AG72):INDIRECT("Table!" &amp; $AJ$69 &amp; $AG72),0)))))</f>
        <v>4.8787948306186435E-2</v>
      </c>
      <c r="J72" s="273" t="str">
        <f ca="1">IF(ISERROR(MATCH(J$1,INDIRECT("Table!A"&amp;$AG72):INDIRECT("Table!" &amp; $AJ$69 &amp; $AG72),0)),"",INDIRECT(CONCATENATE("Table!",ADDRESS($AC72,MATCH(J$1,INDIRECT("Table!A" &amp; $AG72):INDIRECT("Table!" &amp; $AJ$69 &amp; $AG72),0)))))</f>
        <v/>
      </c>
      <c r="K72" s="273" t="str">
        <f ca="1">IF(ISERROR(MATCH(K$1,INDIRECT("Table!A"&amp;$AG72):INDIRECT("Table!" &amp; $AJ$69 &amp; $AG72),0)),"",INDIRECT(CONCATENATE("Table!",ADDRESS($AC72,MATCH(K$1,INDIRECT("Table!A" &amp; $AG72):INDIRECT("Table!" &amp; $AJ$69 &amp; $AG72),0)))))</f>
        <v/>
      </c>
      <c r="L72" s="273">
        <f ca="1">IF(ISERROR(MATCH(L$1,INDIRECT("Table!A"&amp;$AG72):INDIRECT("Table!" &amp; $AJ$69 &amp; $AG72),0)),"",INDIRECT(CONCATENATE("Table!",ADDRESS($AC72,MATCH(L$1,INDIRECT("Table!A" &amp; $AG72):INDIRECT("Table!" &amp; $AJ$69 &amp; $AG72),0)))))</f>
        <v>0.80660322131100837</v>
      </c>
      <c r="M72" s="273">
        <f ca="1">IF(ISERROR(MATCH(M$1,INDIRECT("Table!A"&amp;$AG72):INDIRECT("Table!" &amp; $AJ$69 &amp; $AG72),0)),"",INDIRECT(CONCATENATE("Table!",ADDRESS($AC72,MATCH(M$1,INDIRECT("Table!A" &amp; $AG72):INDIRECT("Table!" &amp; $AJ$69 &amp; $AG72),0)))))</f>
        <v>0.44094929169422742</v>
      </c>
      <c r="N72" s="273">
        <f ca="1">IF(ISERROR(MATCH(N$1,INDIRECT("Table!A"&amp;$AG72):INDIRECT("Table!" &amp; $AJ$69 &amp; $AG72),0)),"",INDIRECT(CONCATENATE("Table!",ADDRESS($AC72,MATCH(N$1,INDIRECT("Table!A" &amp; $AG72):INDIRECT("Table!" &amp; $AJ$69 &amp; $AG72),0)))))</f>
        <v>0.54108064787135401</v>
      </c>
      <c r="O72" s="273">
        <f ca="1">IF(ISERROR(MATCH(O$1,INDIRECT("Table!A"&amp;$AG72):INDIRECT("Table!" &amp; $AJ$69 &amp; $AG72),0)),"",INDIRECT(CONCATENATE("Table!",ADDRESS($AC72,MATCH(O$1,INDIRECT("Table!A" &amp; $AG72):INDIRECT("Table!" &amp; $AJ$69 &amp; $AG72),0)))))</f>
        <v>0.74945759556035796</v>
      </c>
      <c r="P72" s="273">
        <f ca="1">IF(ISERROR(MATCH(P$1,INDIRECT("Table!A"&amp;$AG72):INDIRECT("Table!" &amp; $AJ$69 &amp; $AG72),0)),"",INDIRECT(CONCATENATE("Table!",ADDRESS($AC72,MATCH(P$1,INDIRECT("Table!A" &amp; $AG72):INDIRECT("Table!" &amp; $AJ$69 &amp; $AG72),0)))))</f>
        <v>4.9898240585748863E-2</v>
      </c>
      <c r="Q72" s="273" t="str">
        <f ca="1">IF(ISERROR(MATCH(Q$1,INDIRECT("Table!A"&amp;$AG72):INDIRECT("Table!" &amp; $AJ$69 &amp; $AG72),0)),"",INDIRECT(CONCATENATE("Table!",ADDRESS($AC72,MATCH(Q$1,INDIRECT("Table!A" &amp; $AG72):INDIRECT("Table!" &amp; $AJ$69 &amp; $AG72),0)))))</f>
        <v/>
      </c>
      <c r="R72" s="273" t="str">
        <f ca="1">IF(ISERROR(MATCH(R$1,INDIRECT("Table!A"&amp;$AG72):INDIRECT("Table!" &amp; $AJ$69 &amp; $AG72),0)),"",INDIRECT(CONCATENATE("Table!",ADDRESS($AC72,MATCH(R$1,INDIRECT("Table!A" &amp; $AG72):INDIRECT("Table!" &amp; $AJ$69 &amp; $AG72),0)))))</f>
        <v/>
      </c>
      <c r="S72" s="273">
        <f ca="1">IF(ISERROR(MATCH(S$1,INDIRECT("Table!A"&amp;$AG72):INDIRECT("Table!" &amp; $AJ$69 &amp; $AG72),0)),"",INDIRECT(CONCATENATE("Table!",ADDRESS($AC72,MATCH(S$1,INDIRECT("Table!A" &amp; $AG72):INDIRECT("Table!" &amp; $AJ$69 &amp; $AG72),0)))))</f>
        <v>7.8506282750992723E-2</v>
      </c>
      <c r="T72" s="273">
        <f ca="1">IF(ISERROR(MATCH(T$1,INDIRECT("Table!A"&amp;$AG72):INDIRECT("Table!" &amp; $AJ$69 &amp; $AG72),0)),"",INDIRECT(CONCATENATE("Table!",ADDRESS($AC72,MATCH(T$1,INDIRECT("Table!A" &amp; $AG72):INDIRECT("Table!" &amp; $AJ$69 &amp; $AG72),0)))))</f>
        <v>7.1126154032124023E-2</v>
      </c>
      <c r="U72" s="596" t="str">
        <f ca="1">IF(ISERROR(MATCH(U$1,INDIRECT("Table!A"&amp;$AG72):INDIRECT("Table!" &amp; $AJ$69 &amp; $AG72),0)),"",INDIRECT(CONCATENATE("Table!",ADDRESS($AC72,MATCH(U$1,INDIRECT("Table!A" &amp; $AG72):INDIRECT("Table!" &amp; $AJ$69 &amp; $AG72),0)))))</f>
        <v/>
      </c>
      <c r="V72" s="596"/>
      <c r="W72" s="596"/>
      <c r="X72" s="596"/>
      <c r="Y72" s="596"/>
      <c r="Z72" s="596"/>
      <c r="AA72" s="596"/>
      <c r="AB72" s="596"/>
      <c r="AC72" s="272">
        <f>MATCH($A72,Table!$A:$A,0)+$AE$2-1</f>
        <v>848</v>
      </c>
      <c r="AD72" s="351"/>
      <c r="AE72" s="351"/>
      <c r="AF72" s="351"/>
      <c r="AG72" s="272">
        <f>MATCH($A72,Table!$A:$A,0)+$AI$2-1</f>
        <v>845</v>
      </c>
      <c r="AH72" s="351"/>
      <c r="AJ72" s="743" t="s">
        <v>285</v>
      </c>
    </row>
    <row r="73" spans="1:36" s="267" customFormat="1" ht="15.75" customHeight="1" x14ac:dyDescent="0.25">
      <c r="A73" s="268">
        <v>41347</v>
      </c>
      <c r="B73" s="273">
        <f ca="1">IF(ISERROR(MATCH(B$1,INDIRECT("Table!A"&amp;$AG73):INDIRECT("Table!" &amp; $AJ$91 &amp; $AG73),0)),"",INDIRECT(CONCATENATE("Table!",ADDRESS($AC73,MATCH(B$1,INDIRECT("Table!A" &amp; $AG73):INDIRECT("Table!" &amp; $AJ$90 &amp; $AG73),0)))))</f>
        <v>0.2823214930798188</v>
      </c>
      <c r="C73" s="273">
        <f ca="1">IF(ISERROR(MATCH(C$1,INDIRECT("Table!A"&amp;$AG73):INDIRECT("Table!" &amp; $AJ$90 &amp; $AG73),0)),"",INDIRECT(CONCATENATE("Table!",ADDRESS($AC73,MATCH(C$1,INDIRECT("Table!A" &amp; $AG73):INDIRECT("Table!" &amp; $AJ$90 &amp; $AG73),0)))))</f>
        <v>0.51316805278914235</v>
      </c>
      <c r="D73" s="273">
        <f ca="1">IF(ISERROR(MATCH(D$1,INDIRECT("Table!A"&amp;$AG73):INDIRECT("Table!" &amp; $AJ$90 &amp; $AG73),0)),"",INDIRECT(CONCATENATE("Table!",ADDRESS($AC73,MATCH(D$1,INDIRECT("Table!A" &amp; $AG73):INDIRECT("Table!" &amp; $AJ$90 &amp; $AG73),0)))))</f>
        <v>0.52229599816099048</v>
      </c>
      <c r="E73" s="273">
        <f ca="1">IF(ISERROR(MATCH(E$1,INDIRECT("Table!A"&amp;$AG73):INDIRECT("Table!" &amp; $AJ$90 &amp; $AG73),0)),"",INDIRECT(CONCATENATE("Table!",ADDRESS($AC73,MATCH(E$1,INDIRECT("Table!A" &amp; $AG73):INDIRECT("Table!" &amp; $AJ$90 &amp; $AG73),0)))))</f>
        <v>0.8597735796806335</v>
      </c>
      <c r="F73" s="273">
        <f ca="1">IF(ISERROR(MATCH(F$1,INDIRECT("Table!A"&amp;$AG73):INDIRECT("Table!" &amp; $AJ$90 &amp; $AG73),0)),"",INDIRECT(CONCATENATE("Table!",ADDRESS($AC73,MATCH(F$1,INDIRECT("Table!A" &amp; $AG73):INDIRECT("Table!" &amp; $AJ$90 &amp; $AG73),0)))))</f>
        <v>0.51726447167616085</v>
      </c>
      <c r="G73" s="273">
        <f ca="1">IF(ISERROR(MATCH(G$1,INDIRECT("Table!A"&amp;$AG73):INDIRECT("Table!" &amp; $AJ$90 &amp; $AG73),0)),"",INDIRECT(CONCATENATE("Table!",ADDRESS($AC73,MATCH(G$1,INDIRECT("Table!A" &amp; $AG73):INDIRECT("Table!" &amp; $AJ$90 &amp; $AG73),0)))))</f>
        <v>0.34593285502376414</v>
      </c>
      <c r="H73" s="273">
        <f ca="1">IF(ISERROR(MATCH(H$1,INDIRECT("Table!A"&amp;$AG73):INDIRECT("Table!" &amp; $AJ$90 &amp; $AG73),0)),"",INDIRECT(CONCATENATE("Table!",ADDRESS($AC73,MATCH(H$1,INDIRECT("Table!A" &amp; $AG73):INDIRECT("Table!" &amp; $AJ$90 &amp; $AG73),0)))))</f>
        <v>0.55905788919310517</v>
      </c>
      <c r="I73" s="273">
        <f ca="1">IF(ISERROR(MATCH(I$1,INDIRECT("Table!A"&amp;$AG73):INDIRECT("Table!" &amp; $AJ$69 &amp; $AG73),0)),"",INDIRECT(CONCATENATE("Table!",ADDRESS($AC73,MATCH(I$1,INDIRECT("Table!A" &amp; $AG73):INDIRECT("Table!" &amp; $AJ$69 &amp; $AG73),0)))))</f>
        <v>4.5898942604645172E-2</v>
      </c>
      <c r="J73" s="273" t="str">
        <f ca="1">IF(ISERROR(MATCH(J$1,INDIRECT("Table!A"&amp;$AG73):INDIRECT("Table!" &amp; $AJ$69 &amp; $AG73),0)),"",INDIRECT(CONCATENATE("Table!",ADDRESS($AC73,MATCH(J$1,INDIRECT("Table!A" &amp; $AG73):INDIRECT("Table!" &amp; $AJ$69 &amp; $AG73),0)))))</f>
        <v/>
      </c>
      <c r="K73" s="273" t="str">
        <f ca="1">IF(ISERROR(MATCH(K$1,INDIRECT("Table!A"&amp;$AG73):INDIRECT("Table!" &amp; $AJ$69 &amp; $AG73),0)),"",INDIRECT(CONCATENATE("Table!",ADDRESS($AC73,MATCH(K$1,INDIRECT("Table!A" &amp; $AG73):INDIRECT("Table!" &amp; $AJ$69 &amp; $AG73),0)))))</f>
        <v/>
      </c>
      <c r="L73" s="273">
        <f ca="1">IF(ISERROR(MATCH(L$1,INDIRECT("Table!A"&amp;$AG73):INDIRECT("Table!" &amp; $AJ$69 &amp; $AG73),0)),"",INDIRECT(CONCATENATE("Table!",ADDRESS($AC73,MATCH(L$1,INDIRECT("Table!A" &amp; $AG73):INDIRECT("Table!" &amp; $AJ$69 &amp; $AG73),0)))))</f>
        <v>0.80487600180285657</v>
      </c>
      <c r="M73" s="273">
        <f ca="1">IF(ISERROR(MATCH(M$1,INDIRECT("Table!A"&amp;$AG73):INDIRECT("Table!" &amp; $AJ$69 &amp; $AG73),0)),"",INDIRECT(CONCATENATE("Table!",ADDRESS($AC73,MATCH(M$1,INDIRECT("Table!A" &amp; $AG73):INDIRECT("Table!" &amp; $AJ$69 &amp; $AG73),0)))))</f>
        <v>0.4174387469519163</v>
      </c>
      <c r="N73" s="273">
        <f ca="1">IF(ISERROR(MATCH(N$1,INDIRECT("Table!A"&amp;$AG73):INDIRECT("Table!" &amp; $AJ$69 &amp; $AG73),0)),"",INDIRECT(CONCATENATE("Table!",ADDRESS($AC73,MATCH(N$1,INDIRECT("Table!A" &amp; $AG73):INDIRECT("Table!" &amp; $AJ$69 &amp; $AG73),0)))))</f>
        <v>0.54108064787135401</v>
      </c>
      <c r="O73" s="273">
        <f ca="1">IF(ISERROR(MATCH(O$1,INDIRECT("Table!A"&amp;$AG73):INDIRECT("Table!" &amp; $AJ$69 &amp; $AG73),0)),"",INDIRECT(CONCATENATE("Table!",ADDRESS($AC73,MATCH(O$1,INDIRECT("Table!A" &amp; $AG73):INDIRECT("Table!" &amp; $AJ$69 &amp; $AG73),0)))))</f>
        <v>0.7472341481629643</v>
      </c>
      <c r="P73" s="273">
        <f ca="1">IF(ISERROR(MATCH(P$1,INDIRECT("Table!A"&amp;$AG73):INDIRECT("Table!" &amp; $AJ$69 &amp; $AG73),0)),"",INDIRECT(CONCATENATE("Table!",ADDRESS($AC73,MATCH(P$1,INDIRECT("Table!A" &amp; $AG73):INDIRECT("Table!" &amp; $AJ$69 &amp; $AG73),0)))))</f>
        <v>4.7003215356639649E-2</v>
      </c>
      <c r="Q73" s="273" t="str">
        <f ca="1">IF(ISERROR(MATCH(Q$1,INDIRECT("Table!A"&amp;$AG73):INDIRECT("Table!" &amp; $AJ$69 &amp; $AG73),0)),"",INDIRECT(CONCATENATE("Table!",ADDRESS($AC73,MATCH(Q$1,INDIRECT("Table!A" &amp; $AG73):INDIRECT("Table!" &amp; $AJ$69 &amp; $AG73),0)))))</f>
        <v/>
      </c>
      <c r="R73" s="273" t="str">
        <f ca="1">IF(ISERROR(MATCH(R$1,INDIRECT("Table!A"&amp;$AG73):INDIRECT("Table!" &amp; $AJ$69 &amp; $AG73),0)),"",INDIRECT(CONCATENATE("Table!",ADDRESS($AC73,MATCH(R$1,INDIRECT("Table!A" &amp; $AG73):INDIRECT("Table!" &amp; $AJ$69 &amp; $AG73),0)))))</f>
        <v/>
      </c>
      <c r="S73" s="273">
        <f ca="1">IF(ISERROR(MATCH(S$1,INDIRECT("Table!A"&amp;$AG73):INDIRECT("Table!" &amp; $AJ$69 &amp; $AG73),0)),"",INDIRECT(CONCATENATE("Table!",ADDRESS($AC73,MATCH(S$1,INDIRECT("Table!A" &amp; $AG73):INDIRECT("Table!" &amp; $AJ$69 &amp; $AG73),0)))))</f>
        <v>7.8343094413519249E-2</v>
      </c>
      <c r="T73" s="273">
        <f ca="1">IF(ISERROR(MATCH(T$1,INDIRECT("Table!A"&amp;$AG73):INDIRECT("Table!" &amp; $AJ$69 &amp; $AG73),0)),"",INDIRECT(CONCATENATE("Table!",ADDRESS($AC73,MATCH(T$1,INDIRECT("Table!A" &amp; $AG73):INDIRECT("Table!" &amp; $AJ$69 &amp; $AG73),0)))))</f>
        <v>6.9763225094815737E-2</v>
      </c>
      <c r="U73" s="596" t="str">
        <f ca="1">IF(ISERROR(MATCH(U$1,INDIRECT("Table!A"&amp;$AG73):INDIRECT("Table!" &amp; $AJ$69 &amp; $AG73),0)),"",INDIRECT(CONCATENATE("Table!",ADDRESS($AC73,MATCH(U$1,INDIRECT("Table!A" &amp; $AG73):INDIRECT("Table!" &amp; $AJ$69 &amp; $AG73),0)))))</f>
        <v/>
      </c>
      <c r="V73" s="596"/>
      <c r="W73" s="596"/>
      <c r="X73" s="596"/>
      <c r="Y73" s="596"/>
      <c r="Z73" s="596"/>
      <c r="AA73" s="596"/>
      <c r="AB73" s="596"/>
      <c r="AC73" s="272">
        <f>MATCH($A73,Table!$A:$A,0)+$AE$2-1</f>
        <v>860</v>
      </c>
      <c r="AD73" s="341"/>
      <c r="AE73" s="341"/>
      <c r="AF73" s="341"/>
      <c r="AG73" s="272">
        <f>MATCH($A73,Table!$A:$A,0)+$AI$2-1</f>
        <v>857</v>
      </c>
      <c r="AH73" s="341"/>
      <c r="AJ73" s="743" t="s">
        <v>285</v>
      </c>
    </row>
    <row r="74" spans="1:36" s="267" customFormat="1" ht="15.75" customHeight="1" x14ac:dyDescent="0.25">
      <c r="A74" s="268">
        <v>41345</v>
      </c>
      <c r="B74" s="273">
        <f ca="1">IF(ISERROR(MATCH(B$1,INDIRECT("Table!A"&amp;$AG74):INDIRECT("Table!" &amp; $AJ$91 &amp; $AG74),0)),"",INDIRECT(CONCATENATE("Table!",ADDRESS($AC74,MATCH(B$1,INDIRECT("Table!A" &amp; $AG74):INDIRECT("Table!" &amp; $AJ$90 &amp; $AG74),0)))))</f>
        <v>0.29319098249416636</v>
      </c>
      <c r="C74" s="273">
        <f ca="1">IF(ISERROR(MATCH(C$1,INDIRECT("Table!A"&amp;$AG74):INDIRECT("Table!" &amp; $AJ$90 &amp; $AG74),0)),"",INDIRECT(CONCATENATE("Table!",ADDRESS($AC74,MATCH(C$1,INDIRECT("Table!A" &amp; $AG74):INDIRECT("Table!" &amp; $AJ$90 &amp; $AG74),0)))))</f>
        <v>0.51296142996283456</v>
      </c>
      <c r="D74" s="273">
        <f ca="1">IF(ISERROR(MATCH(D$1,INDIRECT("Table!A"&amp;$AG74):INDIRECT("Table!" &amp; $AJ$90 &amp; $AG74),0)),"",INDIRECT(CONCATENATE("Table!",ADDRESS($AC74,MATCH(D$1,INDIRECT("Table!A" &amp; $AG74):INDIRECT("Table!" &amp; $AJ$90 &amp; $AG74),0)))))</f>
        <v>0.52229599816099048</v>
      </c>
      <c r="E74" s="273">
        <f ca="1">IF(ISERROR(MATCH(E$1,INDIRECT("Table!A"&amp;$AG74):INDIRECT("Table!" &amp; $AJ$90 &amp; $AG74),0)),"",INDIRECT(CONCATENATE("Table!",ADDRESS($AC74,MATCH(E$1,INDIRECT("Table!A" &amp; $AG74):INDIRECT("Table!" &amp; $AJ$90 &amp; $AG74),0)))))</f>
        <v>0.85957797292055182</v>
      </c>
      <c r="F74" s="273">
        <f ca="1">IF(ISERROR(MATCH(F$1,INDIRECT("Table!A"&amp;$AG74):INDIRECT("Table!" &amp; $AJ$90 &amp; $AG74),0)),"",INDIRECT(CONCATENATE("Table!",ADDRESS($AC74,MATCH(F$1,INDIRECT("Table!A" &amp; $AG74):INDIRECT("Table!" &amp; $AJ$90 &amp; $AG74),0)))))</f>
        <v>0.51726447167616085</v>
      </c>
      <c r="G74" s="273">
        <f ca="1">IF(ISERROR(MATCH(G$1,INDIRECT("Table!A"&amp;$AG74):INDIRECT("Table!" &amp; $AJ$90 &amp; $AG74),0)),"",INDIRECT(CONCATENATE("Table!",ADDRESS($AC74,MATCH(G$1,INDIRECT("Table!A" &amp; $AG74):INDIRECT("Table!" &amp; $AJ$90 &amp; $AG74),0)))))</f>
        <v>0.35446825901371354</v>
      </c>
      <c r="H74" s="273">
        <f ca="1">IF(ISERROR(MATCH(H$1,INDIRECT("Table!A"&amp;$AG74):INDIRECT("Table!" &amp; $AJ$90 &amp; $AG74),0)),"",INDIRECT(CONCATENATE("Table!",ADDRESS($AC74,MATCH(H$1,INDIRECT("Table!A" &amp; $AG74):INDIRECT("Table!" &amp; $AJ$90 &amp; $AG74),0)))))</f>
        <v>0.5582600769130599</v>
      </c>
      <c r="I74" s="273">
        <f ca="1">IF(ISERROR(MATCH(I$1,INDIRECT("Table!A"&amp;$AG74):INDIRECT("Table!" &amp; $AJ$69 &amp; $AG74),0)),"",INDIRECT(CONCATENATE("Table!",ADDRESS($AC74,MATCH(I$1,INDIRECT("Table!A" &amp; $AG74):INDIRECT("Table!" &amp; $AJ$69 &amp; $AG74),0)))))</f>
        <v>4.5894125588052358E-2</v>
      </c>
      <c r="J74" s="273" t="str">
        <f ca="1">IF(ISERROR(MATCH(J$1,INDIRECT("Table!A"&amp;$AG74):INDIRECT("Table!" &amp; $AJ$69 &amp; $AG74),0)),"",INDIRECT(CONCATENATE("Table!",ADDRESS($AC74,MATCH(J$1,INDIRECT("Table!A" &amp; $AG74):INDIRECT("Table!" &amp; $AJ$69 &amp; $AG74),0)))))</f>
        <v/>
      </c>
      <c r="K74" s="273" t="str">
        <f ca="1">IF(ISERROR(MATCH(K$1,INDIRECT("Table!A"&amp;$AG74):INDIRECT("Table!" &amp; $AJ$69 &amp; $AG74),0)),"",INDIRECT(CONCATENATE("Table!",ADDRESS($AC74,MATCH(K$1,INDIRECT("Table!A" &amp; $AG74):INDIRECT("Table!" &amp; $AJ$69 &amp; $AG74),0)))))</f>
        <v/>
      </c>
      <c r="L74" s="273">
        <f ca="1">IF(ISERROR(MATCH(L$1,INDIRECT("Table!A"&amp;$AG74):INDIRECT("Table!" &amp; $AJ$69 &amp; $AG74),0)),"",INDIRECT(CONCATENATE("Table!",ADDRESS($AC74,MATCH(L$1,INDIRECT("Table!A" &amp; $AG74):INDIRECT("Table!" &amp; $AJ$69 &amp; $AG74),0)))))</f>
        <v>0.80452475560413828</v>
      </c>
      <c r="M74" s="273">
        <f ca="1">IF(ISERROR(MATCH(M$1,INDIRECT("Table!A"&amp;$AG74):INDIRECT("Table!" &amp; $AJ$69 &amp; $AG74),0)),"",INDIRECT(CONCATENATE("Table!",ADDRESS($AC74,MATCH(M$1,INDIRECT("Table!A" &amp; $AG74):INDIRECT("Table!" &amp; $AJ$69 &amp; $AG74),0)))))</f>
        <v>0.41286302657489993</v>
      </c>
      <c r="N74" s="273">
        <f ca="1">IF(ISERROR(MATCH(N$1,INDIRECT("Table!A"&amp;$AG74):INDIRECT("Table!" &amp; $AJ$69 &amp; $AG74),0)),"",INDIRECT(CONCATENATE("Table!",ADDRESS($AC74,MATCH(N$1,INDIRECT("Table!A" &amp; $AG74):INDIRECT("Table!" &amp; $AJ$69 &amp; $AG74),0)))))</f>
        <v>0.53708917236719156</v>
      </c>
      <c r="O74" s="273">
        <f ca="1">IF(ISERROR(MATCH(O$1,INDIRECT("Table!A"&amp;$AG74):INDIRECT("Table!" &amp; $AJ$69 &amp; $AG74),0)),"",INDIRECT(CONCATENATE("Table!",ADDRESS($AC74,MATCH(O$1,INDIRECT("Table!A" &amp; $AG74):INDIRECT("Table!" &amp; $AJ$69 &amp; $AG74),0)))))</f>
        <v>0.748365137206083</v>
      </c>
      <c r="P74" s="273">
        <f ca="1">IF(ISERROR(MATCH(P$1,INDIRECT("Table!A"&amp;$AG74):INDIRECT("Table!" &amp; $AJ$69 &amp; $AG74),0)),"",INDIRECT(CONCATENATE("Table!",ADDRESS($AC74,MATCH(P$1,INDIRECT("Table!A" &amp; $AG74):INDIRECT("Table!" &amp; $AJ$69 &amp; $AG74),0)))))</f>
        <v>4.6998398342947285E-2</v>
      </c>
      <c r="Q74" s="273" t="str">
        <f ca="1">IF(ISERROR(MATCH(Q$1,INDIRECT("Table!A"&amp;$AG74):INDIRECT("Table!" &amp; $AJ$69 &amp; $AG74),0)),"",INDIRECT(CONCATENATE("Table!",ADDRESS($AC74,MATCH(Q$1,INDIRECT("Table!A" &amp; $AG74):INDIRECT("Table!" &amp; $AJ$69 &amp; $AG74),0)))))</f>
        <v/>
      </c>
      <c r="R74" s="273" t="str">
        <f ca="1">IF(ISERROR(MATCH(R$1,INDIRECT("Table!A"&amp;$AG74):INDIRECT("Table!" &amp; $AJ$69 &amp; $AG74),0)),"",INDIRECT(CONCATENATE("Table!",ADDRESS($AC74,MATCH(R$1,INDIRECT("Table!A" &amp; $AG74):INDIRECT("Table!" &amp; $AJ$69 &amp; $AG74),0)))))</f>
        <v/>
      </c>
      <c r="S74" s="273">
        <f ca="1">IF(ISERROR(MATCH(S$1,INDIRECT("Table!A"&amp;$AG74):INDIRECT("Table!" &amp; $AJ$69 &amp; $AG74),0)),"",INDIRECT(CONCATENATE("Table!",ADDRESS($AC74,MATCH(S$1,INDIRECT("Table!A" &amp; $AG74):INDIRECT("Table!" &amp; $AJ$69 &amp; $AG74),0)))))</f>
        <v>7.8321335968522782E-2</v>
      </c>
      <c r="T74" s="273">
        <f ca="1">IF(ISERROR(MATCH(T$1,INDIRECT("Table!A"&amp;$AG74):INDIRECT("Table!" &amp; $AJ$69 &amp; $AG74),0)),"",INDIRECT(CONCATENATE("Table!",ADDRESS($AC74,MATCH(T$1,INDIRECT("Table!A" &amp; $AG74):INDIRECT("Table!" &amp; $AJ$69 &amp; $AG74),0)))))</f>
        <v>6.6529668636013353E-2</v>
      </c>
      <c r="U74" s="596" t="str">
        <f ca="1">IF(ISERROR(MATCH(U$1,INDIRECT("Table!A"&amp;$AG74):INDIRECT("Table!" &amp; $AJ$69 &amp; $AG74),0)),"",INDIRECT(CONCATENATE("Table!",ADDRESS($AC74,MATCH(U$1,INDIRECT("Table!A" &amp; $AG74):INDIRECT("Table!" &amp; $AJ$69 &amp; $AG74),0)))))</f>
        <v/>
      </c>
      <c r="V74" s="596"/>
      <c r="W74" s="596"/>
      <c r="X74" s="596"/>
      <c r="Y74" s="596"/>
      <c r="Z74" s="596"/>
      <c r="AA74" s="596"/>
      <c r="AB74" s="596"/>
      <c r="AC74" s="272">
        <f>MATCH($A74,Table!$A:$A,0)+$AE$2-1</f>
        <v>872</v>
      </c>
      <c r="AD74" s="340"/>
      <c r="AE74" s="340"/>
      <c r="AF74" s="340"/>
      <c r="AG74" s="272">
        <f>MATCH($A74,Table!$A:$A,0)+$AI$2-1</f>
        <v>869</v>
      </c>
      <c r="AH74" s="340"/>
      <c r="AJ74" s="743" t="s">
        <v>285</v>
      </c>
    </row>
    <row r="75" spans="1:36" s="267" customFormat="1" ht="15.75" customHeight="1" x14ac:dyDescent="0.25">
      <c r="A75" s="268">
        <v>41344</v>
      </c>
      <c r="B75" s="273">
        <f ca="1">IF(ISERROR(MATCH(B$1,INDIRECT("Table!A"&amp;$AG75):INDIRECT("Table!" &amp; $AJ$91 &amp; $AG75),0)),"",INDIRECT(CONCATENATE("Table!",ADDRESS($AC75,MATCH(B$1,INDIRECT("Table!A" &amp; $AG75):INDIRECT("Table!" &amp; $AJ$90 &amp; $AG75),0)))))</f>
        <v>0.29779513808979846</v>
      </c>
      <c r="C75" s="273">
        <f ca="1">IF(ISERROR(MATCH(C$1,INDIRECT("Table!A"&amp;$AG75):INDIRECT("Table!" &amp; $AJ$90 &amp; $AG75),0)),"",INDIRECT(CONCATENATE("Table!",ADDRESS($AC75,MATCH(C$1,INDIRECT("Table!A" &amp; $AG75):INDIRECT("Table!" &amp; $AJ$90 &amp; $AG75),0)))))</f>
        <v>0.51289831366540928</v>
      </c>
      <c r="D75" s="273">
        <f ca="1">IF(ISERROR(MATCH(D$1,INDIRECT("Table!A"&amp;$AG75):INDIRECT("Table!" &amp; $AJ$90 &amp; $AG75),0)),"",INDIRECT(CONCATENATE("Table!",ADDRESS($AC75,MATCH(D$1,INDIRECT("Table!A" &amp; $AG75):INDIRECT("Table!" &amp; $AJ$90 &amp; $AG75),0)))))</f>
        <v>0.52229599816099048</v>
      </c>
      <c r="E75" s="273">
        <f ca="1">IF(ISERROR(MATCH(E$1,INDIRECT("Table!A"&amp;$AG75):INDIRECT("Table!" &amp; $AJ$90 &amp; $AG75),0)),"",INDIRECT(CONCATENATE("Table!",ADDRESS($AC75,MATCH(E$1,INDIRECT("Table!A" &amp; $AG75):INDIRECT("Table!" &amp; $AJ$90 &amp; $AG75),0)))))</f>
        <v>0.85947302659702496</v>
      </c>
      <c r="F75" s="273">
        <f ca="1">IF(ISERROR(MATCH(F$1,INDIRECT("Table!A"&amp;$AG75):INDIRECT("Table!" &amp; $AJ$90 &amp; $AG75),0)),"",INDIRECT(CONCATENATE("Table!",ADDRESS($AC75,MATCH(F$1,INDIRECT("Table!A" &amp; $AG75):INDIRECT("Table!" &amp; $AJ$90 &amp; $AG75),0)))))</f>
        <v>0.51726447167616085</v>
      </c>
      <c r="G75" s="273">
        <f ca="1">IF(ISERROR(MATCH(G$1,INDIRECT("Table!A"&amp;$AG75):INDIRECT("Table!" &amp; $AJ$90 &amp; $AG75),0)),"",INDIRECT(CONCATENATE("Table!",ADDRESS($AC75,MATCH(G$1,INDIRECT("Table!A" &amp; $AG75):INDIRECT("Table!" &amp; $AJ$90 &amp; $AG75),0)))))</f>
        <v>0.35642312233221324</v>
      </c>
      <c r="H75" s="273">
        <f ca="1">IF(ISERROR(MATCH(H$1,INDIRECT("Table!A"&amp;$AG75):INDIRECT("Table!" &amp; $AJ$90 &amp; $AG75),0)),"",INDIRECT(CONCATENATE("Table!",ADDRESS($AC75,MATCH(H$1,INDIRECT("Table!A" &amp; $AG75):INDIRECT("Table!" &amp; $AJ$90 &amp; $AG75),0)))))</f>
        <v>0.55788095124279036</v>
      </c>
      <c r="I75" s="273">
        <f ca="1">IF(ISERROR(MATCH(I$1,INDIRECT("Table!A"&amp;$AG75):INDIRECT("Table!" &amp; $AJ$69 &amp; $AG75),0)),"",INDIRECT(CONCATENATE("Table!",ADDRESS($AC75,MATCH(I$1,INDIRECT("Table!A" &amp; $AG75):INDIRECT("Table!" &amp; $AJ$69 &amp; $AG75),0)))))</f>
        <v>4.5894125588052358E-2</v>
      </c>
      <c r="J75" s="273" t="str">
        <f ca="1">IF(ISERROR(MATCH(J$1,INDIRECT("Table!A"&amp;$AG75):INDIRECT("Table!" &amp; $AJ$69 &amp; $AG75),0)),"",INDIRECT(CONCATENATE("Table!",ADDRESS($AC75,MATCH(J$1,INDIRECT("Table!A" &amp; $AG75):INDIRECT("Table!" &amp; $AJ$69 &amp; $AG75),0)))))</f>
        <v/>
      </c>
      <c r="K75" s="273" t="str">
        <f ca="1">IF(ISERROR(MATCH(K$1,INDIRECT("Table!A"&amp;$AG75):INDIRECT("Table!" &amp; $AJ$69 &amp; $AG75),0)),"",INDIRECT(CONCATENATE("Table!",ADDRESS($AC75,MATCH(K$1,INDIRECT("Table!A" &amp; $AG75):INDIRECT("Table!" &amp; $AJ$69 &amp; $AG75),0)))))</f>
        <v/>
      </c>
      <c r="L75" s="273">
        <f ca="1">IF(ISERROR(MATCH(L$1,INDIRECT("Table!A"&amp;$AG75):INDIRECT("Table!" &amp; $AJ$69 &amp; $AG75),0)),"",INDIRECT(CONCATENATE("Table!",ADDRESS($AC75,MATCH(L$1,INDIRECT("Table!A" &amp; $AG75):INDIRECT("Table!" &amp; $AJ$69 &amp; $AG75),0)))))</f>
        <v>0.80434291575789907</v>
      </c>
      <c r="M75" s="273">
        <f ca="1">IF(ISERROR(MATCH(M$1,INDIRECT("Table!A"&amp;$AG75):INDIRECT("Table!" &amp; $AJ$69 &amp; $AG75),0)),"",INDIRECT(CONCATENATE("Table!",ADDRESS($AC75,MATCH(M$1,INDIRECT("Table!A" &amp; $AG75):INDIRECT("Table!" &amp; $AJ$69 &amp; $AG75),0)))))</f>
        <v>0.41683934725978977</v>
      </c>
      <c r="N75" s="273">
        <f ca="1">IF(ISERROR(MATCH(N$1,INDIRECT("Table!A"&amp;$AG75):INDIRECT("Table!" &amp; $AJ$69 &amp; $AG75),0)),"",INDIRECT(CONCATENATE("Table!",ADDRESS($AC75,MATCH(N$1,INDIRECT("Table!A" &amp; $AG75):INDIRECT("Table!" &amp; $AJ$69 &amp; $AG75),0)))))</f>
        <v>0.53649564890488277</v>
      </c>
      <c r="O75" s="273">
        <f ca="1">IF(ISERROR(MATCH(O$1,INDIRECT("Table!A"&amp;$AG75):INDIRECT("Table!" &amp; $AJ$69 &amp; $AG75),0)),"",INDIRECT(CONCATENATE("Table!",ADDRESS($AC75,MATCH(O$1,INDIRECT("Table!A" &amp; $AG75):INDIRECT("Table!" &amp; $AJ$69 &amp; $AG75),0)))))</f>
        <v>0.74821894723958782</v>
      </c>
      <c r="P75" s="273">
        <f ca="1">IF(ISERROR(MATCH(P$1,INDIRECT("Table!A"&amp;$AG75):INDIRECT("Table!" &amp; $AJ$69 &amp; $AG75),0)),"",INDIRECT(CONCATENATE("Table!",ADDRESS($AC75,MATCH(P$1,INDIRECT("Table!A" &amp; $AG75):INDIRECT("Table!" &amp; $AJ$69 &amp; $AG75),0)))))</f>
        <v>4.6993581329254928E-2</v>
      </c>
      <c r="Q75" s="273" t="str">
        <f ca="1">IF(ISERROR(MATCH(Q$1,INDIRECT("Table!A"&amp;$AG75):INDIRECT("Table!" &amp; $AJ$69 &amp; $AG75),0)),"",INDIRECT(CONCATENATE("Table!",ADDRESS($AC75,MATCH(Q$1,INDIRECT("Table!A" &amp; $AG75):INDIRECT("Table!" &amp; $AJ$69 &amp; $AG75),0)))))</f>
        <v/>
      </c>
      <c r="R75" s="273" t="str">
        <f ca="1">IF(ISERROR(MATCH(R$1,INDIRECT("Table!A"&amp;$AG75):INDIRECT("Table!" &amp; $AJ$69 &amp; $AG75),0)),"",INDIRECT(CONCATENATE("Table!",ADDRESS($AC75,MATCH(R$1,INDIRECT("Table!A" &amp; $AG75):INDIRECT("Table!" &amp; $AJ$69 &amp; $AG75),0)))))</f>
        <v/>
      </c>
      <c r="S75" s="273">
        <f ca="1">IF(ISERROR(MATCH(S$1,INDIRECT("Table!A"&amp;$AG75):INDIRECT("Table!" &amp; $AJ$69 &amp; $AG75),0)),"",INDIRECT(CONCATENATE("Table!",ADDRESS($AC75,MATCH(S$1,INDIRECT("Table!A" &amp; $AG75):INDIRECT("Table!" &amp; $AJ$69 &amp; $AG75),0)))))</f>
        <v>7.7512647096154186E-2</v>
      </c>
      <c r="T75" s="273">
        <f ca="1">IF(ISERROR(MATCH(T$1,INDIRECT("Table!A"&amp;$AG75):INDIRECT("Table!" &amp; $AJ$69 &amp; $AG75),0)),"",INDIRECT(CONCATENATE("Table!",ADDRESS($AC75,MATCH(T$1,INDIRECT("Table!A" &amp; $AG75):INDIRECT("Table!" &amp; $AJ$69 &amp; $AG75),0)))))</f>
        <v>6.5426633021562083E-2</v>
      </c>
      <c r="U75" s="596" t="str">
        <f ca="1">IF(ISERROR(MATCH(U$1,INDIRECT("Table!A"&amp;$AG75):INDIRECT("Table!" &amp; $AJ$69 &amp; $AG75),0)),"",INDIRECT(CONCATENATE("Table!",ADDRESS($AC75,MATCH(U$1,INDIRECT("Table!A" &amp; $AG75):INDIRECT("Table!" &amp; $AJ$69 &amp; $AG75),0)))))</f>
        <v/>
      </c>
      <c r="V75" s="596"/>
      <c r="W75" s="596"/>
      <c r="X75" s="596"/>
      <c r="Y75" s="596"/>
      <c r="Z75" s="596"/>
      <c r="AA75" s="596"/>
      <c r="AB75" s="596"/>
      <c r="AC75" s="272">
        <f>MATCH($A75,Table!$A:$A,0)+$AE$2-1</f>
        <v>884</v>
      </c>
      <c r="AD75" s="339"/>
      <c r="AE75" s="339"/>
      <c r="AF75" s="339"/>
      <c r="AG75" s="272">
        <f>MATCH($A75,Table!$A:$A,0)+$AI$2-1</f>
        <v>881</v>
      </c>
      <c r="AH75" s="339"/>
      <c r="AJ75" s="743" t="s">
        <v>285</v>
      </c>
    </row>
    <row r="76" spans="1:36" s="267" customFormat="1" ht="15.75" customHeight="1" x14ac:dyDescent="0.25">
      <c r="A76" s="268">
        <v>41341</v>
      </c>
      <c r="B76" s="273">
        <f ca="1">IF(ISERROR(MATCH(B$1,INDIRECT("Table!A"&amp;$AG76):INDIRECT("Table!" &amp; $AJ$91 &amp; $AG76),0)),"",INDIRECT(CONCATENATE("Table!",ADDRESS($AC76,MATCH(B$1,INDIRECT("Table!A" &amp; $AG76):INDIRECT("Table!" &amp; $AJ$90 &amp; $AG76),0)))))</f>
        <v>0.28879743807543229</v>
      </c>
      <c r="C76" s="273">
        <f ca="1">IF(ISERROR(MATCH(C$1,INDIRECT("Table!A"&amp;$AG76):INDIRECT("Table!" &amp; $AJ$90 &amp; $AG76),0)),"",INDIRECT(CONCATENATE("Table!",ADDRESS($AC76,MATCH(C$1,INDIRECT("Table!A" &amp; $AG76):INDIRECT("Table!" &amp; $AJ$90 &amp; $AG76),0)))))</f>
        <v>0.51277274545263685</v>
      </c>
      <c r="D76" s="273">
        <f ca="1">IF(ISERROR(MATCH(D$1,INDIRECT("Table!A"&amp;$AG76):INDIRECT("Table!" &amp; $AJ$90 &amp; $AG76),0)),"",INDIRECT(CONCATENATE("Table!",ADDRESS($AC76,MATCH(D$1,INDIRECT("Table!A" &amp; $AG76):INDIRECT("Table!" &amp; $AJ$90 &amp; $AG76),0)))))</f>
        <v>0.52217042994821805</v>
      </c>
      <c r="E76" s="273">
        <f ca="1">IF(ISERROR(MATCH(E$1,INDIRECT("Table!A"&amp;$AG76):INDIRECT("Table!" &amp; $AJ$90 &amp; $AG76),0)),"",INDIRECT(CONCATENATE("Table!",ADDRESS($AC76,MATCH(E$1,INDIRECT("Table!A" &amp; $AG76):INDIRECT("Table!" &amp; $AJ$90 &amp; $AG76),0)))))</f>
        <v>0.8568235440208618</v>
      </c>
      <c r="F76" s="273">
        <f ca="1">IF(ISERROR(MATCH(F$1,INDIRECT("Table!A"&amp;$AG76):INDIRECT("Table!" &amp; $AJ$90 &amp; $AG76),0)),"",INDIRECT(CONCATENATE("Table!",ADDRESS($AC76,MATCH(F$1,INDIRECT("Table!A" &amp; $AG76):INDIRECT("Table!" &amp; $AJ$90 &amp; $AG76),0)))))</f>
        <v>0.51204242909596409</v>
      </c>
      <c r="G76" s="273">
        <f ca="1">IF(ISERROR(MATCH(G$1,INDIRECT("Table!A"&amp;$AG76):INDIRECT("Table!" &amp; $AJ$90 &amp; $AG76),0)),"",INDIRECT(CONCATENATE("Table!",ADDRESS($AC76,MATCH(G$1,INDIRECT("Table!A" &amp; $AG76):INDIRECT("Table!" &amp; $AJ$90 &amp; $AG76),0)))))</f>
        <v>0.33045515090969635</v>
      </c>
      <c r="H76" s="273">
        <f ca="1">IF(ISERROR(MATCH(H$1,INDIRECT("Table!A"&amp;$AG76):INDIRECT("Table!" &amp; $AJ$90 &amp; $AG76),0)),"",INDIRECT(CONCATENATE("Table!",ADDRESS($AC76,MATCH(H$1,INDIRECT("Table!A" &amp; $AG76):INDIRECT("Table!" &amp; $AJ$90 &amp; $AG76),0)))))</f>
        <v>0.54617997919753924</v>
      </c>
      <c r="I76" s="273">
        <f ca="1">IF(ISERROR(MATCH(I$1,INDIRECT("Table!A"&amp;$AG76):INDIRECT("Table!" &amp; $AJ$69 &amp; $AG76),0)),"",INDIRECT(CONCATENATE("Table!",ADDRESS($AC76,MATCH(I$1,INDIRECT("Table!A" &amp; $AG76):INDIRECT("Table!" &amp; $AJ$69 &amp; $AG76),0)))))</f>
        <v>4.5880878792422114E-2</v>
      </c>
      <c r="J76" s="273" t="str">
        <f ca="1">IF(ISERROR(MATCH(J$1,INDIRECT("Table!A"&amp;$AG76):INDIRECT("Table!" &amp; $AJ$69 &amp; $AG76),0)),"",INDIRECT(CONCATENATE("Table!",ADDRESS($AC76,MATCH(J$1,INDIRECT("Table!A" &amp; $AG76):INDIRECT("Table!" &amp; $AJ$69 &amp; $AG76),0)))))</f>
        <v/>
      </c>
      <c r="K76" s="273" t="str">
        <f ca="1">IF(ISERROR(MATCH(K$1,INDIRECT("Table!A"&amp;$AG76):INDIRECT("Table!" &amp; $AJ$69 &amp; $AG76),0)),"",INDIRECT(CONCATENATE("Table!",ADDRESS($AC76,MATCH(K$1,INDIRECT("Table!A" &amp; $AG76):INDIRECT("Table!" &amp; $AJ$69 &amp; $AG76),0)))))</f>
        <v/>
      </c>
      <c r="L76" s="273">
        <f ca="1">IF(ISERROR(MATCH(L$1,INDIRECT("Table!A"&amp;$AG76):INDIRECT("Table!" &amp; $AJ$69 &amp; $AG76),0)),"",INDIRECT(CONCATENATE("Table!",ADDRESS($AC76,MATCH(L$1,INDIRECT("Table!A" &amp; $AG76):INDIRECT("Table!" &amp; $AJ$69 &amp; $AG76),0)))))</f>
        <v>0.80302392929486544</v>
      </c>
      <c r="M76" s="273">
        <f ca="1">IF(ISERROR(MATCH(M$1,INDIRECT("Table!A"&amp;$AG76):INDIRECT("Table!" &amp; $AJ$69 &amp; $AG76),0)),"",INDIRECT(CONCATENATE("Table!",ADDRESS($AC76,MATCH(M$1,INDIRECT("Table!A" &amp; $AG76):INDIRECT("Table!" &amp; $AJ$69 &amp; $AG76),0)))))</f>
        <v>0.39675567348458585</v>
      </c>
      <c r="N76" s="273">
        <f ca="1">IF(ISERROR(MATCH(N$1,INDIRECT("Table!A"&amp;$AG76):INDIRECT("Table!" &amp; $AJ$69 &amp; $AG76),0)),"",INDIRECT(CONCATENATE("Table!",ADDRESS($AC76,MATCH(N$1,INDIRECT("Table!A" &amp; $AG76):INDIRECT("Table!" &amp; $AJ$69 &amp; $AG76),0)))))</f>
        <v>0.53084690116685984</v>
      </c>
      <c r="O76" s="273">
        <f ca="1">IF(ISERROR(MATCH(O$1,INDIRECT("Table!A"&amp;$AG76):INDIRECT("Table!" &amp; $AJ$69 &amp; $AG76),0)),"",INDIRECT(CONCATENATE("Table!",ADDRESS($AC76,MATCH(O$1,INDIRECT("Table!A" &amp; $AG76):INDIRECT("Table!" &amp; $AJ$69 &amp; $AG76),0)))))</f>
        <v>0.733386331918086</v>
      </c>
      <c r="P76" s="273">
        <f ca="1">IF(ISERROR(MATCH(P$1,INDIRECT("Table!A"&amp;$AG76):INDIRECT("Table!" &amp; $AJ$69 &amp; $AG76),0)),"",INDIRECT(CONCATENATE("Table!",ADDRESS($AC76,MATCH(P$1,INDIRECT("Table!A" &amp; $AG76):INDIRECT("Table!" &amp; $AJ$69 &amp; $AG76),0)))))</f>
        <v>4.6980334541600929E-2</v>
      </c>
      <c r="Q76" s="273" t="str">
        <f ca="1">IF(ISERROR(MATCH(Q$1,INDIRECT("Table!A"&amp;$AG76):INDIRECT("Table!" &amp; $AJ$69 &amp; $AG76),0)),"",INDIRECT(CONCATENATE("Table!",ADDRESS($AC76,MATCH(Q$1,INDIRECT("Table!A" &amp; $AG76):INDIRECT("Table!" &amp; $AJ$69 &amp; $AG76),0)))))</f>
        <v/>
      </c>
      <c r="R76" s="273" t="str">
        <f ca="1">IF(ISERROR(MATCH(R$1,INDIRECT("Table!A"&amp;$AG76):INDIRECT("Table!" &amp; $AJ$69 &amp; $AG76),0)),"",INDIRECT(CONCATENATE("Table!",ADDRESS($AC76,MATCH(R$1,INDIRECT("Table!A" &amp; $AG76):INDIRECT("Table!" &amp; $AJ$69 &amp; $AG76),0)))))</f>
        <v/>
      </c>
      <c r="S76" s="273">
        <f ca="1">IF(ISERROR(MATCH(S$1,INDIRECT("Table!A"&amp;$AG76):INDIRECT("Table!" &amp; $AJ$69 &amp; $AG76),0)),"",INDIRECT(CONCATENATE("Table!",ADDRESS($AC76,MATCH(S$1,INDIRECT("Table!A" &amp; $AG76):INDIRECT("Table!" &amp; $AJ$69 &amp; $AG76),0)))))</f>
        <v>7.6622364055048867E-2</v>
      </c>
      <c r="T76" s="273">
        <f ca="1">IF(ISERROR(MATCH(T$1,INDIRECT("Table!A"&amp;$AG76):INDIRECT("Table!" &amp; $AJ$69 &amp; $AG76),0)),"",INDIRECT(CONCATENATE("Table!",ADDRESS($AC76,MATCH(T$1,INDIRECT("Table!A" &amp; $AG76):INDIRECT("Table!" &amp; $AJ$69 &amp; $AG76),0)))))</f>
        <v>6.1912029132228277E-2</v>
      </c>
      <c r="U76" s="596" t="str">
        <f ca="1">IF(ISERROR(MATCH(U$1,INDIRECT("Table!A"&amp;$AG76):INDIRECT("Table!" &amp; $AJ$69 &amp; $AG76),0)),"",INDIRECT(CONCATENATE("Table!",ADDRESS($AC76,MATCH(U$1,INDIRECT("Table!A" &amp; $AG76):INDIRECT("Table!" &amp; $AJ$69 &amp; $AG76),0)))))</f>
        <v/>
      </c>
      <c r="V76" s="596"/>
      <c r="W76" s="596"/>
      <c r="X76" s="596"/>
      <c r="Y76" s="596"/>
      <c r="Z76" s="596"/>
      <c r="AA76" s="596"/>
      <c r="AB76" s="596"/>
      <c r="AC76" s="272">
        <f>MATCH($A76,Table!$A:$A,0)+$AE$2-1</f>
        <v>896</v>
      </c>
      <c r="AD76" s="337"/>
      <c r="AE76" s="337"/>
      <c r="AF76" s="337"/>
      <c r="AG76" s="272">
        <f>MATCH($A76,Table!$A:$A,0)+$AI$2-1</f>
        <v>893</v>
      </c>
      <c r="AH76" s="337"/>
      <c r="AJ76" s="743" t="s">
        <v>285</v>
      </c>
    </row>
    <row r="77" spans="1:36" s="267" customFormat="1" ht="15.75" customHeight="1" x14ac:dyDescent="0.25">
      <c r="A77" s="268">
        <v>41340</v>
      </c>
      <c r="B77" s="273">
        <f ca="1">IF(ISERROR(MATCH(B$1,INDIRECT("Table!A"&amp;$AG77):INDIRECT("Table!" &amp; $AJ$91 &amp; $AG77),0)),"",INDIRECT(CONCATENATE("Table!",ADDRESS($AC77,MATCH(B$1,INDIRECT("Table!A" &amp; $AG77):INDIRECT("Table!" &amp; $AJ$90 &amp; $AG77),0)))))</f>
        <v>0.2901622263972517</v>
      </c>
      <c r="C77" s="273">
        <f ca="1">IF(ISERROR(MATCH(C$1,INDIRECT("Table!A"&amp;$AG77):INDIRECT("Table!" &amp; $AJ$90 &amp; $AG77),0)),"",INDIRECT(CONCATENATE("Table!",ADDRESS($AC77,MATCH(C$1,INDIRECT("Table!A" &amp; $AG77):INDIRECT("Table!" &amp; $AJ$90 &amp; $AG77),0)))))</f>
        <v>0.51253157475826461</v>
      </c>
      <c r="D77" s="273">
        <f ca="1">IF(ISERROR(MATCH(D$1,INDIRECT("Table!A"&amp;$AG77):INDIRECT("Table!" &amp; $AJ$90 &amp; $AG77),0)),"",INDIRECT(CONCATENATE("Table!",ADDRESS($AC77,MATCH(D$1,INDIRECT("Table!A" &amp; $AG77):INDIRECT("Table!" &amp; $AJ$90 &amp; $AG77),0)))))</f>
        <v>0.52211661499988715</v>
      </c>
      <c r="E77" s="273">
        <f ca="1">IF(ISERROR(MATCH(E$1,INDIRECT("Table!A"&amp;$AG77):INDIRECT("Table!" &amp; $AJ$90 &amp; $AG77),0)),"",INDIRECT(CONCATENATE("Table!",ADDRESS($AC77,MATCH(E$1,INDIRECT("Table!A" &amp; $AG77):INDIRECT("Table!" &amp; $AJ$90 &amp; $AG77),0)))))</f>
        <v>0.85565924423262263</v>
      </c>
      <c r="F77" s="273">
        <f ca="1">IF(ISERROR(MATCH(F$1,INDIRECT("Table!A"&amp;$AG77):INDIRECT("Table!" &amp; $AJ$90 &amp; $AG77),0)),"",INDIRECT(CONCATENATE("Table!",ADDRESS($AC77,MATCH(F$1,INDIRECT("Table!A" &amp; $AG77):INDIRECT("Table!" &amp; $AJ$90 &amp; $AG77),0)))))</f>
        <v>0.51146220214260885</v>
      </c>
      <c r="G77" s="273">
        <f ca="1">IF(ISERROR(MATCH(G$1,INDIRECT("Table!A"&amp;$AG77):INDIRECT("Table!" &amp; $AJ$90 &amp; $AG77),0)),"",INDIRECT(CONCATENATE("Table!",ADDRESS($AC77,MATCH(G$1,INDIRECT("Table!A" &amp; $AG77):INDIRECT("Table!" &amp; $AJ$90 &amp; $AG77),0)))))</f>
        <v>0.33626222262585898</v>
      </c>
      <c r="H77" s="273">
        <f ca="1">IF(ISERROR(MATCH(H$1,INDIRECT("Table!A"&amp;$AG77):INDIRECT("Table!" &amp; $AJ$90 &amp; $AG77),0)),"",INDIRECT(CONCATENATE("Table!",ADDRESS($AC77,MATCH(H$1,INDIRECT("Table!A" &amp; $AG77):INDIRECT("Table!" &amp; $AJ$90 &amp; $AG77),0)))))</f>
        <v>0.54585854656404997</v>
      </c>
      <c r="I77" s="273">
        <f ca="1">IF(ISERROR(MATCH(I$1,INDIRECT("Table!A"&amp;$AG77):INDIRECT("Table!" &amp; $AJ$69 &amp; $AG77),0)),"",INDIRECT(CONCATENATE("Table!",ADDRESS($AC77,MATCH(I$1,INDIRECT("Table!A" &amp; $AG77):INDIRECT("Table!" &amp; $AJ$69 &amp; $AG77),0)))))</f>
        <v>4.5880878792422114E-2</v>
      </c>
      <c r="J77" s="273" t="str">
        <f ca="1">IF(ISERROR(MATCH(J$1,INDIRECT("Table!A"&amp;$AG77):INDIRECT("Table!" &amp; $AJ$69 &amp; $AG77),0)),"",INDIRECT(CONCATENATE("Table!",ADDRESS($AC77,MATCH(J$1,INDIRECT("Table!A" &amp; $AG77):INDIRECT("Table!" &amp; $AJ$69 &amp; $AG77),0)))))</f>
        <v/>
      </c>
      <c r="K77" s="273" t="str">
        <f ca="1">IF(ISERROR(MATCH(K$1,INDIRECT("Table!A"&amp;$AG77):INDIRECT("Table!" &amp; $AJ$69 &amp; $AG77),0)),"",INDIRECT(CONCATENATE("Table!",ADDRESS($AC77,MATCH(K$1,INDIRECT("Table!A" &amp; $AG77):INDIRECT("Table!" &amp; $AJ$69 &amp; $AG77),0)))))</f>
        <v/>
      </c>
      <c r="L77" s="273">
        <f ca="1">IF(ISERROR(MATCH(L$1,INDIRECT("Table!A"&amp;$AG77):INDIRECT("Table!" &amp; $AJ$69 &amp; $AG77),0)),"",INDIRECT(CONCATENATE("Table!",ADDRESS($AC77,MATCH(L$1,INDIRECT("Table!A" &amp; $AG77):INDIRECT("Table!" &amp; $AJ$69 &amp; $AG77),0)))))</f>
        <v>0.80260688919166745</v>
      </c>
      <c r="M77" s="273">
        <f ca="1">IF(ISERROR(MATCH(M$1,INDIRECT("Table!A"&amp;$AG77):INDIRECT("Table!" &amp; $AJ$69 &amp; $AG77),0)),"",INDIRECT(CONCATENATE("Table!",ADDRESS($AC77,MATCH(M$1,INDIRECT("Table!A" &amp; $AG77):INDIRECT("Table!" &amp; $AJ$69 &amp; $AG77),0)))))</f>
        <v>0.40246283646227032</v>
      </c>
      <c r="N77" s="273">
        <f ca="1">IF(ISERROR(MATCH(N$1,INDIRECT("Table!A"&amp;$AG77):INDIRECT("Table!" &amp; $AJ$69 &amp; $AG77),0)),"",INDIRECT(CONCATENATE("Table!",ADDRESS($AC77,MATCH(N$1,INDIRECT("Table!A" &amp; $AG77):INDIRECT("Table!" &amp; $AJ$69 &amp; $AG77),0)))))</f>
        <v>0.530264256953351</v>
      </c>
      <c r="O77" s="273">
        <f ca="1">IF(ISERROR(MATCH(O$1,INDIRECT("Table!A"&amp;$AG77):INDIRECT("Table!" &amp; $AJ$69 &amp; $AG77),0)),"",INDIRECT(CONCATENATE("Table!",ADDRESS($AC77,MATCH(O$1,INDIRECT("Table!A" &amp; $AG77):INDIRECT("Table!" &amp; $AJ$69 &amp; $AG77),0)))))</f>
        <v>0.73305145490181178</v>
      </c>
      <c r="P77" s="273">
        <f ca="1">IF(ISERROR(MATCH(P$1,INDIRECT("Table!A"&amp;$AG77):INDIRECT("Table!" &amp; $AJ$69 &amp; $AG77),0)),"",INDIRECT(CONCATENATE("Table!",ADDRESS($AC77,MATCH(P$1,INDIRECT("Table!A" &amp; $AG77):INDIRECT("Table!" &amp; $AJ$69 &amp; $AG77),0)))))</f>
        <v>4.6980334541600929E-2</v>
      </c>
      <c r="Q77" s="273" t="str">
        <f ca="1">IF(ISERROR(MATCH(Q$1,INDIRECT("Table!A"&amp;$AG77):INDIRECT("Table!" &amp; $AJ$69 &amp; $AG77),0)),"",INDIRECT(CONCATENATE("Table!",ADDRESS($AC77,MATCH(Q$1,INDIRECT("Table!A" &amp; $AG77):INDIRECT("Table!" &amp; $AJ$69 &amp; $AG77),0)))))</f>
        <v/>
      </c>
      <c r="R77" s="273" t="str">
        <f ca="1">IF(ISERROR(MATCH(R$1,INDIRECT("Table!A"&amp;$AG77):INDIRECT("Table!" &amp; $AJ$69 &amp; $AG77),0)),"",INDIRECT(CONCATENATE("Table!",ADDRESS($AC77,MATCH(R$1,INDIRECT("Table!A" &amp; $AG77):INDIRECT("Table!" &amp; $AJ$69 &amp; $AG77),0)))))</f>
        <v/>
      </c>
      <c r="S77" s="273">
        <f ca="1">IF(ISERROR(MATCH(S$1,INDIRECT("Table!A"&amp;$AG77):INDIRECT("Table!" &amp; $AJ$69 &amp; $AG77),0)),"",INDIRECT(CONCATENATE("Table!",ADDRESS($AC77,MATCH(S$1,INDIRECT("Table!A" &amp; $AG77):INDIRECT("Table!" &amp; $AJ$69 &amp; $AG77),0)))))</f>
        <v>5.4229297746187739E-2</v>
      </c>
      <c r="T77" s="273">
        <f ca="1">IF(ISERROR(MATCH(T$1,INDIRECT("Table!A"&amp;$AG77):INDIRECT("Table!" &amp; $AJ$69 &amp; $AG77),0)),"",INDIRECT(CONCATENATE("Table!",ADDRESS($AC77,MATCH(T$1,INDIRECT("Table!A" &amp; $AG77):INDIRECT("Table!" &amp; $AJ$69 &amp; $AG77),0)))))</f>
        <v>5.9258699626781104E-2</v>
      </c>
      <c r="U77" s="596" t="str">
        <f ca="1">IF(ISERROR(MATCH(U$1,INDIRECT("Table!A"&amp;$AG77):INDIRECT("Table!" &amp; $AJ$69 &amp; $AG77),0)),"",INDIRECT(CONCATENATE("Table!",ADDRESS($AC77,MATCH(U$1,INDIRECT("Table!A" &amp; $AG77):INDIRECT("Table!" &amp; $AJ$69 &amp; $AG77),0)))))</f>
        <v/>
      </c>
      <c r="V77" s="596"/>
      <c r="W77" s="596"/>
      <c r="X77" s="596"/>
      <c r="Y77" s="596"/>
      <c r="Z77" s="596"/>
      <c r="AA77" s="596"/>
      <c r="AB77" s="596"/>
      <c r="AC77" s="272">
        <f>MATCH($A77,Table!$A:$A,0)+$AE$2-1</f>
        <v>908</v>
      </c>
      <c r="AD77" s="290"/>
      <c r="AE77" s="290"/>
      <c r="AF77" s="290"/>
      <c r="AG77" s="272">
        <f>MATCH($A77,Table!$A:$A,0)+$AI$2-1</f>
        <v>905</v>
      </c>
      <c r="AH77" s="290"/>
      <c r="AJ77" s="743" t="s">
        <v>285</v>
      </c>
    </row>
    <row r="78" spans="1:36" s="267" customFormat="1" ht="15.75" customHeight="1" x14ac:dyDescent="0.25">
      <c r="A78" s="268">
        <v>41337</v>
      </c>
      <c r="B78" s="273">
        <f ca="1">IF(ISERROR(MATCH(B$1,INDIRECT("Table!A"&amp;$AG78):INDIRECT("Table!" &amp; $AJ$91 &amp; $AG78),0)),"",INDIRECT(CONCATENATE("Table!",ADDRESS($AC78,MATCH(B$1,INDIRECT("Table!A" &amp; $AG78):INDIRECT("Table!" &amp; $AJ$90 &amp; $AG78),0)))))</f>
        <v>0.27938130525928184</v>
      </c>
      <c r="C78" s="273">
        <f ca="1">IF(ISERROR(MATCH(C$1,INDIRECT("Table!A"&amp;$AG78):INDIRECT("Table!" &amp; $AJ$90 &amp; $AG78),0)),"",INDIRECT(CONCATENATE("Table!",ADDRESS($AC78,MATCH(C$1,INDIRECT("Table!A" &amp; $AG78):INDIRECT("Table!" &amp; $AJ$90 &amp; $AG78),0)))))</f>
        <v>0.51253157475826461</v>
      </c>
      <c r="D78" s="273">
        <f ca="1">IF(ISERROR(MATCH(D$1,INDIRECT("Table!A"&amp;$AG78):INDIRECT("Table!" &amp; $AJ$90 &amp; $AG78),0)),"",INDIRECT(CONCATENATE("Table!",ADDRESS($AC78,MATCH(D$1,INDIRECT("Table!A" &amp; $AG78):INDIRECT("Table!" &amp; $AJ$90 &amp; $AG78),0)))))</f>
        <v>0.52192793048968944</v>
      </c>
      <c r="E78" s="273">
        <f ca="1">IF(ISERROR(MATCH(E$1,INDIRECT("Table!A"&amp;$AG78):INDIRECT("Table!" &amp; $AJ$90 &amp; $AG78),0)),"",INDIRECT(CONCATENATE("Table!",ADDRESS($AC78,MATCH(E$1,INDIRECT("Table!A" &amp; $AG78):INDIRECT("Table!" &amp; $AJ$90 &amp; $AG78),0)))))</f>
        <v>0.85540649392465196</v>
      </c>
      <c r="F78" s="273">
        <f ca="1">IF(ISERROR(MATCH(F$1,INDIRECT("Table!A"&amp;$AG78):INDIRECT("Table!" &amp; $AJ$90 &amp; $AG78),0)),"",INDIRECT(CONCATENATE("Table!",ADDRESS($AC78,MATCH(F$1,INDIRECT("Table!A" &amp; $AG78):INDIRECT("Table!" &amp; $AJ$90 &amp; $AG78),0)))))</f>
        <v>0.50872848702799889</v>
      </c>
      <c r="G78" s="273">
        <f ca="1">IF(ISERROR(MATCH(G$1,INDIRECT("Table!A"&amp;$AG78):INDIRECT("Table!" &amp; $AJ$90 &amp; $AG78),0)),"",INDIRECT(CONCATENATE("Table!",ADDRESS($AC78,MATCH(G$1,INDIRECT("Table!A" &amp; $AG78):INDIRECT("Table!" &amp; $AJ$90 &amp; $AG78),0)))))</f>
        <v>0.3424302969757515</v>
      </c>
      <c r="H78" s="273">
        <f ca="1">IF(ISERROR(MATCH(H$1,INDIRECT("Table!A"&amp;$AG78):INDIRECT("Table!" &amp; $AJ$90 &amp; $AG78),0)),"",INDIRECT(CONCATENATE("Table!",ADDRESS($AC78,MATCH(H$1,INDIRECT("Table!A" &amp; $AG78):INDIRECT("Table!" &amp; $AJ$90 &amp; $AG78),0)))))</f>
        <v>0.54519672501355787</v>
      </c>
      <c r="I78" s="273">
        <f ca="1">IF(ISERROR(MATCH(I$1,INDIRECT("Table!A"&amp;$AG78):INDIRECT("Table!" &amp; $AJ$69 &amp; $AG78),0)),"",INDIRECT(CONCATENATE("Table!",ADDRESS($AC78,MATCH(I$1,INDIRECT("Table!A" &amp; $AG78):INDIRECT("Table!" &amp; $AJ$69 &amp; $AG78),0)))))</f>
        <v>4.3814980801178245E-2</v>
      </c>
      <c r="J78" s="273" t="str">
        <f ca="1">IF(ISERROR(MATCH(J$1,INDIRECT("Table!A"&amp;$AG78):INDIRECT("Table!" &amp; $AJ$69 &amp; $AG78),0)),"",INDIRECT(CONCATENATE("Table!",ADDRESS($AC78,MATCH(J$1,INDIRECT("Table!A" &amp; $AG78):INDIRECT("Table!" &amp; $AJ$69 &amp; $AG78),0)))))</f>
        <v/>
      </c>
      <c r="K78" s="273" t="str">
        <f ca="1">IF(ISERROR(MATCH(K$1,INDIRECT("Table!A"&amp;$AG78):INDIRECT("Table!" &amp; $AJ$69 &amp; $AG78),0)),"",INDIRECT(CONCATENATE("Table!",ADDRESS($AC78,MATCH(K$1,INDIRECT("Table!A" &amp; $AG78):INDIRECT("Table!" &amp; $AJ$69 &amp; $AG78),0)))))</f>
        <v/>
      </c>
      <c r="L78" s="273">
        <f ca="1">IF(ISERROR(MATCH(L$1,INDIRECT("Table!A"&amp;$AG78):INDIRECT("Table!" &amp; $AJ$69 &amp; $AG78),0)),"",INDIRECT(CONCATENATE("Table!",ADDRESS($AC78,MATCH(L$1,INDIRECT("Table!A" &amp; $AG78):INDIRECT("Table!" &amp; $AJ$69 &amp; $AG78),0)))))</f>
        <v>0.80177591735871145</v>
      </c>
      <c r="M78" s="273">
        <f ca="1">IF(ISERROR(MATCH(M$1,INDIRECT("Table!A"&amp;$AG78):INDIRECT("Table!" &amp; $AJ$69 &amp; $AG78),0)),"",INDIRECT(CONCATENATE("Table!",ADDRESS($AC78,MATCH(M$1,INDIRECT("Table!A" &amp; $AG78):INDIRECT("Table!" &amp; $AJ$69 &amp; $AG78),0)))))</f>
        <v>0.39338632066975343</v>
      </c>
      <c r="N78" s="273">
        <f ca="1">IF(ISERROR(MATCH(N$1,INDIRECT("Table!A"&amp;$AG78):INDIRECT("Table!" &amp; $AJ$69 &amp; $AG78),0)),"",INDIRECT(CONCATENATE("Table!",ADDRESS($AC78,MATCH(N$1,INDIRECT("Table!A" &amp; $AG78):INDIRECT("Table!" &amp; $AJ$69 &amp; $AG78),0)))))</f>
        <v>0.52603102036474492</v>
      </c>
      <c r="O78" s="273">
        <f ca="1">IF(ISERROR(MATCH(O$1,INDIRECT("Table!A"&amp;$AG78):INDIRECT("Table!" &amp; $AJ$69 &amp; $AG78),0)),"",INDIRECT(CONCATENATE("Table!",ADDRESS($AC78,MATCH(O$1,INDIRECT("Table!A" &amp; $AG78):INDIRECT("Table!" &amp; $AJ$69 &amp; $AG78),0)))))</f>
        <v>0.73271091160776658</v>
      </c>
      <c r="P78" s="273">
        <f ca="1">IF(ISERROR(MATCH(P$1,INDIRECT("Table!A"&amp;$AG78):INDIRECT("Table!" &amp; $AJ$69 &amp; $AG78),0)),"",INDIRECT(CONCATENATE("Table!",ADDRESS($AC78,MATCH(P$1,INDIRECT("Table!A" &amp; $AG78):INDIRECT("Table!" &amp; $AJ$69 &amp; $AG78),0)))))</f>
        <v>4.4913835667577881E-2</v>
      </c>
      <c r="Q78" s="273" t="str">
        <f ca="1">IF(ISERROR(MATCH(Q$1,INDIRECT("Table!A"&amp;$AG78):INDIRECT("Table!" &amp; $AJ$69 &amp; $AG78),0)),"",INDIRECT(CONCATENATE("Table!",ADDRESS($AC78,MATCH(Q$1,INDIRECT("Table!A" &amp; $AG78):INDIRECT("Table!" &amp; $AJ$69 &amp; $AG78),0)))))</f>
        <v/>
      </c>
      <c r="R78" s="273" t="str">
        <f ca="1">IF(ISERROR(MATCH(S$1,INDIRECT("Table!A"&amp;$AG78):INDIRECT("Table!" &amp; $AJ$69 &amp; $AG78),0)),"",INDIRECT(CONCATENATE("Table!",ADDRESS($AC78,MATCH(S$1,INDIRECT("Table!A" &amp; $AG78):INDIRECT("Table!" &amp; $AJ$69 &amp; $AG78),0)))))</f>
        <v/>
      </c>
      <c r="S78" s="273" t="str">
        <f ca="1">IF(ISERROR(MATCH(T$1,INDIRECT("Table!A"&amp;$AG78):INDIRECT("Table!" &amp; $AJ$69 &amp; $AG78),0)),"",INDIRECT(CONCATENATE("Table!",ADDRESS($AC78,MATCH(T$1,INDIRECT("Table!A" &amp; $AG78):INDIRECT("Table!" &amp; $AJ$69 &amp; $AG78),0)))))</f>
        <v/>
      </c>
      <c r="U78" s="596" t="str">
        <f ca="1">IF(ISERROR(MATCH(V$1,INDIRECT("Table!A"&amp;$AG78):INDIRECT("Table!" &amp; $AJ$69 &amp; $AG78),0)),"",INDIRECT(CONCATENATE("Table!",ADDRESS($AC78,MATCH(V$1,INDIRECT("Table!A" &amp; $AG78):INDIRECT("Table!" &amp; $AJ$69 &amp; $AG78),0)))))</f>
        <v/>
      </c>
      <c r="V78" s="596"/>
      <c r="W78" s="596"/>
      <c r="X78" s="596"/>
      <c r="Y78" s="596"/>
      <c r="Z78" s="596"/>
      <c r="AA78" s="596"/>
      <c r="AB78" s="596"/>
      <c r="AC78" s="272">
        <f>MATCH($A78,Table!$A:$A,0)+$AE$2-1</f>
        <v>920</v>
      </c>
      <c r="AD78" s="269"/>
      <c r="AE78" s="269"/>
      <c r="AF78" s="269"/>
      <c r="AG78" s="272">
        <f>MATCH($A78,Table!$A:$A,0)+$AI$2-1</f>
        <v>917</v>
      </c>
      <c r="AH78" s="269"/>
      <c r="AJ78" s="743" t="s">
        <v>285</v>
      </c>
    </row>
    <row r="79" spans="1:36" s="267" customFormat="1" ht="15.75" customHeight="1" x14ac:dyDescent="0.25">
      <c r="A79" s="268">
        <v>41334</v>
      </c>
      <c r="B79" s="273">
        <f ca="1">IF(ISERROR(MATCH(B$1,INDIRECT("Table!A"&amp;$AG79):INDIRECT("Table!" &amp; $AJ$91 &amp; $AG79),0)),"",INDIRECT(CONCATENATE("Table!",ADDRESS($AC79,MATCH(B$1,INDIRECT("Table!A" &amp; $AG79):INDIRECT("Table!" &amp; $AJ$90 &amp; $AG79),0)))))</f>
        <v>0.29363452126405759</v>
      </c>
      <c r="C79" s="273">
        <f ca="1">IF(ISERROR(MATCH(C$1,INDIRECT("Table!A"&amp;$AG79):INDIRECT("Table!" &amp; $AJ$90 &amp; $AG79),0)),"",INDIRECT(CONCATENATE("Table!",ADDRESS($AC79,MATCH(C$1,INDIRECT("Table!A" &amp; $AG79):INDIRECT("Table!" &amp; $AJ$90 &amp; $AG79),0)))))</f>
        <v>0.5121223153981177</v>
      </c>
      <c r="D79" s="273">
        <f ca="1">IF(ISERROR(MATCH(D$1,INDIRECT("Table!A"&amp;$AG79):INDIRECT("Table!" &amp; $AJ$90 &amp; $AG79),0)),"",INDIRECT(CONCATENATE("Table!",ADDRESS($AC79,MATCH(D$1,INDIRECT("Table!A" &amp; $AG79):INDIRECT("Table!" &amp; $AJ$90 &amp; $AG79),0)))))</f>
        <v>0.52151933551162066</v>
      </c>
      <c r="E79" s="273">
        <f ca="1">IF(ISERROR(MATCH(E$1,INDIRECT("Table!A"&amp;$AG79):INDIRECT("Table!" &amp; $AJ$90 &amp; $AG79),0)),"",INDIRECT(CONCATENATE("Table!",ADDRESS($AC79,MATCH(E$1,INDIRECT("Table!A" &amp; $AG79):INDIRECT("Table!" &amp; $AJ$90 &amp; $AG79),0)))))</f>
        <v>0.85001961562172745</v>
      </c>
      <c r="F79" s="273">
        <f ca="1">IF(ISERROR(MATCH(F$1,INDIRECT("Table!A"&amp;$AG79):INDIRECT("Table!" &amp; $AJ$90 &amp; $AG79),0)),"",INDIRECT(CONCATENATE("Table!",ADDRESS($AC79,MATCH(F$1,INDIRECT("Table!A" &amp; $AG79):INDIRECT("Table!" &amp; $AJ$90 &amp; $AG79),0)))))</f>
        <v>0.50462761215454588</v>
      </c>
      <c r="G79" s="273">
        <f ca="1">IF(ISERROR(MATCH(G$1,INDIRECT("Table!A"&amp;$AG79):INDIRECT("Table!" &amp; $AJ$90 &amp; $AG79),0)),"",INDIRECT(CONCATENATE("Table!",ADDRESS($AC79,MATCH(G$1,INDIRECT("Table!A" &amp; $AG79):INDIRECT("Table!" &amp; $AJ$90 &amp; $AG79),0)))))</f>
        <v>0.29948006538915634</v>
      </c>
      <c r="H79" s="273">
        <f ca="1">IF(ISERROR(MATCH(H$1,INDIRECT("Table!A"&amp;$AG79):INDIRECT("Table!" &amp; $AJ$90 &amp; $AG79),0)),"",INDIRECT(CONCATENATE("Table!",ADDRESS($AC79,MATCH(H$1,INDIRECT("Table!A" &amp; $AG79):INDIRECT("Table!" &amp; $AJ$90 &amp; $AG79),0)))))</f>
        <v>0.54461072859711968</v>
      </c>
      <c r="I79" s="273" t="str">
        <f ca="1">IF(ISERROR(MATCH(I$1,INDIRECT("Table!A"&amp;$AG79):INDIRECT("Table!" &amp; $AJ$69 &amp; $AG79),0)),"",INDIRECT(CONCATENATE("Table!",ADDRESS($AC79,MATCH(I$1,INDIRECT("Table!A" &amp; $AG79):INDIRECT("Table!" &amp; $AJ$69 &amp; $AG79),0)))))</f>
        <v/>
      </c>
      <c r="J79" s="273" t="str">
        <f ca="1">IF(ISERROR(MATCH(J$1,INDIRECT("Table!A"&amp;$AG79):INDIRECT("Table!" &amp; $AJ$69 &amp; $AG79),0)),"",INDIRECT(CONCATENATE("Table!",ADDRESS($AC79,MATCH(J$1,INDIRECT("Table!A" &amp; $AG79):INDIRECT("Table!" &amp; $AJ$69 &amp; $AG79),0)))))</f>
        <v/>
      </c>
      <c r="K79" s="273" t="str">
        <f ca="1">IF(ISERROR(MATCH(K$1,INDIRECT("Table!A"&amp;$AG79):INDIRECT("Table!" &amp; $AJ$69 &amp; $AG79),0)),"",INDIRECT(CONCATENATE("Table!",ADDRESS($AC79,MATCH(K$1,INDIRECT("Table!A" &amp; $AG79):INDIRECT("Table!" &amp; $AJ$69 &amp; $AG79),0)))))</f>
        <v/>
      </c>
      <c r="L79" s="273">
        <f ca="1">IF(ISERROR(MATCH(L$1,INDIRECT("Table!A"&amp;$AG79):INDIRECT("Table!" &amp; $AJ$90 &amp; $AG79),0)),"",INDIRECT(CONCATENATE("Table!",ADDRESS($AC79,MATCH(L$1,INDIRECT("Table!A" &amp; $AG79):INDIRECT("Table!" &amp; $AJ$90 &amp; $AG79),0)))))</f>
        <v>0.79838053743776782</v>
      </c>
      <c r="M79" s="273">
        <f ca="1">IF(ISERROR(MATCH(M$1,INDIRECT("Table!A"&amp;$AG79):INDIRECT("Table!" &amp; $AJ$69 &amp; $AG79),0)),"",INDIRECT(CONCATENATE("Table!",ADDRESS($AC79,MATCH(M$1,INDIRECT("Table!A" &amp; $AG79):INDIRECT("Table!" &amp; $AJ$69 &amp; $AG79),0)))))</f>
        <v>0.39457376778711017</v>
      </c>
      <c r="N79" s="273">
        <f ca="1">IF(ISERROR(MATCH(N$1,INDIRECT("Table!A"&amp;$AG79):INDIRECT("Table!" &amp; $AJ$69 &amp; $AG79),0)),"",INDIRECT(CONCATENATE("Table!",ADDRESS($AC79,MATCH(N$1,INDIRECT("Table!A" &amp; $AG79):INDIRECT("Table!" &amp; $AJ$69 &amp; $AG79),0)))))</f>
        <v>0.52161041893569515</v>
      </c>
      <c r="O79" s="273">
        <f ca="1">IF(ISERROR(MATCH(O$1,INDIRECT("Table!A"&amp;$AG79):INDIRECT("Table!" &amp; $AJ$69 &amp; $AG79),0)),"",INDIRECT(CONCATENATE("Table!",ADDRESS($AC79,MATCH(O$1,INDIRECT("Table!A" &amp; $AG79):INDIRECT("Table!" &amp; $AJ$69 &amp; $AG79),0)))))</f>
        <v>0.7297106175279503</v>
      </c>
      <c r="P79" s="273" t="str">
        <f ca="1">IF(ISERROR(MATCH(P$1,INDIRECT("Table!A"&amp;$AG79):INDIRECT("Table!" &amp; $AJ$69 &amp; $AG79),0)),"",INDIRECT(CONCATENATE("Table!",ADDRESS($AC79,MATCH(P$1,INDIRECT("Table!A" &amp; $AG79):INDIRECT("Table!" &amp; $AJ$69 &amp; $AG79),0)))))</f>
        <v/>
      </c>
      <c r="Q79" s="273" t="str">
        <f ca="1">IF(ISERROR(MATCH(Q$1,INDIRECT("Table!A"&amp;$AG79):INDIRECT("Table!" &amp; $AJ$69 &amp; $AG79),0)),"",INDIRECT(CONCATENATE("Table!",ADDRESS($AC79,MATCH(Q$1,INDIRECT("Table!A" &amp; $AG79):INDIRECT("Table!" &amp; $AJ$69 &amp; $AG79),0)))))</f>
        <v/>
      </c>
      <c r="R79" s="273" t="str">
        <f ca="1">IF(ISERROR(MATCH(S$1,INDIRECT("Table!A"&amp;$AG79):INDIRECT("Table!" &amp; $AJ$69 &amp; $AG79),0)),"",INDIRECT(CONCATENATE("Table!",ADDRESS($AC79,MATCH(S$1,INDIRECT("Table!A" &amp; $AG79):INDIRECT("Table!" &amp; $AJ$69 &amp; $AG79),0)))))</f>
        <v/>
      </c>
      <c r="U79" s="591"/>
      <c r="V79" s="743"/>
      <c r="W79" s="743"/>
      <c r="X79" s="743"/>
      <c r="Y79" s="743"/>
      <c r="Z79" s="743"/>
      <c r="AA79" s="743"/>
      <c r="AB79" s="743"/>
      <c r="AC79" s="272">
        <f>MATCH($A79,Table!$A:$A,0)+$AE$2-1</f>
        <v>932</v>
      </c>
      <c r="AD79" s="269"/>
      <c r="AE79" s="269"/>
      <c r="AF79" s="269"/>
      <c r="AG79" s="272">
        <f>MATCH($A79,Table!$A:$A,0)+$AI$2-1</f>
        <v>929</v>
      </c>
      <c r="AH79" s="269"/>
      <c r="AJ79" s="743" t="s">
        <v>285</v>
      </c>
    </row>
    <row r="80" spans="1:36" ht="15.75" customHeight="1" x14ac:dyDescent="0.25">
      <c r="A80" s="4">
        <v>41330</v>
      </c>
      <c r="B80" s="24">
        <f ca="1">IF(ISERROR(MATCH(B$1,INDIRECT("Table!A"&amp;$AG80):INDIRECT("Table!" &amp; $AJ$91 &amp; $AG80),0)),"",INDIRECT(CONCATENATE("Table!",ADDRESS($AC80,MATCH(B$1,INDIRECT("Table!A" &amp; $AG80):INDIRECT("Table!" &amp; $AJ$90 &amp; $AG80),0)))))</f>
        <v>0.30759483430758433</v>
      </c>
      <c r="C80" s="24">
        <f ca="1">IF(ISERROR(MATCH(C$1,INDIRECT("Table!A"&amp;$AG80):INDIRECT("Table!" &amp; $AJ$90 &amp; $AG80),0)),"",INDIRECT(CONCATENATE("Table!",ADDRESS($AC80,MATCH(C$1,INDIRECT("Table!A" &amp; $AG80):INDIRECT("Table!" &amp; $AJ$90 &amp; $AG80),0)))))</f>
        <v>0.51185058312815013</v>
      </c>
      <c r="D80" s="24">
        <f ca="1">IF(ISERROR(MATCH(D$1,INDIRECT("Table!A"&amp;$AG80):INDIRECT("Table!" &amp; $AJ$90 &amp; $AG80),0)),"",INDIRECT(CONCATENATE("Table!",ADDRESS($AC80,MATCH(D$1,INDIRECT("Table!A" &amp; $AG80):INDIRECT("Table!" &amp; $AJ$90 &amp; $AG80),0)))))</f>
        <v>0.52124627447749683</v>
      </c>
      <c r="E80" s="24">
        <f ca="1">IF(ISERROR(MATCH(E$1,INDIRECT("Table!A"&amp;$AG80):INDIRECT("Table!" &amp; $AJ$90 &amp; $AG80),0)),"",INDIRECT(CONCATENATE("Table!",ADDRESS($AC80,MATCH(E$1,INDIRECT("Table!A" &amp; $AG80):INDIRECT("Table!" &amp; $AJ$90 &amp; $AG80),0)))))</f>
        <v>0.84873443525141512</v>
      </c>
      <c r="F80" s="24">
        <f ca="1">IF(ISERROR(MATCH(F$1,INDIRECT("Table!A"&amp;$AG80):INDIRECT("Table!" &amp; $AJ$90 &amp; $AG80),0)),"",INDIRECT(CONCATENATE("Table!",ADDRESS($AC80,MATCH(F$1,INDIRECT("Table!A" &amp; $AG80):INDIRECT("Table!" &amp; $AJ$90 &amp; $AG80),0)))))</f>
        <v>0.50068569529018903</v>
      </c>
      <c r="G80" s="24">
        <f ca="1">IF(ISERROR(MATCH(G$1,INDIRECT("Table!A"&amp;$AG80):INDIRECT("Table!" &amp; $AJ$90 &amp; $AG80),0)),"",INDIRECT(CONCATENATE("Table!",ADDRESS($AC80,MATCH(G$1,INDIRECT("Table!A" &amp; $AG80):INDIRECT("Table!" &amp; $AJ$90 &amp; $AG80),0)))))</f>
        <v>0.31367798867798868</v>
      </c>
      <c r="H80" s="24">
        <f ca="1">IF(ISERROR(MATCH(H$1,INDIRECT("Table!A"&amp;$AG80):INDIRECT("Table!" &amp; $AJ$90 &amp; $AG80),0)),"",INDIRECT(CONCATENATE("Table!",ADDRESS($AC80,MATCH(H$1,INDIRECT("Table!A" &amp; $AG80):INDIRECT("Table!" &amp; $AJ$90 &amp; $AG80),0)))))</f>
        <v>0.53643644947161417</v>
      </c>
      <c r="I80" s="273" t="str">
        <f ca="1">IF(ISERROR(MATCH(I$1,INDIRECT("Table!A"&amp;$AG80):INDIRECT("Table!" &amp; $AJ$69 &amp; $AG80),0)),"",INDIRECT(CONCATENATE("Table!",ADDRESS($AC80,MATCH(I$1,INDIRECT("Table!A" &amp; $AG80):INDIRECT("Table!" &amp; $AJ$69 &amp; $AG80),0)))))</f>
        <v/>
      </c>
      <c r="J80" s="273" t="str">
        <f ca="1">IF(ISERROR(MATCH(J$1,INDIRECT("Table!A"&amp;$AG80):INDIRECT("Table!" &amp; $AJ$69 &amp; $AG80),0)),"",INDIRECT(CONCATENATE("Table!",ADDRESS($AC80,MATCH(J$1,INDIRECT("Table!A" &amp; $AG80):INDIRECT("Table!" &amp; $AJ$69 &amp; $AG80),0)))))</f>
        <v/>
      </c>
      <c r="K80" s="273" t="str">
        <f ca="1">IF(ISERROR(MATCH(K$1,INDIRECT("Table!A"&amp;$AG80):INDIRECT("Table!" &amp; $AJ$69 &amp; $AG80),0)),"",INDIRECT(CONCATENATE("Table!",ADDRESS($AC80,MATCH(K$1,INDIRECT("Table!A" &amp; $AG80):INDIRECT("Table!" &amp; $AJ$69 &amp; $AG80),0)))))</f>
        <v/>
      </c>
      <c r="L80" s="24">
        <f ca="1">IF(ISERROR(MATCH(L$1,INDIRECT("Table!A"&amp;$AG80):INDIRECT("Table!" &amp; $AJ$90 &amp; $AG80),0)),"",INDIRECT(CONCATENATE("Table!",ADDRESS($AC80,MATCH(L$1,INDIRECT("Table!A" &amp; $AG80):INDIRECT("Table!" &amp; $AJ$90 &amp; $AG80),0)))))</f>
        <v>0.79613162925393854</v>
      </c>
      <c r="M80" s="273">
        <f ca="1">IF(ISERROR(MATCH(M$1,INDIRECT("Table!A"&amp;$AG80):INDIRECT("Table!" &amp; $AJ$69 &amp; $AG80),0)),"",INDIRECT(CONCATENATE("Table!",ADDRESS($AC80,MATCH(M$1,INDIRECT("Table!A" &amp; $AG80):INDIRECT("Table!" &amp; $AJ$69 &amp; $AG80),0)))))</f>
        <v>0.38749827823952071</v>
      </c>
      <c r="N80" s="273">
        <f ca="1">IF(ISERROR(MATCH(N$1,INDIRECT("Table!A"&amp;$AG80):INDIRECT("Table!" &amp; $AJ$69 &amp; $AG80),0)),"",INDIRECT(CONCATENATE("Table!",ADDRESS($AC80,MATCH(N$1,INDIRECT("Table!A" &amp; $AG80):INDIRECT("Table!" &amp; $AJ$69 &amp; $AG80),0)))))</f>
        <v>0.5176685044538436</v>
      </c>
      <c r="O80" s="273">
        <f ca="1">IF(ISERROR(MATCH(O$1,INDIRECT("Table!A"&amp;$AG80):INDIRECT("Table!" &amp; $AJ$69 &amp; $AG80),0)),"",INDIRECT(CONCATENATE("Table!",ADDRESS($AC80,MATCH(O$1,INDIRECT("Table!A" &amp; $AG80):INDIRECT("Table!" &amp; $AJ$69 &amp; $AG80),0)))))</f>
        <v>0.72805493116322451</v>
      </c>
      <c r="P80" s="273" t="str">
        <f ca="1">IF(ISERROR(MATCH(P$1,INDIRECT("Table!A"&amp;$AG80):INDIRECT("Table!" &amp; $AJ$69 &amp; $AG80),0)),"",INDIRECT(CONCATENATE("Table!",ADDRESS($AC80,MATCH(P$1,INDIRECT("Table!A" &amp; $AG80):INDIRECT("Table!" &amp; $AJ$69 &amp; $AG80),0)))))</f>
        <v/>
      </c>
      <c r="Q80" s="273" t="str">
        <f ca="1">IF(ISERROR(MATCH(Q$1,INDIRECT("Table!A"&amp;$AG80):INDIRECT("Table!" &amp; $AJ$69 &amp; $AG80),0)),"",INDIRECT(CONCATENATE("Table!",ADDRESS($AC80,MATCH(Q$1,INDIRECT("Table!A" &amp; $AG80):INDIRECT("Table!" &amp; $AJ$69 &amp; $AG80),0)))))</f>
        <v/>
      </c>
      <c r="T80"/>
      <c r="AC80" s="22">
        <f>MATCH($A80,Table!$A:$A,0)+$AE$2-1</f>
        <v>944</v>
      </c>
      <c r="AD80" s="258"/>
      <c r="AE80" s="258"/>
      <c r="AF80" s="258"/>
      <c r="AG80" s="22">
        <f>MATCH($A80,Table!$A:$A,0)+$AI$2-1</f>
        <v>941</v>
      </c>
      <c r="AH80" s="258"/>
      <c r="AJ80" s="743" t="s">
        <v>285</v>
      </c>
    </row>
    <row r="81" spans="1:36" ht="15.75" customHeight="1" x14ac:dyDescent="0.25">
      <c r="A81" s="4">
        <v>41327</v>
      </c>
      <c r="B81" s="24">
        <f ca="1">IF(ISERROR(MATCH(B$1,INDIRECT("Table!A"&amp;$AG81):INDIRECT("Table!" &amp; $AJ$91 &amp; $AG81),0)),"",INDIRECT(CONCATENATE("Table!",ADDRESS($AC81,MATCH(B$1,INDIRECT("Table!A" &amp; $AG81):INDIRECT("Table!" &amp; $AJ$90 &amp; $AG81),0)))))</f>
        <v>0.30706272726131545</v>
      </c>
      <c r="C81" s="24">
        <f ca="1">IF(ISERROR(MATCH(C$1,INDIRECT("Table!A"&amp;$AG81):INDIRECT("Table!" &amp; $AJ$90 &amp; $AG81),0)),"",INDIRECT(CONCATENATE("Table!",ADDRESS($AC81,MATCH(C$1,INDIRECT("Table!A" &amp; $AG81):INDIRECT("Table!" &amp; $AJ$90 &amp; $AG81),0)))))</f>
        <v>0.51174561075980074</v>
      </c>
      <c r="D81" s="24">
        <f ca="1">IF(ISERROR(MATCH(D$1,INDIRECT("Table!A"&amp;$AG81):INDIRECT("Table!" &amp; $AJ$90 &amp; $AG81),0)),"",INDIRECT(CONCATENATE("Table!",ADDRESS($AC81,MATCH(D$1,INDIRECT("Table!A" &amp; $AG81):INDIRECT("Table!" &amp; $AJ$90 &amp; $AG81),0)))))</f>
        <v>0.52114196649122557</v>
      </c>
      <c r="E81" s="24">
        <f ca="1">IF(ISERROR(MATCH(E$1,INDIRECT("Table!A"&amp;$AG81):INDIRECT("Table!" &amp; $AJ$90 &amp; $AG81),0)),"",INDIRECT(CONCATENATE("Table!",ADDRESS($AC81,MATCH(E$1,INDIRECT("Table!A" &amp; $AG81):INDIRECT("Table!" &amp; $AJ$90 &amp; $AG81),0)))))</f>
        <v>0.84820805526220655</v>
      </c>
      <c r="F81" s="24">
        <f ca="1">IF(ISERROR(MATCH(F$1,INDIRECT("Table!A"&amp;$AG81):INDIRECT("Table!" &amp; $AJ$90 &amp; $AG81),0)),"",INDIRECT(CONCATENATE("Table!",ADDRESS($AC81,MATCH(F$1,INDIRECT("Table!A" &amp; $AG81):INDIRECT("Table!" &amp; $AJ$90 &amp; $AG81),0)))))</f>
        <v>0.49411946026805276</v>
      </c>
      <c r="G81" s="24">
        <f ca="1">IF(ISERROR(MATCH(G$1,INDIRECT("Table!A"&amp;$AG81):INDIRECT("Table!" &amp; $AJ$90 &amp; $AG81),0)),"",INDIRECT(CONCATENATE("Table!",ADDRESS($AC81,MATCH(G$1,INDIRECT("Table!A" &amp; $AG81):INDIRECT("Table!" &amp; $AJ$90 &amp; $AG81),0)))))</f>
        <v>0.30419504737686559</v>
      </c>
      <c r="H81" s="24">
        <f ca="1">IF(ISERROR(MATCH(H$1,INDIRECT("Table!A"&amp;$AG81):INDIRECT("Table!" &amp; $AJ$90 &amp; $AG81),0)),"",INDIRECT(CONCATENATE("Table!",ADDRESS($AC81,MATCH(H$1,INDIRECT("Table!A" &amp; $AG81):INDIRECT("Table!" &amp; $AJ$90 &amp; $AG81),0)))))</f>
        <v>0.53437598387232366</v>
      </c>
      <c r="I81" s="273" t="str">
        <f ca="1">IF(ISERROR(MATCH(I$1,INDIRECT("Table!A"&amp;$AG81):INDIRECT("Table!" &amp; $AJ$69 &amp; $AG81),0)),"",INDIRECT(CONCATENATE("Table!",ADDRESS($AC81,MATCH(I$1,INDIRECT("Table!A" &amp; $AG81):INDIRECT("Table!" &amp; $AJ$69 &amp; $AG81),0)))))</f>
        <v/>
      </c>
      <c r="J81" s="273" t="str">
        <f ca="1">IF(ISERROR(MATCH(J$1,INDIRECT("Table!A"&amp;$AG81):INDIRECT("Table!" &amp; $AJ$69 &amp; $AG81),0)),"",INDIRECT(CONCATENATE("Table!",ADDRESS($AC81,MATCH(J$1,INDIRECT("Table!A" &amp; $AG81):INDIRECT("Table!" &amp; $AJ$69 &amp; $AG81),0)))))</f>
        <v/>
      </c>
      <c r="K81" s="273" t="str">
        <f ca="1">IF(ISERROR(MATCH(K$1,INDIRECT("Table!A"&amp;$AG81):INDIRECT("Table!" &amp; $AJ$69 &amp; $AG81),0)),"",INDIRECT(CONCATENATE("Table!",ADDRESS($AC81,MATCH(K$1,INDIRECT("Table!A" &amp; $AG81):INDIRECT("Table!" &amp; $AJ$69 &amp; $AG81),0)))))</f>
        <v/>
      </c>
      <c r="L81" s="24">
        <f ca="1">IF(ISERROR(MATCH(L$1,INDIRECT("Table!A"&amp;$AG81):INDIRECT("Table!" &amp; $AJ$90 &amp; $AG81),0)),"",INDIRECT(CONCATENATE("Table!",ADDRESS($AC81,MATCH(L$1,INDIRECT("Table!A" &amp; $AG81):INDIRECT("Table!" &amp; $AJ$90 &amp; $AG81),0)))))</f>
        <v>0.79433084490770711</v>
      </c>
      <c r="M81" s="273">
        <f ca="1">IF(ISERROR(MATCH(M$1,INDIRECT("Table!A"&amp;$AG81):INDIRECT("Table!" &amp; $AJ$69 &amp; $AG81),0)),"",INDIRECT(CONCATENATE("Table!",ADDRESS($AC81,MATCH(M$1,INDIRECT("Table!A" &amp; $AG81):INDIRECT("Table!" &amp; $AJ$69 &amp; $AG81),0)))))</f>
        <v>0.38236402633120459</v>
      </c>
      <c r="N81" s="273">
        <f ca="1">IF(ISERROR(MATCH(N$1,INDIRECT("Table!A"&amp;$AG81):INDIRECT("Table!" &amp; $AJ$69 &amp; $AG81),0)),"",INDIRECT(CONCATENATE("Table!",ADDRESS($AC81,MATCH(N$1,INDIRECT("Table!A" &amp; $AG81):INDIRECT("Table!" &amp; $AJ$69 &amp; $AG81),0)))))</f>
        <v>0.51636662101411523</v>
      </c>
      <c r="O81" s="273">
        <f ca="1">IF(ISERROR(MATCH(O$1,INDIRECT("Table!A"&amp;$AG81):INDIRECT("Table!" &amp; $AJ$69 &amp; $AG81),0)),"",INDIRECT(CONCATENATE("Table!",ADDRESS($AC81,MATCH(O$1,INDIRECT("Table!A" &amp; $AG81):INDIRECT("Table!" &amp; $AJ$69 &amp; $AG81),0)))))</f>
        <v>0.72522915843875913</v>
      </c>
      <c r="P81" s="273" t="str">
        <f ca="1">IF(ISERROR(MATCH(P$1,INDIRECT("Table!A"&amp;$AG81):INDIRECT("Table!" &amp; $AJ$69 &amp; $AG81),0)),"",INDIRECT(CONCATENATE("Table!",ADDRESS($AC81,MATCH(P$1,INDIRECT("Table!A" &amp; $AG81):INDIRECT("Table!" &amp; $AJ$69 &amp; $AG81),0)))))</f>
        <v/>
      </c>
      <c r="Q81" s="273" t="str">
        <f ca="1">IF(ISERROR(MATCH(Q$1,INDIRECT("Table!A"&amp;$AG81):INDIRECT("Table!" &amp; $AJ$69 &amp; $AG81),0)),"",INDIRECT(CONCATENATE("Table!",ADDRESS($AC81,MATCH(Q$1,INDIRECT("Table!A" &amp; $AG81):INDIRECT("Table!" &amp; $AJ$69 &amp; $AG81),0)))))</f>
        <v/>
      </c>
      <c r="T81"/>
      <c r="AC81" s="22">
        <f>MATCH($A81,Table!$A:$A,0)+$AE$2-1</f>
        <v>956</v>
      </c>
      <c r="AD81" s="257"/>
      <c r="AE81" s="257"/>
      <c r="AF81" s="257"/>
      <c r="AG81" s="22">
        <f>MATCH($A81,Table!$A:$A,0)+$AI$2-1</f>
        <v>953</v>
      </c>
      <c r="AH81" s="257"/>
      <c r="AJ81" s="743" t="s">
        <v>285</v>
      </c>
    </row>
    <row r="82" spans="1:36" ht="15.75" customHeight="1" x14ac:dyDescent="0.25">
      <c r="A82" s="4">
        <v>41326</v>
      </c>
      <c r="B82" s="24">
        <f ca="1">IF(ISERROR(MATCH(B$1,INDIRECT("Table!A"&amp;$AG82):INDIRECT("Table!" &amp; $AJ$91 &amp; $AG82),0)),"",INDIRECT(CONCATENATE("Table!",ADDRESS($AC82,MATCH(B$1,INDIRECT("Table!A" &amp; $AG82):INDIRECT("Table!" &amp; $AJ$90 &amp; $AG82),0)))))</f>
        <v>0.30666870303963534</v>
      </c>
      <c r="C82" s="24">
        <f ca="1">IF(ISERROR(MATCH(C$1,INDIRECT("Table!A"&amp;$AG82):INDIRECT("Table!" &amp; $AJ$90 &amp; $AG82),0)),"",INDIRECT(CONCATENATE("Table!",ADDRESS($AC82,MATCH(C$1,INDIRECT("Table!A" &amp; $AG82):INDIRECT("Table!" &amp; $AJ$90 &amp; $AG82),0)))))</f>
        <v>0.51170441907095476</v>
      </c>
      <c r="D82" s="24">
        <f ca="1">IF(ISERROR(MATCH(D$1,INDIRECT("Table!A"&amp;$AG82):INDIRECT("Table!" &amp; $AJ$90 &amp; $AG82),0)),"",INDIRECT(CONCATENATE("Table!",ADDRESS($AC82,MATCH(D$1,INDIRECT("Table!A" &amp; $AG82):INDIRECT("Table!" &amp; $AJ$90 &amp; $AG82),0)))))</f>
        <v>0.51864455425941991</v>
      </c>
      <c r="E82" s="24">
        <f ca="1">IF(ISERROR(MATCH(E$1,INDIRECT("Table!A"&amp;$AG82):INDIRECT("Table!" &amp; $AJ$90 &amp; $AG82),0)),"",INDIRECT(CONCATENATE("Table!",ADDRESS($AC82,MATCH(E$1,INDIRECT("Table!A" &amp; $AG82):INDIRECT("Table!" &amp; $AJ$90 &amp; $AG82),0)))))</f>
        <v>0.8468465003423119</v>
      </c>
      <c r="F82" s="24">
        <f ca="1">IF(ISERROR(MATCH(F$1,INDIRECT("Table!A"&amp;$AG82):INDIRECT("Table!" &amp; $AJ$90 &amp; $AG82),0)),"",INDIRECT(CONCATENATE("Table!",ADDRESS($AC82,MATCH(F$1,INDIRECT("Table!A" &amp; $AG82):INDIRECT("Table!" &amp; $AJ$90 &amp; $AG82),0)))))</f>
        <v>0.49411946026805276</v>
      </c>
      <c r="G82" s="24">
        <f ca="1">IF(ISERROR(MATCH(G$1,INDIRECT("Table!A"&amp;$AG82):INDIRECT("Table!" &amp; $AJ$90 &amp; $AG82),0)),"",INDIRECT(CONCATENATE("Table!",ADDRESS($AC82,MATCH(G$1,INDIRECT("Table!A" &amp; $AG82):INDIRECT("Table!" &amp; $AJ$90 &amp; $AG82),0)))))</f>
        <v>0.3045053431417068</v>
      </c>
      <c r="H82" s="24">
        <f ca="1">IF(ISERROR(MATCH(H$1,INDIRECT("Table!A"&amp;$AG82):INDIRECT("Table!" &amp; $AJ$90 &amp; $AG82),0)),"",INDIRECT(CONCATENATE("Table!",ADDRESS($AC82,MATCH(H$1,INDIRECT("Table!A" &amp; $AG82):INDIRECT("Table!" &amp; $AJ$90 &amp; $AG82),0)))))</f>
        <v>0.53365646928505139</v>
      </c>
      <c r="I82" s="273" t="str">
        <f ca="1">IF(ISERROR(MATCH(I$1,INDIRECT("Table!A"&amp;$AG82):INDIRECT("Table!" &amp; $AJ$69 &amp; $AG82),0)),"",INDIRECT(CONCATENATE("Table!",ADDRESS($AC82,MATCH(I$1,INDIRECT("Table!A" &amp; $AG82):INDIRECT("Table!" &amp; $AJ$69 &amp; $AG82),0)))))</f>
        <v/>
      </c>
      <c r="J82" s="273" t="str">
        <f ca="1">IF(ISERROR(MATCH(J$1,INDIRECT("Table!A"&amp;$AG82):INDIRECT("Table!" &amp; $AJ$69 &amp; $AG82),0)),"",INDIRECT(CONCATENATE("Table!",ADDRESS($AC82,MATCH(J$1,INDIRECT("Table!A" &amp; $AG82):INDIRECT("Table!" &amp; $AJ$69 &amp; $AG82),0)))))</f>
        <v/>
      </c>
      <c r="K82" s="273" t="str">
        <f ca="1">IF(ISERROR(MATCH(K$1,INDIRECT("Table!A"&amp;$AG82):INDIRECT("Table!" &amp; $AJ$69 &amp; $AG82),0)),"",INDIRECT(CONCATENATE("Table!",ADDRESS($AC82,MATCH(K$1,INDIRECT("Table!A" &amp; $AG82):INDIRECT("Table!" &amp; $AJ$69 &amp; $AG82),0)))))</f>
        <v/>
      </c>
      <c r="L82" s="24">
        <f ca="1">IF(ISERROR(MATCH(L$1,INDIRECT("Table!A"&amp;$AG82):INDIRECT("Table!" &amp; $AJ$90 &amp; $AG82),0)),"",INDIRECT(CONCATENATE("Table!",ADDRESS($AC82,MATCH(L$1,INDIRECT("Table!A" &amp; $AG82):INDIRECT("Table!" &amp; $AJ$90 &amp; $AG82),0)))))</f>
        <v>0.79363819569283056</v>
      </c>
      <c r="M82" s="273">
        <f ca="1">IF(ISERROR(MATCH(M$1,INDIRECT("Table!A"&amp;$AG82):INDIRECT("Table!" &amp; $AJ$69 &amp; $AG82),0)),"",INDIRECT(CONCATENATE("Table!",ADDRESS($AC82,MATCH(M$1,INDIRECT("Table!A" &amp; $AG82):INDIRECT("Table!" &amp; $AJ$69 &amp; $AG82),0)))))</f>
        <v>0.38091244980405986</v>
      </c>
      <c r="N82" s="273">
        <f ca="1">IF(ISERROR(MATCH(N$1,INDIRECT("Table!A"&amp;$AG82):INDIRECT("Table!" &amp; $AJ$69 &amp; $AG82),0)),"",INDIRECT(CONCATENATE("Table!",ADDRESS($AC82,MATCH(N$1,INDIRECT("Table!A" &amp; $AG82):INDIRECT("Table!" &amp; $AJ$69 &amp; $AG82),0)))))</f>
        <v>0.51056193737662625</v>
      </c>
      <c r="O82" s="273">
        <f ca="1">IF(ISERROR(MATCH(O$1,INDIRECT("Table!A"&amp;$AG82):INDIRECT("Table!" &amp; $AJ$69 &amp; $AG82),0)),"",INDIRECT(CONCATENATE("Table!",ADDRESS($AC82,MATCH(O$1,INDIRECT("Table!A" &amp; $AG82):INDIRECT("Table!" &amp; $AJ$69 &amp; $AG82),0)))))</f>
        <v>0.72431688771760627</v>
      </c>
      <c r="P82" s="273" t="str">
        <f ca="1">IF(ISERROR(MATCH(P$1,INDIRECT("Table!A"&amp;$AG82):INDIRECT("Table!" &amp; $AJ$69 &amp; $AG82),0)),"",INDIRECT(CONCATENATE("Table!",ADDRESS($AC82,MATCH(P$1,INDIRECT("Table!A" &amp; $AG82):INDIRECT("Table!" &amp; $AJ$69 &amp; $AG82),0)))))</f>
        <v/>
      </c>
      <c r="Q82" s="273" t="str">
        <f ca="1">IF(ISERROR(MATCH(Q$1,INDIRECT("Table!A"&amp;$AG82):INDIRECT("Table!" &amp; $AJ$69 &amp; $AG82),0)),"",INDIRECT(CONCATENATE("Table!",ADDRESS($AC82,MATCH(Q$1,INDIRECT("Table!A" &amp; $AG82):INDIRECT("Table!" &amp; $AJ$69 &amp; $AG82),0)))))</f>
        <v/>
      </c>
      <c r="T82"/>
      <c r="AC82" s="22">
        <f>MATCH($A82,Table!$A:$A,0)+$AE$2-1</f>
        <v>968</v>
      </c>
      <c r="AD82" s="256"/>
      <c r="AE82" s="256"/>
      <c r="AF82" s="256"/>
      <c r="AG82" s="22">
        <f>MATCH($A82,Table!$A:$A,0)+$AI$2-1</f>
        <v>965</v>
      </c>
      <c r="AH82" s="256"/>
      <c r="AJ82" s="743" t="s">
        <v>285</v>
      </c>
    </row>
    <row r="83" spans="1:36" ht="15.75" customHeight="1" x14ac:dyDescent="0.25">
      <c r="A83" s="4">
        <v>41323</v>
      </c>
      <c r="B83" s="24">
        <f ca="1">IF(ISERROR(MATCH(B$1,INDIRECT("Table!A"&amp;$AG83):INDIRECT("Table!" &amp; $AJ$91 &amp; $AG83),0)),"",INDIRECT(CONCATENATE("Table!",ADDRESS($AC83,MATCH(B$1,INDIRECT("Table!A" &amp; $AG83):INDIRECT("Table!" &amp; $AJ$90 &amp; $AG83),0)))))</f>
        <v>0.3010303210355933</v>
      </c>
      <c r="C83" s="24">
        <f ca="1">IF(ISERROR(MATCH(C$1,INDIRECT("Table!A"&amp;$AG83):INDIRECT("Table!" &amp; $AJ$90 &amp; $AG83),0)),"",INDIRECT(CONCATENATE("Table!",ADDRESS($AC83,MATCH(C$1,INDIRECT("Table!A" &amp; $AG83):INDIRECT("Table!" &amp; $AJ$90 &amp; $AG83),0)))))</f>
        <v>0.50924819852799508</v>
      </c>
      <c r="D83" s="24">
        <f ca="1">IF(ISERROR(MATCH(D$1,INDIRECT("Table!A"&amp;$AG83):INDIRECT("Table!" &amp; $AJ$90 &amp; $AG83),0)),"",INDIRECT(CONCATENATE("Table!",ADDRESS($AC83,MATCH(D$1,INDIRECT("Table!A" &amp; $AG83):INDIRECT("Table!" &amp; $AJ$90 &amp; $AG83),0)))))</f>
        <v>0.51864455425941991</v>
      </c>
      <c r="E83" s="24">
        <f ca="1">IF(ISERROR(MATCH(E$1,INDIRECT("Table!A"&amp;$AG83):INDIRECT("Table!" &amp; $AJ$90 &amp; $AG83),0)),"",INDIRECT(CONCATENATE("Table!",ADDRESS($AC83,MATCH(E$1,INDIRECT("Table!A" &amp; $AG83):INDIRECT("Table!" &amp; $AJ$90 &amp; $AG83),0)))))</f>
        <v>0.8468465003423119</v>
      </c>
      <c r="F83" s="24">
        <f ca="1">IF(ISERROR(MATCH(F$1,INDIRECT("Table!A"&amp;$AG83):INDIRECT("Table!" &amp; $AJ$90 &amp; $AG83),0)),"",INDIRECT(CONCATENATE("Table!",ADDRESS($AC83,MATCH(F$1,INDIRECT("Table!A" &amp; $AG83):INDIRECT("Table!" &amp; $AJ$90 &amp; $AG83),0)))))</f>
        <v>0.49411946026805276</v>
      </c>
      <c r="G83" s="24">
        <f ca="1">IF(ISERROR(MATCH(G$1,INDIRECT("Table!A"&amp;$AG83):INDIRECT("Table!" &amp; $AJ$90 &amp; $AG83),0)),"",INDIRECT(CONCATENATE("Table!",ADDRESS($AC83,MATCH(G$1,INDIRECT("Table!A" &amp; $AG83):INDIRECT("Table!" &amp; $AJ$90 &amp; $AG83),0)))))</f>
        <v>0.3045053431417068</v>
      </c>
      <c r="H83" s="24">
        <f ca="1">IF(ISERROR(MATCH(H$1,INDIRECT("Table!A"&amp;$AG83):INDIRECT("Table!" &amp; $AJ$90 &amp; $AG83),0)),"",INDIRECT(CONCATENATE("Table!",ADDRESS($AC83,MATCH(H$1,INDIRECT("Table!A" &amp; $AG83):INDIRECT("Table!" &amp; $AJ$90 &amp; $AG83),0)))))</f>
        <v>0.53365646928505139</v>
      </c>
      <c r="I83" s="273" t="str">
        <f ca="1">IF(ISERROR(MATCH(I$1,INDIRECT("Table!A"&amp;$AG83):INDIRECT("Table!" &amp; $AJ$69 &amp; $AG83),0)),"",INDIRECT(CONCATENATE("Table!",ADDRESS($AC83,MATCH(I$1,INDIRECT("Table!A" &amp; $AG83):INDIRECT("Table!" &amp; $AJ$69 &amp; $AG83),0)))))</f>
        <v/>
      </c>
      <c r="J83" s="273" t="str">
        <f ca="1">IF(ISERROR(MATCH(J$1,INDIRECT("Table!A"&amp;$AG83):INDIRECT("Table!" &amp; $AJ$69 &amp; $AG83),0)),"",INDIRECT(CONCATENATE("Table!",ADDRESS($AC83,MATCH(J$1,INDIRECT("Table!A" &amp; $AG83):INDIRECT("Table!" &amp; $AJ$69 &amp; $AG83),0)))))</f>
        <v/>
      </c>
      <c r="K83" s="273" t="str">
        <f ca="1">IF(ISERROR(MATCH(K$1,INDIRECT("Table!A"&amp;$AG83):INDIRECT("Table!" &amp; $AJ$69 &amp; $AG83),0)),"",INDIRECT(CONCATENATE("Table!",ADDRESS($AC83,MATCH(K$1,INDIRECT("Table!A" &amp; $AG83):INDIRECT("Table!" &amp; $AJ$69 &amp; $AG83),0)))))</f>
        <v/>
      </c>
      <c r="L83" s="24">
        <f ca="1">IF(ISERROR(MATCH(L$1,INDIRECT("Table!A"&amp;$AG83):INDIRECT("Table!" &amp; $AJ$90 &amp; $AG83),0)),"",INDIRECT(CONCATENATE("Table!",ADDRESS($AC83,MATCH(L$1,INDIRECT("Table!A" &amp; $AG83):INDIRECT("Table!" &amp; $AJ$90 &amp; $AG83),0)))))</f>
        <v>0.79363819569283056</v>
      </c>
      <c r="M83" s="273">
        <f ca="1">IF(ISERROR(MATCH(M$1,INDIRECT("Table!A"&amp;$AG83):INDIRECT("Table!" &amp; $AJ$69 &amp; $AG83),0)),"",INDIRECT(CONCATENATE("Table!",ADDRESS($AC83,MATCH(M$1,INDIRECT("Table!A" &amp; $AG83):INDIRECT("Table!" &amp; $AJ$69 &amp; $AG83),0)))))</f>
        <v>0.38091244980405986</v>
      </c>
      <c r="N83" s="273">
        <f ca="1">IF(ISERROR(MATCH(N$1,INDIRECT("Table!A"&amp;$AG83):INDIRECT("Table!" &amp; $AJ$69 &amp; $AG83),0)),"",INDIRECT(CONCATENATE("Table!",ADDRESS($AC83,MATCH(N$1,INDIRECT("Table!A" &amp; $AG83):INDIRECT("Table!" &amp; $AJ$69 &amp; $AG83),0)))))</f>
        <v>0.51056193737662625</v>
      </c>
      <c r="O83" s="273">
        <f ca="1">IF(ISERROR(MATCH(O$1,INDIRECT("Table!A"&amp;$AG83):INDIRECT("Table!" &amp; $AJ$69 &amp; $AG83),0)),"",INDIRECT(CONCATENATE("Table!",ADDRESS($AC83,MATCH(O$1,INDIRECT("Table!A" &amp; $AG83):INDIRECT("Table!" &amp; $AJ$69 &amp; $AG83),0)))))</f>
        <v>0.72431688771760627</v>
      </c>
      <c r="P83" s="273" t="str">
        <f ca="1">IF(ISERROR(MATCH(P$1,INDIRECT("Table!A"&amp;$AG83):INDIRECT("Table!" &amp; $AJ$69 &amp; $AG83),0)),"",INDIRECT(CONCATENATE("Table!",ADDRESS($AC83,MATCH(P$1,INDIRECT("Table!A" &amp; $AG83):INDIRECT("Table!" &amp; $AJ$69 &amp; $AG83),0)))))</f>
        <v/>
      </c>
      <c r="Q83" s="273" t="str">
        <f ca="1">IF(ISERROR(MATCH(Q$1,INDIRECT("Table!A"&amp;$AG83):INDIRECT("Table!" &amp; $AJ$69 &amp; $AG83),0)),"",INDIRECT(CONCATENATE("Table!",ADDRESS($AC83,MATCH(Q$1,INDIRECT("Table!A" &amp; $AG83):INDIRECT("Table!" &amp; $AJ$69 &amp; $AG83),0)))))</f>
        <v/>
      </c>
      <c r="T83"/>
      <c r="AC83" s="22">
        <f>MATCH($A83,Table!$A:$A,0)+$AE$2-1</f>
        <v>980</v>
      </c>
      <c r="AD83" s="255"/>
      <c r="AE83" s="255"/>
      <c r="AF83" s="255"/>
      <c r="AG83" s="22">
        <f>MATCH($A83,Table!$A:$A,0)+$AI$2-1</f>
        <v>977</v>
      </c>
      <c r="AH83" s="255"/>
      <c r="AJ83" s="743" t="s">
        <v>285</v>
      </c>
    </row>
    <row r="84" spans="1:36" ht="15.75" customHeight="1" x14ac:dyDescent="0.25">
      <c r="A84" s="4">
        <v>41310</v>
      </c>
      <c r="B84" s="24">
        <f ca="1">IF(ISERROR(MATCH(B$1,INDIRECT("Table!A"&amp;$AG84):INDIRECT("Table!" &amp; $AJ$91 &amp; $AG84),0)),"",INDIRECT(CONCATENATE("Table!",ADDRESS($AC84,MATCH(B$1,INDIRECT("Table!A" &amp; $AG84):INDIRECT("Table!" &amp; $AJ$90 &amp; $AG84),0)))))</f>
        <v>0.30073602329833837</v>
      </c>
      <c r="C84" s="24">
        <f ca="1">IF(ISERROR(MATCH(C$1,INDIRECT("Table!A"&amp;$AG84):INDIRECT("Table!" &amp; $AJ$90 &amp; $AG84),0)),"",INDIRECT(CONCATENATE("Table!",ADDRESS($AC84,MATCH(C$1,INDIRECT("Table!A" &amp; $AG84):INDIRECT("Table!" &amp; $AJ$90 &amp; $AG84),0)))))</f>
        <v>0.50768092120561437</v>
      </c>
      <c r="D84" s="24">
        <f ca="1">IF(ISERROR(MATCH(D$1,INDIRECT("Table!A"&amp;$AG84):INDIRECT("Table!" &amp; $AJ$90 &amp; $AG84),0)),"",INDIRECT(CONCATENATE("Table!",ADDRESS($AC84,MATCH(D$1,INDIRECT("Table!A" &amp; $AG84):INDIRECT("Table!" &amp; $AJ$90 &amp; $AG84),0)))))</f>
        <v>0.5170752837908047</v>
      </c>
      <c r="E84" s="24">
        <f ca="1">IF(ISERROR(MATCH(E$1,INDIRECT("Table!A"&amp;$AG84):INDIRECT("Table!" &amp; $AJ$90 &amp; $AG84),0)),"",INDIRECT(CONCATENATE("Table!",ADDRESS($AC84,MATCH(E$1,INDIRECT("Table!A" &amp; $AG84):INDIRECT("Table!" &amp; $AJ$90 &amp; $AG84),0)))))</f>
        <v>0.84355854850992706</v>
      </c>
      <c r="F84" s="24">
        <f ca="1">IF(ISERROR(MATCH(F$1,INDIRECT("Table!A"&amp;$AG84):INDIRECT("Table!" &amp; $AJ$90 &amp; $AG84),0)),"",INDIRECT(CONCATENATE("Table!",ADDRESS($AC84,MATCH(F$1,INDIRECT("Table!A" &amp; $AG84):INDIRECT("Table!" &amp; $AJ$90 &amp; $AG84),0)))))</f>
        <v>0.47887520587479793</v>
      </c>
      <c r="G84" s="24">
        <f ca="1">IF(ISERROR(MATCH(G$1,INDIRECT("Table!A"&amp;$AG84):INDIRECT("Table!" &amp; $AJ$90 &amp; $AG84),0)),"",INDIRECT(CONCATENATE("Table!",ADDRESS($AC84,MATCH(G$1,INDIRECT("Table!A" &amp; $AG84):INDIRECT("Table!" &amp; $AJ$90 &amp; $AG84),0)))))</f>
        <v>0.29005388550843098</v>
      </c>
      <c r="H84" s="24">
        <f ca="1">IF(ISERROR(MATCH(H$1,INDIRECT("Table!A"&amp;$AG84):INDIRECT("Table!" &amp; $AJ$90 &amp; $AG84),0)),"",INDIRECT(CONCATENATE("Table!",ADDRESS($AC84,MATCH(H$1,INDIRECT("Table!A" &amp; $AG84):INDIRECT("Table!" &amp; $AJ$90 &amp; $AG84),0)))))</f>
        <v>0.50626134286312408</v>
      </c>
      <c r="I84" s="273" t="str">
        <f ca="1">IF(ISERROR(MATCH(I$1,INDIRECT("Table!A"&amp;$AG84):INDIRECT("Table!" &amp; $AJ$69 &amp; $AG84),0)),"",INDIRECT(CONCATENATE("Table!",ADDRESS($AC84,MATCH(I$1,INDIRECT("Table!A" &amp; $AG84):INDIRECT("Table!" &amp; $AJ$69 &amp; $AG84),0)))))</f>
        <v/>
      </c>
      <c r="J84" s="273" t="str">
        <f ca="1">IF(ISERROR(MATCH(J$1,INDIRECT("Table!A"&amp;$AG84):INDIRECT("Table!" &amp; $AJ$69 &amp; $AG84),0)),"",INDIRECT(CONCATENATE("Table!",ADDRESS($AC84,MATCH(J$1,INDIRECT("Table!A" &amp; $AG84):INDIRECT("Table!" &amp; $AJ$69 &amp; $AG84),0)))))</f>
        <v/>
      </c>
      <c r="K84" s="273" t="str">
        <f ca="1">IF(ISERROR(MATCH(K$1,INDIRECT("Table!A"&amp;$AG84):INDIRECT("Table!" &amp; $AJ$69 &amp; $AG84),0)),"",INDIRECT(CONCATENATE("Table!",ADDRESS($AC84,MATCH(K$1,INDIRECT("Table!A" &amp; $AG84):INDIRECT("Table!" &amp; $AJ$69 &amp; $AG84),0)))))</f>
        <v/>
      </c>
      <c r="L84" s="24">
        <f ca="1">IF(ISERROR(MATCH(L$1,INDIRECT("Table!A"&amp;$AG84):INDIRECT("Table!" &amp; $AJ$90 &amp; $AG84),0)),"",INDIRECT(CONCATENATE("Table!",ADDRESS($AC84,MATCH(L$1,INDIRECT("Table!A" &amp; $AG84):INDIRECT("Table!" &amp; $AJ$90 &amp; $AG84),0)))))</f>
        <v>0.78853113813093501</v>
      </c>
      <c r="M84" s="273">
        <f ca="1">IF(ISERROR(MATCH(M$1,INDIRECT("Table!A"&amp;$AG84):INDIRECT("Table!" &amp; $AJ$69 &amp; $AG84),0)),"",INDIRECT(CONCATENATE("Table!",ADDRESS($AC84,MATCH(M$1,INDIRECT("Table!A" &amp; $AG84):INDIRECT("Table!" &amp; $AJ$69 &amp; $AG84),0)))))</f>
        <v>0.3787676281784455</v>
      </c>
      <c r="N84" s="273">
        <f ca="1">IF(ISERROR(MATCH(N$1,INDIRECT("Table!A"&amp;$AG84):INDIRECT("Table!" &amp; $AJ$69 &amp; $AG84),0)),"",INDIRECT(CONCATENATE("Table!",ADDRESS($AC84,MATCH(N$1,INDIRECT("Table!A" &amp; $AG84):INDIRECT("Table!" &amp; $AJ$69 &amp; $AG84),0)))))</f>
        <v>0.49477735617330881</v>
      </c>
      <c r="O84" s="273">
        <f ca="1">IF(ISERROR(MATCH(O$1,INDIRECT("Table!A"&amp;$AG84):INDIRECT("Table!" &amp; $AJ$69 &amp; $AG84),0)),"",INDIRECT(CONCATENATE("Table!",ADDRESS($AC84,MATCH(O$1,INDIRECT("Table!A" &amp; $AG84):INDIRECT("Table!" &amp; $AJ$69 &amp; $AG84),0)))))</f>
        <v>0.69905435490277512</v>
      </c>
      <c r="P84" s="273" t="str">
        <f ca="1">IF(ISERROR(MATCH(P$1,INDIRECT("Table!A"&amp;$AG84):INDIRECT("Table!" &amp; $AJ$69 &amp; $AG84),0)),"",INDIRECT(CONCATENATE("Table!",ADDRESS($AC84,MATCH(P$1,INDIRECT("Table!A" &amp; $AG84):INDIRECT("Table!" &amp; $AJ$69 &amp; $AG84),0)))))</f>
        <v/>
      </c>
      <c r="Q84" s="273" t="str">
        <f ca="1">IF(ISERROR(MATCH(Q$1,INDIRECT("Table!A"&amp;$AG84):INDIRECT("Table!" &amp; $AJ$69 &amp; $AG84),0)),"",INDIRECT(CONCATENATE("Table!",ADDRESS($AC84,MATCH(Q$1,INDIRECT("Table!A" &amp; $AG84):INDIRECT("Table!" &amp; $AJ$69 &amp; $AG84),0)))))</f>
        <v/>
      </c>
      <c r="T84"/>
      <c r="AC84" s="22">
        <f>MATCH($A84,Table!$A:$A,0)+$AE$2-1</f>
        <v>992</v>
      </c>
      <c r="AD84" s="254"/>
      <c r="AE84" s="254"/>
      <c r="AF84" s="254"/>
      <c r="AG84" s="22">
        <f>MATCH($A84,Table!$A:$A,0)+$AI$2-1</f>
        <v>989</v>
      </c>
      <c r="AH84" s="254"/>
      <c r="AJ84" s="743" t="s">
        <v>285</v>
      </c>
    </row>
    <row r="85" spans="1:36" ht="15.75" customHeight="1" x14ac:dyDescent="0.25">
      <c r="A85" s="4">
        <v>41304</v>
      </c>
      <c r="B85" s="24">
        <f ca="1">IF(ISERROR(MATCH(B$1,INDIRECT("Table!A"&amp;$AG85):INDIRECT("Table!" &amp; $AJ$91 &amp; $AG85),0)),"",INDIRECT(CONCATENATE("Table!",ADDRESS($AC85,MATCH(B$1,INDIRECT("Table!A" &amp; $AG85):INDIRECT("Table!" &amp; $AJ$90 &amp; $AG85),0)))))</f>
        <v>0.29584175429346921</v>
      </c>
      <c r="C85" s="24">
        <f ca="1">IF(ISERROR(MATCH(C$1,INDIRECT("Table!A"&amp;$AG85):INDIRECT("Table!" &amp; $AJ$90 &amp; $AG85),0)),"",INDIRECT(CONCATENATE("Table!",ADDRESS($AC85,MATCH(C$1,INDIRECT("Table!A" &amp; $AG85):INDIRECT("Table!" &amp; $AJ$90 &amp; $AG85),0)))))</f>
        <v>0.50745636006319605</v>
      </c>
      <c r="D85" s="24">
        <f ca="1">IF(ISERROR(MATCH(D$1,INDIRECT("Table!A"&amp;$AG85):INDIRECT("Table!" &amp; $AJ$90 &amp; $AG85),0)),"",INDIRECT(CONCATENATE("Table!",ADDRESS($AC85,MATCH(D$1,INDIRECT("Table!A" &amp; $AG85):INDIRECT("Table!" &amp; $AJ$90 &amp; $AG85),0)))))</f>
        <v>0.51685138703046463</v>
      </c>
      <c r="E85" s="24">
        <f ca="1">IF(ISERROR(MATCH(E$1,INDIRECT("Table!A"&amp;$AG85):INDIRECT("Table!" &amp; $AJ$90 &amp; $AG85),0)),"",INDIRECT(CONCATENATE("Table!",ADDRESS($AC85,MATCH(E$1,INDIRECT("Table!A" &amp; $AG85):INDIRECT("Table!" &amp; $AJ$90 &amp; $AG85),0)))))</f>
        <v>0.84262666911358286</v>
      </c>
      <c r="F85" s="24">
        <f ca="1">IF(ISERROR(MATCH(F$1,INDIRECT("Table!A"&amp;$AG85):INDIRECT("Table!" &amp; $AJ$90 &amp; $AG85),0)),"",INDIRECT(CONCATENATE("Table!",ADDRESS($AC85,MATCH(F$1,INDIRECT("Table!A" &amp; $AG85):INDIRECT("Table!" &amp; $AJ$90 &amp; $AG85),0)))))</f>
        <v>0.46741149272449795</v>
      </c>
      <c r="G85" s="24">
        <f ca="1">IF(ISERROR(MATCH(G$1,INDIRECT("Table!A"&amp;$AG85):INDIRECT("Table!" &amp; $AJ$90 &amp; $AG85),0)),"",INDIRECT(CONCATENATE("Table!",ADDRESS($AC85,MATCH(G$1,INDIRECT("Table!A" &amp; $AG85):INDIRECT("Table!" &amp; $AJ$90 &amp; $AG85),0)))))</f>
        <v>0.28605258377985648</v>
      </c>
      <c r="H85" s="24">
        <f ca="1">IF(ISERROR(MATCH(H$1,INDIRECT("Table!A"&amp;$AG85):INDIRECT("Table!" &amp; $AJ$90 &amp; $AG85),0)),"",INDIRECT(CONCATENATE("Table!",ADDRESS($AC85,MATCH(H$1,INDIRECT("Table!A" &amp; $AG85):INDIRECT("Table!" &amp; $AJ$90 &amp; $AG85),0)))))</f>
        <v>0.46492593038263674</v>
      </c>
      <c r="I85" s="273" t="str">
        <f ca="1">IF(ISERROR(MATCH(I$1,INDIRECT("Table!A"&amp;$AG85):INDIRECT("Table!" &amp; $AJ$69 &amp; $AG85),0)),"",INDIRECT(CONCATENATE("Table!",ADDRESS($AC85,MATCH(I$1,INDIRECT("Table!A" &amp; $AG85):INDIRECT("Table!" &amp; $AJ$69 &amp; $AG85),0)))))</f>
        <v/>
      </c>
      <c r="J85" s="273" t="str">
        <f ca="1">IF(ISERROR(MATCH(J$1,INDIRECT("Table!A"&amp;$AG85):INDIRECT("Table!" &amp; $AJ$69 &amp; $AG85),0)),"",INDIRECT(CONCATENATE("Table!",ADDRESS($AC85,MATCH(J$1,INDIRECT("Table!A" &amp; $AG85):INDIRECT("Table!" &amp; $AJ$69 &amp; $AG85),0)))))</f>
        <v/>
      </c>
      <c r="K85" s="273" t="str">
        <f ca="1">IF(ISERROR(MATCH(K$1,INDIRECT("Table!A"&amp;$AG85):INDIRECT("Table!" &amp; $AJ$69 &amp; $AG85),0)),"",INDIRECT(CONCATENATE("Table!",ADDRESS($AC85,MATCH(K$1,INDIRECT("Table!A" &amp; $AG85):INDIRECT("Table!" &amp; $AJ$69 &amp; $AG85),0)))))</f>
        <v/>
      </c>
      <c r="L85" s="24">
        <f ca="1">IF(ISERROR(MATCH(L$1,INDIRECT("Table!A"&amp;$AG85):INDIRECT("Table!" &amp; $AJ$90 &amp; $AG85),0)),"",INDIRECT(CONCATENATE("Table!",ADDRESS($AC85,MATCH(L$1,INDIRECT("Table!A" &amp; $AG85):INDIRECT("Table!" &amp; $AJ$90 &amp; $AG85),0)))))</f>
        <v>0.78763540851797931</v>
      </c>
      <c r="M85" s="273">
        <f ca="1">IF(ISERROR(MATCH(M$1,INDIRECT("Table!A"&amp;$AG85):INDIRECT("Table!" &amp; $AJ$69 &amp; $AG85),0)),"",INDIRECT(CONCATENATE("Table!",ADDRESS($AC85,MATCH(M$1,INDIRECT("Table!A" &amp; $AG85):INDIRECT("Table!" &amp; $AJ$69 &amp; $AG85),0)))))</f>
        <v>0.3610512804600241</v>
      </c>
      <c r="N85" s="273">
        <f ca="1">IF(ISERROR(MATCH(N$1,INDIRECT("Table!A"&amp;$AG85):INDIRECT("Table!" &amp; $AJ$69 &amp; $AG85),0)),"",INDIRECT(CONCATENATE("Table!",ADDRESS($AC85,MATCH(N$1,INDIRECT("Table!A" &amp; $AG85):INDIRECT("Table!" &amp; $AJ$69 &amp; $AG85),0)))))</f>
        <v>0.48229885779975656</v>
      </c>
      <c r="O85" s="273">
        <f ca="1">IF(ISERROR(MATCH(O$1,INDIRECT("Table!A"&amp;$AG85):INDIRECT("Table!" &amp; $AJ$69 &amp; $AG85),0)),"",INDIRECT(CONCATENATE("Table!",ADDRESS($AC85,MATCH(O$1,INDIRECT("Table!A" &amp; $AG85):INDIRECT("Table!" &amp; $AJ$69 &amp; $AG85),0)))))</f>
        <v>0.6309604284159297</v>
      </c>
      <c r="P85" s="273" t="str">
        <f ca="1">IF(ISERROR(MATCH(P$1,INDIRECT("Table!A"&amp;$AG85):INDIRECT("Table!" &amp; $AJ$69 &amp; $AG85),0)),"",INDIRECT(CONCATENATE("Table!",ADDRESS($AC85,MATCH(P$1,INDIRECT("Table!A" &amp; $AG85):INDIRECT("Table!" &amp; $AJ$69 &amp; $AG85),0)))))</f>
        <v/>
      </c>
      <c r="Q85" s="273" t="str">
        <f ca="1">IF(ISERROR(MATCH(Q$1,INDIRECT("Table!A"&amp;$AG85):INDIRECT("Table!" &amp; $AJ$69 &amp; $AG85),0)),"",INDIRECT(CONCATENATE("Table!",ADDRESS($AC85,MATCH(Q$1,INDIRECT("Table!A" &amp; $AG85):INDIRECT("Table!" &amp; $AJ$69 &amp; $AG85),0)))))</f>
        <v/>
      </c>
      <c r="T85"/>
      <c r="AC85" s="22">
        <f>MATCH($A85,Table!$A:$A,0)+$AE$2-1</f>
        <v>1004</v>
      </c>
      <c r="AD85" s="253"/>
      <c r="AE85" s="253"/>
      <c r="AF85" s="253"/>
      <c r="AG85" s="22">
        <f>MATCH($A85,Table!$A:$A,0)+$AI$2-1</f>
        <v>1001</v>
      </c>
      <c r="AH85" s="253"/>
      <c r="AJ85" s="743" t="s">
        <v>285</v>
      </c>
    </row>
    <row r="86" spans="1:36" ht="15.75" customHeight="1" x14ac:dyDescent="0.25">
      <c r="A86" s="4">
        <v>41297</v>
      </c>
      <c r="B86" s="24">
        <f ca="1">IF(ISERROR(MATCH(B$1,INDIRECT("Table!A"&amp;$AG86):INDIRECT("Table!" &amp; $AJ$91 &amp; $AG86),0)),"",INDIRECT(CONCATENATE("Table!",ADDRESS($AC86,MATCH(B$1,INDIRECT("Table!A" &amp; $AG86):INDIRECT("Table!" &amp; $AJ$90 &amp; $AG86),0)))))</f>
        <v>0.29333952613879971</v>
      </c>
      <c r="C86" s="24">
        <f ca="1">IF(ISERROR(MATCH(C$1,INDIRECT("Table!A"&amp;$AG86):INDIRECT("Table!" &amp; $AJ$90 &amp; $AG86),0)),"",INDIRECT(CONCATENATE("Table!",ADDRESS($AC86,MATCH(C$1,INDIRECT("Table!A" &amp; $AG86):INDIRECT("Table!" &amp; $AJ$90 &amp; $AG86),0)))))</f>
        <v>0.50730554533145367</v>
      </c>
      <c r="D86" s="24">
        <f ca="1">IF(ISERROR(MATCH(D$1,INDIRECT("Table!A"&amp;$AG86):INDIRECT("Table!" &amp; $AJ$90 &amp; $AG86),0)),"",INDIRECT(CONCATENATE("Table!",ADDRESS($AC86,MATCH(D$1,INDIRECT("Table!A" &amp; $AG86):INDIRECT("Table!" &amp; $AJ$90 &amp; $AG86),0)))))</f>
        <v>0.516699907916644</v>
      </c>
      <c r="E86" s="24">
        <f ca="1">IF(ISERROR(MATCH(E$1,INDIRECT("Table!A"&amp;$AG86):INDIRECT("Table!" &amp; $AJ$90 &amp; $AG86),0)),"",INDIRECT(CONCATENATE("Table!",ADDRESS($AC86,MATCH(E$1,INDIRECT("Table!A" &amp; $AG86):INDIRECT("Table!" &amp; $AJ$90 &amp; $AG86),0)))))</f>
        <v>0.89517785379823278</v>
      </c>
      <c r="F86" s="24">
        <f ca="1">IF(ISERROR(MATCH(F$1,INDIRECT("Table!A"&amp;$AG86):INDIRECT("Table!" &amp; $AJ$90 &amp; $AG86),0)),"",INDIRECT(CONCATENATE("Table!",ADDRESS($AC86,MATCH(F$1,INDIRECT("Table!A" &amp; $AG86):INDIRECT("Table!" &amp; $AJ$90 &amp; $AG86),0)))))</f>
        <v>0.46646862392529576</v>
      </c>
      <c r="G86" s="24">
        <f ca="1">IF(ISERROR(MATCH(G$1,INDIRECT("Table!A"&amp;$AG86):INDIRECT("Table!" &amp; $AJ$90 &amp; $AG86),0)),"",INDIRECT(CONCATENATE("Table!",ADDRESS($AC86,MATCH(G$1,INDIRECT("Table!A" &amp; $AG86):INDIRECT("Table!" &amp; $AJ$90 &amp; $AG86),0)))))</f>
        <v>0.29125495716404809</v>
      </c>
      <c r="H86" s="24">
        <f ca="1">IF(ISERROR(MATCH(H$1,INDIRECT("Table!A"&amp;$AG86):INDIRECT("Table!" &amp; $AJ$90 &amp; $AG86),0)),"",INDIRECT(CONCATENATE("Table!",ADDRESS($AC86,MATCH(H$1,INDIRECT("Table!A" &amp; $AG86):INDIRECT("Table!" &amp; $AJ$90 &amp; $AG86),0)))))</f>
        <v>0.4607126903252074</v>
      </c>
      <c r="I86" s="273" t="str">
        <f ca="1">IF(ISERROR(MATCH(I$1,INDIRECT("Table!A"&amp;$AG86):INDIRECT("Table!" &amp; $AJ$69 &amp; $AG86),0)),"",INDIRECT(CONCATENATE("Table!",ADDRESS($AC86,MATCH(I$1,INDIRECT("Table!A" &amp; $AG86):INDIRECT("Table!" &amp; $AJ$69 &amp; $AG86),0)))))</f>
        <v/>
      </c>
      <c r="J86" s="273" t="str">
        <f ca="1">IF(ISERROR(MATCH(J$1,INDIRECT("Table!A"&amp;$AG86):INDIRECT("Table!" &amp; $AJ$69 &amp; $AG86),0)),"",INDIRECT(CONCATENATE("Table!",ADDRESS($AC86,MATCH(J$1,INDIRECT("Table!A" &amp; $AG86):INDIRECT("Table!" &amp; $AJ$69 &amp; $AG86),0)))))</f>
        <v/>
      </c>
      <c r="K86" s="273" t="str">
        <f ca="1">IF(ISERROR(MATCH(K$1,INDIRECT("Table!A"&amp;$AG86):INDIRECT("Table!" &amp; $AJ$69 &amp; $AG86),0)),"",INDIRECT(CONCATENATE("Table!",ADDRESS($AC86,MATCH(K$1,INDIRECT("Table!A" &amp; $AG86):INDIRECT("Table!" &amp; $AJ$69 &amp; $AG86),0)))))</f>
        <v/>
      </c>
      <c r="L86" s="24">
        <f ca="1">IF(ISERROR(MATCH(L$1,INDIRECT("Table!A"&amp;$AG86):INDIRECT("Table!" &amp; $AJ$90 &amp; $AG86),0)),"",INDIRECT(CONCATENATE("Table!",ADDRESS($AC86,MATCH(L$1,INDIRECT("Table!A" &amp; $AG86):INDIRECT("Table!" &amp; $AJ$90 &amp; $AG86),0)))))</f>
        <v>0.78682723142358324</v>
      </c>
      <c r="M86" s="273">
        <f ca="1">IF(ISERROR(MATCH(M$1,INDIRECT("Table!A"&amp;$AG86):INDIRECT("Table!" &amp; $AJ$69 &amp; $AG86),0)),"",INDIRECT(CONCATENATE("Table!",ADDRESS($AC86,MATCH(M$1,INDIRECT("Table!A" &amp; $AG86):INDIRECT("Table!" &amp; $AJ$69 &amp; $AG86),0)))))</f>
        <v>0.35675936675541614</v>
      </c>
      <c r="N86" s="273">
        <f ca="1">IF(ISERROR(MATCH(N$1,INDIRECT("Table!A"&amp;$AG86):INDIRECT("Table!" &amp; $AJ$69 &amp; $AG86),0)),"",INDIRECT(CONCATENATE("Table!",ADDRESS($AC86,MATCH(N$1,INDIRECT("Table!A" &amp; $AG86):INDIRECT("Table!" &amp; $AJ$69 &amp; $AG86),0)))))</f>
        <v>0.48149258458313737</v>
      </c>
      <c r="O86" s="273">
        <f ca="1">IF(ISERROR(MATCH(O$1,INDIRECT("Table!A"&amp;$AG86):INDIRECT("Table!" &amp; $AJ$69 &amp; $AG86),0)),"",INDIRECT(CONCATENATE("Table!",ADDRESS($AC86,MATCH(O$1,INDIRECT("Table!A" &amp; $AG86):INDIRECT("Table!" &amp; $AJ$69 &amp; $AG86),0)))))</f>
        <v>0.62517742532270859</v>
      </c>
      <c r="P86" s="273" t="str">
        <f ca="1">IF(ISERROR(MATCH(P$1,INDIRECT("Table!A"&amp;$AG86):INDIRECT("Table!" &amp; $AJ$69 &amp; $AG86),0)),"",INDIRECT(CONCATENATE("Table!",ADDRESS($AC86,MATCH(P$1,INDIRECT("Table!A" &amp; $AG86):INDIRECT("Table!" &amp; $AJ$69 &amp; $AG86),0)))))</f>
        <v/>
      </c>
      <c r="Q86" s="273" t="str">
        <f ca="1">IF(ISERROR(MATCH(Q$1,INDIRECT("Table!A"&amp;$AG86):INDIRECT("Table!" &amp; $AJ$69 &amp; $AG86),0)),"",INDIRECT(CONCATENATE("Table!",ADDRESS($AC86,MATCH(Q$1,INDIRECT("Table!A" &amp; $AG86):INDIRECT("Table!" &amp; $AJ$69 &amp; $AG86),0)))))</f>
        <v/>
      </c>
      <c r="T86"/>
      <c r="AC86" s="22">
        <f>MATCH($A86,Table!$A:$A,0)+$AE$2-1</f>
        <v>1016</v>
      </c>
      <c r="AD86" s="252"/>
      <c r="AE86" s="252"/>
      <c r="AF86" s="252"/>
      <c r="AG86" s="22">
        <f>MATCH($A86,Table!$A:$A,0)+$AI$2-1</f>
        <v>1013</v>
      </c>
      <c r="AH86" s="252"/>
      <c r="AJ86" s="743" t="s">
        <v>285</v>
      </c>
    </row>
    <row r="87" spans="1:36" ht="15.75" customHeight="1" x14ac:dyDescent="0.25">
      <c r="A87" s="4">
        <v>41296</v>
      </c>
      <c r="B87" s="24">
        <f ca="1">IF(ISERROR(MATCH(B$1,INDIRECT("Table!A"&amp;$AG87):INDIRECT("Table!" &amp; $AJ$91 &amp; $AG87),0)),"",INDIRECT(CONCATENATE("Table!",ADDRESS($AC87,MATCH(B$1,INDIRECT("Table!A" &amp; $AG87):INDIRECT("Table!" &amp; $AJ$90 &amp; $AG87),0)))))</f>
        <v>0.2974973534125287</v>
      </c>
      <c r="C87" s="24">
        <f ca="1">IF(ISERROR(MATCH(C$1,INDIRECT("Table!A"&amp;$AG87):INDIRECT("Table!" &amp; $AJ$90 &amp; $AG87),0)),"",INDIRECT(CONCATENATE("Table!",ADDRESS($AC87,MATCH(C$1,INDIRECT("Table!A" &amp; $AG87):INDIRECT("Table!" &amp; $AJ$90 &amp; $AG87),0)))))</f>
        <v>0.5071354635194445</v>
      </c>
      <c r="D87" s="24">
        <f ca="1">IF(ISERROR(MATCH(D$1,INDIRECT("Table!A"&amp;$AG87):INDIRECT("Table!" &amp; $AJ$90 &amp; $AG87),0)),"",INDIRECT(CONCATENATE("Table!",ADDRESS($AC87,MATCH(D$1,INDIRECT("Table!A" &amp; $AG87):INDIRECT("Table!" &amp; $AJ$90 &amp; $AG87),0)))))</f>
        <v>0.51653115486879131</v>
      </c>
      <c r="E87" s="24">
        <f ca="1">IF(ISERROR(MATCH(E$1,INDIRECT("Table!A"&amp;$AG87):INDIRECT("Table!" &amp; $AJ$90 &amp; $AG87),0)),"",INDIRECT(CONCATENATE("Table!",ADDRESS($AC87,MATCH(E$1,INDIRECT("Table!A" &amp; $AG87):INDIRECT("Table!" &amp; $AJ$90 &amp; $AG87),0)))))</f>
        <v>0.89402674098258328</v>
      </c>
      <c r="F87" s="24">
        <f ca="1">IF(ISERROR(MATCH(F$1,INDIRECT("Table!A"&amp;$AG87):INDIRECT("Table!" &amp; $AJ$90 &amp; $AG87),0)),"",INDIRECT(CONCATENATE("Table!",ADDRESS($AC87,MATCH(F$1,INDIRECT("Table!A" &amp; $AG87):INDIRECT("Table!" &amp; $AJ$90 &amp; $AG87),0)))))</f>
        <v>0.46235505658723802</v>
      </c>
      <c r="G87" s="24">
        <f ca="1">IF(ISERROR(MATCH(G$1,INDIRECT("Table!A"&amp;$AG87):INDIRECT("Table!" &amp; $AJ$90 &amp; $AG87),0)),"",INDIRECT(CONCATENATE("Table!",ADDRESS($AC87,MATCH(G$1,INDIRECT("Table!A" &amp; $AG87):INDIRECT("Table!" &amp; $AJ$90 &amp; $AG87),0)))))</f>
        <v>0.26442723942723945</v>
      </c>
      <c r="H87" s="24">
        <f ca="1">IF(ISERROR(MATCH(H$1,INDIRECT("Table!A"&amp;$AG87):INDIRECT("Table!" &amp; $AJ$90 &amp; $AG87),0)),"",INDIRECT(CONCATENATE("Table!",ADDRESS($AC87,MATCH(H$1,INDIRECT("Table!A" &amp; $AG87):INDIRECT("Table!" &amp; $AJ$90 &amp; $AG87),0)))))</f>
        <v>0.44627212321913956</v>
      </c>
      <c r="I87" s="273" t="str">
        <f ca="1">IF(ISERROR(MATCH(I$1,INDIRECT("Table!A"&amp;$AG87):INDIRECT("Table!" &amp; $AJ$69 &amp; $AG87),0)),"",INDIRECT(CONCATENATE("Table!",ADDRESS($AC87,MATCH(I$1,INDIRECT("Table!A" &amp; $AG87):INDIRECT("Table!" &amp; $AJ$69 &amp; $AG87),0)))))</f>
        <v/>
      </c>
      <c r="J87" s="273" t="str">
        <f ca="1">IF(ISERROR(MATCH(J$1,INDIRECT("Table!A"&amp;$AG87):INDIRECT("Table!" &amp; $AJ$69 &amp; $AG87),0)),"",INDIRECT(CONCATENATE("Table!",ADDRESS($AC87,MATCH(J$1,INDIRECT("Table!A" &amp; $AG87):INDIRECT("Table!" &amp; $AJ$69 &amp; $AG87),0)))))</f>
        <v/>
      </c>
      <c r="K87" s="273" t="str">
        <f ca="1">IF(ISERROR(MATCH(K$1,INDIRECT("Table!A"&amp;$AG87):INDIRECT("Table!" &amp; $AJ$69 &amp; $AG87),0)),"",INDIRECT(CONCATENATE("Table!",ADDRESS($AC87,MATCH(K$1,INDIRECT("Table!A" &amp; $AG87):INDIRECT("Table!" &amp; $AJ$69 &amp; $AG87),0)))))</f>
        <v/>
      </c>
      <c r="L87" s="24">
        <f ca="1">IF(ISERROR(MATCH(L$1,INDIRECT("Table!A"&amp;$AG87):INDIRECT("Table!" &amp; $AJ$90 &amp; $AG87),0)),"",INDIRECT(CONCATENATE("Table!",ADDRESS($AC87,MATCH(L$1,INDIRECT("Table!A" &amp; $AG87):INDIRECT("Table!" &amp; $AJ$90 &amp; $AG87),0)))))</f>
        <v>0.78391209519911731</v>
      </c>
      <c r="M87" s="273">
        <f ca="1">IF(ISERROR(MATCH(M$1,INDIRECT("Table!A"&amp;$AG87):INDIRECT("Table!" &amp; $AJ$69 &amp; $AG87),0)),"",INDIRECT(CONCATENATE("Table!",ADDRESS($AC87,MATCH(M$1,INDIRECT("Table!A" &amp; $AG87):INDIRECT("Table!" &amp; $AJ$69 &amp; $AG87),0)))))</f>
        <v>0.35414229082691423</v>
      </c>
      <c r="N87" s="273">
        <f ca="1">IF(ISERROR(MATCH(N$1,INDIRECT("Table!A"&amp;$AG87):INDIRECT("Table!" &amp; $AJ$69 &amp; $AG87),0)),"",INDIRECT(CONCATENATE("Table!",ADDRESS($AC87,MATCH(N$1,INDIRECT("Table!A" &amp; $AG87):INDIRECT("Table!" &amp; $AJ$69 &amp; $AG87),0)))))</f>
        <v>0.47711066492759857</v>
      </c>
      <c r="O87" s="273">
        <f ca="1">IF(ISERROR(MATCH(O$1,INDIRECT("Table!A"&amp;$AG87):INDIRECT("Table!" &amp; $AJ$69 &amp; $AG87),0)),"",INDIRECT(CONCATENATE("Table!",ADDRESS($AC87,MATCH(O$1,INDIRECT("Table!A" &amp; $AG87):INDIRECT("Table!" &amp; $AJ$69 &amp; $AG87),0)))))</f>
        <v>0.61680946631029554</v>
      </c>
      <c r="P87" s="273" t="str">
        <f ca="1">IF(ISERROR(MATCH(P$1,INDIRECT("Table!A"&amp;$AG87):INDIRECT("Table!" &amp; $AJ$69 &amp; $AG87),0)),"",INDIRECT(CONCATENATE("Table!",ADDRESS($AC87,MATCH(P$1,INDIRECT("Table!A" &amp; $AG87):INDIRECT("Table!" &amp; $AJ$69 &amp; $AG87),0)))))</f>
        <v/>
      </c>
      <c r="Q87" s="273" t="str">
        <f ca="1">IF(ISERROR(MATCH(Q$1,INDIRECT("Table!A"&amp;$AG87):INDIRECT("Table!" &amp; $AJ$69 &amp; $AG87),0)),"",INDIRECT(CONCATENATE("Table!",ADDRESS($AC87,MATCH(Q$1,INDIRECT("Table!A" &amp; $AG87):INDIRECT("Table!" &amp; $AJ$69 &amp; $AG87),0)))))</f>
        <v/>
      </c>
      <c r="T87"/>
      <c r="AC87" s="22">
        <f>MATCH($A87,Table!$A:$A,0)+$AE$2-1</f>
        <v>1028</v>
      </c>
      <c r="AD87" s="247"/>
      <c r="AE87" s="247"/>
      <c r="AF87" s="247"/>
      <c r="AG87" s="22">
        <f>MATCH($A87,Table!$A:$A,0)+$AI$2-1</f>
        <v>1025</v>
      </c>
      <c r="AH87" s="247"/>
      <c r="AJ87" s="743" t="s">
        <v>285</v>
      </c>
    </row>
    <row r="88" spans="1:36" ht="15.75" customHeight="1" x14ac:dyDescent="0.25">
      <c r="A88" s="4">
        <v>41292</v>
      </c>
      <c r="B88" s="24">
        <f ca="1">IF(ISERROR(MATCH(B$1,INDIRECT("Table!A"&amp;$AG88):INDIRECT("Table!" &amp; $AJ$90 &amp; $AG88),0)),"",INDIRECT(CONCATENATE("Table!",ADDRESS($AC88,MATCH(B$1,INDIRECT("Table!A" &amp; $AG88):INDIRECT("Table!" &amp; $AJ$90 &amp; $AG88),0)))))</f>
        <v>0.29686551988183452</v>
      </c>
      <c r="C88" s="24">
        <f ca="1">IF(ISERROR(MATCH(C$1,INDIRECT("Table!A"&amp;$AG88):INDIRECT("Table!" &amp; $AJ$90 &amp; $AG88),0)),"",INDIRECT(CONCATENATE("Table!",ADDRESS($AC88,MATCH(C$1,INDIRECT("Table!A" &amp; $AG88):INDIRECT("Table!" &amp; $AJ$90 &amp; $AG88),0)))))</f>
        <v>0.50628571884147711</v>
      </c>
      <c r="D88" s="24">
        <f ca="1">IF(ISERROR(MATCH(D$1,INDIRECT("Table!A"&amp;$AG88):INDIRECT("Table!" &amp; $AJ$90 &amp; $AG88),0)),"",INDIRECT(CONCATENATE("Table!",ADDRESS($AC88,MATCH(D$1,INDIRECT("Table!A" &amp; $AG88):INDIRECT("Table!" &amp; $AJ$90 &amp; $AG88),0)))))</f>
        <v>0.51568207457290205</v>
      </c>
      <c r="E88" s="24">
        <f ca="1">IF(ISERROR(MATCH(E$1,INDIRECT("Table!A"&amp;$AG88):INDIRECT("Table!" &amp; $AJ$90 &amp; $AG88),0)),"",INDIRECT(CONCATENATE("Table!",ADDRESS($AC88,MATCH(E$1,INDIRECT("Table!A" &amp; $AG88):INDIRECT("Table!" &amp; $AJ$90 &amp; $AG88),0)))))</f>
        <v>0.89261463600109459</v>
      </c>
      <c r="F88" s="24">
        <f ca="1">IF(ISERROR(MATCH(F$1,INDIRECT("Table!A"&amp;$AG88):INDIRECT("Table!" &amp; $AJ$90 &amp; $AG88),0)),"",INDIRECT(CONCATENATE("Table!",ADDRESS($AC88,MATCH(F$1,INDIRECT("Table!A" &amp; $AG88):INDIRECT("Table!" &amp; $AJ$90 &amp; $AG88),0)))))</f>
        <v>0.4612103171605143</v>
      </c>
      <c r="G88" s="24">
        <f ca="1">IF(ISERROR(MATCH(G$1,INDIRECT("Table!A"&amp;$AG88):INDIRECT("Table!" &amp; $AJ$90 &amp; $AG88),0)),"",INDIRECT(CONCATENATE("Table!",ADDRESS($AC88,MATCH(G$1,INDIRECT("Table!A" &amp; $AG88):INDIRECT("Table!" &amp; $AJ$90 &amp; $AG88),0)))))</f>
        <v>0.25068794841522113</v>
      </c>
      <c r="H88" s="24">
        <f ca="1">IF(ISERROR(MATCH(H$1,INDIRECT("Table!A"&amp;$AG88):INDIRECT("Table!" &amp; $AJ$90 &amp; $AG88),0)),"",INDIRECT(CONCATENATE("Table!",ADDRESS($AC88,MATCH(H$1,INDIRECT("Table!A" &amp; $AG88):INDIRECT("Table!" &amp; $AJ$90 &amp; $AG88),0)))))</f>
        <v>0.44360258398869873</v>
      </c>
      <c r="I88" s="273" t="str">
        <f ca="1">IF(ISERROR(MATCH(I$1,INDIRECT("Table!A"&amp;$AG88):INDIRECT("Table!" &amp; $AJ$69 &amp; $AG88),0)),"",INDIRECT(CONCATENATE("Table!",ADDRESS($AC88,MATCH(I$1,INDIRECT("Table!A" &amp; $AG88):INDIRECT("Table!" &amp; $AJ$69 &amp; $AG88),0)))))</f>
        <v/>
      </c>
      <c r="J88" s="273" t="str">
        <f ca="1">IF(ISERROR(MATCH(J$1,INDIRECT("Table!A"&amp;$AG88):INDIRECT("Table!" &amp; $AJ$69 &amp; $AG88),0)),"",INDIRECT(CONCATENATE("Table!",ADDRESS($AC88,MATCH(J$1,INDIRECT("Table!A" &amp; $AG88):INDIRECT("Table!" &amp; $AJ$69 &amp; $AG88),0)))))</f>
        <v/>
      </c>
      <c r="K88" s="273" t="str">
        <f ca="1">IF(ISERROR(MATCH(K$1,INDIRECT("Table!A"&amp;$AG88):INDIRECT("Table!" &amp; $AJ$69 &amp; $AG88),0)),"",INDIRECT(CONCATENATE("Table!",ADDRESS($AC88,MATCH(K$1,INDIRECT("Table!A" &amp; $AG88):INDIRECT("Table!" &amp; $AJ$69 &amp; $AG88),0)))))</f>
        <v/>
      </c>
      <c r="L88" s="24">
        <f ca="1">IF(ISERROR(MATCH(L$1,INDIRECT("Table!A"&amp;$AG88):INDIRECT("Table!" &amp; $AJ$90 &amp; $AG88),0)),"",INDIRECT(CONCATENATE("Table!",ADDRESS($AC88,MATCH(L$1,INDIRECT("Table!A" &amp; $AG88):INDIRECT("Table!" &amp; $AJ$90 &amp; $AG88),0)))))</f>
        <v>0.78353753619959898</v>
      </c>
      <c r="M88" s="273">
        <f ca="1">IF(ISERROR(MATCH(M$1,INDIRECT("Table!A"&amp;$AG88):INDIRECT("Table!" &amp; $AJ$69 &amp; $AG88),0)),"",INDIRECT(CONCATENATE("Table!",ADDRESS($AC88,MATCH(M$1,INDIRECT("Table!A" &amp; $AG88):INDIRECT("Table!" &amp; $AJ$69 &amp; $AG88),0)))))</f>
        <v>0.31954058132688318</v>
      </c>
      <c r="N88" s="273">
        <f ca="1">IF(ISERROR(MATCH(N$1,INDIRECT("Table!A"&amp;$AG88):INDIRECT("Table!" &amp; $AJ$69 &amp; $AG88),0)),"",INDIRECT(CONCATENATE("Table!",ADDRESS($AC88,MATCH(N$1,INDIRECT("Table!A" &amp; $AG88):INDIRECT("Table!" &amp; $AJ$69 &amp; $AG88),0)))))</f>
        <v>0.47590306831080315</v>
      </c>
      <c r="O88" s="273">
        <f ca="1">IF(ISERROR(MATCH(O$1,INDIRECT("Table!A"&amp;$AG88):INDIRECT("Table!" &amp; $AJ$69 &amp; $AG88),0)),"",INDIRECT(CONCATENATE("Table!",ADDRESS($AC88,MATCH(O$1,INDIRECT("Table!A" &amp; $AG88):INDIRECT("Table!" &amp; $AJ$69 &amp; $AG88),0)))))</f>
        <v>0.61339383406985493</v>
      </c>
      <c r="P88" s="273" t="str">
        <f ca="1">IF(ISERROR(MATCH(P$1,INDIRECT("Table!A"&amp;$AG88):INDIRECT("Table!" &amp; $AJ$69 &amp; $AG88),0)),"",INDIRECT(CONCATENATE("Table!",ADDRESS($AC88,MATCH(P$1,INDIRECT("Table!A" &amp; $AG88):INDIRECT("Table!" &amp; $AJ$69 &amp; $AG88),0)))))</f>
        <v/>
      </c>
      <c r="Q88" s="273" t="str">
        <f ca="1">IF(ISERROR(MATCH(Q$1,INDIRECT("Table!A"&amp;$AG88):INDIRECT("Table!" &amp; $AJ$69 &amp; $AG88),0)),"",INDIRECT(CONCATENATE("Table!",ADDRESS($AC88,MATCH(Q$1,INDIRECT("Table!A" &amp; $AG88):INDIRECT("Table!" &amp; $AJ$69 &amp; $AG88),0)))))</f>
        <v/>
      </c>
      <c r="T88"/>
      <c r="AC88" s="22">
        <f>MATCH($A88,Table!$A:$A,0)+$AE$2-1</f>
        <v>1040</v>
      </c>
      <c r="AD88" s="246"/>
      <c r="AE88" s="246"/>
      <c r="AF88" s="246"/>
      <c r="AG88" s="22">
        <f>MATCH($A88,Table!$A:$A,0)+$AI$2-1</f>
        <v>1037</v>
      </c>
      <c r="AH88" s="246"/>
      <c r="AJ88" s="743" t="s">
        <v>285</v>
      </c>
    </row>
    <row r="89" spans="1:36" ht="15.75" customHeight="1" x14ac:dyDescent="0.25">
      <c r="A89" s="4">
        <v>41289</v>
      </c>
      <c r="B89" s="24">
        <f ca="1">IF(ISERROR(MATCH(B$1,INDIRECT("Table!A"&amp;$AG89):INDIRECT("Table!" &amp; $AJ$90 &amp; $AG89),0)),"",INDIRECT(CONCATENATE("Table!",ADDRESS($AC89,MATCH(B$1,INDIRECT("Table!A" &amp; $AG89):INDIRECT("Table!" &amp; $AJ$90 &amp; $AG89),0)))))</f>
        <v>0.30244741345763576</v>
      </c>
      <c r="C89" s="24">
        <f ca="1">IF(ISERROR(MATCH(C$1,INDIRECT("Table!A"&amp;$AG89):INDIRECT("Table!" &amp; $AJ$90 &amp; $AG89),0)),"",INDIRECT(CONCATENATE("Table!",ADDRESS($AC89,MATCH(C$1,INDIRECT("Table!A" &amp; $AG89):INDIRECT("Table!" &amp; $AJ$90 &amp; $AG89),0)))))</f>
        <v>0.50613025343518758</v>
      </c>
      <c r="D89" s="24">
        <f ca="1">IF(ISERROR(MATCH(D$1,INDIRECT("Table!A"&amp;$AG89):INDIRECT("Table!" &amp; $AJ$90 &amp; $AG89),0)),"",INDIRECT(CONCATENATE("Table!",ADDRESS($AC89,MATCH(D$1,INDIRECT("Table!A" &amp; $AG89):INDIRECT("Table!" &amp; $AJ$90 &amp; $AG89),0)))))</f>
        <v>0.51552660916661242</v>
      </c>
      <c r="E89" s="24">
        <f ca="1">IF(ISERROR(MATCH(E$1,INDIRECT("Table!A"&amp;$AG89):INDIRECT("Table!" &amp; $AJ$90 &amp; $AG89),0)),"",INDIRECT(CONCATENATE("Table!",ADDRESS($AC89,MATCH(E$1,INDIRECT("Table!A" &amp; $AG89):INDIRECT("Table!" &amp; $AJ$90 &amp; $AG89),0)))))</f>
        <v>0.89201957386298081</v>
      </c>
      <c r="F89" s="24">
        <f ca="1">IF(ISERROR(MATCH(F$1,INDIRECT("Table!A"&amp;$AG89):INDIRECT("Table!" &amp; $AJ$90 &amp; $AG89),0)),"",INDIRECT(CONCATENATE("Table!",ADDRESS($AC89,MATCH(F$1,INDIRECT("Table!A" &amp; $AG89):INDIRECT("Table!" &amp; $AJ$90 &amp; $AG89),0)))))</f>
        <v>0.45706229884710114</v>
      </c>
      <c r="G89" s="24">
        <f ca="1">IF(ISERROR(MATCH(G$1,INDIRECT("Table!A"&amp;$AG89):INDIRECT("Table!" &amp; $AJ$90 &amp; $AG89),0)),"",INDIRECT(CONCATENATE("Table!",ADDRESS($AC89,MATCH(G$1,INDIRECT("Table!A" &amp; $AG89):INDIRECT("Table!" &amp; $AJ$90 &amp; $AG89),0)))))</f>
        <v>0.26121000211909301</v>
      </c>
      <c r="H89" s="24">
        <f ca="1">IF(ISERROR(MATCH(H$1,INDIRECT("Table!A"&amp;$AG89):INDIRECT("Table!" &amp; $AJ$90 &amp; $AG89),0)),"",INDIRECT(CONCATENATE("Table!",ADDRESS($AC89,MATCH(H$1,INDIRECT("Table!A" &amp; $AG89):INDIRECT("Table!" &amp; $AJ$90 &amp; $AG89),0)))))</f>
        <v>0.44254927397434146</v>
      </c>
      <c r="I89" s="273" t="str">
        <f ca="1">IF(ISERROR(MATCH(I$1,INDIRECT("Table!A"&amp;$AG89):INDIRECT("Table!" &amp; $AJ$69 &amp; $AG89),0)),"",INDIRECT(CONCATENATE("Table!",ADDRESS($AC89,MATCH(I$1,INDIRECT("Table!A" &amp; $AG89):INDIRECT("Table!" &amp; $AJ$69 &amp; $AG89),0)))))</f>
        <v/>
      </c>
      <c r="J89" s="273" t="str">
        <f ca="1">IF(ISERROR(MATCH(J$1,INDIRECT("Table!A"&amp;$AG89):INDIRECT("Table!" &amp; $AJ$69 &amp; $AG89),0)),"",INDIRECT(CONCATENATE("Table!",ADDRESS($AC89,MATCH(J$1,INDIRECT("Table!A" &amp; $AG89):INDIRECT("Table!" &amp; $AJ$69 &amp; $AG89),0)))))</f>
        <v/>
      </c>
      <c r="K89" s="273" t="str">
        <f ca="1">IF(ISERROR(MATCH(K$1,INDIRECT("Table!A"&amp;$AG89):INDIRECT("Table!" &amp; $AJ$69 &amp; $AG89),0)),"",INDIRECT(CONCATENATE("Table!",ADDRESS($AC89,MATCH(K$1,INDIRECT("Table!A" &amp; $AG89):INDIRECT("Table!" &amp; $AJ$69 &amp; $AG89),0)))))</f>
        <v/>
      </c>
      <c r="L89" s="24">
        <f ca="1">IF(ISERROR(MATCH(L$1,INDIRECT("Table!A"&amp;$AG89):INDIRECT("Table!" &amp; $AJ$90 &amp; $AG89),0)),"",INDIRECT(CONCATENATE("Table!",ADDRESS($AC89,MATCH(L$1,INDIRECT("Table!A" &amp; $AG89):INDIRECT("Table!" &amp; $AJ$90 &amp; $AG89),0)))))</f>
        <v>0.78172690867080763</v>
      </c>
      <c r="M89" s="273">
        <f ca="1">IF(ISERROR(MATCH(M$1,INDIRECT("Table!A"&amp;$AG89):INDIRECT("Table!" &amp; $AJ$69 &amp; $AG89),0)),"",INDIRECT(CONCATENATE("Table!",ADDRESS($AC89,MATCH(M$1,INDIRECT("Table!A" &amp; $AG89):INDIRECT("Table!" &amp; $AJ$69 &amp; $AG89),0)))))</f>
        <v>0.31443811576587688</v>
      </c>
      <c r="N89" s="273">
        <f ca="1">IF(ISERROR(MATCH(N$1,INDIRECT("Table!A"&amp;$AG89):INDIRECT("Table!" &amp; $AJ$69 &amp; $AG89),0)),"",INDIRECT(CONCATENATE("Table!",ADDRESS($AC89,MATCH(N$1,INDIRECT("Table!A" &amp; $AG89):INDIRECT("Table!" &amp; $AJ$69 &amp; $AG89),0)))))</f>
        <v>0.47165049083544169</v>
      </c>
      <c r="O89" s="273">
        <f ca="1">IF(ISERROR(MATCH(O$1,INDIRECT("Table!A"&amp;$AG89):INDIRECT("Table!" &amp; $AJ$69 &amp; $AG89),0)),"",INDIRECT(CONCATENATE("Table!",ADDRESS($AC89,MATCH(O$1,INDIRECT("Table!A" &amp; $AG89):INDIRECT("Table!" &amp; $AJ$69 &amp; $AG89),0)))))</f>
        <v>0.61196989846596861</v>
      </c>
      <c r="P89" s="273" t="str">
        <f ca="1">IF(ISERROR(MATCH(P$1,INDIRECT("Table!A"&amp;$AG89):INDIRECT("Table!" &amp; $AJ$69 &amp; $AG89),0)),"",INDIRECT(CONCATENATE("Table!",ADDRESS($AC89,MATCH(P$1,INDIRECT("Table!A" &amp; $AG89):INDIRECT("Table!" &amp; $AJ$69 &amp; $AG89),0)))))</f>
        <v/>
      </c>
      <c r="Q89" s="273" t="str">
        <f ca="1">IF(ISERROR(MATCH(Q$1,INDIRECT("Table!A"&amp;$AG89):INDIRECT("Table!" &amp; $AJ$69 &amp; $AG89),0)),"",INDIRECT(CONCATENATE("Table!",ADDRESS($AC89,MATCH(Q$1,INDIRECT("Table!A" &amp; $AG89):INDIRECT("Table!" &amp; $AJ$69 &amp; $AG89),0)))))</f>
        <v/>
      </c>
      <c r="T89"/>
      <c r="AC89" s="22">
        <f>MATCH($A89,Table!$A:$A,0)+$AE$2-1</f>
        <v>1052</v>
      </c>
      <c r="AD89" s="246"/>
      <c r="AE89" s="246"/>
      <c r="AF89" s="246"/>
      <c r="AG89" s="22">
        <f>MATCH($A89,Table!$A:$A,0)+$AI$2-1</f>
        <v>1049</v>
      </c>
      <c r="AH89" s="246"/>
      <c r="AJ89" s="743" t="s">
        <v>285</v>
      </c>
    </row>
    <row r="90" spans="1:36" ht="15.75" customHeight="1" x14ac:dyDescent="0.25">
      <c r="A90" s="4">
        <v>41285</v>
      </c>
      <c r="B90" s="24">
        <f ca="1">IF(ISERROR(MATCH(B$1,INDIRECT("Table!A"&amp;$AG90):INDIRECT("Table!" &amp; $AJ$90 &amp; $AG90),0)),"",INDIRECT(CONCATENATE("Table!",ADDRESS($AC90,MATCH(B$1,INDIRECT("Table!A" &amp; $AG90):INDIRECT("Table!" &amp; $AJ$90 &amp; $AG90),0)))))</f>
        <v>0.29784186308599764</v>
      </c>
      <c r="C90" s="24">
        <f ca="1">IF(ISERROR(MATCH(C$1,INDIRECT("Table!A"&amp;$AG90):INDIRECT("Table!" &amp; $AJ$90 &amp; $AG90),0)),"",INDIRECT(CONCATENATE("Table!",ADDRESS($AC90,MATCH(C$1,INDIRECT("Table!A" &amp; $AG90):INDIRECT("Table!" &amp; $AJ$90 &amp; $AG90),0)))))</f>
        <v>0.50580071992441988</v>
      </c>
      <c r="D90" s="24">
        <f ca="1">IF(ISERROR(MATCH(D$1,INDIRECT("Table!A"&amp;$AG90):INDIRECT("Table!" &amp; $AJ$90 &amp; $AG90),0)),"",INDIRECT(CONCATENATE("Table!",ADDRESS($AC90,MATCH(D$1,INDIRECT("Table!A" &amp; $AG90):INDIRECT("Table!" &amp; $AJ$90 &amp; $AG90),0)))))</f>
        <v>0.51519707565584483</v>
      </c>
      <c r="E90" s="24">
        <f ca="1">IF(ISERROR(MATCH(E$1,INDIRECT("Table!A"&amp;$AG90):INDIRECT("Table!" &amp; $AJ$90 &amp; $AG90),0)),"",INDIRECT(CONCATENATE("Table!",ADDRESS($AC90,MATCH(E$1,INDIRECT("Table!A" &amp; $AG90):INDIRECT("Table!" &amp; $AJ$90 &amp; $AG90),0)))))</f>
        <v>0.88960196222152144</v>
      </c>
      <c r="F90" s="24">
        <f ca="1">IF(ISERROR(MATCH(F$1,INDIRECT("Table!A"&amp;$AG90):INDIRECT("Table!" &amp; $AJ$90 &amp; $AG90),0)),"",INDIRECT(CONCATENATE("Table!",ADDRESS($AC90,MATCH(F$1,INDIRECT("Table!A" &amp; $AG90):INDIRECT("Table!" &amp; $AJ$90 &amp; $AG90),0)))))</f>
        <v>0.45479216089209895</v>
      </c>
      <c r="G90" s="24">
        <f ca="1">IF(ISERROR(MATCH(G$1,INDIRECT("Table!A"&amp;$AG90):INDIRECT("Table!" &amp; $AJ$90 &amp; $AG90),0)),"",INDIRECT(CONCATENATE("Table!",ADDRESS($AC90,MATCH(G$1,INDIRECT("Table!A" &amp; $AG90):INDIRECT("Table!" &amp; $AJ$90 &amp; $AG90),0)))))</f>
        <v>0.24044137680501318</v>
      </c>
      <c r="H90" s="24">
        <f ca="1">IF(ISERROR(MATCH(H$1,INDIRECT("Table!A"&amp;$AG90):INDIRECT("Table!" &amp; $AJ$90 &amp; $AG90),0)),"",INDIRECT(CONCATENATE("Table!",ADDRESS($AC90,MATCH(H$1,INDIRECT("Table!A" &amp; $AG90):INDIRECT("Table!" &amp; $AJ$90 &amp; $AG90),0)))))</f>
        <v>0.44178442914388477</v>
      </c>
      <c r="I90" s="273" t="str">
        <f ca="1">IF(ISERROR(MATCH(I$1,INDIRECT("Table!A"&amp;$AG90):INDIRECT("Table!" &amp; $AJ$69 &amp; $AG90),0)),"",INDIRECT(CONCATENATE("Table!",ADDRESS($AC90,MATCH(I$1,INDIRECT("Table!A" &amp; $AG90):INDIRECT("Table!" &amp; $AJ$69 &amp; $AG90),0)))))</f>
        <v/>
      </c>
      <c r="J90" s="273" t="str">
        <f ca="1">IF(ISERROR(MATCH(J$1,INDIRECT("Table!A"&amp;$AG90):INDIRECT("Table!" &amp; $AJ$69 &amp; $AG90),0)),"",INDIRECT(CONCATENATE("Table!",ADDRESS($AC90,MATCH(J$1,INDIRECT("Table!A" &amp; $AG90):INDIRECT("Table!" &amp; $AJ$69 &amp; $AG90),0)))))</f>
        <v/>
      </c>
      <c r="K90" s="273" t="str">
        <f ca="1">IF(ISERROR(MATCH(K$1,INDIRECT("Table!A"&amp;$AG90):INDIRECT("Table!" &amp; $AJ$69 &amp; $AG90),0)),"",INDIRECT(CONCATENATE("Table!",ADDRESS($AC90,MATCH(K$1,INDIRECT("Table!A" &amp; $AG90):INDIRECT("Table!" &amp; $AJ$69 &amp; $AG90),0)))))</f>
        <v/>
      </c>
      <c r="L90" s="24">
        <f ca="1">IF(ISERROR(MATCH(L$1,INDIRECT("Table!A"&amp;$AG90):INDIRECT("Table!" &amp; $AJ$90 &amp; $AG90),0)),"",INDIRECT(CONCATENATE("Table!",ADDRESS($AC90,MATCH(L$1,INDIRECT("Table!A" &amp; $AG90):INDIRECT("Table!" &amp; $AJ$90 &amp; $AG90),0)))))</f>
        <v>0.78115185958441047</v>
      </c>
      <c r="M90" s="273">
        <f ca="1">IF(ISERROR(MATCH(M$1,INDIRECT("Table!A"&amp;$AG90):INDIRECT("Table!" &amp; $AJ$69 &amp; $AG90),0)),"",INDIRECT(CONCATENATE("Table!",ADDRESS($AC90,MATCH(M$1,INDIRECT("Table!A" &amp; $AG90):INDIRECT("Table!" &amp; $AJ$69 &amp; $AG90),0)))))</f>
        <v>0.31126704921283382</v>
      </c>
      <c r="N90" s="273">
        <f ca="1">IF(ISERROR(MATCH(N$1,INDIRECT("Table!A"&amp;$AG90):INDIRECT("Table!" &amp; $AJ$69 &amp; $AG90),0)),"",INDIRECT(CONCATENATE("Table!",ADDRESS($AC90,MATCH(N$1,INDIRECT("Table!A" &amp; $AG90):INDIRECT("Table!" &amp; $AJ$69 &amp; $AG90),0)))))</f>
        <v>0.46927397937536192</v>
      </c>
      <c r="O90" s="273">
        <f ca="1">IF(ISERROR(MATCH(O$1,INDIRECT("Table!A"&amp;$AG90):INDIRECT("Table!" &amp; $AJ$69 &amp; $AG90),0)),"",INDIRECT(CONCATENATE("Table!",ADDRESS($AC90,MATCH(O$1,INDIRECT("Table!A" &amp; $AG90):INDIRECT("Table!" &amp; $AJ$69 &amp; $AG90),0)))))</f>
        <v>0.61094883521160992</v>
      </c>
      <c r="P90" s="273" t="str">
        <f ca="1">IF(ISERROR(MATCH(P$1,INDIRECT("Table!A"&amp;$AG90):INDIRECT("Table!" &amp; $AJ$69 &amp; $AG90),0)),"",INDIRECT(CONCATENATE("Table!",ADDRESS($AC90,MATCH(P$1,INDIRECT("Table!A" &amp; $AG90):INDIRECT("Table!" &amp; $AJ$69 &amp; $AG90),0)))))</f>
        <v/>
      </c>
      <c r="Q90" s="273" t="str">
        <f ca="1">IF(ISERROR(MATCH(Q$1,INDIRECT("Table!A"&amp;$AG90):INDIRECT("Table!" &amp; $AJ$69 &amp; $AG90),0)),"",INDIRECT(CONCATENATE("Table!",ADDRESS($AC90,MATCH(Q$1,INDIRECT("Table!A" &amp; $AG90):INDIRECT("Table!" &amp; $AJ$69 &amp; $AG90),0)))))</f>
        <v/>
      </c>
      <c r="T90"/>
      <c r="AC90" s="22">
        <f>MATCH($A90,Table!$A:$A,0)+$AE$2-1</f>
        <v>1064</v>
      </c>
      <c r="AD90" s="245"/>
      <c r="AE90" s="245"/>
      <c r="AF90" s="245"/>
      <c r="AG90" s="22">
        <f>MATCH($A90,Table!$A:$A,0)+$AI$2-1</f>
        <v>1061</v>
      </c>
      <c r="AH90" s="245"/>
      <c r="AJ90" s="743" t="s">
        <v>285</v>
      </c>
    </row>
    <row r="91" spans="1:36" ht="15.75" customHeight="1" x14ac:dyDescent="0.25">
      <c r="A91" s="4">
        <v>41281</v>
      </c>
      <c r="B91" s="24">
        <f ca="1">IF(ISERROR(MATCH(B$1,INDIRECT("Table!A"&amp;$AG91):INDIRECT("Table!" &amp; $AJ$90 &amp; $AG91),0)),"",INDIRECT(CONCATENATE("Table!",ADDRESS($AC91,MATCH(B$1,INDIRECT("Table!A" &amp; $AG91):INDIRECT("Table!" &amp; $AJ$90 &amp; $AG91),0)))))</f>
        <v>0.28042738726374233</v>
      </c>
      <c r="C91" s="24">
        <f ca="1">IF(ISERROR(MATCH(C$1,INDIRECT("Table!A"&amp;$AG91):INDIRECT("Table!" &amp; $AJ$90 &amp; $AG91),0)),"",INDIRECT(CONCATENATE("Table!",ADDRESS($AC91,MATCH(C$1,INDIRECT("Table!A" &amp; $AG91):INDIRECT("Table!" &amp; $AJ$90 &amp; $AG91),0)))))</f>
        <v>0.50553496709315571</v>
      </c>
      <c r="D91" s="24">
        <f ca="1">IF(ISERROR(MATCH(D$1,INDIRECT("Table!A"&amp;$AG91):INDIRECT("Table!" &amp; $AJ$90 &amp; $AG91),0)),"",INDIRECT(CONCATENATE("Table!",ADDRESS($AC91,MATCH(D$1,INDIRECT("Table!A" &amp; $AG91):INDIRECT("Table!" &amp; $AJ$90 &amp; $AG91),0)))))</f>
        <v>0.51493198720665867</v>
      </c>
      <c r="E91" s="24">
        <f ca="1">IF(ISERROR(MATCH(E$1,INDIRECT("Table!A"&amp;$AG91):INDIRECT("Table!" &amp; $AJ$90 &amp; $AG91),0)),"",INDIRECT(CONCATENATE("Table!",ADDRESS($AC91,MATCH(E$1,INDIRECT("Table!A" &amp; $AG91):INDIRECT("Table!" &amp; $AJ$90 &amp; $AG91),0)))))</f>
        <v>0.88875140248948059</v>
      </c>
      <c r="F91" s="24">
        <f ca="1">IF(ISERROR(MATCH(F$1,INDIRECT("Table!A"&amp;$AG91):INDIRECT("Table!" &amp; $AJ$90 &amp; $AG91),0)),"",INDIRECT(CONCATENATE("Table!",ADDRESS($AC91,MATCH(F$1,INDIRECT("Table!A" &amp; $AG91):INDIRECT("Table!" &amp; $AJ$90 &amp; $AG91),0)))))</f>
        <v>0.44734954140916583</v>
      </c>
      <c r="G91" s="24">
        <f ca="1">IF(ISERROR(MATCH(G$1,INDIRECT("Table!A"&amp;$AG91):INDIRECT("Table!" &amp; $AJ$90 &amp; $AG91),0)),"",INDIRECT(CONCATENATE("Table!",ADDRESS($AC91,MATCH(G$1,INDIRECT("Table!A" &amp; $AG91):INDIRECT("Table!" &amp; $AJ$90 &amp; $AG91),0)))))</f>
        <v>0.23468955287137105</v>
      </c>
      <c r="H91" s="24">
        <f ca="1">IF(ISERROR(MATCH(H$1,INDIRECT("Table!A"&amp;$AG91):INDIRECT("Table!" &amp; $AJ$90 &amp; $AG91),0)),"",INDIRECT(CONCATENATE("Table!",ADDRESS($AC91,MATCH(H$1,INDIRECT("Table!A" &amp; $AG91):INDIRECT("Table!" &amp; $AJ$90 &amp; $AG91),0)))))</f>
        <v>0.44020034319115026</v>
      </c>
      <c r="I91" s="273" t="str">
        <f ca="1">IF(ISERROR(MATCH(I$1,INDIRECT("Table!A"&amp;$AG91):INDIRECT("Table!" &amp; $AJ$69 &amp; $AG91),0)),"",INDIRECT(CONCATENATE("Table!",ADDRESS($AC91,MATCH(I$1,INDIRECT("Table!A" &amp; $AG91):INDIRECT("Table!" &amp; $AJ$69 &amp; $AG91),0)))))</f>
        <v/>
      </c>
      <c r="J91" s="273" t="str">
        <f ca="1">IF(ISERROR(MATCH(J$1,INDIRECT("Table!A"&amp;$AG91):INDIRECT("Table!" &amp; $AJ$69 &amp; $AG91),0)),"",INDIRECT(CONCATENATE("Table!",ADDRESS($AC91,MATCH(J$1,INDIRECT("Table!A" &amp; $AG91):INDIRECT("Table!" &amp; $AJ$69 &amp; $AG91),0)))))</f>
        <v/>
      </c>
      <c r="K91" s="273" t="str">
        <f ca="1">IF(ISERROR(MATCH(K$1,INDIRECT("Table!A"&amp;$AG91):INDIRECT("Table!" &amp; $AJ$69 &amp; $AG91),0)),"",INDIRECT(CONCATENATE("Table!",ADDRESS($AC91,MATCH(K$1,INDIRECT("Table!A" &amp; $AG91):INDIRECT("Table!" &amp; $AJ$69 &amp; $AG91),0)))))</f>
        <v/>
      </c>
      <c r="L91" s="24">
        <f ca="1">IF(ISERROR(MATCH(L$1,INDIRECT("Table!A"&amp;$AG91):INDIRECT("Table!" &amp; $AJ$90 &amp; $AG91),0)),"",INDIRECT(CONCATENATE("Table!",ADDRESS($AC91,MATCH(L$1,INDIRECT("Table!A" &amp; $AG91):INDIRECT("Table!" &amp; $AJ$90 &amp; $AG91),0)))))</f>
        <v>0.7797080201215375</v>
      </c>
      <c r="M91" s="273">
        <f ca="1">IF(ISERROR(MATCH(M$1,INDIRECT("Table!A"&amp;$AG91):INDIRECT("Table!" &amp; $AJ$69 &amp; $AG91),0)),"",INDIRECT(CONCATENATE("Table!",ADDRESS($AC91,MATCH(M$1,INDIRECT("Table!A" &amp; $AG91):INDIRECT("Table!" &amp; $AJ$69 &amp; $AG91),0)))))</f>
        <v>0.31507157225869237</v>
      </c>
      <c r="N91" s="273">
        <f ca="1">IF(ISERROR(MATCH(N$1,INDIRECT("Table!A"&amp;$AG91):INDIRECT("Table!" &amp; $AJ$69 &amp; $AG91),0)),"",INDIRECT(CONCATENATE("Table!",ADDRESS($AC91,MATCH(N$1,INDIRECT("Table!A" &amp; $AG91):INDIRECT("Table!" &amp; $AJ$69 &amp; $AG91),0)))))</f>
        <v>0.46175158323290172</v>
      </c>
      <c r="O91" s="273">
        <f ca="1">IF(ISERROR(MATCH(O$1,INDIRECT("Table!A"&amp;$AG91):INDIRECT("Table!" &amp; $AJ$69 &amp; $AG91),0)),"",INDIRECT(CONCATENATE("Table!",ADDRESS($AC91,MATCH(O$1,INDIRECT("Table!A" &amp; $AG91):INDIRECT("Table!" &amp; $AJ$69 &amp; $AG91),0)))))</f>
        <v>0.60886874464182605</v>
      </c>
      <c r="P91" s="273" t="str">
        <f ca="1">IF(ISERROR(MATCH(P$1,INDIRECT("Table!A"&amp;$AG91):INDIRECT("Table!" &amp; $AJ$69 &amp; $AG91),0)),"",INDIRECT(CONCATENATE("Table!",ADDRESS($AC91,MATCH(P$1,INDIRECT("Table!A" &amp; $AG91):INDIRECT("Table!" &amp; $AJ$69 &amp; $AG91),0)))))</f>
        <v/>
      </c>
      <c r="Q91" s="273" t="str">
        <f ca="1">IF(ISERROR(MATCH(Q$1,INDIRECT("Table!A"&amp;$AG91):INDIRECT("Table!" &amp; $AJ$69 &amp; $AG91),0)),"",INDIRECT(CONCATENATE("Table!",ADDRESS($AC91,MATCH(Q$1,INDIRECT("Table!A" &amp; $AG91):INDIRECT("Table!" &amp; $AJ$69 &amp; $AG91),0)))))</f>
        <v/>
      </c>
      <c r="T91"/>
      <c r="AC91" s="22">
        <f>MATCH($A91,Table!$A:$A,0)+$AE$2-1</f>
        <v>1088</v>
      </c>
      <c r="AD91" s="243"/>
      <c r="AE91" s="243"/>
      <c r="AF91" s="243"/>
      <c r="AG91" s="22">
        <f>MATCH($A91,Table!$A:$A,0)+$AI$2-1</f>
        <v>1085</v>
      </c>
      <c r="AH91" s="243"/>
      <c r="AJ91" s="743" t="s">
        <v>285</v>
      </c>
    </row>
    <row r="92" spans="1:36" s="267" customFormat="1" ht="15.75" customHeight="1" x14ac:dyDescent="0.25">
      <c r="A92" s="268"/>
      <c r="B92" s="273"/>
      <c r="C92" s="273"/>
      <c r="D92" s="273"/>
      <c r="E92" s="273"/>
      <c r="F92" s="273"/>
      <c r="G92" s="273"/>
      <c r="H92" s="273"/>
      <c r="I92" s="273"/>
      <c r="J92" s="273"/>
      <c r="K92" s="273"/>
      <c r="L92" s="273"/>
      <c r="M92" s="273"/>
      <c r="N92" s="273"/>
      <c r="O92" s="273"/>
      <c r="P92" s="273"/>
      <c r="T92" s="272"/>
      <c r="U92" s="591"/>
      <c r="V92" s="743"/>
      <c r="W92" s="743"/>
      <c r="X92" s="743"/>
      <c r="Y92" s="743"/>
      <c r="Z92" s="743"/>
      <c r="AA92" s="743"/>
      <c r="AB92" s="743"/>
      <c r="AC92" s="369"/>
      <c r="AD92" s="369"/>
      <c r="AE92" s="369"/>
      <c r="AF92" s="272"/>
      <c r="AG92" s="369"/>
    </row>
    <row r="93" spans="1:36" s="267" customFormat="1" ht="15.75" customHeight="1" x14ac:dyDescent="0.25">
      <c r="A93" s="268"/>
      <c r="B93" s="273"/>
      <c r="C93" s="273"/>
      <c r="D93" s="273"/>
      <c r="E93" s="273"/>
      <c r="F93" s="273"/>
      <c r="G93" s="273"/>
      <c r="H93" s="273"/>
      <c r="I93" s="273"/>
      <c r="J93" s="273"/>
      <c r="K93" s="592"/>
      <c r="L93" s="273"/>
      <c r="M93" s="273"/>
      <c r="N93" s="273"/>
      <c r="O93" s="273"/>
      <c r="P93" s="273"/>
      <c r="T93" s="272"/>
      <c r="U93" s="591"/>
      <c r="V93" s="743"/>
      <c r="W93" s="743"/>
      <c r="X93" s="743"/>
      <c r="Y93" s="743"/>
      <c r="Z93" s="743"/>
      <c r="AA93" s="743"/>
      <c r="AB93" s="743"/>
      <c r="AC93" s="369"/>
      <c r="AD93" s="369"/>
      <c r="AE93" s="272"/>
      <c r="AF93" s="369"/>
    </row>
    <row r="94" spans="1:36" s="267" customFormat="1" ht="15.75" customHeight="1" x14ac:dyDescent="0.25">
      <c r="A94" s="268"/>
      <c r="B94" s="273"/>
      <c r="C94" s="273"/>
      <c r="D94" s="273"/>
      <c r="E94" s="273"/>
      <c r="F94" s="273"/>
      <c r="G94" s="273"/>
      <c r="H94" s="273"/>
      <c r="I94" s="273"/>
      <c r="J94" s="273"/>
      <c r="K94" s="592"/>
      <c r="L94" s="273"/>
      <c r="M94" s="273"/>
      <c r="N94" s="273"/>
      <c r="O94" s="273"/>
      <c r="P94" s="273"/>
      <c r="T94" s="272"/>
      <c r="U94" s="591"/>
      <c r="V94" s="743"/>
      <c r="W94" s="743"/>
      <c r="X94" s="743"/>
      <c r="Y94" s="743"/>
      <c r="Z94" s="743"/>
      <c r="AA94" s="743"/>
      <c r="AB94" s="743"/>
      <c r="AC94" s="369"/>
      <c r="AD94" s="369"/>
      <c r="AE94" s="272"/>
      <c r="AF94" s="369"/>
    </row>
    <row r="95" spans="1:36" s="267" customFormat="1" ht="15.75" customHeight="1" x14ac:dyDescent="0.25">
      <c r="A95" s="268"/>
      <c r="B95" s="273"/>
      <c r="C95" s="273"/>
      <c r="D95" s="273"/>
      <c r="E95" s="273"/>
      <c r="F95" s="273"/>
      <c r="G95" s="273"/>
      <c r="H95" s="273"/>
      <c r="I95" s="273"/>
      <c r="J95" s="273"/>
      <c r="K95" s="592"/>
      <c r="L95" s="273"/>
      <c r="M95" s="273"/>
      <c r="N95" s="273"/>
      <c r="O95" s="273"/>
      <c r="P95" s="273"/>
      <c r="T95" s="272"/>
      <c r="U95" s="591"/>
      <c r="V95" s="743"/>
      <c r="W95" s="743"/>
      <c r="X95" s="743"/>
      <c r="Y95" s="743"/>
      <c r="Z95" s="743"/>
      <c r="AA95" s="743"/>
      <c r="AB95" s="743"/>
      <c r="AC95" s="369"/>
      <c r="AD95" s="369"/>
      <c r="AE95" s="272"/>
      <c r="AF95" s="369"/>
    </row>
    <row r="96" spans="1:36" ht="15.75" customHeight="1" x14ac:dyDescent="0.25">
      <c r="B96" s="24"/>
      <c r="C96" s="24"/>
      <c r="D96" s="24"/>
      <c r="E96" s="24"/>
      <c r="F96" s="24"/>
      <c r="G96" s="24"/>
      <c r="H96" s="24"/>
      <c r="I96" s="273"/>
      <c r="J96" s="273"/>
      <c r="K96" s="592"/>
      <c r="L96" s="24"/>
      <c r="M96" s="24"/>
      <c r="N96" s="24"/>
      <c r="O96" s="24"/>
      <c r="P96" s="273"/>
      <c r="T96" s="22"/>
      <c r="AC96" s="242"/>
      <c r="AD96" s="242"/>
      <c r="AE96" s="22"/>
      <c r="AF96" s="242"/>
    </row>
    <row r="97" spans="2:36" ht="15.75" customHeight="1" x14ac:dyDescent="0.25">
      <c r="B97" s="24"/>
      <c r="C97" s="24"/>
      <c r="D97" s="24"/>
      <c r="E97" s="24"/>
      <c r="F97" s="24"/>
      <c r="G97" s="24"/>
      <c r="H97" s="24"/>
      <c r="I97" s="273"/>
      <c r="J97" s="273"/>
      <c r="K97" s="24"/>
      <c r="L97" s="24"/>
      <c r="M97" s="24"/>
      <c r="N97" s="24"/>
      <c r="O97" s="24"/>
      <c r="P97" s="273"/>
      <c r="T97" s="22"/>
      <c r="AC97" s="241"/>
      <c r="AD97" s="241"/>
      <c r="AE97" s="22"/>
      <c r="AF97" s="241"/>
    </row>
    <row r="98" spans="2:36" ht="15.75" customHeight="1" x14ac:dyDescent="0.25">
      <c r="B98" s="24"/>
      <c r="C98" s="24"/>
      <c r="D98" s="24"/>
      <c r="E98" s="24"/>
      <c r="F98" s="24"/>
      <c r="G98" s="24"/>
      <c r="H98" s="24"/>
      <c r="I98" s="273"/>
      <c r="J98" s="273"/>
      <c r="K98" s="24"/>
      <c r="L98" s="24"/>
      <c r="M98" s="24"/>
      <c r="N98" s="24"/>
      <c r="O98" s="24"/>
      <c r="P98" s="273"/>
      <c r="T98" s="22"/>
      <c r="AC98" s="240"/>
      <c r="AD98" s="240"/>
      <c r="AE98" s="22"/>
      <c r="AF98" s="240"/>
    </row>
    <row r="99" spans="2:36" ht="15.75" customHeight="1" x14ac:dyDescent="0.25">
      <c r="B99" s="24"/>
      <c r="C99" s="24"/>
      <c r="D99" s="24"/>
      <c r="E99" s="24"/>
      <c r="F99" s="24"/>
      <c r="G99" s="24"/>
      <c r="H99" s="24"/>
      <c r="I99" s="273"/>
      <c r="J99" s="273"/>
      <c r="K99" s="24"/>
      <c r="L99" s="24"/>
      <c r="M99" s="24"/>
      <c r="N99" s="24"/>
      <c r="O99" s="24"/>
      <c r="P99" s="273"/>
      <c r="T99" s="22"/>
      <c r="AC99" s="239"/>
      <c r="AD99" s="239"/>
      <c r="AE99" s="22"/>
      <c r="AF99" s="239"/>
    </row>
    <row r="100" spans="2:36" ht="15.75" customHeight="1" x14ac:dyDescent="0.25">
      <c r="B100" s="24"/>
      <c r="C100" s="24"/>
      <c r="D100" s="24"/>
      <c r="E100" s="24"/>
      <c r="F100" s="24"/>
      <c r="G100" s="24"/>
      <c r="H100" s="24"/>
      <c r="I100" s="273"/>
      <c r="J100" s="273"/>
      <c r="K100" s="24"/>
      <c r="L100" s="24"/>
      <c r="M100" s="24"/>
      <c r="N100" s="24"/>
      <c r="O100" s="24"/>
      <c r="P100" s="273"/>
      <c r="T100" s="22"/>
      <c r="AC100" s="238"/>
      <c r="AD100" s="238"/>
      <c r="AE100" s="22"/>
      <c r="AF100" s="238"/>
    </row>
    <row r="101" spans="2:36" ht="15.75" customHeight="1" x14ac:dyDescent="0.25">
      <c r="B101" s="24"/>
      <c r="C101" s="24"/>
      <c r="D101" s="24"/>
      <c r="E101" s="24"/>
      <c r="F101" s="24"/>
      <c r="G101" s="24"/>
      <c r="H101" s="24"/>
      <c r="I101" s="273"/>
      <c r="J101" s="273"/>
      <c r="K101" s="24"/>
      <c r="L101" s="24"/>
      <c r="M101" s="24"/>
      <c r="N101" s="24"/>
      <c r="O101" s="24"/>
      <c r="P101" s="273"/>
      <c r="T101" s="22"/>
      <c r="AC101" s="220"/>
      <c r="AD101" s="220"/>
      <c r="AE101" s="22"/>
      <c r="AF101" s="220"/>
    </row>
    <row r="102" spans="2:36" ht="15.75" customHeight="1" x14ac:dyDescent="0.25">
      <c r="B102" s="24"/>
      <c r="C102" s="24"/>
      <c r="D102" s="24"/>
      <c r="E102" s="24"/>
      <c r="F102" s="24"/>
      <c r="G102" s="24"/>
      <c r="H102" s="24"/>
      <c r="I102" s="273"/>
      <c r="J102" s="273"/>
      <c r="K102" s="24"/>
      <c r="L102" s="24"/>
      <c r="M102" s="24"/>
      <c r="N102" s="24"/>
      <c r="O102" s="24"/>
      <c r="P102" s="273"/>
      <c r="T102" s="22"/>
      <c r="AC102" s="219"/>
      <c r="AD102" s="219"/>
      <c r="AE102" s="22"/>
      <c r="AF102" s="219"/>
    </row>
    <row r="103" spans="2:36" ht="15.75" customHeight="1" x14ac:dyDescent="0.25">
      <c r="B103" s="24"/>
      <c r="C103" s="24"/>
      <c r="D103" s="24"/>
      <c r="E103" s="24"/>
      <c r="F103" s="24"/>
      <c r="G103" s="24"/>
      <c r="H103" s="24"/>
      <c r="I103" s="273"/>
      <c r="J103" s="273"/>
      <c r="K103" s="24"/>
      <c r="L103" s="24"/>
      <c r="M103" s="24"/>
      <c r="N103" s="24"/>
      <c r="O103" s="24"/>
      <c r="P103" s="273"/>
      <c r="T103" s="22"/>
      <c r="AC103" s="218"/>
      <c r="AD103" s="218"/>
      <c r="AE103" s="22"/>
      <c r="AF103" s="218"/>
    </row>
    <row r="104" spans="2:36" ht="15.75" customHeight="1" x14ac:dyDescent="0.25">
      <c r="B104" s="24"/>
      <c r="C104" s="24"/>
      <c r="D104" s="24"/>
      <c r="E104" s="24"/>
      <c r="F104" s="24"/>
      <c r="G104" s="24"/>
      <c r="H104" s="24"/>
      <c r="I104" s="273"/>
      <c r="J104" s="273"/>
      <c r="K104" s="24"/>
      <c r="L104" s="24"/>
      <c r="M104" s="24"/>
      <c r="N104" s="24"/>
      <c r="O104" s="24"/>
      <c r="P104" s="273"/>
      <c r="T104" s="22"/>
      <c r="AC104" s="217"/>
      <c r="AD104" s="217"/>
      <c r="AE104" s="22"/>
      <c r="AF104" s="217"/>
      <c r="AH104" s="31"/>
      <c r="AI104" s="22"/>
      <c r="AJ104" s="31"/>
    </row>
    <row r="105" spans="2:36" ht="15.75" customHeight="1" x14ac:dyDescent="0.25">
      <c r="B105" s="24"/>
      <c r="C105" s="24"/>
      <c r="D105" s="24"/>
      <c r="E105" s="24"/>
      <c r="F105" s="24"/>
      <c r="G105" s="24"/>
      <c r="H105" s="24"/>
      <c r="I105" s="273"/>
      <c r="J105" s="273"/>
      <c r="K105" s="24"/>
      <c r="L105" s="24"/>
      <c r="M105" s="24"/>
      <c r="N105" s="24"/>
      <c r="O105" s="24"/>
      <c r="P105" s="273"/>
      <c r="T105" s="22"/>
      <c r="AC105" s="216"/>
      <c r="AD105" s="216"/>
      <c r="AE105" s="22"/>
      <c r="AF105" s="216"/>
      <c r="AH105" s="27"/>
      <c r="AI105" s="22"/>
      <c r="AJ105" s="27"/>
    </row>
    <row r="106" spans="2:36" ht="15.75" customHeight="1" x14ac:dyDescent="0.25">
      <c r="B106" s="24"/>
      <c r="C106" s="24"/>
      <c r="D106" s="24"/>
      <c r="E106" s="24"/>
      <c r="F106" s="24"/>
      <c r="G106" s="24"/>
      <c r="H106" s="24"/>
      <c r="I106" s="273"/>
      <c r="J106" s="273"/>
      <c r="K106" s="24"/>
      <c r="L106" s="24"/>
      <c r="M106" s="24"/>
      <c r="N106" s="24"/>
      <c r="O106" s="24"/>
      <c r="P106" s="273"/>
      <c r="T106" s="22"/>
      <c r="AC106" s="215"/>
      <c r="AD106" s="215"/>
      <c r="AE106" s="22"/>
      <c r="AF106" s="215"/>
      <c r="AH106" s="25"/>
      <c r="AI106" s="22"/>
      <c r="AJ106" s="25"/>
    </row>
    <row r="107" spans="2:36" ht="15.75" customHeight="1" x14ac:dyDescent="0.25">
      <c r="B107" s="24"/>
      <c r="C107" s="24"/>
      <c r="D107" s="24"/>
      <c r="E107" s="24"/>
      <c r="F107" s="24"/>
      <c r="G107" s="24"/>
      <c r="H107" s="24"/>
      <c r="I107" s="273"/>
      <c r="J107" s="273"/>
      <c r="K107" s="24"/>
      <c r="L107" s="24"/>
      <c r="M107" s="24"/>
      <c r="N107" s="24"/>
      <c r="O107" s="24"/>
      <c r="P107" s="273"/>
      <c r="T107" s="22"/>
      <c r="AC107" s="214"/>
      <c r="AD107" s="214"/>
      <c r="AE107" s="22"/>
      <c r="AF107" s="214"/>
      <c r="AH107" s="23"/>
      <c r="AI107" s="22"/>
      <c r="AJ107" s="23"/>
    </row>
    <row r="108" spans="2:36" ht="15.75" customHeight="1" x14ac:dyDescent="0.25">
      <c r="B108" s="24"/>
      <c r="C108" s="24"/>
      <c r="D108" s="24"/>
      <c r="E108" s="24"/>
      <c r="F108" s="24"/>
      <c r="G108" s="24"/>
      <c r="H108" s="24"/>
      <c r="I108" s="273"/>
      <c r="J108" s="273"/>
      <c r="K108" s="24"/>
      <c r="L108" s="24"/>
      <c r="M108" s="24"/>
      <c r="N108" s="24"/>
      <c r="O108" s="24"/>
      <c r="P108" s="273"/>
      <c r="T108" s="22"/>
      <c r="AC108" s="213"/>
      <c r="AD108" s="213"/>
      <c r="AE108" s="22"/>
      <c r="AF108" s="213"/>
      <c r="AH108" s="23"/>
      <c r="AI108" s="22"/>
      <c r="AJ108" s="23"/>
    </row>
    <row r="109" spans="2:36" ht="15.75" customHeight="1" x14ac:dyDescent="0.25">
      <c r="B109" s="24"/>
      <c r="C109" s="24"/>
      <c r="D109" s="24"/>
      <c r="E109" s="24"/>
      <c r="F109" s="24"/>
      <c r="G109" s="24"/>
      <c r="H109" s="24"/>
      <c r="I109" s="273"/>
      <c r="J109" s="273"/>
      <c r="K109" s="24"/>
      <c r="L109" s="24"/>
      <c r="M109" s="24"/>
      <c r="N109" s="24"/>
      <c r="O109" s="24"/>
      <c r="P109" s="273"/>
      <c r="R109" s="267"/>
      <c r="S109" s="267"/>
      <c r="T109" s="267"/>
      <c r="AC109" s="267"/>
      <c r="AD109" s="267"/>
      <c r="AE109" s="267"/>
      <c r="AF109" s="267"/>
      <c r="AG109" s="267"/>
      <c r="AH109" s="267"/>
      <c r="AI109" s="267"/>
      <c r="AJ109" s="23"/>
    </row>
    <row r="110" spans="2:36" ht="15.75" customHeight="1" x14ac:dyDescent="0.25">
      <c r="B110" s="24"/>
      <c r="C110" s="24"/>
      <c r="D110" s="24"/>
      <c r="E110" s="24"/>
      <c r="F110" s="24"/>
      <c r="G110" s="24"/>
      <c r="H110" s="24"/>
      <c r="I110" s="273"/>
      <c r="J110" s="273"/>
      <c r="K110" s="24"/>
      <c r="L110" s="24"/>
      <c r="M110" s="24"/>
      <c r="N110" s="24"/>
      <c r="O110" s="24"/>
      <c r="P110" s="273"/>
      <c r="T110" s="22"/>
      <c r="AC110" s="211"/>
      <c r="AD110" s="211"/>
      <c r="AE110" s="22"/>
      <c r="AF110" s="211"/>
      <c r="AH110" s="23"/>
      <c r="AI110" s="22"/>
      <c r="AJ110" s="23"/>
    </row>
    <row r="111" spans="2:36" ht="15.75" customHeight="1" x14ac:dyDescent="0.25">
      <c r="B111" s="24"/>
      <c r="C111" s="24"/>
      <c r="D111" s="24"/>
      <c r="E111" s="24"/>
      <c r="F111" s="24"/>
      <c r="G111" s="24"/>
      <c r="H111" s="24"/>
      <c r="I111" s="273"/>
      <c r="J111" s="273"/>
      <c r="K111" s="24"/>
      <c r="L111" s="24"/>
      <c r="M111" s="24"/>
      <c r="N111" s="24"/>
      <c r="O111" s="24"/>
      <c r="P111" s="273"/>
      <c r="T111" s="22"/>
      <c r="AC111" s="210"/>
      <c r="AD111" s="210"/>
      <c r="AE111" s="22"/>
      <c r="AF111" s="210"/>
      <c r="AH111" s="23"/>
      <c r="AI111" s="22"/>
      <c r="AJ111" s="23"/>
    </row>
    <row r="112" spans="2:36" ht="15.75" customHeight="1" x14ac:dyDescent="0.25">
      <c r="B112" s="24"/>
      <c r="C112" s="24"/>
      <c r="D112" s="24"/>
      <c r="E112" s="24"/>
      <c r="F112" s="24"/>
      <c r="G112" s="24"/>
      <c r="H112" s="24"/>
      <c r="I112" s="273"/>
      <c r="J112" s="273"/>
      <c r="K112" s="24"/>
      <c r="L112" s="24"/>
      <c r="M112" s="24"/>
      <c r="N112" s="24"/>
      <c r="O112" s="24"/>
      <c r="P112" s="273"/>
      <c r="T112" s="22"/>
      <c r="AC112" s="209"/>
      <c r="AD112" s="209"/>
      <c r="AE112" s="22"/>
      <c r="AF112" s="209"/>
      <c r="AH112" s="23"/>
      <c r="AI112" s="22"/>
      <c r="AJ112" s="23"/>
    </row>
    <row r="113" spans="2:36" ht="15.75" customHeight="1" x14ac:dyDescent="0.25">
      <c r="B113" s="24"/>
      <c r="C113" s="24"/>
      <c r="D113" s="24"/>
      <c r="E113" s="24"/>
      <c r="F113" s="24"/>
      <c r="G113" s="24"/>
      <c r="H113" s="24"/>
      <c r="I113" s="273"/>
      <c r="J113" s="273"/>
      <c r="K113" s="24"/>
      <c r="L113" s="24"/>
      <c r="M113" s="24"/>
      <c r="N113" s="24"/>
      <c r="O113" s="24"/>
      <c r="P113" s="273"/>
      <c r="T113" s="22"/>
      <c r="AC113" s="208"/>
      <c r="AD113" s="208"/>
      <c r="AE113" s="22"/>
      <c r="AF113" s="208"/>
      <c r="AH113" s="23"/>
      <c r="AI113" s="22"/>
      <c r="AJ113" s="23"/>
    </row>
    <row r="114" spans="2:36" ht="15.75" customHeight="1" x14ac:dyDescent="0.25">
      <c r="B114" s="24"/>
      <c r="C114" s="24"/>
      <c r="D114" s="24"/>
      <c r="E114" s="24"/>
      <c r="F114" s="24"/>
      <c r="G114" s="24"/>
      <c r="H114" s="24"/>
      <c r="I114" s="273"/>
      <c r="J114" s="273"/>
      <c r="K114" s="24"/>
      <c r="L114" s="24"/>
      <c r="M114" s="24"/>
      <c r="N114" s="24"/>
      <c r="O114" s="24"/>
      <c r="P114" s="273"/>
      <c r="T114" s="22"/>
      <c r="AC114" s="208"/>
      <c r="AD114" s="208"/>
      <c r="AE114" s="22"/>
      <c r="AF114" s="208"/>
      <c r="AH114" s="23"/>
      <c r="AI114" s="22"/>
      <c r="AJ114" s="23"/>
    </row>
    <row r="115" spans="2:36" ht="15.75" customHeight="1" x14ac:dyDescent="0.25">
      <c r="B115" s="24"/>
      <c r="C115" s="24"/>
      <c r="D115" s="24"/>
      <c r="E115" s="24"/>
      <c r="F115" s="24"/>
      <c r="G115" s="24"/>
      <c r="H115" s="24"/>
      <c r="I115" s="273"/>
      <c r="J115" s="273"/>
      <c r="K115" s="24"/>
      <c r="L115" s="24"/>
      <c r="M115" s="24"/>
      <c r="N115" s="24"/>
      <c r="O115" s="24"/>
      <c r="P115" s="273"/>
      <c r="T115" s="22"/>
      <c r="AC115" s="207"/>
      <c r="AD115" s="207"/>
      <c r="AE115" s="22"/>
      <c r="AF115" s="207"/>
      <c r="AH115" s="23"/>
      <c r="AI115" s="22"/>
      <c r="AJ115" s="23"/>
    </row>
    <row r="116" spans="2:36" ht="15.75" customHeight="1" x14ac:dyDescent="0.25">
      <c r="B116" s="24"/>
      <c r="C116" s="24"/>
      <c r="D116" s="24"/>
      <c r="E116" s="24"/>
      <c r="F116" s="24"/>
      <c r="G116" s="24"/>
      <c r="H116" s="24"/>
      <c r="I116" s="273"/>
      <c r="J116" s="273"/>
      <c r="K116" s="24"/>
      <c r="L116" s="24"/>
      <c r="M116" s="24"/>
      <c r="N116" s="24"/>
      <c r="O116" s="24"/>
      <c r="P116" s="273"/>
      <c r="T116" s="22"/>
      <c r="AC116" s="206"/>
      <c r="AD116" s="206"/>
      <c r="AE116" s="22"/>
      <c r="AF116" s="206"/>
      <c r="AH116" s="23"/>
      <c r="AI116" s="22"/>
      <c r="AJ116" s="23"/>
    </row>
    <row r="117" spans="2:36" ht="15.75" customHeight="1" x14ac:dyDescent="0.25">
      <c r="B117" s="24"/>
      <c r="C117" s="24"/>
      <c r="D117" s="24"/>
      <c r="E117" s="24"/>
      <c r="F117" s="24"/>
      <c r="G117" s="24"/>
      <c r="H117" s="24"/>
      <c r="I117" s="273"/>
      <c r="J117" s="273"/>
      <c r="K117" s="24"/>
      <c r="L117" s="24"/>
      <c r="M117" s="24"/>
      <c r="N117" s="24"/>
      <c r="O117" s="24"/>
      <c r="P117" s="273"/>
      <c r="T117" s="22"/>
      <c r="AC117" s="205"/>
      <c r="AD117" s="205"/>
      <c r="AE117" s="22"/>
      <c r="AF117" s="205"/>
      <c r="AH117" s="23"/>
      <c r="AI117" s="22"/>
      <c r="AJ117" s="23"/>
    </row>
    <row r="118" spans="2:36" ht="15.75" customHeight="1" x14ac:dyDescent="0.25">
      <c r="B118" s="24"/>
      <c r="C118" s="24"/>
      <c r="D118" s="24"/>
      <c r="E118" s="24"/>
      <c r="F118" s="24"/>
      <c r="G118" s="24"/>
      <c r="H118" s="24"/>
      <c r="I118" s="273"/>
      <c r="J118" s="273"/>
      <c r="K118" s="24"/>
      <c r="L118" s="24"/>
      <c r="M118" s="24"/>
      <c r="N118" s="24"/>
      <c r="O118" s="24"/>
      <c r="P118" s="273"/>
      <c r="T118" s="22"/>
      <c r="AC118" s="204"/>
      <c r="AD118" s="204"/>
      <c r="AE118" s="22"/>
      <c r="AF118" s="204"/>
      <c r="AH118" s="23"/>
      <c r="AI118" s="22"/>
      <c r="AJ118" s="23"/>
    </row>
    <row r="119" spans="2:36" ht="15.75" customHeight="1" x14ac:dyDescent="0.25">
      <c r="B119" s="24"/>
      <c r="C119" s="24"/>
      <c r="D119" s="24"/>
      <c r="E119" s="24"/>
      <c r="F119" s="24"/>
      <c r="G119" s="24"/>
      <c r="H119" s="24"/>
      <c r="I119" s="273"/>
      <c r="J119" s="273"/>
      <c r="K119" s="24"/>
      <c r="L119" s="24"/>
      <c r="M119" s="24"/>
      <c r="N119" s="24"/>
      <c r="O119" s="24"/>
      <c r="P119" s="273"/>
      <c r="T119" s="22"/>
      <c r="AC119" s="203"/>
      <c r="AD119" s="203"/>
      <c r="AE119" s="22"/>
      <c r="AF119" s="203"/>
      <c r="AH119" s="23"/>
      <c r="AI119" s="22"/>
      <c r="AJ119" s="23"/>
    </row>
    <row r="120" spans="2:36" ht="15.75" customHeight="1" x14ac:dyDescent="0.25">
      <c r="B120" s="24"/>
      <c r="C120" s="24"/>
      <c r="D120" s="24"/>
      <c r="E120" s="24"/>
      <c r="F120" s="24"/>
      <c r="G120" s="24"/>
      <c r="H120" s="24"/>
      <c r="I120" s="273"/>
      <c r="J120" s="273"/>
      <c r="K120" s="24"/>
      <c r="L120" s="24"/>
      <c r="M120" s="24"/>
      <c r="N120" s="24"/>
      <c r="O120" s="24"/>
      <c r="P120" s="273"/>
      <c r="T120" s="22"/>
      <c r="AC120" s="202"/>
      <c r="AD120" s="202"/>
      <c r="AE120" s="22"/>
      <c r="AF120" s="202"/>
      <c r="AH120" s="23"/>
      <c r="AI120" s="22"/>
      <c r="AJ120" s="23"/>
    </row>
    <row r="121" spans="2:36" ht="15.75" customHeight="1" x14ac:dyDescent="0.25">
      <c r="B121" s="24"/>
      <c r="C121" s="24"/>
      <c r="D121" s="24"/>
      <c r="E121" s="24"/>
      <c r="F121" s="24"/>
      <c r="G121" s="24"/>
      <c r="H121" s="24"/>
      <c r="I121" s="273"/>
      <c r="J121" s="273"/>
      <c r="K121" s="24"/>
      <c r="L121" s="24"/>
      <c r="M121" s="24"/>
      <c r="N121" s="24"/>
      <c r="O121" s="24"/>
      <c r="P121" s="273"/>
      <c r="T121" s="22"/>
      <c r="AC121" s="202"/>
      <c r="AD121" s="202"/>
      <c r="AE121" s="22"/>
      <c r="AF121" s="202"/>
      <c r="AH121" s="23"/>
      <c r="AI121" s="22"/>
      <c r="AJ121" s="23"/>
    </row>
    <row r="122" spans="2:36" ht="15.75" customHeight="1" x14ac:dyDescent="0.25">
      <c r="B122" s="24"/>
      <c r="C122" s="24"/>
      <c r="D122" s="24"/>
      <c r="E122" s="24"/>
      <c r="F122" s="24"/>
      <c r="G122" s="24"/>
      <c r="H122" s="24"/>
      <c r="I122" s="273"/>
      <c r="J122" s="273"/>
      <c r="K122" s="24"/>
      <c r="L122" s="24"/>
      <c r="M122" s="24"/>
      <c r="N122" s="24"/>
      <c r="O122" s="24"/>
      <c r="P122" s="273"/>
      <c r="T122" s="22"/>
      <c r="AC122" s="200"/>
      <c r="AD122" s="200"/>
      <c r="AE122" s="22"/>
      <c r="AF122" s="200"/>
      <c r="AH122" s="23"/>
      <c r="AI122" s="22"/>
      <c r="AJ122" s="23"/>
    </row>
    <row r="123" spans="2:36" ht="15.75" customHeight="1" x14ac:dyDescent="0.25">
      <c r="B123" s="24"/>
      <c r="C123" s="24"/>
      <c r="D123" s="24"/>
      <c r="E123" s="24"/>
      <c r="F123" s="24"/>
      <c r="G123" s="24"/>
      <c r="H123" s="24"/>
      <c r="I123" s="273"/>
      <c r="J123" s="273"/>
      <c r="K123" s="24"/>
      <c r="L123" s="24"/>
      <c r="M123" s="24"/>
      <c r="N123" s="24"/>
      <c r="O123" s="24"/>
      <c r="P123" s="273"/>
      <c r="T123" s="22"/>
      <c r="AC123" s="200"/>
      <c r="AD123" s="200"/>
      <c r="AE123" s="22"/>
      <c r="AF123" s="200"/>
      <c r="AH123" s="23"/>
      <c r="AI123" s="22"/>
      <c r="AJ123" s="23"/>
    </row>
    <row r="124" spans="2:36" ht="15.75" customHeight="1" x14ac:dyDescent="0.25">
      <c r="B124" s="24"/>
      <c r="C124" s="24"/>
      <c r="D124" s="24"/>
      <c r="E124" s="24"/>
      <c r="F124" s="24"/>
      <c r="G124" s="24"/>
      <c r="H124" s="24"/>
      <c r="I124" s="273"/>
      <c r="J124" s="273"/>
      <c r="K124" s="24"/>
      <c r="L124" s="24"/>
      <c r="M124" s="24"/>
      <c r="N124" s="24"/>
      <c r="O124" s="24"/>
      <c r="P124" s="273"/>
      <c r="T124" s="22"/>
      <c r="AC124" s="200"/>
      <c r="AD124" s="200"/>
      <c r="AE124" s="22"/>
      <c r="AF124" s="200"/>
      <c r="AH124" s="23"/>
      <c r="AI124" s="22"/>
      <c r="AJ124" s="23"/>
    </row>
    <row r="125" spans="2:36" ht="15.75" customHeight="1" x14ac:dyDescent="0.25">
      <c r="B125" s="24"/>
      <c r="C125" s="24"/>
      <c r="D125" s="24"/>
      <c r="E125" s="24"/>
      <c r="F125" s="24"/>
      <c r="G125" s="24"/>
      <c r="H125" s="24"/>
      <c r="I125" s="273"/>
      <c r="J125" s="273"/>
      <c r="K125" s="24"/>
      <c r="L125" s="24"/>
      <c r="M125" s="24"/>
      <c r="N125" s="24"/>
      <c r="O125" s="24"/>
      <c r="P125" s="273"/>
      <c r="T125" s="22"/>
      <c r="AC125" s="199"/>
      <c r="AD125" s="199"/>
      <c r="AE125" s="22"/>
      <c r="AF125" s="199"/>
      <c r="AH125" s="23"/>
      <c r="AI125" s="22"/>
      <c r="AJ125" s="23"/>
    </row>
    <row r="126" spans="2:36" ht="15.75" customHeight="1" x14ac:dyDescent="0.25">
      <c r="B126" s="24"/>
      <c r="C126" s="24"/>
      <c r="D126" s="24"/>
      <c r="E126" s="24"/>
      <c r="F126" s="24"/>
      <c r="G126" s="24"/>
      <c r="H126" s="24"/>
      <c r="I126" s="273"/>
      <c r="J126" s="273"/>
      <c r="K126" s="24"/>
      <c r="L126" s="24"/>
      <c r="M126" s="24"/>
      <c r="N126" s="24"/>
      <c r="O126" s="24"/>
      <c r="P126" s="273"/>
      <c r="T126" s="22"/>
      <c r="AC126" s="198"/>
      <c r="AD126" s="198"/>
      <c r="AE126" s="22"/>
      <c r="AF126" s="198"/>
      <c r="AH126" s="23"/>
      <c r="AI126" s="22"/>
      <c r="AJ126" s="23"/>
    </row>
    <row r="127" spans="2:36" ht="15.75" customHeight="1" x14ac:dyDescent="0.25">
      <c r="B127" s="24"/>
      <c r="C127" s="24"/>
      <c r="D127" s="24"/>
      <c r="E127" s="24"/>
      <c r="F127" s="24"/>
      <c r="G127" s="24"/>
      <c r="H127" s="24"/>
      <c r="I127" s="273"/>
      <c r="J127" s="273"/>
      <c r="K127" s="24"/>
      <c r="L127" s="24"/>
      <c r="M127" s="24"/>
      <c r="N127" s="24"/>
      <c r="O127" s="24"/>
      <c r="P127" s="273"/>
      <c r="T127" s="22"/>
      <c r="AC127" s="197"/>
      <c r="AD127" s="197"/>
      <c r="AE127" s="22"/>
      <c r="AF127" s="197"/>
      <c r="AH127" s="23"/>
      <c r="AI127" s="22"/>
      <c r="AJ127" s="23"/>
    </row>
    <row r="128" spans="2:36" ht="15.75" customHeight="1" x14ac:dyDescent="0.25">
      <c r="B128" s="24"/>
      <c r="C128" s="24"/>
      <c r="D128" s="24"/>
      <c r="E128" s="24"/>
      <c r="F128" s="24"/>
      <c r="G128" s="24"/>
      <c r="H128" s="24"/>
      <c r="I128" s="273"/>
      <c r="J128" s="273"/>
      <c r="K128" s="24"/>
      <c r="L128" s="24"/>
      <c r="M128" s="24"/>
      <c r="N128" s="24"/>
      <c r="O128" s="24"/>
      <c r="P128" s="273"/>
      <c r="T128" s="22"/>
      <c r="AC128" s="196"/>
      <c r="AD128" s="196"/>
      <c r="AE128" s="22"/>
      <c r="AF128" s="196"/>
      <c r="AH128" s="23"/>
      <c r="AI128" s="22"/>
      <c r="AJ128" s="23"/>
    </row>
    <row r="129" spans="2:36" ht="15.75" customHeight="1" x14ac:dyDescent="0.25">
      <c r="B129" s="24"/>
      <c r="C129" s="24"/>
      <c r="D129" s="24"/>
      <c r="E129" s="24"/>
      <c r="F129" s="24"/>
      <c r="G129" s="24"/>
      <c r="H129" s="24"/>
      <c r="I129" s="273"/>
      <c r="J129" s="273"/>
      <c r="K129" s="24"/>
      <c r="L129" s="24"/>
      <c r="M129" s="24"/>
      <c r="N129" s="24"/>
      <c r="O129" s="24"/>
      <c r="P129" s="273"/>
      <c r="T129" s="22"/>
      <c r="AC129" s="195"/>
      <c r="AD129" s="195"/>
      <c r="AE129" s="22"/>
      <c r="AF129" s="195"/>
      <c r="AH129" s="23"/>
      <c r="AI129" s="22"/>
      <c r="AJ129" s="23"/>
    </row>
    <row r="130" spans="2:36" ht="15.75" customHeight="1" x14ac:dyDescent="0.25">
      <c r="B130" s="24"/>
      <c r="C130" s="24"/>
      <c r="D130" s="24"/>
      <c r="E130" s="24"/>
      <c r="F130" s="24"/>
      <c r="G130" s="24"/>
      <c r="H130" s="24"/>
      <c r="I130" s="273"/>
      <c r="J130" s="273"/>
      <c r="K130" s="24"/>
      <c r="L130" s="24"/>
      <c r="M130" s="24"/>
      <c r="N130" s="24"/>
      <c r="O130" s="24"/>
      <c r="P130" s="273"/>
      <c r="T130" s="22"/>
      <c r="AC130" s="195"/>
      <c r="AD130" s="195"/>
      <c r="AE130" s="22"/>
      <c r="AF130" s="195"/>
      <c r="AH130" s="23"/>
      <c r="AI130" s="22"/>
      <c r="AJ130" s="23"/>
    </row>
    <row r="131" spans="2:36" ht="15.75" customHeight="1" x14ac:dyDescent="0.25">
      <c r="B131" s="24"/>
      <c r="C131" s="24"/>
      <c r="D131" s="24"/>
      <c r="E131" s="24"/>
      <c r="F131" s="24"/>
      <c r="G131" s="24"/>
      <c r="H131" s="24"/>
      <c r="I131" s="273"/>
      <c r="J131" s="273"/>
      <c r="K131" s="24"/>
      <c r="L131" s="24"/>
      <c r="M131" s="24"/>
      <c r="N131" s="24"/>
      <c r="O131" s="24"/>
      <c r="P131" s="273"/>
      <c r="T131" s="22"/>
      <c r="AC131" s="194"/>
      <c r="AD131" s="194"/>
      <c r="AE131" s="22"/>
      <c r="AF131" s="194"/>
      <c r="AH131" s="23"/>
      <c r="AI131" s="22"/>
      <c r="AJ131" s="23"/>
    </row>
    <row r="132" spans="2:36" ht="15.75" customHeight="1" x14ac:dyDescent="0.25">
      <c r="B132" s="24"/>
      <c r="C132" s="24"/>
      <c r="D132" s="24"/>
      <c r="E132" s="24"/>
      <c r="F132" s="24"/>
      <c r="G132" s="24"/>
      <c r="H132" s="24"/>
      <c r="I132" s="273"/>
      <c r="J132" s="273"/>
      <c r="K132" s="24"/>
      <c r="L132" s="24"/>
      <c r="M132" s="24"/>
      <c r="N132" s="24"/>
      <c r="O132" s="24"/>
      <c r="P132" s="273"/>
      <c r="T132" s="22"/>
      <c r="AC132" s="193"/>
      <c r="AD132" s="193"/>
      <c r="AE132" s="22"/>
      <c r="AF132" s="193"/>
      <c r="AH132" s="23"/>
      <c r="AI132" s="22"/>
      <c r="AJ132" s="23"/>
    </row>
    <row r="133" spans="2:36" ht="15.75" customHeight="1" x14ac:dyDescent="0.25">
      <c r="B133" s="24"/>
      <c r="C133" s="24"/>
      <c r="D133" s="24"/>
      <c r="E133" s="24"/>
      <c r="F133" s="24"/>
      <c r="G133" s="24"/>
      <c r="H133" s="24"/>
      <c r="I133" s="273"/>
      <c r="J133" s="273"/>
      <c r="K133" s="24"/>
      <c r="L133" s="24"/>
      <c r="M133" s="24"/>
      <c r="N133" s="24"/>
      <c r="O133" s="24"/>
      <c r="P133" s="273"/>
      <c r="T133" s="22"/>
      <c r="AC133" s="192"/>
      <c r="AD133" s="192"/>
      <c r="AE133" s="22"/>
      <c r="AF133" s="192"/>
      <c r="AH133" s="23"/>
      <c r="AI133" s="22"/>
      <c r="AJ133" s="23"/>
    </row>
    <row r="134" spans="2:36" ht="15.75" customHeight="1" x14ac:dyDescent="0.25">
      <c r="B134" s="24"/>
      <c r="C134" s="24"/>
      <c r="D134" s="24"/>
      <c r="E134" s="24"/>
      <c r="F134" s="24"/>
      <c r="G134" s="24"/>
      <c r="H134" s="24"/>
      <c r="I134" s="273"/>
      <c r="J134" s="273"/>
      <c r="K134" s="24"/>
      <c r="L134" s="24"/>
      <c r="M134" s="24"/>
      <c r="N134" s="24"/>
      <c r="O134" s="24"/>
      <c r="P134" s="273"/>
      <c r="T134" s="22"/>
      <c r="AC134" s="190"/>
      <c r="AD134" s="190"/>
      <c r="AE134" s="22"/>
      <c r="AF134" s="190"/>
      <c r="AH134" s="23"/>
      <c r="AI134" s="22"/>
      <c r="AJ134" s="23"/>
    </row>
    <row r="135" spans="2:36" ht="15.75" customHeight="1" x14ac:dyDescent="0.25">
      <c r="B135" s="24"/>
      <c r="C135" s="24"/>
      <c r="D135" s="24"/>
      <c r="E135" s="24"/>
      <c r="F135" s="24"/>
      <c r="G135" s="24"/>
      <c r="H135" s="24"/>
      <c r="I135" s="273"/>
      <c r="J135" s="273"/>
      <c r="K135" s="24"/>
      <c r="L135" s="24"/>
      <c r="M135" s="24"/>
      <c r="N135" s="24"/>
      <c r="O135" s="24"/>
      <c r="P135" s="273"/>
      <c r="T135" s="22"/>
      <c r="AC135" s="189"/>
      <c r="AD135" s="189"/>
      <c r="AE135" s="22"/>
      <c r="AF135" s="189"/>
      <c r="AH135" s="23"/>
      <c r="AI135" s="22"/>
      <c r="AJ135" s="23"/>
    </row>
    <row r="136" spans="2:36" ht="15.75" customHeight="1" x14ac:dyDescent="0.25">
      <c r="B136" s="24"/>
      <c r="C136" s="24"/>
      <c r="D136" s="24"/>
      <c r="E136" s="24"/>
      <c r="F136" s="24"/>
      <c r="G136" s="24"/>
      <c r="H136" s="24"/>
      <c r="I136" s="273"/>
      <c r="J136" s="273"/>
      <c r="K136" s="24"/>
      <c r="L136" s="24"/>
      <c r="M136" s="24"/>
      <c r="N136" s="24"/>
      <c r="O136" s="24"/>
      <c r="P136" s="273"/>
      <c r="T136" s="22"/>
      <c r="AC136" s="188"/>
      <c r="AD136" s="188"/>
      <c r="AE136" s="22"/>
      <c r="AF136" s="188"/>
      <c r="AH136" s="23"/>
      <c r="AI136" s="22"/>
      <c r="AJ136" s="23"/>
    </row>
    <row r="137" spans="2:36" ht="15.75" customHeight="1" x14ac:dyDescent="0.25">
      <c r="B137" s="24"/>
      <c r="C137" s="24"/>
      <c r="D137" s="24"/>
      <c r="E137" s="24"/>
      <c r="F137" s="24"/>
      <c r="G137" s="24"/>
      <c r="H137" s="24"/>
      <c r="I137" s="273"/>
      <c r="J137" s="273"/>
      <c r="K137" s="24"/>
      <c r="L137" s="24"/>
      <c r="M137" s="24"/>
      <c r="N137" s="24"/>
      <c r="O137" s="24"/>
      <c r="P137" s="273"/>
      <c r="T137" s="22"/>
      <c r="AC137" s="187"/>
      <c r="AD137" s="187"/>
      <c r="AE137" s="22"/>
      <c r="AF137" s="187"/>
      <c r="AH137" s="23"/>
      <c r="AI137" s="22"/>
      <c r="AJ137" s="23"/>
    </row>
    <row r="138" spans="2:36" ht="15.75" customHeight="1" x14ac:dyDescent="0.25">
      <c r="B138" s="24"/>
      <c r="C138" s="24"/>
      <c r="D138" s="24"/>
      <c r="E138" s="24"/>
      <c r="F138" s="24"/>
      <c r="G138" s="24"/>
      <c r="H138" s="24"/>
      <c r="I138" s="273"/>
      <c r="J138" s="273"/>
      <c r="K138" s="24"/>
      <c r="L138" s="24"/>
      <c r="M138" s="24"/>
      <c r="N138" s="24"/>
      <c r="O138" s="24"/>
      <c r="P138" s="273"/>
      <c r="T138" s="22"/>
      <c r="AC138" s="187"/>
      <c r="AD138" s="187"/>
      <c r="AE138" s="22"/>
      <c r="AF138" s="187"/>
      <c r="AH138" s="23"/>
      <c r="AI138" s="22"/>
      <c r="AJ138" s="23"/>
    </row>
    <row r="139" spans="2:36" ht="15.75" customHeight="1" x14ac:dyDescent="0.25">
      <c r="B139" s="24"/>
      <c r="C139" s="24"/>
      <c r="D139" s="24"/>
      <c r="E139" s="24"/>
      <c r="F139" s="24"/>
      <c r="G139" s="24"/>
      <c r="H139" s="24"/>
      <c r="I139" s="273"/>
      <c r="J139" s="273"/>
      <c r="K139" s="24"/>
      <c r="L139" s="24"/>
      <c r="M139" s="24"/>
      <c r="N139" s="24"/>
      <c r="O139" s="24"/>
      <c r="P139" s="273"/>
      <c r="T139" s="22"/>
      <c r="AC139" s="186"/>
      <c r="AD139" s="186"/>
      <c r="AE139" s="22"/>
      <c r="AF139" s="186"/>
      <c r="AH139" s="23"/>
      <c r="AI139" s="22"/>
      <c r="AJ139" s="23"/>
    </row>
    <row r="140" spans="2:36" ht="15.75" customHeight="1" x14ac:dyDescent="0.25">
      <c r="B140" s="24"/>
      <c r="C140" s="24"/>
      <c r="D140" s="24"/>
      <c r="E140" s="24"/>
      <c r="F140" s="24"/>
      <c r="G140" s="24"/>
      <c r="H140" s="24"/>
      <c r="I140" s="273"/>
      <c r="J140" s="273"/>
      <c r="K140" s="24"/>
      <c r="L140" s="24"/>
      <c r="M140" s="24"/>
      <c r="N140" s="24"/>
      <c r="O140" s="24"/>
      <c r="P140" s="273"/>
      <c r="T140" s="22"/>
      <c r="AC140" s="185"/>
      <c r="AD140" s="185"/>
      <c r="AE140" s="22"/>
      <c r="AF140" s="185"/>
      <c r="AH140" s="23"/>
      <c r="AI140" s="22"/>
      <c r="AJ140" s="23"/>
    </row>
    <row r="141" spans="2:36" ht="15.75" customHeight="1" x14ac:dyDescent="0.25">
      <c r="B141" s="24"/>
      <c r="C141" s="24"/>
      <c r="D141" s="24"/>
      <c r="E141" s="24"/>
      <c r="F141" s="24"/>
      <c r="G141" s="24"/>
      <c r="H141" s="24"/>
      <c r="I141" s="273"/>
      <c r="J141" s="273"/>
      <c r="K141" s="24"/>
      <c r="L141" s="24"/>
      <c r="M141" s="24"/>
      <c r="N141" s="24"/>
      <c r="O141" s="24"/>
      <c r="P141" s="273"/>
      <c r="T141" s="22"/>
      <c r="AC141" s="185"/>
      <c r="AD141" s="185"/>
      <c r="AE141" s="22"/>
      <c r="AF141" s="185"/>
      <c r="AH141" s="23"/>
      <c r="AI141" s="22"/>
      <c r="AJ141" s="23"/>
    </row>
    <row r="142" spans="2:36" ht="15.75" customHeight="1" x14ac:dyDescent="0.25">
      <c r="B142" s="24"/>
      <c r="C142" s="24"/>
      <c r="D142" s="24"/>
      <c r="E142" s="24"/>
      <c r="F142" s="24"/>
      <c r="G142" s="24"/>
      <c r="H142" s="24"/>
      <c r="I142" s="273"/>
      <c r="J142" s="273"/>
      <c r="K142" s="24"/>
      <c r="L142" s="24"/>
      <c r="M142" s="24"/>
      <c r="N142" s="24"/>
      <c r="O142" s="24"/>
      <c r="P142" s="273"/>
      <c r="T142" s="22"/>
      <c r="AC142" s="184"/>
      <c r="AD142" s="184"/>
      <c r="AE142" s="22"/>
      <c r="AF142" s="184"/>
      <c r="AH142" s="23"/>
      <c r="AI142" s="22"/>
      <c r="AJ142" s="23"/>
    </row>
    <row r="143" spans="2:36" ht="15.75" customHeight="1" x14ac:dyDescent="0.25">
      <c r="B143" s="24"/>
      <c r="C143" s="24"/>
      <c r="D143" s="24"/>
      <c r="E143" s="24"/>
      <c r="F143" s="24"/>
      <c r="G143" s="24"/>
      <c r="H143" s="24"/>
      <c r="I143" s="273"/>
      <c r="J143" s="273"/>
      <c r="K143" s="24"/>
      <c r="L143" s="24"/>
      <c r="M143" s="24"/>
      <c r="N143" s="24"/>
      <c r="O143" s="24"/>
      <c r="P143" s="273"/>
      <c r="T143" s="22"/>
      <c r="AC143" s="183"/>
      <c r="AD143" s="183"/>
      <c r="AE143" s="22"/>
      <c r="AF143" s="183"/>
      <c r="AH143" s="23"/>
      <c r="AI143" s="22"/>
      <c r="AJ143" s="23"/>
    </row>
    <row r="144" spans="2:36" ht="15.75" customHeight="1" x14ac:dyDescent="0.25">
      <c r="B144" s="24"/>
      <c r="C144" s="24"/>
      <c r="D144" s="24"/>
      <c r="E144" s="24"/>
      <c r="F144" s="24"/>
      <c r="G144" s="24"/>
      <c r="H144" s="24"/>
      <c r="I144" s="273"/>
      <c r="J144" s="273"/>
      <c r="K144" s="24"/>
      <c r="L144" s="24"/>
      <c r="M144" s="24"/>
      <c r="N144" s="24"/>
      <c r="O144" s="24"/>
      <c r="P144" s="273"/>
      <c r="T144" s="22"/>
      <c r="AC144" s="182"/>
      <c r="AD144" s="182"/>
      <c r="AE144" s="22"/>
      <c r="AF144" s="182"/>
      <c r="AH144" s="23"/>
      <c r="AI144" s="22"/>
      <c r="AJ144" s="23"/>
    </row>
    <row r="145" spans="2:36" ht="15.75" customHeight="1" x14ac:dyDescent="0.25">
      <c r="B145" s="24"/>
      <c r="C145" s="24"/>
      <c r="D145" s="24"/>
      <c r="E145" s="24"/>
      <c r="F145" s="24"/>
      <c r="G145" s="24"/>
      <c r="H145" s="24"/>
      <c r="I145" s="273"/>
      <c r="J145" s="273"/>
      <c r="K145" s="24"/>
      <c r="L145" s="24"/>
      <c r="M145" s="24"/>
      <c r="N145" s="24"/>
      <c r="O145" s="24"/>
      <c r="P145" s="273"/>
      <c r="T145" s="22"/>
      <c r="AC145" s="181"/>
      <c r="AD145" s="181"/>
      <c r="AE145" s="22"/>
      <c r="AF145" s="181"/>
      <c r="AH145" s="23"/>
      <c r="AI145" s="22"/>
      <c r="AJ145" s="23"/>
    </row>
    <row r="146" spans="2:36" ht="15.75" customHeight="1" x14ac:dyDescent="0.25">
      <c r="B146" s="24"/>
      <c r="C146" s="24"/>
      <c r="D146" s="24"/>
      <c r="E146" s="24"/>
      <c r="F146" s="24"/>
      <c r="G146" s="24"/>
      <c r="H146" s="24"/>
      <c r="I146" s="273"/>
      <c r="J146" s="273"/>
      <c r="K146" s="24"/>
      <c r="L146" s="24"/>
      <c r="M146" s="24"/>
      <c r="N146" s="24"/>
      <c r="O146" s="24"/>
      <c r="P146" s="273"/>
      <c r="T146" s="22"/>
      <c r="AC146" s="180"/>
      <c r="AD146" s="180"/>
      <c r="AE146" s="22"/>
      <c r="AF146" s="180"/>
      <c r="AH146" s="23"/>
      <c r="AI146" s="22"/>
      <c r="AJ146" s="23"/>
    </row>
    <row r="147" spans="2:36" ht="15.75" customHeight="1" x14ac:dyDescent="0.25">
      <c r="B147" s="24"/>
      <c r="C147" s="24"/>
      <c r="D147" s="24"/>
      <c r="E147" s="24"/>
      <c r="F147" s="24"/>
      <c r="G147" s="24"/>
      <c r="H147" s="24"/>
      <c r="I147" s="273"/>
      <c r="J147" s="273"/>
      <c r="K147" s="24"/>
      <c r="L147" s="24"/>
      <c r="M147" s="24"/>
      <c r="N147" s="24"/>
      <c r="O147" s="24"/>
      <c r="P147" s="273"/>
      <c r="T147" s="22"/>
      <c r="AC147" s="179"/>
      <c r="AD147" s="179"/>
      <c r="AE147" s="22"/>
      <c r="AF147" s="179"/>
      <c r="AH147" s="23"/>
      <c r="AI147" s="22"/>
      <c r="AJ147" s="23"/>
    </row>
    <row r="148" spans="2:36" ht="15.75" customHeight="1" x14ac:dyDescent="0.25">
      <c r="B148" s="24"/>
      <c r="C148" s="24"/>
      <c r="D148" s="24"/>
      <c r="E148" s="24"/>
      <c r="F148" s="24"/>
      <c r="G148" s="24"/>
      <c r="H148" s="24"/>
      <c r="I148" s="273"/>
      <c r="J148" s="273"/>
      <c r="K148" s="24"/>
      <c r="L148" s="24"/>
      <c r="M148" s="24"/>
      <c r="N148" s="24"/>
      <c r="O148" s="24"/>
      <c r="P148" s="273"/>
      <c r="T148" s="22"/>
      <c r="AC148" s="179"/>
      <c r="AD148" s="179"/>
      <c r="AE148" s="22"/>
      <c r="AF148" s="179"/>
      <c r="AH148" s="23"/>
      <c r="AI148" s="22"/>
      <c r="AJ148" s="23"/>
    </row>
    <row r="149" spans="2:36" ht="15.75" customHeight="1" x14ac:dyDescent="0.25">
      <c r="B149" s="24"/>
      <c r="C149" s="24"/>
      <c r="D149" s="24"/>
      <c r="E149" s="24"/>
      <c r="F149" s="24"/>
      <c r="G149" s="24"/>
      <c r="H149" s="24"/>
      <c r="I149" s="273"/>
      <c r="J149" s="273"/>
      <c r="K149" s="24"/>
      <c r="L149" s="24"/>
      <c r="M149" s="24"/>
      <c r="N149" s="24"/>
      <c r="O149" s="24"/>
      <c r="P149" s="273"/>
      <c r="T149" s="22"/>
      <c r="AC149" s="179"/>
      <c r="AD149" s="179"/>
      <c r="AE149" s="22"/>
      <c r="AF149" s="179"/>
      <c r="AH149" s="23"/>
      <c r="AI149" s="22"/>
      <c r="AJ149" s="23"/>
    </row>
    <row r="150" spans="2:36" ht="15.75" customHeight="1" x14ac:dyDescent="0.25">
      <c r="B150" s="24"/>
      <c r="C150" s="24"/>
      <c r="D150" s="24"/>
      <c r="E150" s="24"/>
      <c r="F150" s="24"/>
      <c r="G150" s="24"/>
      <c r="H150" s="24"/>
      <c r="I150" s="273"/>
      <c r="J150" s="273"/>
      <c r="K150" s="24"/>
      <c r="L150" s="24"/>
      <c r="M150" s="24"/>
      <c r="N150" s="24"/>
      <c r="O150" s="24"/>
      <c r="P150" s="273"/>
      <c r="T150" s="22"/>
      <c r="AC150" s="178"/>
      <c r="AD150" s="178"/>
      <c r="AE150" s="22"/>
      <c r="AF150" s="178"/>
      <c r="AH150" s="23"/>
      <c r="AI150" s="22"/>
      <c r="AJ150" s="23"/>
    </row>
    <row r="151" spans="2:36" ht="15.75" customHeight="1" x14ac:dyDescent="0.25">
      <c r="B151" s="24"/>
      <c r="C151" s="24"/>
      <c r="D151" s="24"/>
      <c r="E151" s="24"/>
      <c r="F151" s="24"/>
      <c r="G151" s="24"/>
      <c r="H151" s="24"/>
      <c r="I151" s="273"/>
      <c r="J151" s="273"/>
      <c r="K151" s="24"/>
      <c r="L151" s="24"/>
      <c r="M151" s="24"/>
      <c r="N151" s="24"/>
      <c r="O151" s="24"/>
      <c r="P151" s="273"/>
      <c r="T151" s="22"/>
      <c r="AC151" s="177"/>
      <c r="AD151" s="177"/>
      <c r="AE151" s="22"/>
      <c r="AF151" s="177"/>
      <c r="AH151" s="23"/>
      <c r="AI151" s="22"/>
      <c r="AJ151" s="23"/>
    </row>
    <row r="152" spans="2:36" ht="15.75" customHeight="1" x14ac:dyDescent="0.25">
      <c r="B152" s="24"/>
      <c r="C152" s="24"/>
      <c r="D152" s="24"/>
      <c r="E152" s="24"/>
      <c r="F152" s="24"/>
      <c r="G152" s="24"/>
      <c r="H152" s="24"/>
      <c r="I152" s="273"/>
      <c r="J152" s="273"/>
      <c r="K152" s="24"/>
      <c r="L152" s="24"/>
      <c r="M152" s="24"/>
      <c r="N152" s="24"/>
      <c r="O152" s="24"/>
      <c r="P152" s="273"/>
      <c r="T152" s="22"/>
      <c r="AC152" s="176"/>
      <c r="AD152" s="176"/>
      <c r="AE152" s="22"/>
      <c r="AF152" s="176"/>
      <c r="AH152" s="23"/>
      <c r="AI152" s="22"/>
      <c r="AJ152" s="23"/>
    </row>
    <row r="153" spans="2:36" ht="15.75" customHeight="1" x14ac:dyDescent="0.25">
      <c r="B153" s="24"/>
      <c r="C153" s="24"/>
      <c r="D153" s="24"/>
      <c r="E153" s="24"/>
      <c r="F153" s="24"/>
      <c r="G153" s="24"/>
      <c r="H153" s="24"/>
      <c r="I153" s="273"/>
      <c r="J153" s="273"/>
      <c r="K153" s="24"/>
      <c r="L153" s="24"/>
      <c r="M153" s="24"/>
      <c r="N153" s="24"/>
      <c r="O153" s="24"/>
      <c r="P153" s="273"/>
      <c r="T153" s="22"/>
      <c r="AC153" s="175"/>
      <c r="AD153" s="175"/>
      <c r="AE153" s="22"/>
      <c r="AF153" s="175"/>
      <c r="AH153" s="23"/>
      <c r="AI153" s="22"/>
      <c r="AJ153" s="23"/>
    </row>
    <row r="154" spans="2:36" ht="15.75" customHeight="1" x14ac:dyDescent="0.25">
      <c r="B154" s="24"/>
      <c r="C154" s="24"/>
      <c r="D154" s="24"/>
      <c r="E154" s="24"/>
      <c r="F154" s="24"/>
      <c r="G154" s="24"/>
      <c r="H154" s="24"/>
      <c r="I154" s="273"/>
      <c r="J154" s="273"/>
      <c r="K154" s="24"/>
      <c r="L154" s="24"/>
      <c r="M154" s="24"/>
      <c r="N154" s="24"/>
      <c r="O154" s="24"/>
      <c r="P154" s="273"/>
      <c r="T154" s="22"/>
      <c r="AC154" s="174"/>
      <c r="AD154" s="174"/>
      <c r="AE154" s="22"/>
      <c r="AF154" s="174"/>
      <c r="AH154" s="23"/>
      <c r="AI154" s="22"/>
      <c r="AJ154" s="23"/>
    </row>
    <row r="155" spans="2:36" ht="15.75" customHeight="1" x14ac:dyDescent="0.25">
      <c r="B155" s="24"/>
      <c r="C155" s="24"/>
      <c r="D155" s="24"/>
      <c r="E155" s="24"/>
      <c r="F155" s="24"/>
      <c r="G155" s="24"/>
      <c r="H155" s="24"/>
      <c r="I155" s="273"/>
      <c r="J155" s="273"/>
      <c r="K155" s="24"/>
      <c r="L155" s="24"/>
      <c r="M155" s="24"/>
      <c r="N155" s="24"/>
      <c r="O155" s="24"/>
      <c r="P155" s="273"/>
      <c r="T155" s="22"/>
      <c r="AC155" s="174"/>
      <c r="AD155" s="174"/>
      <c r="AE155" s="22"/>
      <c r="AF155" s="174"/>
      <c r="AH155" s="23"/>
      <c r="AI155" s="22"/>
      <c r="AJ155" s="23"/>
    </row>
    <row r="156" spans="2:36" ht="15.75" customHeight="1" x14ac:dyDescent="0.25">
      <c r="B156" s="24"/>
      <c r="C156" s="24"/>
      <c r="D156" s="24"/>
      <c r="E156" s="24"/>
      <c r="F156" s="24"/>
      <c r="G156" s="24"/>
      <c r="H156" s="24"/>
      <c r="I156" s="273"/>
      <c r="J156" s="273"/>
      <c r="K156" s="24"/>
      <c r="L156" s="24"/>
      <c r="M156" s="24"/>
      <c r="N156" s="24"/>
      <c r="O156" s="24"/>
      <c r="P156" s="273"/>
      <c r="T156" s="22"/>
      <c r="AC156" s="173"/>
      <c r="AD156" s="173"/>
      <c r="AE156" s="22"/>
      <c r="AF156" s="173"/>
      <c r="AH156" s="23"/>
      <c r="AI156" s="22"/>
      <c r="AJ156" s="23"/>
    </row>
    <row r="157" spans="2:36" ht="15.75" customHeight="1" x14ac:dyDescent="0.25">
      <c r="B157" s="24"/>
      <c r="C157" s="24"/>
      <c r="D157" s="24"/>
      <c r="E157" s="24"/>
      <c r="F157" s="24"/>
      <c r="G157" s="24"/>
      <c r="H157" s="24"/>
      <c r="I157" s="273"/>
      <c r="J157" s="273"/>
      <c r="K157" s="24"/>
      <c r="L157" s="24"/>
      <c r="M157" s="24"/>
      <c r="N157" s="24"/>
      <c r="O157" s="24"/>
      <c r="P157" s="273"/>
      <c r="T157" s="22"/>
      <c r="AC157" s="172"/>
      <c r="AD157" s="172"/>
      <c r="AE157" s="22"/>
      <c r="AF157" s="172"/>
      <c r="AH157" s="23"/>
      <c r="AI157" s="22"/>
      <c r="AJ157" s="23"/>
    </row>
    <row r="158" spans="2:36" ht="15.75" customHeight="1" x14ac:dyDescent="0.25">
      <c r="B158" s="24"/>
      <c r="C158" s="24"/>
      <c r="D158" s="24"/>
      <c r="E158" s="24"/>
      <c r="F158" s="24"/>
      <c r="G158" s="24"/>
      <c r="H158" s="24"/>
      <c r="I158" s="273"/>
      <c r="J158" s="273"/>
      <c r="K158" s="24"/>
      <c r="L158" s="24"/>
      <c r="M158" s="24"/>
      <c r="N158" s="24"/>
      <c r="O158" s="24"/>
      <c r="P158" s="273"/>
      <c r="T158" s="22"/>
      <c r="AC158" s="172"/>
      <c r="AD158" s="172"/>
      <c r="AE158" s="22"/>
      <c r="AF158" s="172"/>
      <c r="AH158" s="23"/>
      <c r="AI158" s="22"/>
      <c r="AJ158" s="23"/>
    </row>
    <row r="159" spans="2:36" ht="15.75" customHeight="1" x14ac:dyDescent="0.25">
      <c r="B159" s="24"/>
      <c r="C159" s="24"/>
      <c r="D159" s="24"/>
      <c r="E159" s="24"/>
      <c r="F159" s="24"/>
      <c r="G159" s="24"/>
      <c r="H159" s="24"/>
      <c r="I159" s="273"/>
      <c r="J159" s="273"/>
      <c r="K159" s="24"/>
      <c r="L159" s="24"/>
      <c r="M159" s="24"/>
      <c r="N159" s="24"/>
      <c r="O159" s="24"/>
      <c r="P159" s="273"/>
      <c r="T159" s="22"/>
      <c r="AC159" s="171"/>
      <c r="AD159" s="171"/>
      <c r="AE159" s="22"/>
      <c r="AF159" s="171"/>
      <c r="AH159" s="23"/>
      <c r="AI159" s="22"/>
      <c r="AJ159" s="23"/>
    </row>
    <row r="160" spans="2:36" ht="15.75" customHeight="1" x14ac:dyDescent="0.25">
      <c r="B160" s="24"/>
      <c r="C160" s="24"/>
      <c r="D160" s="24"/>
      <c r="E160" s="24"/>
      <c r="F160" s="24"/>
      <c r="G160" s="24"/>
      <c r="H160" s="24"/>
      <c r="I160" s="273"/>
      <c r="J160" s="273"/>
      <c r="K160" s="24"/>
      <c r="L160" s="24"/>
      <c r="M160" s="24"/>
      <c r="N160" s="24"/>
      <c r="O160" s="24"/>
      <c r="P160" s="273"/>
      <c r="T160" s="22"/>
      <c r="AC160" s="170"/>
      <c r="AD160" s="170"/>
      <c r="AE160" s="22"/>
      <c r="AF160" s="170"/>
      <c r="AH160" s="23"/>
      <c r="AI160" s="22"/>
      <c r="AJ160" s="23"/>
    </row>
    <row r="161" spans="2:36" ht="15.75" customHeight="1" x14ac:dyDescent="0.25">
      <c r="B161" s="24"/>
      <c r="C161" s="24"/>
      <c r="D161" s="24"/>
      <c r="E161" s="24"/>
      <c r="F161" s="24"/>
      <c r="G161" s="24"/>
      <c r="H161" s="24"/>
      <c r="I161" s="273"/>
      <c r="J161" s="273"/>
      <c r="K161" s="24"/>
      <c r="L161" s="24"/>
      <c r="M161" s="24"/>
      <c r="N161" s="24"/>
      <c r="O161" s="24"/>
      <c r="P161" s="273"/>
      <c r="T161" s="22"/>
      <c r="AC161" s="169"/>
      <c r="AD161" s="169"/>
      <c r="AE161" s="22"/>
      <c r="AF161" s="169"/>
      <c r="AH161" s="23"/>
      <c r="AI161" s="22"/>
      <c r="AJ161" s="23"/>
    </row>
    <row r="162" spans="2:36" ht="15.75" customHeight="1" x14ac:dyDescent="0.25">
      <c r="B162" s="24"/>
      <c r="C162" s="24"/>
      <c r="D162" s="24"/>
      <c r="E162" s="24"/>
      <c r="F162" s="24"/>
      <c r="G162" s="24"/>
      <c r="H162" s="24"/>
      <c r="I162" s="273"/>
      <c r="J162" s="273"/>
      <c r="K162" s="24"/>
      <c r="L162" s="24"/>
      <c r="M162" s="24"/>
      <c r="N162" s="24"/>
      <c r="O162" s="24"/>
      <c r="P162" s="273"/>
      <c r="T162" s="22"/>
      <c r="AC162" s="168"/>
      <c r="AD162" s="168"/>
      <c r="AE162" s="22"/>
      <c r="AF162" s="168"/>
      <c r="AH162" s="23"/>
      <c r="AI162" s="22"/>
      <c r="AJ162" s="23"/>
    </row>
    <row r="163" spans="2:36" ht="15.75" customHeight="1" x14ac:dyDescent="0.25">
      <c r="B163" s="24"/>
      <c r="C163" s="24"/>
      <c r="D163" s="24"/>
      <c r="E163" s="24"/>
      <c r="F163" s="24"/>
      <c r="G163" s="24"/>
      <c r="H163" s="24"/>
      <c r="I163" s="273"/>
      <c r="J163" s="273"/>
      <c r="K163" s="24"/>
      <c r="L163" s="24"/>
      <c r="M163" s="24"/>
      <c r="N163" s="24"/>
      <c r="O163" s="24"/>
      <c r="P163" s="273"/>
      <c r="T163" s="22"/>
      <c r="AC163" s="167"/>
      <c r="AD163" s="167"/>
      <c r="AE163" s="22"/>
      <c r="AF163" s="167"/>
      <c r="AH163" s="23"/>
      <c r="AI163" s="22"/>
      <c r="AJ163" s="23"/>
    </row>
    <row r="164" spans="2:36" ht="15.75" customHeight="1" x14ac:dyDescent="0.25">
      <c r="B164" s="24"/>
      <c r="C164" s="24"/>
      <c r="D164" s="24"/>
      <c r="E164" s="24"/>
      <c r="F164" s="24"/>
      <c r="G164" s="24"/>
      <c r="H164" s="24"/>
      <c r="I164" s="273"/>
      <c r="J164" s="273"/>
      <c r="K164" s="24"/>
      <c r="L164" s="24"/>
      <c r="M164" s="24"/>
      <c r="N164" s="24"/>
      <c r="O164" s="24"/>
      <c r="P164" s="273"/>
      <c r="T164" s="22"/>
      <c r="AC164" s="166"/>
      <c r="AD164" s="166"/>
      <c r="AE164" s="22"/>
      <c r="AF164" s="166"/>
      <c r="AH164" s="23"/>
      <c r="AI164" s="22"/>
      <c r="AJ164" s="23"/>
    </row>
    <row r="165" spans="2:36" ht="15.75" customHeight="1" x14ac:dyDescent="0.25">
      <c r="B165" s="24"/>
      <c r="C165" s="24"/>
      <c r="D165" s="24"/>
      <c r="E165" s="24"/>
      <c r="F165" s="24"/>
      <c r="G165" s="24"/>
      <c r="H165" s="24"/>
      <c r="I165" s="273"/>
      <c r="J165" s="273"/>
      <c r="K165" s="24"/>
      <c r="L165" s="24"/>
      <c r="M165" s="24"/>
      <c r="N165" s="24"/>
      <c r="O165" s="24"/>
      <c r="P165" s="273"/>
      <c r="T165" s="22"/>
      <c r="AC165" s="165"/>
      <c r="AD165" s="165"/>
      <c r="AE165" s="22"/>
      <c r="AF165" s="165"/>
      <c r="AH165" s="23"/>
      <c r="AI165" s="22"/>
      <c r="AJ165" s="23"/>
    </row>
    <row r="166" spans="2:36" ht="15.75" customHeight="1" x14ac:dyDescent="0.25">
      <c r="B166" s="24"/>
      <c r="C166" s="24"/>
      <c r="D166" s="24"/>
      <c r="E166" s="24"/>
      <c r="F166" s="24"/>
      <c r="G166" s="24"/>
      <c r="H166" s="24"/>
      <c r="I166" s="273"/>
      <c r="J166" s="273"/>
      <c r="K166" s="24"/>
      <c r="L166" s="24"/>
      <c r="M166" s="24"/>
      <c r="N166" s="24"/>
      <c r="O166" s="24"/>
      <c r="P166" s="273"/>
      <c r="T166" s="22"/>
      <c r="AC166" s="160"/>
      <c r="AD166" s="160"/>
      <c r="AE166" s="22"/>
      <c r="AF166" s="160"/>
      <c r="AH166" s="23"/>
      <c r="AI166" s="22"/>
      <c r="AJ166" s="23"/>
    </row>
    <row r="167" spans="2:36" ht="15.75" customHeight="1" x14ac:dyDescent="0.25">
      <c r="B167" s="24"/>
      <c r="C167" s="24"/>
      <c r="D167" s="24"/>
      <c r="E167" s="24"/>
      <c r="F167" s="24"/>
      <c r="G167" s="24"/>
      <c r="H167" s="24"/>
      <c r="I167" s="273"/>
      <c r="J167" s="273"/>
      <c r="K167" s="24"/>
      <c r="L167" s="24"/>
      <c r="M167" s="24"/>
      <c r="N167" s="24"/>
      <c r="O167" s="24"/>
      <c r="P167" s="273"/>
      <c r="T167" s="22"/>
      <c r="AC167" s="163"/>
      <c r="AD167" s="163"/>
      <c r="AE167" s="22"/>
      <c r="AF167" s="163"/>
      <c r="AH167" s="23"/>
      <c r="AI167" s="22"/>
      <c r="AJ167" s="23"/>
    </row>
    <row r="168" spans="2:36" ht="15.75" customHeight="1" x14ac:dyDescent="0.25">
      <c r="B168" s="24"/>
      <c r="C168" s="24"/>
      <c r="D168" s="24"/>
      <c r="E168" s="24"/>
      <c r="F168" s="24"/>
      <c r="G168" s="24"/>
      <c r="H168" s="24"/>
      <c r="I168" s="273"/>
      <c r="J168" s="273"/>
      <c r="K168" s="24"/>
      <c r="L168" s="24"/>
      <c r="M168" s="24"/>
      <c r="N168" s="24"/>
      <c r="O168" s="24"/>
      <c r="P168" s="273"/>
      <c r="T168" s="22"/>
      <c r="AC168" s="162"/>
      <c r="AD168" s="162"/>
      <c r="AE168" s="22"/>
      <c r="AF168" s="162"/>
      <c r="AH168" s="23"/>
      <c r="AI168" s="22"/>
      <c r="AJ168" s="23"/>
    </row>
    <row r="169" spans="2:36" ht="15.75" customHeight="1" x14ac:dyDescent="0.25">
      <c r="B169" s="24"/>
      <c r="C169" s="24"/>
      <c r="D169" s="24"/>
      <c r="E169" s="24"/>
      <c r="F169" s="24"/>
      <c r="G169" s="24"/>
      <c r="H169" s="24"/>
      <c r="I169" s="273"/>
      <c r="J169" s="273"/>
      <c r="K169" s="24"/>
      <c r="L169" s="24"/>
      <c r="M169" s="24"/>
      <c r="N169" s="24"/>
      <c r="O169" s="24"/>
      <c r="P169" s="273"/>
      <c r="T169" s="22"/>
      <c r="AC169" s="161"/>
      <c r="AD169" s="161"/>
      <c r="AE169" s="22"/>
      <c r="AF169" s="161"/>
      <c r="AH169" s="23"/>
      <c r="AI169" s="22"/>
      <c r="AJ169" s="23"/>
    </row>
    <row r="170" spans="2:36" ht="15.75" customHeight="1" x14ac:dyDescent="0.25">
      <c r="B170" s="24"/>
      <c r="C170" s="24"/>
      <c r="D170" s="24"/>
      <c r="E170" s="24"/>
      <c r="F170" s="24"/>
      <c r="G170" s="24"/>
      <c r="H170" s="24"/>
      <c r="I170" s="273"/>
      <c r="J170" s="273"/>
      <c r="K170" s="24"/>
      <c r="L170" s="24"/>
      <c r="M170" s="24"/>
      <c r="N170" s="24"/>
      <c r="O170" s="24"/>
      <c r="P170" s="273"/>
      <c r="T170" s="22"/>
      <c r="AC170" s="160"/>
      <c r="AD170" s="160"/>
      <c r="AE170" s="22"/>
      <c r="AF170" s="160"/>
      <c r="AH170" s="23"/>
      <c r="AI170" s="22"/>
      <c r="AJ170" s="23"/>
    </row>
    <row r="171" spans="2:36" ht="15.75" customHeight="1" x14ac:dyDescent="0.25">
      <c r="B171" s="24"/>
      <c r="C171" s="24"/>
      <c r="D171" s="24"/>
      <c r="E171" s="24"/>
      <c r="F171" s="24"/>
      <c r="G171" s="24"/>
      <c r="H171" s="24"/>
      <c r="I171" s="273"/>
      <c r="J171" s="273"/>
      <c r="K171" s="24"/>
      <c r="L171" s="24"/>
      <c r="M171" s="24"/>
      <c r="N171" s="24"/>
      <c r="O171" s="24"/>
      <c r="P171" s="273"/>
      <c r="T171" s="22"/>
      <c r="AC171" s="154"/>
      <c r="AD171" s="154"/>
      <c r="AE171" s="22"/>
      <c r="AF171" s="154"/>
      <c r="AH171" s="23"/>
      <c r="AI171" s="22"/>
      <c r="AJ171" s="23"/>
    </row>
    <row r="172" spans="2:36" ht="15.75" customHeight="1" x14ac:dyDescent="0.25">
      <c r="B172" s="24"/>
      <c r="C172" s="24"/>
      <c r="D172" s="24"/>
      <c r="E172" s="24"/>
      <c r="F172" s="24"/>
      <c r="G172" s="24"/>
      <c r="H172" s="24"/>
      <c r="I172" s="273"/>
      <c r="J172" s="273"/>
      <c r="K172" s="24"/>
      <c r="L172" s="24"/>
      <c r="M172" s="24"/>
      <c r="N172" s="24"/>
      <c r="O172" s="24"/>
      <c r="P172" s="273"/>
      <c r="T172" s="22"/>
      <c r="AC172" s="158"/>
      <c r="AD172" s="158"/>
      <c r="AE172" s="22"/>
      <c r="AF172" s="158"/>
      <c r="AH172" s="23"/>
      <c r="AI172" s="22"/>
      <c r="AJ172" s="23"/>
    </row>
    <row r="173" spans="2:36" ht="15.75" customHeight="1" x14ac:dyDescent="0.25">
      <c r="B173" s="24"/>
      <c r="C173" s="24"/>
      <c r="D173" s="24"/>
      <c r="E173" s="24"/>
      <c r="F173" s="24"/>
      <c r="G173" s="24"/>
      <c r="H173" s="24"/>
      <c r="I173" s="273"/>
      <c r="J173" s="273"/>
      <c r="K173" s="24"/>
      <c r="L173" s="24"/>
      <c r="M173" s="24"/>
      <c r="N173" s="24"/>
      <c r="O173" s="24"/>
      <c r="P173" s="273"/>
      <c r="T173" s="22"/>
      <c r="AC173" s="157"/>
      <c r="AD173" s="157"/>
      <c r="AE173" s="22"/>
      <c r="AF173" s="157"/>
      <c r="AH173" s="23"/>
      <c r="AI173" s="22"/>
      <c r="AJ173" s="23"/>
    </row>
    <row r="174" spans="2:36" ht="15.75" customHeight="1" x14ac:dyDescent="0.25">
      <c r="B174" s="24"/>
      <c r="C174" s="24"/>
      <c r="D174" s="24"/>
      <c r="E174" s="24"/>
      <c r="F174" s="24"/>
      <c r="G174" s="24"/>
      <c r="H174" s="24"/>
      <c r="I174" s="273"/>
      <c r="J174" s="273"/>
      <c r="K174" s="24"/>
      <c r="L174" s="24"/>
      <c r="M174" s="24"/>
      <c r="N174" s="24"/>
      <c r="O174" s="24"/>
      <c r="P174" s="273"/>
      <c r="T174" s="22"/>
      <c r="AC174" s="156"/>
      <c r="AD174" s="156"/>
      <c r="AE174" s="22"/>
      <c r="AF174" s="156"/>
      <c r="AH174" s="23"/>
      <c r="AI174" s="23"/>
      <c r="AJ174" s="23"/>
    </row>
    <row r="175" spans="2:36" ht="15.75" customHeight="1" x14ac:dyDescent="0.25">
      <c r="B175" s="24"/>
      <c r="C175" s="24"/>
      <c r="D175" s="24"/>
      <c r="E175" s="24"/>
      <c r="F175" s="24"/>
      <c r="G175" s="24"/>
      <c r="H175" s="24"/>
      <c r="I175" s="273"/>
      <c r="J175" s="273"/>
      <c r="K175" s="24"/>
      <c r="L175" s="24"/>
      <c r="M175" s="24"/>
      <c r="N175" s="24"/>
      <c r="O175" s="24"/>
      <c r="P175" s="273"/>
      <c r="T175" s="22"/>
      <c r="AC175" s="155"/>
      <c r="AD175" s="155"/>
      <c r="AE175" s="22"/>
      <c r="AF175" s="155"/>
      <c r="AH175" s="23"/>
      <c r="AI175" s="23"/>
      <c r="AJ175" s="23"/>
    </row>
    <row r="176" spans="2:36" ht="15.75" customHeight="1" x14ac:dyDescent="0.25">
      <c r="B176" s="24"/>
      <c r="C176" s="24"/>
      <c r="D176" s="24"/>
      <c r="E176" s="24"/>
      <c r="F176" s="24"/>
      <c r="G176" s="24"/>
      <c r="H176" s="24"/>
      <c r="I176" s="273"/>
      <c r="J176" s="273"/>
      <c r="K176" s="24"/>
      <c r="L176" s="24"/>
      <c r="M176" s="24"/>
      <c r="N176" s="24"/>
      <c r="O176" s="24"/>
      <c r="P176" s="273"/>
      <c r="T176" s="22"/>
      <c r="AC176" s="128"/>
      <c r="AD176" s="128"/>
      <c r="AE176" s="22"/>
      <c r="AF176" s="128"/>
      <c r="AH176" s="23"/>
      <c r="AI176" s="23"/>
      <c r="AJ176" s="23"/>
    </row>
    <row r="177" spans="2:36" ht="15.75" customHeight="1" x14ac:dyDescent="0.25">
      <c r="B177" s="24"/>
      <c r="C177" s="24"/>
      <c r="D177" s="24"/>
      <c r="E177" s="24"/>
      <c r="F177" s="24"/>
      <c r="G177" s="24"/>
      <c r="H177" s="24"/>
      <c r="I177" s="273"/>
      <c r="J177" s="273"/>
      <c r="K177" s="24"/>
      <c r="L177" s="24"/>
      <c r="M177" s="24"/>
      <c r="N177" s="24"/>
      <c r="O177" s="24"/>
      <c r="P177" s="273"/>
      <c r="T177" s="22"/>
      <c r="AC177" s="153"/>
      <c r="AD177" s="153"/>
      <c r="AE177" s="22"/>
      <c r="AF177" s="153"/>
      <c r="AH177" s="23"/>
      <c r="AI177" s="23"/>
      <c r="AJ177" s="23"/>
    </row>
    <row r="178" spans="2:36" ht="15.75" customHeight="1" x14ac:dyDescent="0.25">
      <c r="B178" s="24"/>
      <c r="C178" s="24"/>
      <c r="D178" s="24"/>
      <c r="E178" s="24"/>
      <c r="F178" s="24"/>
      <c r="G178" s="24"/>
      <c r="H178" s="24"/>
      <c r="I178" s="273"/>
      <c r="J178" s="273"/>
      <c r="K178" s="24"/>
      <c r="L178" s="24"/>
      <c r="M178" s="24"/>
      <c r="N178" s="24"/>
      <c r="O178" s="24"/>
      <c r="P178" s="273"/>
      <c r="T178" s="22"/>
      <c r="AC178" s="152"/>
      <c r="AD178" s="152"/>
      <c r="AE178" s="22"/>
      <c r="AF178" s="152"/>
      <c r="AH178" s="23"/>
      <c r="AI178" s="23"/>
      <c r="AJ178" s="23"/>
    </row>
    <row r="179" spans="2:36" ht="15.75" customHeight="1" x14ac:dyDescent="0.25">
      <c r="B179" s="24"/>
      <c r="C179" s="24"/>
      <c r="D179" s="24"/>
      <c r="E179" s="24"/>
      <c r="F179" s="24"/>
      <c r="G179" s="24"/>
      <c r="H179" s="24"/>
      <c r="I179" s="273"/>
      <c r="J179" s="273"/>
      <c r="K179" s="24"/>
      <c r="L179" s="24"/>
      <c r="M179" s="24"/>
      <c r="N179" s="24"/>
      <c r="O179" s="24"/>
      <c r="P179" s="273"/>
      <c r="T179" s="22"/>
      <c r="AC179" s="151"/>
      <c r="AD179" s="151"/>
      <c r="AE179" s="22"/>
      <c r="AF179" s="151"/>
      <c r="AH179" s="23"/>
      <c r="AI179" s="23"/>
      <c r="AJ179" s="23"/>
    </row>
    <row r="180" spans="2:36" ht="15.75" customHeight="1" x14ac:dyDescent="0.25">
      <c r="B180" s="24"/>
      <c r="C180" s="24"/>
      <c r="D180" s="24"/>
      <c r="E180" s="24"/>
      <c r="F180" s="24"/>
      <c r="G180" s="24"/>
      <c r="H180" s="24"/>
      <c r="I180" s="273"/>
      <c r="J180" s="273"/>
      <c r="K180" s="24"/>
      <c r="L180" s="24"/>
      <c r="M180" s="24"/>
      <c r="N180" s="24"/>
      <c r="O180" s="24"/>
      <c r="P180" s="273"/>
      <c r="T180" s="22"/>
      <c r="AC180" s="151"/>
      <c r="AD180" s="151"/>
      <c r="AE180" s="22"/>
      <c r="AF180" s="151"/>
      <c r="AH180" s="23"/>
      <c r="AI180" s="23"/>
      <c r="AJ180" s="23"/>
    </row>
    <row r="181" spans="2:36" ht="15.75" customHeight="1" x14ac:dyDescent="0.25">
      <c r="B181" s="24"/>
      <c r="C181" s="24"/>
      <c r="D181" s="24"/>
      <c r="E181" s="24"/>
      <c r="F181" s="24"/>
      <c r="G181" s="24"/>
      <c r="H181" s="24"/>
      <c r="I181" s="273"/>
      <c r="J181" s="273"/>
      <c r="K181" s="24"/>
      <c r="L181" s="24"/>
      <c r="M181" s="24"/>
      <c r="N181" s="24"/>
      <c r="O181" s="24"/>
      <c r="P181" s="273"/>
      <c r="T181" s="22"/>
      <c r="AC181" s="150"/>
      <c r="AD181" s="150"/>
      <c r="AE181" s="22"/>
      <c r="AF181" s="150"/>
      <c r="AH181" s="23"/>
      <c r="AI181" s="23"/>
      <c r="AJ181" s="23"/>
    </row>
    <row r="182" spans="2:36" ht="15.75" customHeight="1" x14ac:dyDescent="0.25">
      <c r="B182" s="24"/>
      <c r="C182" s="24"/>
      <c r="D182" s="24"/>
      <c r="E182" s="24"/>
      <c r="F182" s="24"/>
      <c r="G182" s="24"/>
      <c r="H182" s="24"/>
      <c r="I182" s="273"/>
      <c r="J182" s="273"/>
      <c r="K182" s="24"/>
      <c r="L182" s="24"/>
      <c r="M182" s="24"/>
      <c r="N182" s="24"/>
      <c r="O182" s="24"/>
      <c r="P182" s="273"/>
      <c r="T182" s="22"/>
      <c r="AC182" s="149"/>
      <c r="AD182" s="149"/>
      <c r="AE182" s="22"/>
      <c r="AF182" s="149"/>
      <c r="AH182" s="23"/>
      <c r="AI182" s="23"/>
      <c r="AJ182" s="23"/>
    </row>
    <row r="183" spans="2:36" ht="15.75" customHeight="1" x14ac:dyDescent="0.25">
      <c r="B183" s="24"/>
      <c r="C183" s="24"/>
      <c r="D183" s="24"/>
      <c r="E183" s="24"/>
      <c r="F183" s="24"/>
      <c r="G183" s="24"/>
      <c r="H183" s="24"/>
      <c r="I183" s="273"/>
      <c r="J183" s="273"/>
      <c r="K183" s="24"/>
      <c r="L183" s="24"/>
      <c r="M183" s="24"/>
      <c r="N183" s="24"/>
      <c r="O183" s="24"/>
      <c r="P183" s="273"/>
      <c r="T183" s="22"/>
      <c r="AC183" s="148"/>
      <c r="AD183" s="148"/>
      <c r="AE183" s="22"/>
      <c r="AF183" s="148"/>
      <c r="AH183" s="23"/>
      <c r="AI183" s="23"/>
      <c r="AJ183" s="23"/>
    </row>
    <row r="184" spans="2:36" ht="15.75" customHeight="1" x14ac:dyDescent="0.25">
      <c r="B184" s="24"/>
      <c r="C184" s="24"/>
      <c r="D184" s="24"/>
      <c r="E184" s="24"/>
      <c r="F184" s="24"/>
      <c r="G184" s="24"/>
      <c r="H184" s="24"/>
      <c r="I184" s="273"/>
      <c r="J184" s="273"/>
      <c r="K184" s="24"/>
      <c r="L184" s="24"/>
      <c r="M184" s="24"/>
      <c r="N184" s="24"/>
      <c r="O184" s="24"/>
      <c r="P184" s="273"/>
      <c r="T184" s="22"/>
      <c r="AC184" s="147"/>
      <c r="AD184" s="147"/>
      <c r="AE184" s="22"/>
      <c r="AF184" s="147"/>
      <c r="AH184" s="23"/>
      <c r="AI184" s="23"/>
      <c r="AJ184" s="23"/>
    </row>
    <row r="185" spans="2:36" ht="15.75" customHeight="1" x14ac:dyDescent="0.25">
      <c r="B185" s="24"/>
      <c r="C185" s="24"/>
      <c r="D185" s="24"/>
      <c r="E185" s="24"/>
      <c r="F185" s="24"/>
      <c r="G185" s="24"/>
      <c r="H185" s="24"/>
      <c r="I185" s="273"/>
      <c r="J185" s="273"/>
      <c r="K185" s="24"/>
      <c r="L185" s="24"/>
      <c r="M185" s="24"/>
      <c r="N185" s="24"/>
      <c r="O185" s="24"/>
      <c r="P185" s="273"/>
      <c r="T185" s="22"/>
      <c r="AC185" s="146"/>
      <c r="AD185" s="146"/>
      <c r="AE185" s="22"/>
      <c r="AF185" s="146"/>
      <c r="AH185" s="23"/>
      <c r="AI185" s="23"/>
      <c r="AJ185" s="23"/>
    </row>
    <row r="186" spans="2:36" ht="15.75" customHeight="1" x14ac:dyDescent="0.25">
      <c r="B186" s="24"/>
      <c r="C186" s="24"/>
      <c r="D186" s="24"/>
      <c r="E186" s="24"/>
      <c r="F186" s="24"/>
      <c r="G186" s="24"/>
      <c r="H186" s="24"/>
      <c r="I186" s="273"/>
      <c r="J186" s="273"/>
      <c r="K186" s="24"/>
      <c r="L186" s="24"/>
      <c r="M186" s="24"/>
      <c r="N186" s="24"/>
      <c r="O186" s="24"/>
      <c r="P186" s="273"/>
      <c r="T186" s="22"/>
      <c r="AC186" s="145"/>
      <c r="AD186" s="145"/>
      <c r="AE186" s="22"/>
      <c r="AF186" s="145"/>
    </row>
    <row r="187" spans="2:36" ht="15.75" customHeight="1" x14ac:dyDescent="0.25">
      <c r="B187" s="24"/>
      <c r="C187" s="24"/>
      <c r="D187" s="24"/>
      <c r="E187" s="24"/>
      <c r="F187" s="24"/>
      <c r="G187" s="24"/>
      <c r="H187" s="24"/>
      <c r="I187" s="273"/>
      <c r="J187" s="273"/>
      <c r="K187" s="24"/>
      <c r="L187" s="24"/>
      <c r="M187" s="24"/>
      <c r="N187" s="24"/>
      <c r="O187" s="24"/>
      <c r="P187" s="273"/>
      <c r="T187" s="22"/>
      <c r="AC187" s="144"/>
      <c r="AD187" s="144"/>
      <c r="AE187" s="22"/>
      <c r="AF187" s="144"/>
    </row>
    <row r="188" spans="2:36" ht="15.75" customHeight="1" x14ac:dyDescent="0.25">
      <c r="B188" s="24"/>
      <c r="C188" s="24"/>
      <c r="D188" s="24"/>
      <c r="E188" s="24"/>
      <c r="F188" s="24"/>
      <c r="G188" s="24"/>
      <c r="H188" s="24"/>
      <c r="I188" s="273"/>
      <c r="J188" s="273"/>
      <c r="K188" s="24"/>
      <c r="L188" s="24"/>
      <c r="M188" s="24"/>
      <c r="N188" s="24"/>
      <c r="O188" s="24"/>
      <c r="P188" s="273"/>
      <c r="T188" s="22"/>
      <c r="AC188" s="143"/>
      <c r="AD188" s="143"/>
      <c r="AE188" s="22"/>
      <c r="AF188" s="143"/>
    </row>
    <row r="189" spans="2:36" ht="15.75" customHeight="1" x14ac:dyDescent="0.25">
      <c r="B189" s="24"/>
      <c r="C189" s="24"/>
      <c r="D189" s="24"/>
      <c r="E189" s="24"/>
      <c r="F189" s="24"/>
      <c r="G189" s="24"/>
      <c r="H189" s="24"/>
      <c r="I189" s="273"/>
      <c r="J189" s="273"/>
      <c r="K189" s="24"/>
      <c r="L189" s="24"/>
      <c r="M189" s="24"/>
      <c r="N189" s="24"/>
      <c r="O189" s="24"/>
      <c r="P189" s="273"/>
      <c r="T189" s="22"/>
      <c r="AC189" s="142"/>
      <c r="AD189" s="142"/>
      <c r="AE189" s="22"/>
      <c r="AF189" s="142"/>
    </row>
    <row r="190" spans="2:36" ht="15.75" customHeight="1" x14ac:dyDescent="0.25">
      <c r="B190" s="24"/>
      <c r="C190" s="24"/>
      <c r="D190" s="24"/>
      <c r="E190" s="24"/>
      <c r="F190" s="24"/>
      <c r="G190" s="24"/>
      <c r="H190" s="24"/>
      <c r="I190" s="273"/>
      <c r="J190" s="273"/>
      <c r="K190" s="24"/>
      <c r="L190" s="24"/>
      <c r="M190" s="24"/>
      <c r="N190" s="24"/>
      <c r="O190" s="24"/>
      <c r="P190" s="273"/>
      <c r="T190" s="22"/>
      <c r="AC190" s="141"/>
      <c r="AD190" s="141"/>
      <c r="AE190" s="22"/>
      <c r="AF190" s="141"/>
    </row>
    <row r="191" spans="2:36" ht="15.75" customHeight="1" x14ac:dyDescent="0.25">
      <c r="B191" s="24"/>
      <c r="C191" s="24"/>
      <c r="D191" s="24"/>
      <c r="E191" s="24"/>
      <c r="F191" s="24"/>
      <c r="G191" s="24"/>
      <c r="H191" s="24"/>
      <c r="I191" s="273"/>
      <c r="J191" s="273"/>
      <c r="K191" s="24"/>
      <c r="L191" s="24"/>
      <c r="M191" s="24"/>
      <c r="N191" s="24"/>
      <c r="O191" s="24"/>
      <c r="P191" s="273"/>
      <c r="T191" s="22"/>
      <c r="AC191" s="140"/>
      <c r="AD191" s="140"/>
      <c r="AE191" s="22"/>
      <c r="AF191" s="140"/>
    </row>
    <row r="192" spans="2:36" ht="15.75" customHeight="1" x14ac:dyDescent="0.25">
      <c r="B192" s="24"/>
      <c r="C192" s="24"/>
      <c r="D192" s="24"/>
      <c r="E192" s="24"/>
      <c r="F192" s="24"/>
      <c r="G192" s="24"/>
      <c r="H192" s="24"/>
      <c r="I192" s="273"/>
      <c r="J192" s="273"/>
      <c r="K192" s="24"/>
      <c r="L192" s="24"/>
      <c r="M192" s="24"/>
      <c r="N192" s="24"/>
      <c r="O192" s="24"/>
      <c r="P192" s="273"/>
      <c r="T192" s="22"/>
      <c r="AC192" s="139"/>
      <c r="AD192" s="139"/>
      <c r="AE192" s="22"/>
      <c r="AF192" s="139"/>
    </row>
    <row r="193" spans="2:32" ht="15.75" customHeight="1" x14ac:dyDescent="0.25">
      <c r="B193" s="24"/>
      <c r="C193" s="24"/>
      <c r="D193" s="24"/>
      <c r="E193" s="24"/>
      <c r="F193" s="24"/>
      <c r="G193" s="24"/>
      <c r="H193" s="24"/>
      <c r="I193" s="273"/>
      <c r="J193" s="273"/>
      <c r="K193" s="24"/>
      <c r="L193" s="24"/>
      <c r="M193" s="24"/>
      <c r="N193" s="24"/>
      <c r="O193" s="24"/>
      <c r="P193" s="273"/>
      <c r="T193" s="22"/>
      <c r="AC193" s="138"/>
      <c r="AD193" s="138"/>
      <c r="AE193" s="22"/>
      <c r="AF193" s="138"/>
    </row>
    <row r="194" spans="2:32" ht="15.75" customHeight="1" x14ac:dyDescent="0.25">
      <c r="B194" s="24"/>
      <c r="C194" s="24"/>
      <c r="D194" s="24"/>
      <c r="E194" s="24"/>
      <c r="F194" s="24"/>
      <c r="G194" s="24"/>
      <c r="H194" s="24"/>
      <c r="I194" s="273"/>
      <c r="J194" s="273"/>
      <c r="K194" s="24"/>
      <c r="L194" s="24"/>
      <c r="M194" s="24"/>
      <c r="N194" s="24"/>
      <c r="O194" s="24"/>
      <c r="P194" s="273"/>
      <c r="T194" s="22"/>
      <c r="AC194" s="137"/>
      <c r="AD194" s="137"/>
      <c r="AE194" s="22"/>
      <c r="AF194" s="137"/>
    </row>
    <row r="195" spans="2:32" ht="15.75" customHeight="1" x14ac:dyDescent="0.25">
      <c r="B195" s="24"/>
      <c r="C195" s="24"/>
      <c r="D195" s="24"/>
      <c r="E195" s="24"/>
      <c r="F195" s="24"/>
      <c r="G195" s="24"/>
      <c r="H195" s="24"/>
      <c r="I195" s="273"/>
      <c r="J195" s="273"/>
      <c r="K195" s="24"/>
      <c r="L195" s="24"/>
      <c r="M195" s="24"/>
      <c r="N195" s="24"/>
      <c r="O195" s="24"/>
      <c r="P195" s="273"/>
      <c r="T195" s="22"/>
      <c r="AC195" s="136"/>
      <c r="AD195" s="136"/>
      <c r="AE195" s="22"/>
      <c r="AF195" s="136"/>
    </row>
    <row r="196" spans="2:32" ht="15.75" customHeight="1" x14ac:dyDescent="0.25">
      <c r="B196" s="24"/>
      <c r="C196" s="24"/>
      <c r="D196" s="24"/>
      <c r="E196" s="24"/>
      <c r="F196" s="24"/>
      <c r="G196" s="24"/>
      <c r="H196" s="24"/>
      <c r="I196" s="273"/>
      <c r="J196" s="273"/>
      <c r="K196" s="24"/>
      <c r="L196" s="24"/>
      <c r="M196" s="24"/>
      <c r="N196" s="24"/>
      <c r="O196" s="24"/>
      <c r="P196" s="273"/>
      <c r="T196" s="22"/>
      <c r="AC196" s="135"/>
      <c r="AD196" s="135"/>
      <c r="AE196" s="22"/>
      <c r="AF196" s="135"/>
    </row>
    <row r="197" spans="2:32" ht="15.75" customHeight="1" x14ac:dyDescent="0.25">
      <c r="B197" s="24"/>
      <c r="C197" s="24"/>
      <c r="D197" s="24"/>
      <c r="E197" s="24"/>
      <c r="F197" s="24"/>
      <c r="G197" s="24"/>
      <c r="H197" s="24"/>
      <c r="I197" s="273"/>
      <c r="J197" s="273"/>
      <c r="K197" s="24"/>
      <c r="L197" s="24"/>
      <c r="M197" s="24"/>
      <c r="N197" s="24"/>
      <c r="O197" s="24"/>
      <c r="P197" s="273"/>
      <c r="T197" s="22"/>
      <c r="AC197" s="134"/>
      <c r="AD197" s="134"/>
      <c r="AE197" s="22"/>
      <c r="AF197" s="134"/>
    </row>
    <row r="198" spans="2:32" ht="15.75" customHeight="1" x14ac:dyDescent="0.25">
      <c r="B198" s="24"/>
      <c r="C198" s="24"/>
      <c r="D198" s="24"/>
      <c r="E198" s="24"/>
      <c r="F198" s="24"/>
      <c r="G198" s="24"/>
      <c r="H198" s="24"/>
      <c r="I198" s="273"/>
      <c r="J198" s="273"/>
      <c r="K198" s="24"/>
      <c r="L198" s="24"/>
      <c r="M198" s="24"/>
      <c r="N198" s="24"/>
      <c r="O198" s="24"/>
      <c r="P198" s="273"/>
      <c r="T198" s="22"/>
      <c r="AC198" s="133"/>
      <c r="AD198" s="133"/>
      <c r="AE198" s="22"/>
      <c r="AF198" s="133"/>
    </row>
    <row r="199" spans="2:32" ht="15.75" customHeight="1" x14ac:dyDescent="0.25">
      <c r="B199" s="24"/>
      <c r="C199" s="24"/>
      <c r="D199" s="24"/>
      <c r="E199" s="24"/>
      <c r="F199" s="24"/>
      <c r="G199" s="24"/>
      <c r="H199" s="24"/>
      <c r="I199" s="273"/>
      <c r="J199" s="273"/>
      <c r="K199" s="24"/>
      <c r="L199" s="24"/>
      <c r="M199" s="24"/>
      <c r="N199" s="24"/>
      <c r="O199" s="24"/>
      <c r="P199" s="273"/>
      <c r="T199" s="22"/>
      <c r="AC199" s="132"/>
      <c r="AD199" s="132"/>
      <c r="AE199" s="22"/>
      <c r="AF199" s="132"/>
    </row>
    <row r="200" spans="2:32" ht="15.75" customHeight="1" x14ac:dyDescent="0.25">
      <c r="B200" s="24"/>
      <c r="C200" s="24"/>
      <c r="D200" s="24"/>
      <c r="E200" s="24"/>
      <c r="F200" s="24"/>
      <c r="G200" s="24"/>
      <c r="H200" s="24"/>
      <c r="I200" s="273"/>
      <c r="J200" s="273"/>
      <c r="K200" s="24"/>
      <c r="L200" s="24"/>
      <c r="M200" s="24"/>
      <c r="N200" s="24"/>
      <c r="O200" s="24"/>
      <c r="P200" s="273"/>
      <c r="T200" s="22"/>
      <c r="AC200" s="131"/>
      <c r="AD200" s="131"/>
      <c r="AE200" s="22"/>
      <c r="AF200" s="131"/>
    </row>
    <row r="201" spans="2:32" ht="15.75" customHeight="1" x14ac:dyDescent="0.25">
      <c r="B201" s="24"/>
      <c r="C201" s="24"/>
      <c r="D201" s="24"/>
      <c r="E201" s="24"/>
      <c r="F201" s="24"/>
      <c r="G201" s="24"/>
      <c r="H201" s="24"/>
      <c r="I201" s="273"/>
      <c r="J201" s="273"/>
      <c r="K201" s="24"/>
      <c r="L201" s="24"/>
      <c r="M201" s="24"/>
      <c r="N201" s="24"/>
      <c r="O201" s="24"/>
      <c r="P201" s="273"/>
      <c r="T201" s="22"/>
      <c r="AC201" s="130"/>
      <c r="AD201" s="130"/>
      <c r="AE201" s="22"/>
      <c r="AF201" s="130"/>
    </row>
    <row r="202" spans="2:32" ht="15.75" customHeight="1" x14ac:dyDescent="0.25">
      <c r="B202" s="24"/>
      <c r="C202" s="24"/>
      <c r="D202" s="24"/>
      <c r="E202" s="24"/>
      <c r="F202" s="24"/>
      <c r="G202" s="24"/>
      <c r="H202" s="24"/>
      <c r="I202" s="273"/>
      <c r="J202" s="273"/>
      <c r="K202" s="24"/>
      <c r="L202" s="24"/>
      <c r="M202" s="24"/>
      <c r="N202" s="24"/>
      <c r="O202" s="24"/>
      <c r="P202" s="273"/>
      <c r="T202" s="22"/>
      <c r="AC202" s="129"/>
      <c r="AD202" s="129"/>
      <c r="AE202" s="22"/>
      <c r="AF202" s="129"/>
    </row>
    <row r="203" spans="2:32" ht="15.75" customHeight="1" x14ac:dyDescent="0.25">
      <c r="B203" s="24"/>
      <c r="C203" s="24"/>
      <c r="D203" s="24"/>
      <c r="E203" s="24"/>
      <c r="F203" s="24"/>
      <c r="G203" s="24"/>
      <c r="H203" s="24"/>
      <c r="I203" s="273"/>
      <c r="J203" s="273"/>
      <c r="K203" s="24"/>
      <c r="L203" s="24"/>
      <c r="M203" s="24"/>
      <c r="N203" s="24"/>
      <c r="O203" s="24"/>
      <c r="P203" s="273"/>
      <c r="T203" s="22"/>
      <c r="AC203" s="128"/>
      <c r="AD203" s="128"/>
      <c r="AE203" s="22"/>
      <c r="AF203" s="128"/>
    </row>
    <row r="204" spans="2:32" ht="15.75" customHeight="1" x14ac:dyDescent="0.25">
      <c r="B204" s="24"/>
      <c r="C204" s="24"/>
      <c r="D204" s="24"/>
      <c r="E204" s="24"/>
      <c r="F204" s="24"/>
      <c r="G204" s="24"/>
      <c r="H204" s="24"/>
      <c r="I204" s="273"/>
      <c r="J204" s="273"/>
      <c r="K204" s="24"/>
      <c r="L204" s="24"/>
      <c r="M204" s="24"/>
      <c r="N204" s="24"/>
      <c r="O204" s="24"/>
      <c r="P204" s="273"/>
      <c r="T204" s="22"/>
      <c r="AC204" s="128"/>
      <c r="AD204" s="128"/>
      <c r="AE204" s="22"/>
      <c r="AF204" s="128"/>
    </row>
    <row r="205" spans="2:32" ht="15.75" customHeight="1" x14ac:dyDescent="0.25">
      <c r="B205" s="24"/>
      <c r="C205" s="24"/>
      <c r="D205" s="24"/>
      <c r="E205" s="24"/>
      <c r="F205" s="24"/>
      <c r="G205" s="24"/>
      <c r="H205" s="24"/>
      <c r="I205" s="273"/>
      <c r="J205" s="273"/>
      <c r="K205" s="24"/>
      <c r="L205" s="24"/>
      <c r="M205" s="24"/>
      <c r="N205" s="24"/>
      <c r="O205" s="24"/>
      <c r="P205" s="273"/>
      <c r="T205" s="22"/>
      <c r="AC205" s="128"/>
      <c r="AD205" s="128"/>
      <c r="AE205" s="22"/>
      <c r="AF205" s="128"/>
    </row>
    <row r="206" spans="2:32" ht="15.75" customHeight="1" x14ac:dyDescent="0.25">
      <c r="B206" s="24"/>
      <c r="C206" s="24"/>
      <c r="D206" s="24"/>
      <c r="E206" s="24"/>
      <c r="F206" s="24"/>
      <c r="G206" s="24"/>
      <c r="H206" s="24"/>
      <c r="I206" s="273"/>
      <c r="J206" s="273"/>
      <c r="K206" s="24"/>
      <c r="L206" s="24"/>
      <c r="M206" s="24"/>
      <c r="N206" s="24"/>
      <c r="O206" s="24"/>
      <c r="P206" s="273"/>
      <c r="T206" s="22"/>
      <c r="AC206" s="124"/>
      <c r="AD206" s="124"/>
      <c r="AE206" s="22"/>
      <c r="AF206" s="124"/>
    </row>
    <row r="207" spans="2:32" ht="15.75" customHeight="1" x14ac:dyDescent="0.25">
      <c r="B207" s="24"/>
      <c r="C207" s="24"/>
      <c r="D207" s="24"/>
      <c r="E207" s="24"/>
      <c r="F207" s="24"/>
      <c r="G207" s="24"/>
      <c r="H207" s="24"/>
      <c r="I207" s="273"/>
      <c r="J207" s="273"/>
      <c r="K207" s="24"/>
      <c r="L207" s="24"/>
      <c r="M207" s="24"/>
      <c r="N207" s="24"/>
      <c r="O207" s="24"/>
      <c r="P207" s="273"/>
      <c r="T207" s="22"/>
      <c r="AC207" s="79"/>
      <c r="AD207" s="79"/>
      <c r="AE207" s="22"/>
      <c r="AF207" s="79"/>
    </row>
    <row r="208" spans="2:32" ht="15.75" customHeight="1" x14ac:dyDescent="0.25">
      <c r="B208" s="24"/>
      <c r="C208" s="24"/>
      <c r="D208" s="24"/>
      <c r="E208" s="24"/>
      <c r="F208" s="24"/>
      <c r="G208" s="24"/>
      <c r="H208" s="24"/>
      <c r="I208" s="273"/>
      <c r="J208" s="273"/>
      <c r="K208" s="24"/>
      <c r="L208" s="24"/>
      <c r="M208" s="24"/>
      <c r="N208" s="24"/>
      <c r="O208" s="24"/>
      <c r="P208" s="273"/>
      <c r="T208" s="22"/>
      <c r="AC208" s="123"/>
      <c r="AD208" s="123"/>
      <c r="AE208" s="22"/>
      <c r="AF208" s="123"/>
    </row>
    <row r="209" spans="2:32" ht="15.75" customHeight="1" x14ac:dyDescent="0.25">
      <c r="B209" s="24"/>
      <c r="C209" s="24"/>
      <c r="D209" s="24"/>
      <c r="E209" s="24"/>
      <c r="F209" s="24"/>
      <c r="G209" s="24"/>
      <c r="H209" s="24"/>
      <c r="I209" s="273"/>
      <c r="J209" s="273"/>
      <c r="K209" s="24"/>
      <c r="L209" s="24"/>
      <c r="M209" s="24"/>
      <c r="N209" s="24"/>
      <c r="O209" s="24"/>
      <c r="P209" s="273"/>
      <c r="T209" s="22"/>
      <c r="AC209" s="122"/>
      <c r="AD209" s="122"/>
      <c r="AE209" s="22"/>
      <c r="AF209" s="122"/>
    </row>
    <row r="210" spans="2:32" ht="15.75" customHeight="1" x14ac:dyDescent="0.25">
      <c r="B210" s="24"/>
      <c r="C210" s="24"/>
      <c r="D210" s="24"/>
      <c r="E210" s="24"/>
      <c r="F210" s="24"/>
      <c r="G210" s="24"/>
      <c r="H210" s="24"/>
      <c r="I210" s="273"/>
      <c r="J210" s="273"/>
      <c r="K210" s="24"/>
      <c r="L210" s="24"/>
      <c r="M210" s="24"/>
      <c r="N210" s="24"/>
      <c r="O210" s="24"/>
      <c r="P210" s="273"/>
      <c r="T210" s="22"/>
      <c r="AC210" s="121"/>
      <c r="AD210" s="121"/>
      <c r="AE210" s="22"/>
      <c r="AF210" s="121"/>
    </row>
    <row r="211" spans="2:32" ht="15.75" customHeight="1" x14ac:dyDescent="0.25">
      <c r="B211" s="24"/>
      <c r="C211" s="24"/>
      <c r="D211" s="24"/>
      <c r="E211" s="24"/>
      <c r="F211" s="24"/>
      <c r="G211" s="24"/>
      <c r="H211" s="24"/>
      <c r="I211" s="273"/>
      <c r="J211" s="273"/>
      <c r="K211" s="24"/>
      <c r="L211" s="24"/>
      <c r="M211" s="24"/>
      <c r="N211" s="24"/>
      <c r="O211" s="24"/>
      <c r="P211" s="273"/>
      <c r="T211" s="22"/>
      <c r="AC211" s="120"/>
      <c r="AD211" s="120"/>
      <c r="AE211" s="22"/>
      <c r="AF211" s="120"/>
    </row>
    <row r="212" spans="2:32" ht="15.75" customHeight="1" x14ac:dyDescent="0.25">
      <c r="B212" s="24"/>
      <c r="C212" s="24"/>
      <c r="D212" s="24"/>
      <c r="E212" s="24"/>
      <c r="F212" s="24"/>
      <c r="G212" s="24"/>
      <c r="H212" s="24"/>
      <c r="I212" s="273"/>
      <c r="J212" s="273"/>
      <c r="K212" s="24"/>
      <c r="L212" s="24"/>
      <c r="M212" s="24"/>
      <c r="N212" s="24"/>
      <c r="O212" s="24"/>
      <c r="P212" s="273"/>
      <c r="T212" s="22"/>
      <c r="AC212" s="119"/>
      <c r="AD212" s="119"/>
      <c r="AE212" s="22"/>
      <c r="AF212" s="119"/>
    </row>
    <row r="213" spans="2:32" ht="15.75" customHeight="1" x14ac:dyDescent="0.25">
      <c r="B213" s="24"/>
      <c r="C213" s="24"/>
      <c r="D213" s="24"/>
      <c r="E213" s="24"/>
      <c r="F213" s="24"/>
      <c r="G213" s="24"/>
      <c r="H213" s="24"/>
      <c r="I213" s="273"/>
      <c r="J213" s="273"/>
      <c r="K213" s="24"/>
      <c r="L213" s="24"/>
      <c r="M213" s="24"/>
      <c r="N213" s="24"/>
      <c r="O213" s="24"/>
      <c r="P213" s="273"/>
      <c r="T213" s="22"/>
      <c r="AC213" s="118"/>
      <c r="AD213" s="118"/>
      <c r="AE213" s="22"/>
      <c r="AF213" s="118"/>
    </row>
    <row r="214" spans="2:32" ht="15.75" customHeight="1" x14ac:dyDescent="0.25">
      <c r="B214" s="24"/>
      <c r="C214" s="24"/>
      <c r="D214" s="24"/>
      <c r="E214" s="24"/>
      <c r="F214" s="24"/>
      <c r="G214" s="24"/>
      <c r="H214" s="24"/>
      <c r="I214" s="273"/>
      <c r="J214" s="273"/>
      <c r="K214" s="24"/>
      <c r="L214" s="24"/>
      <c r="M214" s="24"/>
      <c r="N214" s="24"/>
      <c r="O214" s="24"/>
      <c r="P214" s="273"/>
      <c r="T214" s="22"/>
      <c r="AC214" s="117"/>
      <c r="AD214" s="117"/>
      <c r="AE214" s="22"/>
      <c r="AF214" s="117"/>
    </row>
    <row r="215" spans="2:32" ht="15.75" customHeight="1" x14ac:dyDescent="0.25">
      <c r="B215" s="24"/>
      <c r="C215" s="24"/>
      <c r="D215" s="24"/>
      <c r="E215" s="24"/>
      <c r="F215" s="24"/>
      <c r="G215" s="24"/>
      <c r="H215" s="24"/>
      <c r="I215" s="273"/>
      <c r="J215" s="273"/>
      <c r="K215" s="24"/>
      <c r="L215" s="24"/>
      <c r="M215" s="24"/>
      <c r="N215" s="24"/>
      <c r="O215" s="24"/>
      <c r="P215" s="273"/>
      <c r="T215" s="22"/>
      <c r="AC215" s="116"/>
      <c r="AD215" s="116"/>
      <c r="AE215" s="22"/>
      <c r="AF215" s="116"/>
    </row>
    <row r="216" spans="2:32" ht="15.75" customHeight="1" x14ac:dyDescent="0.25">
      <c r="B216" s="24"/>
      <c r="C216" s="24"/>
      <c r="D216" s="24"/>
      <c r="E216" s="24"/>
      <c r="F216" s="24"/>
      <c r="G216" s="24"/>
      <c r="H216" s="24"/>
      <c r="I216" s="273"/>
      <c r="J216" s="273"/>
      <c r="K216" s="24"/>
      <c r="L216" s="24"/>
      <c r="M216" s="24"/>
      <c r="N216" s="24"/>
      <c r="O216" s="24"/>
      <c r="P216" s="273"/>
      <c r="T216" s="22"/>
      <c r="AC216" s="115"/>
      <c r="AD216" s="115"/>
      <c r="AE216" s="22"/>
      <c r="AF216" s="115"/>
    </row>
    <row r="217" spans="2:32" ht="15.75" customHeight="1" x14ac:dyDescent="0.25">
      <c r="B217" s="24"/>
      <c r="C217" s="24"/>
      <c r="D217" s="24"/>
      <c r="E217" s="24"/>
      <c r="F217" s="24"/>
      <c r="G217" s="24"/>
      <c r="H217" s="24"/>
      <c r="I217" s="273"/>
      <c r="J217" s="273"/>
      <c r="K217" s="24"/>
      <c r="L217" s="24"/>
      <c r="M217" s="24"/>
      <c r="N217" s="24"/>
      <c r="O217" s="24"/>
      <c r="P217" s="273"/>
      <c r="T217" s="22"/>
      <c r="AC217" s="114"/>
      <c r="AD217" s="114"/>
      <c r="AE217" s="22"/>
      <c r="AF217" s="114"/>
    </row>
    <row r="218" spans="2:32" ht="15.75" customHeight="1" x14ac:dyDescent="0.25">
      <c r="B218" s="24"/>
      <c r="C218" s="24"/>
      <c r="D218" s="24"/>
      <c r="E218" s="24"/>
      <c r="F218" s="24"/>
      <c r="G218" s="24"/>
      <c r="H218" s="24"/>
      <c r="I218" s="273"/>
      <c r="J218" s="273"/>
      <c r="K218" s="24"/>
      <c r="L218" s="24"/>
      <c r="M218" s="24"/>
      <c r="N218" s="24"/>
      <c r="O218" s="24"/>
      <c r="P218" s="273"/>
      <c r="T218" s="22"/>
      <c r="AC218" s="113"/>
      <c r="AD218" s="113"/>
      <c r="AE218" s="22"/>
      <c r="AF218" s="113"/>
    </row>
    <row r="219" spans="2:32" ht="15.75" customHeight="1" x14ac:dyDescent="0.25">
      <c r="B219" s="24"/>
      <c r="C219" s="24"/>
      <c r="D219" s="24"/>
      <c r="E219" s="24"/>
      <c r="F219" s="24"/>
      <c r="G219" s="24"/>
      <c r="H219" s="24"/>
      <c r="I219" s="273"/>
      <c r="J219" s="273"/>
      <c r="K219" s="24"/>
      <c r="L219" s="24"/>
      <c r="M219" s="24"/>
      <c r="N219" s="24"/>
      <c r="O219" s="24"/>
      <c r="P219" s="273"/>
      <c r="T219" s="22"/>
      <c r="AC219" s="112"/>
      <c r="AD219" s="112"/>
      <c r="AE219" s="22"/>
      <c r="AF219" s="112"/>
    </row>
    <row r="220" spans="2:32" ht="15.75" customHeight="1" x14ac:dyDescent="0.25">
      <c r="B220" s="24"/>
      <c r="C220" s="24"/>
      <c r="D220" s="24"/>
      <c r="E220" s="24"/>
      <c r="F220" s="24"/>
      <c r="G220" s="24"/>
      <c r="H220" s="24"/>
      <c r="I220" s="273"/>
      <c r="J220" s="273"/>
      <c r="K220" s="24"/>
      <c r="L220" s="24"/>
      <c r="M220" s="24"/>
      <c r="N220" s="24"/>
      <c r="O220" s="24"/>
      <c r="P220" s="273"/>
      <c r="T220" s="22"/>
      <c r="AC220" s="111"/>
      <c r="AD220" s="111"/>
      <c r="AE220" s="22"/>
      <c r="AF220" s="111"/>
    </row>
    <row r="221" spans="2:32" ht="15.75" customHeight="1" x14ac:dyDescent="0.25">
      <c r="B221" s="24"/>
      <c r="C221" s="24"/>
      <c r="D221" s="24"/>
      <c r="E221" s="24"/>
      <c r="F221" s="24"/>
      <c r="G221" s="24"/>
      <c r="H221" s="24"/>
      <c r="I221" s="273"/>
      <c r="J221" s="273"/>
      <c r="K221" s="24"/>
      <c r="L221" s="24"/>
      <c r="M221" s="24"/>
      <c r="N221" s="24"/>
      <c r="O221" s="24"/>
      <c r="P221" s="273"/>
      <c r="T221" s="22"/>
      <c r="AC221" s="110"/>
      <c r="AD221" s="110"/>
      <c r="AE221" s="22"/>
      <c r="AF221" s="110"/>
    </row>
    <row r="222" spans="2:32" ht="15.75" customHeight="1" x14ac:dyDescent="0.25">
      <c r="B222" s="24"/>
      <c r="C222" s="24"/>
      <c r="D222" s="24"/>
      <c r="E222" s="24"/>
      <c r="F222" s="24"/>
      <c r="G222" s="24"/>
      <c r="H222" s="24"/>
      <c r="I222" s="273"/>
      <c r="J222" s="273"/>
      <c r="K222" s="24"/>
      <c r="L222" s="24"/>
      <c r="M222" s="24"/>
      <c r="N222" s="24"/>
      <c r="O222" s="24"/>
      <c r="P222" s="273"/>
      <c r="T222" s="22"/>
      <c r="AC222" s="109"/>
      <c r="AD222" s="109"/>
      <c r="AE222" s="22"/>
      <c r="AF222" s="109"/>
    </row>
    <row r="223" spans="2:32" ht="15.75" customHeight="1" x14ac:dyDescent="0.25">
      <c r="B223" s="24"/>
      <c r="C223" s="24"/>
      <c r="D223" s="24"/>
      <c r="E223" s="24"/>
      <c r="F223" s="24"/>
      <c r="G223" s="24"/>
      <c r="H223" s="24"/>
      <c r="I223" s="273"/>
      <c r="J223" s="273"/>
      <c r="K223" s="24"/>
      <c r="L223" s="24"/>
      <c r="M223" s="24"/>
      <c r="N223" s="24"/>
      <c r="O223" s="24"/>
      <c r="P223" s="273"/>
      <c r="T223" s="22"/>
      <c r="AC223" s="108"/>
      <c r="AD223" s="108"/>
      <c r="AE223" s="22"/>
      <c r="AF223" s="108"/>
    </row>
    <row r="224" spans="2:32" ht="15.75" customHeight="1" x14ac:dyDescent="0.25">
      <c r="B224" s="24"/>
      <c r="C224" s="24"/>
      <c r="D224" s="24"/>
      <c r="E224" s="24"/>
      <c r="F224" s="24"/>
      <c r="G224" s="24"/>
      <c r="H224" s="24"/>
      <c r="I224" s="273"/>
      <c r="J224" s="273"/>
      <c r="K224" s="24"/>
      <c r="L224" s="24"/>
      <c r="M224" s="24"/>
      <c r="N224" s="24"/>
      <c r="O224" s="24"/>
      <c r="P224" s="273"/>
      <c r="T224" s="22"/>
      <c r="AC224" s="107"/>
      <c r="AD224" s="107"/>
      <c r="AE224" s="22"/>
      <c r="AF224" s="107"/>
    </row>
    <row r="225" spans="2:32" ht="15.75" customHeight="1" x14ac:dyDescent="0.25">
      <c r="B225" s="24"/>
      <c r="C225" s="24"/>
      <c r="D225" s="24"/>
      <c r="E225" s="24"/>
      <c r="F225" s="24"/>
      <c r="G225" s="24"/>
      <c r="H225" s="24"/>
      <c r="I225" s="273"/>
      <c r="J225" s="273"/>
      <c r="K225" s="24"/>
      <c r="L225" s="24"/>
      <c r="M225" s="24"/>
      <c r="N225" s="24"/>
      <c r="O225" s="24"/>
      <c r="P225" s="273"/>
      <c r="T225" s="22"/>
      <c r="AC225" s="106"/>
      <c r="AD225" s="106"/>
      <c r="AE225" s="22"/>
      <c r="AF225" s="106"/>
    </row>
    <row r="226" spans="2:32" ht="15.75" customHeight="1" x14ac:dyDescent="0.25">
      <c r="B226" s="24"/>
      <c r="C226" s="24"/>
      <c r="D226" s="24"/>
      <c r="E226" s="24"/>
      <c r="F226" s="24"/>
      <c r="G226" s="24"/>
      <c r="H226" s="24"/>
      <c r="I226" s="273"/>
      <c r="J226" s="273"/>
      <c r="K226" s="24"/>
      <c r="L226" s="24"/>
      <c r="M226" s="24"/>
      <c r="N226" s="24"/>
      <c r="O226" s="24"/>
      <c r="P226" s="273"/>
      <c r="T226" s="22"/>
      <c r="AC226" s="105"/>
      <c r="AD226" s="105"/>
      <c r="AE226" s="22"/>
      <c r="AF226" s="105"/>
    </row>
    <row r="227" spans="2:32" ht="15.75" customHeight="1" x14ac:dyDescent="0.25">
      <c r="B227" s="24"/>
      <c r="C227" s="24"/>
      <c r="D227" s="24"/>
      <c r="E227" s="24"/>
      <c r="F227" s="24"/>
      <c r="G227" s="24"/>
      <c r="H227" s="24"/>
      <c r="I227" s="273"/>
      <c r="J227" s="273"/>
      <c r="K227" s="24"/>
      <c r="L227" s="24"/>
      <c r="M227" s="24"/>
      <c r="N227" s="24"/>
      <c r="O227" s="24"/>
      <c r="P227" s="273"/>
      <c r="T227" s="22"/>
      <c r="AC227" s="104"/>
      <c r="AD227" s="104"/>
      <c r="AE227" s="22"/>
      <c r="AF227" s="104"/>
    </row>
    <row r="228" spans="2:32" ht="15.75" customHeight="1" x14ac:dyDescent="0.25">
      <c r="B228" s="24"/>
      <c r="C228" s="24"/>
      <c r="D228" s="24"/>
      <c r="E228" s="24"/>
      <c r="F228" s="24"/>
      <c r="G228" s="24"/>
      <c r="H228" s="24"/>
      <c r="I228" s="273"/>
      <c r="J228" s="273"/>
      <c r="K228" s="24"/>
      <c r="L228" s="24"/>
      <c r="M228" s="24"/>
      <c r="N228" s="24"/>
      <c r="O228" s="24"/>
      <c r="P228" s="273"/>
      <c r="T228" s="22"/>
      <c r="AC228" s="103"/>
      <c r="AD228" s="103"/>
      <c r="AE228" s="22"/>
      <c r="AF228" s="103"/>
    </row>
    <row r="229" spans="2:32" ht="15.75" customHeight="1" x14ac:dyDescent="0.25">
      <c r="B229" s="24"/>
      <c r="C229" s="24"/>
      <c r="D229" s="24"/>
      <c r="E229" s="24"/>
      <c r="F229" s="24"/>
      <c r="G229" s="24"/>
      <c r="H229" s="24"/>
      <c r="I229" s="273"/>
      <c r="J229" s="273"/>
      <c r="K229" s="24"/>
      <c r="L229" s="24"/>
      <c r="M229" s="24"/>
      <c r="N229" s="24"/>
      <c r="O229" s="24"/>
      <c r="P229" s="273"/>
      <c r="T229" s="22"/>
      <c r="AC229" s="102"/>
      <c r="AD229" s="102"/>
      <c r="AE229" s="22"/>
      <c r="AF229" s="102"/>
    </row>
    <row r="230" spans="2:32" ht="15.75" customHeight="1" x14ac:dyDescent="0.25">
      <c r="B230" s="24"/>
      <c r="C230" s="24"/>
      <c r="D230" s="24"/>
      <c r="E230" s="24"/>
      <c r="F230" s="24"/>
      <c r="G230" s="24"/>
      <c r="H230" s="24"/>
      <c r="I230" s="273"/>
      <c r="J230" s="273"/>
      <c r="K230" s="24"/>
      <c r="L230" s="24"/>
      <c r="M230" s="24"/>
      <c r="N230" s="24"/>
      <c r="O230" s="24"/>
      <c r="P230" s="273"/>
      <c r="T230" s="22"/>
      <c r="AC230" s="101"/>
      <c r="AD230" s="101"/>
      <c r="AE230" s="22"/>
      <c r="AF230" s="101"/>
    </row>
    <row r="231" spans="2:32" ht="15.75" customHeight="1" x14ac:dyDescent="0.25">
      <c r="B231" s="24"/>
      <c r="C231" s="24"/>
      <c r="D231" s="24"/>
      <c r="E231" s="24"/>
      <c r="F231" s="24"/>
      <c r="G231" s="24"/>
      <c r="H231" s="24"/>
      <c r="I231" s="273"/>
      <c r="J231" s="273"/>
      <c r="K231" s="24"/>
      <c r="L231" s="24"/>
      <c r="M231" s="24"/>
      <c r="N231" s="24"/>
      <c r="O231" s="24"/>
      <c r="P231" s="273"/>
      <c r="T231" s="22"/>
      <c r="AC231" s="100"/>
      <c r="AD231" s="100"/>
      <c r="AE231" s="22"/>
      <c r="AF231" s="100"/>
    </row>
    <row r="232" spans="2:32" ht="15.75" customHeight="1" x14ac:dyDescent="0.25">
      <c r="B232" s="24"/>
      <c r="C232" s="24"/>
      <c r="D232" s="24"/>
      <c r="E232" s="24"/>
      <c r="F232" s="24"/>
      <c r="G232" s="24"/>
      <c r="H232" s="24"/>
      <c r="I232" s="273"/>
      <c r="J232" s="273"/>
      <c r="K232" s="24"/>
      <c r="L232" s="24"/>
      <c r="M232" s="24"/>
      <c r="N232" s="24"/>
      <c r="O232" s="24"/>
      <c r="P232" s="273"/>
      <c r="T232" s="22"/>
      <c r="AC232" s="99"/>
      <c r="AD232" s="99"/>
      <c r="AE232" s="22"/>
      <c r="AF232" s="99"/>
    </row>
    <row r="233" spans="2:32" ht="15.75" customHeight="1" x14ac:dyDescent="0.25">
      <c r="B233" s="24"/>
      <c r="C233" s="24"/>
      <c r="D233" s="24"/>
      <c r="E233" s="24"/>
      <c r="F233" s="24"/>
      <c r="G233" s="24"/>
      <c r="H233" s="24"/>
      <c r="I233" s="273"/>
      <c r="J233" s="273"/>
      <c r="K233" s="24"/>
      <c r="L233" s="24"/>
      <c r="M233" s="24"/>
      <c r="N233" s="24"/>
      <c r="O233" s="24"/>
      <c r="P233" s="273"/>
      <c r="T233" s="22"/>
      <c r="AC233" s="98"/>
      <c r="AD233" s="98"/>
      <c r="AE233" s="22"/>
      <c r="AF233" s="98"/>
    </row>
    <row r="234" spans="2:32" ht="15.75" customHeight="1" x14ac:dyDescent="0.25">
      <c r="B234" s="24"/>
      <c r="C234" s="24"/>
      <c r="D234" s="24"/>
      <c r="E234" s="24"/>
      <c r="F234" s="24"/>
      <c r="G234" s="24"/>
      <c r="H234" s="24"/>
      <c r="I234" s="273"/>
      <c r="J234" s="273"/>
      <c r="K234" s="24"/>
      <c r="L234" s="24"/>
      <c r="M234" s="24"/>
      <c r="N234" s="24"/>
      <c r="O234" s="24"/>
      <c r="P234" s="273"/>
      <c r="T234" s="22"/>
      <c r="AC234" s="97"/>
      <c r="AD234" s="97"/>
      <c r="AE234" s="22"/>
      <c r="AF234" s="97"/>
    </row>
    <row r="235" spans="2:32" ht="15.75" customHeight="1" x14ac:dyDescent="0.25">
      <c r="B235" s="24"/>
      <c r="C235" s="24"/>
      <c r="D235" s="24"/>
      <c r="E235" s="24"/>
      <c r="F235" s="24"/>
      <c r="G235" s="24"/>
      <c r="H235" s="24"/>
      <c r="I235" s="273"/>
      <c r="J235" s="273"/>
      <c r="K235" s="24"/>
      <c r="L235" s="24"/>
      <c r="M235" s="24"/>
      <c r="N235" s="24"/>
      <c r="O235" s="24"/>
      <c r="P235" s="273"/>
      <c r="T235" s="22"/>
      <c r="AC235" s="96"/>
      <c r="AD235" s="96"/>
      <c r="AE235" s="22"/>
      <c r="AF235" s="96"/>
    </row>
    <row r="236" spans="2:32" ht="15.75" customHeight="1" x14ac:dyDescent="0.25">
      <c r="B236" s="24"/>
      <c r="C236" s="24"/>
      <c r="D236" s="24"/>
      <c r="E236" s="24"/>
      <c r="F236" s="24"/>
      <c r="G236" s="24"/>
      <c r="H236" s="24"/>
      <c r="I236" s="273"/>
      <c r="J236" s="273"/>
      <c r="K236" s="24"/>
      <c r="L236" s="24"/>
      <c r="M236" s="24"/>
      <c r="N236" s="24"/>
      <c r="O236" s="24"/>
      <c r="P236" s="273"/>
      <c r="T236" s="22"/>
      <c r="AC236" s="95"/>
      <c r="AD236" s="95"/>
      <c r="AE236" s="22"/>
      <c r="AF236" s="95"/>
    </row>
    <row r="237" spans="2:32" ht="15.75" customHeight="1" x14ac:dyDescent="0.25">
      <c r="B237" s="24"/>
      <c r="C237" s="24"/>
      <c r="D237" s="24"/>
      <c r="E237" s="24"/>
      <c r="F237" s="24"/>
      <c r="G237" s="24"/>
      <c r="H237" s="24"/>
      <c r="I237" s="273"/>
      <c r="J237" s="273"/>
      <c r="K237" s="24"/>
      <c r="L237" s="24"/>
      <c r="M237" s="24"/>
      <c r="N237" s="24"/>
      <c r="O237" s="24"/>
      <c r="P237" s="273"/>
      <c r="T237" s="22"/>
      <c r="AC237" s="94"/>
      <c r="AD237" s="94"/>
      <c r="AE237" s="22"/>
      <c r="AF237" s="94"/>
    </row>
    <row r="238" spans="2:32" ht="15.75" customHeight="1" x14ac:dyDescent="0.25">
      <c r="B238" s="24"/>
      <c r="C238" s="24"/>
      <c r="D238" s="24"/>
      <c r="E238" s="24"/>
      <c r="F238" s="24"/>
      <c r="G238" s="24"/>
      <c r="H238" s="24"/>
      <c r="I238" s="273"/>
      <c r="J238" s="273"/>
      <c r="K238" s="24"/>
      <c r="L238" s="24"/>
      <c r="M238" s="24"/>
      <c r="N238" s="24"/>
      <c r="O238" s="24"/>
      <c r="P238" s="273"/>
      <c r="T238" s="22"/>
      <c r="AC238" s="93"/>
      <c r="AD238" s="93"/>
      <c r="AE238" s="22"/>
      <c r="AF238" s="93"/>
    </row>
    <row r="239" spans="2:32" ht="15.75" customHeight="1" x14ac:dyDescent="0.25">
      <c r="B239" s="24"/>
      <c r="C239" s="24"/>
      <c r="D239" s="24"/>
      <c r="E239" s="24"/>
      <c r="F239" s="24"/>
      <c r="G239" s="24"/>
      <c r="H239" s="24"/>
      <c r="I239" s="273"/>
      <c r="J239" s="273"/>
      <c r="K239" s="24"/>
      <c r="L239" s="24"/>
      <c r="M239" s="24"/>
      <c r="N239" s="24"/>
      <c r="O239" s="24"/>
      <c r="P239" s="273"/>
      <c r="T239" s="22"/>
      <c r="AC239" s="92"/>
      <c r="AD239" s="92"/>
      <c r="AE239" s="22"/>
      <c r="AF239" s="92"/>
    </row>
    <row r="240" spans="2:32" ht="15.75" customHeight="1" x14ac:dyDescent="0.25">
      <c r="B240" s="24"/>
      <c r="C240" s="24"/>
      <c r="D240" s="24"/>
      <c r="E240" s="24"/>
      <c r="F240" s="24"/>
      <c r="G240" s="24"/>
      <c r="H240" s="24"/>
      <c r="I240" s="273"/>
      <c r="J240" s="273"/>
      <c r="K240" s="24"/>
      <c r="L240" s="24"/>
      <c r="M240" s="24"/>
      <c r="N240" s="24"/>
      <c r="O240" s="24"/>
      <c r="P240" s="273"/>
      <c r="T240" s="22"/>
      <c r="AC240" s="91"/>
      <c r="AD240" s="91"/>
      <c r="AE240" s="22"/>
      <c r="AF240" s="91"/>
    </row>
    <row r="241" spans="2:32" ht="15.75" customHeight="1" x14ac:dyDescent="0.25">
      <c r="B241" s="24"/>
      <c r="C241" s="24"/>
      <c r="D241" s="24"/>
      <c r="E241" s="24"/>
      <c r="F241" s="24"/>
      <c r="G241" s="24"/>
      <c r="H241" s="24"/>
      <c r="I241" s="273"/>
      <c r="J241" s="273"/>
      <c r="K241" s="24"/>
      <c r="L241" s="24"/>
      <c r="M241" s="24"/>
      <c r="N241" s="24"/>
      <c r="O241" s="24"/>
      <c r="P241" s="273"/>
      <c r="T241" s="22"/>
      <c r="AC241" s="90"/>
      <c r="AD241" s="90"/>
      <c r="AE241" s="22"/>
      <c r="AF241" s="90"/>
    </row>
    <row r="242" spans="2:32" ht="15.75" customHeight="1" x14ac:dyDescent="0.25">
      <c r="B242" s="24"/>
      <c r="C242" s="24"/>
      <c r="D242" s="24"/>
      <c r="E242" s="24"/>
      <c r="F242" s="24"/>
      <c r="G242" s="24"/>
      <c r="H242" s="24"/>
      <c r="I242" s="273"/>
      <c r="J242" s="273"/>
      <c r="K242" s="24"/>
      <c r="L242" s="24"/>
      <c r="M242" s="24"/>
      <c r="N242" s="24"/>
      <c r="O242" s="24"/>
      <c r="P242" s="273"/>
      <c r="T242" s="22"/>
      <c r="AC242" s="89"/>
      <c r="AD242" s="89"/>
      <c r="AE242" s="22"/>
      <c r="AF242" s="89"/>
    </row>
    <row r="243" spans="2:32" ht="15.75" customHeight="1" x14ac:dyDescent="0.25">
      <c r="B243" s="24"/>
      <c r="C243" s="24"/>
      <c r="D243" s="24"/>
      <c r="E243" s="24"/>
      <c r="F243" s="24"/>
      <c r="G243" s="24"/>
      <c r="H243" s="24"/>
      <c r="I243" s="273"/>
      <c r="J243" s="273"/>
      <c r="K243" s="24"/>
      <c r="L243" s="24"/>
      <c r="M243" s="24"/>
      <c r="N243" s="24"/>
      <c r="O243" s="24"/>
      <c r="P243" s="273"/>
      <c r="T243" s="22"/>
      <c r="AC243" s="88"/>
      <c r="AD243" s="88"/>
      <c r="AE243" s="22"/>
      <c r="AF243" s="88"/>
    </row>
    <row r="244" spans="2:32" ht="15.75" customHeight="1" x14ac:dyDescent="0.25">
      <c r="B244" s="24"/>
      <c r="C244" s="24"/>
      <c r="D244" s="24"/>
      <c r="E244" s="24"/>
      <c r="F244" s="24"/>
      <c r="G244" s="24"/>
      <c r="H244" s="24"/>
      <c r="I244" s="273"/>
      <c r="J244" s="273"/>
      <c r="K244" s="24"/>
      <c r="L244" s="24"/>
      <c r="M244" s="24"/>
      <c r="N244" s="24"/>
      <c r="O244" s="24"/>
      <c r="P244" s="273"/>
      <c r="T244" s="22"/>
      <c r="AC244" s="87"/>
      <c r="AD244" s="87"/>
      <c r="AE244" s="22"/>
      <c r="AF244" s="87"/>
    </row>
    <row r="245" spans="2:32" ht="15.75" customHeight="1" x14ac:dyDescent="0.25">
      <c r="B245" s="24"/>
      <c r="C245" s="24"/>
      <c r="D245" s="24"/>
      <c r="E245" s="24"/>
      <c r="F245" s="24"/>
      <c r="G245" s="24"/>
      <c r="H245" s="24"/>
      <c r="I245" s="273"/>
      <c r="J245" s="273"/>
      <c r="K245" s="24"/>
      <c r="L245" s="24"/>
      <c r="M245" s="24"/>
      <c r="N245" s="24"/>
      <c r="O245" s="24"/>
      <c r="P245" s="273"/>
      <c r="T245" s="22"/>
      <c r="AC245" s="86"/>
      <c r="AD245" s="86"/>
      <c r="AE245" s="22"/>
      <c r="AF245" s="86"/>
    </row>
    <row r="246" spans="2:32" ht="15.75" customHeight="1" x14ac:dyDescent="0.25">
      <c r="B246" s="24"/>
      <c r="C246" s="24"/>
      <c r="D246" s="24"/>
      <c r="E246" s="24"/>
      <c r="F246" s="24"/>
      <c r="G246" s="24"/>
      <c r="H246" s="24"/>
      <c r="I246" s="273"/>
      <c r="J246" s="273"/>
      <c r="K246" s="24"/>
      <c r="L246" s="24"/>
      <c r="M246" s="24"/>
      <c r="N246" s="24"/>
      <c r="O246" s="24"/>
      <c r="P246" s="273"/>
      <c r="T246" s="22"/>
      <c r="AC246" s="85"/>
      <c r="AD246" s="85"/>
      <c r="AE246" s="22"/>
      <c r="AF246" s="85"/>
    </row>
    <row r="247" spans="2:32" ht="15.75" customHeight="1" x14ac:dyDescent="0.25">
      <c r="B247" s="24"/>
      <c r="C247" s="24"/>
      <c r="D247" s="24"/>
      <c r="E247" s="24"/>
      <c r="F247" s="24"/>
      <c r="G247" s="24"/>
      <c r="H247" s="24"/>
      <c r="I247" s="273"/>
      <c r="J247" s="273"/>
      <c r="K247" s="24"/>
      <c r="L247" s="24"/>
      <c r="M247" s="24"/>
      <c r="N247" s="24"/>
      <c r="O247" s="24"/>
      <c r="P247" s="273"/>
      <c r="T247" s="22"/>
      <c r="AC247" s="84"/>
      <c r="AD247" s="84"/>
      <c r="AE247" s="22"/>
      <c r="AF247" s="84"/>
    </row>
    <row r="248" spans="2:32" ht="15.75" customHeight="1" x14ac:dyDescent="0.25">
      <c r="B248" s="24"/>
      <c r="C248" s="24"/>
      <c r="D248" s="24"/>
      <c r="E248" s="24"/>
      <c r="F248" s="24"/>
      <c r="G248" s="24"/>
      <c r="H248" s="24"/>
      <c r="I248" s="273"/>
      <c r="J248" s="273"/>
      <c r="K248" s="24"/>
      <c r="L248" s="24"/>
      <c r="M248" s="24"/>
      <c r="N248" s="24"/>
      <c r="O248" s="24"/>
      <c r="P248" s="273"/>
      <c r="T248" s="22"/>
      <c r="AC248" s="83"/>
      <c r="AD248" s="83"/>
      <c r="AE248" s="22"/>
      <c r="AF248" s="83"/>
    </row>
    <row r="249" spans="2:32" ht="15.75" customHeight="1" x14ac:dyDescent="0.25">
      <c r="B249" s="24"/>
      <c r="C249" s="24"/>
      <c r="D249" s="24"/>
      <c r="E249" s="24"/>
      <c r="F249" s="24"/>
      <c r="G249" s="24"/>
      <c r="H249" s="24"/>
      <c r="I249" s="273"/>
      <c r="J249" s="273"/>
      <c r="K249" s="24"/>
      <c r="L249" s="24"/>
      <c r="M249" s="24"/>
      <c r="N249" s="24"/>
      <c r="O249" s="24"/>
      <c r="P249" s="273"/>
      <c r="T249" s="22"/>
      <c r="AC249" s="82"/>
      <c r="AD249" s="82"/>
      <c r="AE249" s="22"/>
      <c r="AF249" s="82"/>
    </row>
    <row r="250" spans="2:32" ht="15.75" customHeight="1" x14ac:dyDescent="0.25">
      <c r="B250" s="24"/>
      <c r="C250" s="24"/>
      <c r="D250" s="24"/>
      <c r="E250" s="24"/>
      <c r="F250" s="24"/>
      <c r="G250" s="24"/>
      <c r="H250" s="24"/>
      <c r="I250" s="273"/>
      <c r="J250" s="273"/>
      <c r="K250" s="24"/>
      <c r="L250" s="24"/>
      <c r="M250" s="24"/>
      <c r="N250" s="24"/>
      <c r="O250" s="24"/>
      <c r="P250" s="273"/>
      <c r="T250" s="22"/>
      <c r="AC250" s="81"/>
      <c r="AD250" s="81"/>
      <c r="AE250" s="22"/>
      <c r="AF250" s="81"/>
    </row>
    <row r="251" spans="2:32" ht="15.75" customHeight="1" x14ac:dyDescent="0.25">
      <c r="B251" s="24"/>
      <c r="C251" s="24"/>
      <c r="D251" s="24"/>
      <c r="E251" s="24"/>
      <c r="F251" s="24"/>
      <c r="G251" s="24"/>
      <c r="H251" s="24"/>
      <c r="I251" s="273"/>
      <c r="J251" s="273"/>
      <c r="K251" s="24"/>
      <c r="L251" s="24"/>
      <c r="M251" s="24"/>
      <c r="N251" s="24"/>
      <c r="O251" s="24"/>
      <c r="P251" s="273"/>
      <c r="T251" s="22"/>
      <c r="AC251" s="80"/>
      <c r="AD251" s="80"/>
      <c r="AE251" s="22"/>
      <c r="AF251" s="80"/>
    </row>
    <row r="252" spans="2:32" ht="15.75" customHeight="1" x14ac:dyDescent="0.25">
      <c r="B252" s="24"/>
      <c r="C252" s="24"/>
      <c r="D252" s="24"/>
      <c r="E252" s="24"/>
      <c r="F252" s="24"/>
      <c r="G252" s="24"/>
      <c r="H252" s="24"/>
      <c r="I252" s="273"/>
      <c r="J252" s="273"/>
      <c r="K252" s="24"/>
      <c r="L252" s="24"/>
      <c r="M252" s="24"/>
      <c r="N252" s="24"/>
      <c r="O252" s="24"/>
      <c r="P252" s="273"/>
      <c r="T252" s="22"/>
      <c r="AC252" s="79"/>
      <c r="AD252" s="79"/>
      <c r="AE252" s="22"/>
      <c r="AF252" s="79"/>
    </row>
    <row r="253" spans="2:32" ht="15.75" customHeight="1" x14ac:dyDescent="0.25">
      <c r="B253" s="24"/>
      <c r="C253" s="24"/>
      <c r="D253" s="24"/>
      <c r="E253" s="24"/>
      <c r="F253" s="24"/>
      <c r="G253" s="24"/>
      <c r="H253" s="24"/>
      <c r="I253" s="273"/>
      <c r="J253" s="273"/>
      <c r="K253" s="24"/>
      <c r="L253" s="24"/>
      <c r="M253" s="24"/>
      <c r="N253" s="24"/>
      <c r="O253" s="24"/>
      <c r="P253" s="273"/>
      <c r="T253" s="22"/>
      <c r="AC253" s="78"/>
      <c r="AD253" s="78"/>
      <c r="AE253" s="22"/>
      <c r="AF253" s="78"/>
    </row>
    <row r="254" spans="2:32" ht="15.75" customHeight="1" x14ac:dyDescent="0.25">
      <c r="B254" s="24"/>
      <c r="C254" s="24"/>
      <c r="D254" s="24"/>
      <c r="E254" s="24"/>
      <c r="F254" s="24"/>
      <c r="G254" s="24"/>
      <c r="H254" s="24"/>
      <c r="I254" s="273"/>
      <c r="J254" s="273"/>
      <c r="K254" s="24"/>
      <c r="L254" s="24"/>
      <c r="M254" s="24"/>
      <c r="N254" s="24"/>
      <c r="O254" s="24"/>
      <c r="P254" s="273"/>
      <c r="T254" s="22"/>
      <c r="AC254" s="77"/>
      <c r="AD254" s="77"/>
      <c r="AE254" s="22"/>
      <c r="AF254" s="77"/>
    </row>
    <row r="255" spans="2:32" ht="15.75" customHeight="1" x14ac:dyDescent="0.25">
      <c r="B255" s="24"/>
      <c r="C255" s="24"/>
      <c r="D255" s="24"/>
      <c r="E255" s="24"/>
      <c r="F255" s="24"/>
      <c r="G255" s="24"/>
      <c r="H255" s="24"/>
      <c r="I255" s="273"/>
      <c r="J255" s="273"/>
      <c r="K255" s="24"/>
      <c r="L255" s="24"/>
      <c r="M255" s="24"/>
      <c r="N255" s="24"/>
      <c r="O255" s="24"/>
      <c r="P255" s="273"/>
      <c r="T255" s="22"/>
      <c r="AC255" s="76"/>
      <c r="AD255" s="76"/>
      <c r="AE255" s="22"/>
      <c r="AF255" s="76"/>
    </row>
    <row r="256" spans="2:32" ht="15.75" customHeight="1" x14ac:dyDescent="0.25">
      <c r="B256" s="24"/>
      <c r="C256" s="24"/>
      <c r="D256" s="24"/>
      <c r="E256" s="24"/>
      <c r="F256" s="24"/>
      <c r="G256" s="24"/>
      <c r="H256" s="24"/>
      <c r="I256" s="273"/>
      <c r="J256" s="273"/>
      <c r="K256" s="24"/>
      <c r="L256" s="24"/>
      <c r="M256" s="24"/>
      <c r="N256" s="24"/>
      <c r="O256" s="24"/>
      <c r="P256" s="273"/>
      <c r="T256" s="22"/>
      <c r="AC256" s="75"/>
      <c r="AD256" s="75"/>
      <c r="AE256" s="22"/>
      <c r="AF256" s="75"/>
    </row>
    <row r="257" spans="2:32" ht="15.75" customHeight="1" x14ac:dyDescent="0.25">
      <c r="B257" s="24"/>
      <c r="C257" s="24"/>
      <c r="D257" s="24"/>
      <c r="E257" s="24"/>
      <c r="F257" s="24"/>
      <c r="G257" s="24"/>
      <c r="H257" s="24"/>
      <c r="I257" s="273"/>
      <c r="J257" s="273"/>
      <c r="K257" s="24"/>
      <c r="L257" s="24"/>
      <c r="M257" s="24"/>
      <c r="N257" s="24"/>
      <c r="O257" s="24"/>
      <c r="P257" s="273"/>
      <c r="T257" s="22"/>
      <c r="AC257" s="74"/>
      <c r="AD257" s="74"/>
      <c r="AE257" s="22"/>
      <c r="AF257" s="74"/>
    </row>
    <row r="258" spans="2:32" ht="15.75" customHeight="1" x14ac:dyDescent="0.25">
      <c r="B258" s="24"/>
      <c r="C258" s="24"/>
      <c r="D258" s="24"/>
      <c r="E258" s="24"/>
      <c r="F258" s="24"/>
      <c r="G258" s="24"/>
      <c r="H258" s="24"/>
      <c r="I258" s="273"/>
      <c r="J258" s="273"/>
      <c r="K258" s="24"/>
      <c r="L258" s="24"/>
      <c r="M258" s="24"/>
      <c r="N258" s="24"/>
      <c r="O258" s="24"/>
      <c r="P258" s="273"/>
      <c r="T258" s="22"/>
      <c r="AC258" s="73"/>
      <c r="AD258" s="73"/>
      <c r="AE258" s="22"/>
      <c r="AF258" s="73"/>
    </row>
    <row r="259" spans="2:32" ht="15.75" customHeight="1" x14ac:dyDescent="0.25">
      <c r="B259" s="24"/>
      <c r="C259" s="24"/>
      <c r="D259" s="24"/>
      <c r="E259" s="24"/>
      <c r="F259" s="24"/>
      <c r="G259" s="24"/>
      <c r="H259" s="24"/>
      <c r="I259" s="273"/>
      <c r="J259" s="273"/>
      <c r="K259" s="24"/>
      <c r="L259" s="24"/>
      <c r="M259" s="24"/>
      <c r="N259" s="24"/>
      <c r="O259" s="24"/>
      <c r="P259" s="273"/>
      <c r="T259" s="22"/>
      <c r="AC259" s="72"/>
      <c r="AD259" s="72"/>
      <c r="AE259" s="22"/>
      <c r="AF259" s="72"/>
    </row>
    <row r="260" spans="2:32" ht="15.75" customHeight="1" x14ac:dyDescent="0.25">
      <c r="B260" s="24"/>
      <c r="C260" s="24"/>
      <c r="D260" s="24"/>
      <c r="E260" s="24"/>
      <c r="F260" s="24"/>
      <c r="G260" s="24"/>
      <c r="H260" s="24"/>
      <c r="I260" s="273"/>
      <c r="J260" s="273"/>
      <c r="K260" s="24"/>
      <c r="L260" s="24"/>
      <c r="M260" s="24"/>
      <c r="N260" s="24"/>
      <c r="O260" s="24"/>
      <c r="P260" s="273"/>
      <c r="T260" s="22"/>
      <c r="AC260" s="71"/>
      <c r="AD260" s="71"/>
      <c r="AE260" s="22"/>
      <c r="AF260" s="71"/>
    </row>
    <row r="261" spans="2:32" ht="15.75" customHeight="1" x14ac:dyDescent="0.25">
      <c r="B261" s="24"/>
      <c r="C261" s="24"/>
      <c r="D261" s="24"/>
      <c r="E261" s="24"/>
      <c r="F261" s="24"/>
      <c r="G261" s="24"/>
      <c r="H261" s="24"/>
      <c r="I261" s="273"/>
      <c r="J261" s="273"/>
      <c r="K261" s="24"/>
      <c r="L261" s="24"/>
      <c r="M261" s="24"/>
      <c r="N261" s="24"/>
      <c r="O261" s="24"/>
      <c r="P261" s="273"/>
      <c r="T261" s="22"/>
      <c r="AC261" s="30"/>
      <c r="AD261" s="30"/>
      <c r="AE261" s="22"/>
      <c r="AF261" s="30"/>
    </row>
    <row r="262" spans="2:32" ht="15.75" customHeight="1" x14ac:dyDescent="0.25">
      <c r="B262" s="24"/>
      <c r="C262" s="24"/>
      <c r="D262" s="24"/>
      <c r="E262" s="24"/>
      <c r="F262" s="24"/>
      <c r="G262" s="24"/>
      <c r="H262" s="24"/>
      <c r="I262" s="273"/>
      <c r="J262" s="273"/>
      <c r="K262" s="24"/>
      <c r="L262" s="24"/>
      <c r="M262" s="24"/>
      <c r="N262" s="24"/>
      <c r="O262" s="24"/>
      <c r="P262" s="273"/>
      <c r="T262" s="22"/>
      <c r="AC262" s="64"/>
      <c r="AD262" s="64"/>
      <c r="AE262" s="22"/>
      <c r="AF262" s="64"/>
    </row>
    <row r="263" spans="2:32" ht="15.75" customHeight="1" x14ac:dyDescent="0.25">
      <c r="B263" s="24"/>
      <c r="C263" s="24"/>
      <c r="D263" s="24"/>
      <c r="E263" s="24"/>
      <c r="F263" s="24"/>
      <c r="G263" s="24"/>
      <c r="H263" s="24"/>
      <c r="I263" s="273"/>
      <c r="J263" s="273"/>
      <c r="K263" s="24"/>
      <c r="L263" s="24"/>
      <c r="M263" s="24"/>
      <c r="N263" s="24"/>
      <c r="O263" s="24"/>
      <c r="P263" s="273"/>
      <c r="T263" s="22"/>
      <c r="AC263" s="51"/>
      <c r="AD263" s="51"/>
      <c r="AE263" s="22"/>
      <c r="AF263" s="51"/>
    </row>
    <row r="264" spans="2:32" ht="15.75" customHeight="1" x14ac:dyDescent="0.25">
      <c r="B264" s="24"/>
      <c r="C264" s="24"/>
      <c r="D264" s="24"/>
      <c r="E264" s="24"/>
      <c r="F264" s="24"/>
      <c r="G264" s="24"/>
      <c r="H264" s="24"/>
      <c r="I264" s="273"/>
      <c r="J264" s="273"/>
      <c r="K264" s="24"/>
      <c r="L264" s="24"/>
      <c r="M264" s="24"/>
      <c r="N264" s="24"/>
      <c r="O264" s="24"/>
      <c r="P264" s="273"/>
      <c r="T264" s="22"/>
      <c r="AC264" s="50"/>
      <c r="AD264" s="50"/>
      <c r="AE264" s="22"/>
      <c r="AF264" s="50"/>
    </row>
    <row r="265" spans="2:32" ht="15.75" customHeight="1" x14ac:dyDescent="0.25">
      <c r="B265" s="24"/>
      <c r="C265" s="24"/>
      <c r="D265" s="24"/>
      <c r="E265" s="24"/>
      <c r="F265" s="24"/>
      <c r="G265" s="24"/>
      <c r="H265" s="24"/>
      <c r="I265" s="273"/>
      <c r="J265" s="273"/>
      <c r="K265" s="24"/>
      <c r="L265" s="24"/>
      <c r="M265" s="24"/>
      <c r="N265" s="24"/>
      <c r="O265" s="24"/>
      <c r="P265" s="273"/>
      <c r="T265" s="22"/>
      <c r="AC265" s="49"/>
      <c r="AD265" s="49"/>
      <c r="AE265" s="22"/>
      <c r="AF265" s="49"/>
    </row>
    <row r="266" spans="2:32" ht="15.75" customHeight="1" x14ac:dyDescent="0.25">
      <c r="B266" s="24"/>
      <c r="C266" s="24"/>
      <c r="D266" s="24"/>
      <c r="E266" s="24"/>
      <c r="F266" s="24"/>
      <c r="G266" s="24"/>
      <c r="H266" s="24"/>
      <c r="I266" s="273"/>
      <c r="J266" s="273"/>
      <c r="K266" s="24"/>
      <c r="L266" s="24"/>
      <c r="M266" s="24"/>
      <c r="N266" s="24"/>
      <c r="O266" s="24"/>
      <c r="P266" s="273"/>
      <c r="T266" s="22"/>
      <c r="AC266" s="48"/>
      <c r="AD266" s="48"/>
      <c r="AE266" s="22"/>
      <c r="AF266" s="48"/>
    </row>
    <row r="267" spans="2:32" ht="15.75" customHeight="1" x14ac:dyDescent="0.25">
      <c r="B267" s="24"/>
      <c r="C267" s="24"/>
      <c r="D267" s="24"/>
      <c r="E267" s="24"/>
      <c r="F267" s="24"/>
      <c r="G267" s="24"/>
      <c r="H267" s="24"/>
      <c r="I267" s="273"/>
      <c r="J267" s="273"/>
      <c r="K267" s="24"/>
      <c r="L267" s="24"/>
      <c r="M267" s="24"/>
      <c r="N267" s="24"/>
      <c r="O267" s="24"/>
      <c r="P267" s="273"/>
      <c r="T267" s="22"/>
      <c r="AC267" s="47"/>
      <c r="AD267" s="47"/>
      <c r="AE267" s="22"/>
      <c r="AF267" s="47"/>
    </row>
    <row r="268" spans="2:32" ht="15.75" customHeight="1" x14ac:dyDescent="0.25">
      <c r="B268" s="24"/>
      <c r="C268" s="24"/>
      <c r="D268" s="24"/>
      <c r="E268" s="24"/>
      <c r="F268" s="24"/>
      <c r="G268" s="24"/>
      <c r="H268" s="24"/>
      <c r="I268" s="273"/>
      <c r="J268" s="273"/>
      <c r="K268" s="24"/>
      <c r="L268" s="24"/>
      <c r="M268" s="24"/>
      <c r="N268" s="24"/>
      <c r="O268" s="24"/>
      <c r="P268" s="273"/>
      <c r="T268" s="22"/>
      <c r="AC268" s="46"/>
      <c r="AD268" s="46"/>
      <c r="AE268" s="22"/>
      <c r="AF268" s="46"/>
    </row>
    <row r="269" spans="2:32" ht="15.75" customHeight="1" x14ac:dyDescent="0.25">
      <c r="B269" s="24"/>
      <c r="C269" s="24"/>
      <c r="D269" s="24"/>
      <c r="E269" s="24"/>
      <c r="F269" s="24"/>
      <c r="G269" s="24"/>
      <c r="H269" s="24"/>
      <c r="I269" s="273"/>
      <c r="J269" s="273"/>
      <c r="K269" s="24"/>
      <c r="L269" s="24"/>
      <c r="M269" s="24"/>
      <c r="N269" s="24"/>
      <c r="O269" s="24"/>
      <c r="P269" s="273"/>
      <c r="T269" s="22"/>
      <c r="AC269" s="45"/>
      <c r="AD269" s="45"/>
      <c r="AE269" s="22"/>
      <c r="AF269" s="45"/>
    </row>
    <row r="270" spans="2:32" ht="15.75" customHeight="1" x14ac:dyDescent="0.25">
      <c r="B270" s="24"/>
      <c r="C270" s="24"/>
      <c r="D270" s="24"/>
      <c r="E270" s="24"/>
      <c r="F270" s="24"/>
      <c r="G270" s="24"/>
      <c r="H270" s="24"/>
      <c r="I270" s="273"/>
      <c r="J270" s="273"/>
      <c r="K270" s="24"/>
      <c r="L270" s="24"/>
      <c r="M270" s="24"/>
      <c r="N270" s="24"/>
      <c r="O270" s="24"/>
      <c r="P270" s="273"/>
      <c r="T270" s="22"/>
      <c r="AC270" s="45"/>
      <c r="AD270" s="45"/>
      <c r="AE270" s="22"/>
      <c r="AF270" s="45"/>
    </row>
    <row r="271" spans="2:32" ht="15.75" customHeight="1" x14ac:dyDescent="0.25">
      <c r="B271" s="24"/>
      <c r="C271" s="24"/>
      <c r="D271" s="24"/>
      <c r="E271" s="24"/>
      <c r="F271" s="24"/>
      <c r="G271" s="24"/>
      <c r="H271" s="24"/>
      <c r="I271" s="273"/>
      <c r="J271" s="273"/>
      <c r="K271" s="24"/>
      <c r="L271" s="24"/>
      <c r="M271" s="24"/>
      <c r="N271" s="24"/>
      <c r="O271" s="24"/>
      <c r="P271" s="273"/>
      <c r="T271" s="22"/>
      <c r="AC271" s="44"/>
      <c r="AD271" s="44"/>
      <c r="AE271" s="22"/>
      <c r="AF271" s="44"/>
    </row>
    <row r="272" spans="2:32" ht="15.75" customHeight="1" x14ac:dyDescent="0.25">
      <c r="B272" s="24"/>
      <c r="C272" s="24"/>
      <c r="D272" s="24"/>
      <c r="E272" s="24"/>
      <c r="F272" s="24"/>
      <c r="G272" s="24"/>
      <c r="H272" s="24"/>
      <c r="I272" s="273"/>
      <c r="J272" s="273"/>
      <c r="K272" s="24"/>
      <c r="L272" s="24"/>
      <c r="M272" s="24"/>
      <c r="N272" s="24"/>
      <c r="O272" s="24"/>
      <c r="P272" s="273"/>
      <c r="T272" s="22"/>
      <c r="AC272" s="43"/>
      <c r="AD272" s="43"/>
      <c r="AE272" s="22"/>
      <c r="AF272" s="43"/>
    </row>
    <row r="273" spans="2:32" ht="15.75" customHeight="1" x14ac:dyDescent="0.25">
      <c r="B273" s="24"/>
      <c r="C273" s="24"/>
      <c r="D273" s="24"/>
      <c r="E273" s="24"/>
      <c r="F273" s="24"/>
      <c r="G273" s="24"/>
      <c r="H273" s="24"/>
      <c r="I273" s="273"/>
      <c r="J273" s="273"/>
      <c r="K273" s="24"/>
      <c r="L273" s="24"/>
      <c r="M273" s="24"/>
      <c r="N273" s="24"/>
      <c r="O273" s="24"/>
      <c r="P273" s="273"/>
      <c r="T273" s="22"/>
      <c r="AC273" s="43"/>
      <c r="AD273" s="43"/>
      <c r="AE273" s="22"/>
      <c r="AF273" s="43"/>
    </row>
    <row r="274" spans="2:32" ht="15.75" customHeight="1" x14ac:dyDescent="0.25">
      <c r="B274" s="24"/>
      <c r="C274" s="24"/>
      <c r="D274" s="24"/>
      <c r="E274" s="24"/>
      <c r="F274" s="24"/>
      <c r="G274" s="24"/>
      <c r="H274" s="24"/>
      <c r="I274" s="273"/>
      <c r="J274" s="273"/>
      <c r="K274" s="24"/>
      <c r="L274" s="24"/>
      <c r="M274" s="24"/>
      <c r="N274" s="24"/>
      <c r="O274" s="24"/>
      <c r="P274" s="273"/>
      <c r="T274" s="22"/>
      <c r="AC274" s="42"/>
      <c r="AD274" s="42"/>
      <c r="AE274" s="22"/>
      <c r="AF274" s="42"/>
    </row>
    <row r="275" spans="2:32" ht="15.75" customHeight="1" x14ac:dyDescent="0.25">
      <c r="B275" s="24"/>
      <c r="C275" s="24"/>
      <c r="D275" s="24"/>
      <c r="E275" s="24"/>
      <c r="F275" s="24"/>
      <c r="G275" s="24"/>
      <c r="H275" s="24"/>
      <c r="I275" s="273"/>
      <c r="J275" s="273"/>
      <c r="K275" s="24"/>
      <c r="L275" s="24"/>
      <c r="M275" s="24"/>
      <c r="N275" s="24"/>
      <c r="O275" s="24"/>
      <c r="P275" s="273"/>
      <c r="T275" s="22"/>
      <c r="AC275" s="41"/>
      <c r="AD275" s="41"/>
      <c r="AE275" s="22"/>
      <c r="AF275" s="41"/>
    </row>
    <row r="276" spans="2:32" ht="15.75" customHeight="1" x14ac:dyDescent="0.25">
      <c r="B276" s="24"/>
      <c r="C276" s="24"/>
      <c r="D276" s="24"/>
      <c r="E276" s="24"/>
      <c r="F276" s="24"/>
      <c r="G276" s="24"/>
      <c r="H276" s="24"/>
      <c r="I276" s="273"/>
      <c r="J276" s="273"/>
      <c r="K276" s="24"/>
      <c r="L276" s="24"/>
      <c r="M276" s="24"/>
      <c r="N276" s="24"/>
      <c r="O276" s="24"/>
      <c r="P276" s="273"/>
      <c r="T276" s="22"/>
      <c r="AC276" s="40"/>
      <c r="AD276" s="40"/>
      <c r="AE276" s="22"/>
      <c r="AF276" s="40"/>
    </row>
    <row r="277" spans="2:32" ht="15.75" customHeight="1" x14ac:dyDescent="0.25">
      <c r="B277" s="24"/>
      <c r="C277" s="24"/>
      <c r="D277" s="24"/>
      <c r="E277" s="24"/>
      <c r="F277" s="24"/>
      <c r="G277" s="24"/>
      <c r="H277" s="24"/>
      <c r="I277" s="273"/>
      <c r="J277" s="273"/>
      <c r="K277" s="24"/>
      <c r="L277" s="24"/>
      <c r="M277" s="24"/>
      <c r="N277" s="24"/>
      <c r="O277" s="24"/>
      <c r="P277" s="273"/>
      <c r="T277" s="22"/>
      <c r="AC277" s="39"/>
      <c r="AD277" s="39"/>
      <c r="AE277" s="22"/>
      <c r="AF277" s="39"/>
    </row>
    <row r="278" spans="2:32" ht="15.75" customHeight="1" x14ac:dyDescent="0.25">
      <c r="B278" s="24"/>
      <c r="C278" s="24"/>
      <c r="D278" s="24"/>
      <c r="E278" s="24"/>
      <c r="F278" s="24"/>
      <c r="G278" s="24"/>
      <c r="H278" s="24"/>
      <c r="I278" s="273"/>
      <c r="J278" s="273"/>
      <c r="K278" s="24"/>
      <c r="L278" s="24"/>
      <c r="M278" s="24"/>
      <c r="N278" s="24"/>
      <c r="O278" s="24"/>
      <c r="P278" s="273"/>
      <c r="T278" s="22"/>
      <c r="AC278" s="36"/>
      <c r="AD278" s="36"/>
      <c r="AE278" s="22"/>
      <c r="AF278" s="36"/>
    </row>
    <row r="279" spans="2:32" ht="15.75" customHeight="1" x14ac:dyDescent="0.25">
      <c r="B279" s="24"/>
      <c r="C279" s="24"/>
      <c r="D279" s="24"/>
      <c r="E279" s="24"/>
      <c r="F279" s="24"/>
      <c r="G279" s="24"/>
      <c r="H279" s="24"/>
      <c r="I279" s="273"/>
      <c r="J279" s="273"/>
      <c r="K279" s="24"/>
      <c r="L279" s="24"/>
      <c r="M279" s="24"/>
      <c r="N279" s="24"/>
      <c r="O279" s="24"/>
      <c r="P279" s="273"/>
      <c r="T279" s="22"/>
      <c r="AC279" s="33"/>
      <c r="AD279" s="33"/>
      <c r="AE279" s="22"/>
      <c r="AF279" s="33"/>
    </row>
    <row r="280" spans="2:32" ht="15.75" customHeight="1" x14ac:dyDescent="0.25">
      <c r="B280" s="24"/>
      <c r="C280" s="24"/>
      <c r="D280" s="24"/>
      <c r="E280" s="24"/>
      <c r="F280" s="24"/>
      <c r="G280" s="24"/>
      <c r="H280" s="24"/>
      <c r="I280" s="273"/>
      <c r="J280" s="273"/>
      <c r="K280" s="24"/>
      <c r="L280" s="24"/>
      <c r="M280" s="24"/>
      <c r="N280" s="24"/>
      <c r="O280" s="24"/>
      <c r="P280" s="273"/>
      <c r="T280" s="22"/>
      <c r="AC280" s="31"/>
    </row>
    <row r="281" spans="2:32" ht="15.75" customHeight="1" x14ac:dyDescent="0.25">
      <c r="B281" s="24"/>
      <c r="C281" s="24"/>
      <c r="D281" s="24"/>
      <c r="E281" s="24"/>
      <c r="F281" s="24"/>
      <c r="G281" s="24"/>
      <c r="H281" s="24"/>
      <c r="I281" s="273"/>
      <c r="J281" s="273"/>
      <c r="K281" s="24"/>
      <c r="L281" s="24"/>
      <c r="M281" s="24"/>
      <c r="N281" s="24"/>
      <c r="O281" s="24"/>
      <c r="P281" s="273"/>
      <c r="T281" s="22"/>
      <c r="AC281" s="27"/>
    </row>
    <row r="282" spans="2:32" ht="15.75" customHeight="1" x14ac:dyDescent="0.25">
      <c r="B282" s="24"/>
      <c r="C282" s="24"/>
      <c r="D282" s="24"/>
      <c r="E282" s="24"/>
      <c r="F282" s="24"/>
      <c r="G282" s="24"/>
      <c r="H282" s="24"/>
      <c r="I282" s="273"/>
      <c r="J282" s="273"/>
      <c r="K282" s="24"/>
      <c r="L282" s="24"/>
      <c r="M282" s="24"/>
      <c r="N282" s="24"/>
      <c r="O282" s="24"/>
      <c r="P282" s="273"/>
      <c r="T282" s="22"/>
      <c r="AC282" s="25"/>
    </row>
    <row r="283" spans="2:32" ht="15.75" customHeight="1" x14ac:dyDescent="0.25">
      <c r="B283" s="24"/>
      <c r="C283" s="24"/>
      <c r="D283" s="24"/>
      <c r="E283" s="24"/>
      <c r="F283" s="24"/>
      <c r="G283" s="24"/>
      <c r="H283" s="24"/>
      <c r="I283" s="273"/>
      <c r="J283" s="273"/>
      <c r="K283" s="24"/>
      <c r="L283" s="24"/>
      <c r="M283" s="24"/>
      <c r="N283" s="24"/>
      <c r="O283" s="24"/>
      <c r="P283" s="273"/>
      <c r="T283" s="22"/>
    </row>
    <row r="284" spans="2:32" ht="15.75" customHeight="1" x14ac:dyDescent="0.25">
      <c r="B284" s="24"/>
      <c r="C284" s="24"/>
      <c r="D284" s="24"/>
      <c r="E284" s="24"/>
      <c r="F284" s="24"/>
      <c r="G284" s="24"/>
      <c r="H284" s="24"/>
      <c r="I284" s="273"/>
      <c r="J284" s="273"/>
      <c r="K284" s="24"/>
      <c r="L284" s="24"/>
      <c r="M284" s="24"/>
      <c r="N284" s="24"/>
      <c r="O284" s="24"/>
      <c r="P284" s="273"/>
      <c r="T284" s="22"/>
    </row>
    <row r="285" spans="2:32" ht="15.75" customHeight="1" x14ac:dyDescent="0.25">
      <c r="B285" s="24"/>
      <c r="C285" s="24"/>
      <c r="D285" s="24"/>
      <c r="E285" s="24"/>
      <c r="F285" s="24"/>
      <c r="G285" s="24"/>
      <c r="H285" s="24"/>
      <c r="I285" s="273"/>
      <c r="J285" s="273"/>
      <c r="K285" s="24"/>
      <c r="L285" s="24"/>
      <c r="M285" s="24"/>
      <c r="N285" s="24"/>
      <c r="O285" s="24"/>
      <c r="P285" s="273"/>
      <c r="T285" s="22"/>
    </row>
    <row r="286" spans="2:32" ht="15.75" customHeight="1" x14ac:dyDescent="0.25">
      <c r="B286" s="24"/>
      <c r="C286" s="24"/>
      <c r="D286" s="24"/>
      <c r="E286" s="24"/>
      <c r="F286" s="24"/>
      <c r="G286" s="24"/>
      <c r="H286" s="24"/>
      <c r="I286" s="273"/>
      <c r="J286" s="273"/>
      <c r="K286" s="24"/>
      <c r="L286" s="24"/>
      <c r="M286" s="24"/>
      <c r="N286" s="24"/>
      <c r="O286" s="24"/>
      <c r="P286" s="273"/>
      <c r="T286" s="22"/>
    </row>
    <row r="287" spans="2:32" ht="15.75" customHeight="1" x14ac:dyDescent="0.25">
      <c r="B287" s="24"/>
      <c r="C287" s="24"/>
      <c r="D287" s="24"/>
      <c r="E287" s="24"/>
      <c r="F287" s="24"/>
      <c r="G287" s="24"/>
      <c r="H287" s="24"/>
      <c r="I287" s="273"/>
      <c r="J287" s="273"/>
      <c r="K287" s="24"/>
      <c r="L287" s="24"/>
      <c r="M287" s="24"/>
      <c r="N287" s="24"/>
      <c r="O287" s="24"/>
      <c r="P287" s="273"/>
      <c r="T287" s="22"/>
    </row>
    <row r="288" spans="2:32" ht="15.75" customHeight="1" x14ac:dyDescent="0.25">
      <c r="B288" s="24"/>
      <c r="C288" s="24"/>
      <c r="D288" s="24"/>
      <c r="E288" s="24"/>
      <c r="F288" s="24"/>
      <c r="G288" s="24"/>
      <c r="H288" s="24"/>
      <c r="I288" s="273"/>
      <c r="J288" s="273"/>
      <c r="K288" s="24"/>
      <c r="L288" s="24"/>
      <c r="M288" s="24"/>
      <c r="N288" s="24"/>
      <c r="O288" s="24"/>
      <c r="P288" s="273"/>
      <c r="T288" s="22"/>
    </row>
    <row r="289" spans="2:20" ht="15.75" customHeight="1" x14ac:dyDescent="0.25">
      <c r="B289" s="24"/>
      <c r="C289" s="24"/>
      <c r="D289" s="24"/>
      <c r="E289" s="24"/>
      <c r="F289" s="24"/>
      <c r="G289" s="24"/>
      <c r="H289" s="24"/>
      <c r="I289" s="273"/>
      <c r="J289" s="273"/>
      <c r="K289" s="24"/>
      <c r="L289" s="24"/>
      <c r="M289" s="24"/>
      <c r="N289" s="24"/>
      <c r="O289" s="24"/>
      <c r="P289" s="273"/>
      <c r="T289" s="22"/>
    </row>
    <row r="290" spans="2:20" ht="15.75" customHeight="1" x14ac:dyDescent="0.25">
      <c r="B290" s="24"/>
      <c r="C290" s="24"/>
      <c r="D290" s="24"/>
      <c r="E290" s="24"/>
      <c r="F290" s="24"/>
      <c r="G290" s="24"/>
      <c r="H290" s="24"/>
      <c r="I290" s="273"/>
      <c r="J290" s="273"/>
      <c r="K290" s="24"/>
      <c r="L290" s="24"/>
      <c r="M290" s="24"/>
      <c r="N290" s="24"/>
      <c r="O290" s="24"/>
      <c r="P290" s="273"/>
      <c r="R290" s="1"/>
      <c r="T290" s="22"/>
    </row>
    <row r="291" spans="2:20" x14ac:dyDescent="0.25">
      <c r="B291" s="24"/>
      <c r="C291" s="24"/>
      <c r="D291" s="24"/>
      <c r="E291" s="24"/>
      <c r="F291" s="24"/>
      <c r="G291" s="24"/>
      <c r="H291" s="24"/>
      <c r="I291" s="273"/>
      <c r="J291" s="273"/>
      <c r="K291" s="24"/>
      <c r="L291" s="24"/>
      <c r="M291" s="24"/>
      <c r="N291" s="24"/>
      <c r="O291" s="24"/>
      <c r="P291" s="273"/>
      <c r="Q291" s="1"/>
      <c r="R291" s="1"/>
      <c r="T291" s="22"/>
    </row>
    <row r="292" spans="2:20" x14ac:dyDescent="0.25">
      <c r="B292" s="24"/>
      <c r="C292" s="24"/>
      <c r="D292" s="24"/>
      <c r="E292" s="24"/>
      <c r="F292" s="24"/>
      <c r="K292" s="24"/>
      <c r="L292" s="24"/>
      <c r="M292" s="24"/>
      <c r="N292" s="24"/>
      <c r="O292" s="24"/>
      <c r="P292" s="273"/>
      <c r="Q292" s="1"/>
      <c r="R292" s="1"/>
      <c r="T292" s="22"/>
    </row>
    <row r="293" spans="2:20" x14ac:dyDescent="0.25">
      <c r="B293" s="24"/>
      <c r="C293" s="24"/>
      <c r="D293" s="24"/>
      <c r="E293" s="24"/>
      <c r="F293" s="24"/>
      <c r="K293" s="24"/>
      <c r="L293" s="24"/>
      <c r="M293" s="24"/>
      <c r="N293" s="24"/>
      <c r="O293" s="24"/>
      <c r="P293" s="273"/>
      <c r="Q293" s="1"/>
      <c r="R293" s="1"/>
      <c r="T293" s="22"/>
    </row>
    <row r="294" spans="2:20" x14ac:dyDescent="0.25">
      <c r="B294" s="24"/>
      <c r="C294" s="24"/>
      <c r="D294" s="24"/>
      <c r="E294" s="24"/>
      <c r="F294" s="24"/>
      <c r="K294" s="24"/>
      <c r="L294" s="24"/>
      <c r="M294" s="24"/>
      <c r="N294" s="24"/>
      <c r="O294" s="24"/>
      <c r="P294" s="273"/>
      <c r="Q294" s="1"/>
      <c r="R294" s="1"/>
      <c r="T294" s="22"/>
    </row>
    <row r="295" spans="2:20" x14ac:dyDescent="0.25">
      <c r="B295" s="24"/>
      <c r="C295" s="24"/>
      <c r="D295" s="24"/>
      <c r="E295" s="24"/>
      <c r="F295" s="24"/>
      <c r="K295" s="24"/>
      <c r="L295" s="24"/>
      <c r="M295" s="24"/>
      <c r="N295" s="24"/>
      <c r="O295" s="24"/>
      <c r="P295" s="273"/>
      <c r="Q295" s="1"/>
      <c r="R295" s="1"/>
      <c r="T295" s="22"/>
    </row>
    <row r="296" spans="2:20" x14ac:dyDescent="0.25">
      <c r="B296" s="24"/>
      <c r="C296" s="24"/>
      <c r="D296" s="24"/>
      <c r="E296" s="24"/>
      <c r="F296" s="24"/>
      <c r="K296" s="24"/>
      <c r="L296" s="24"/>
      <c r="M296" s="24"/>
      <c r="N296" s="24"/>
      <c r="O296" s="24"/>
      <c r="P296" s="273"/>
      <c r="Q296" s="1"/>
      <c r="R296" s="1"/>
      <c r="T296" s="22"/>
    </row>
    <row r="297" spans="2:20" x14ac:dyDescent="0.25">
      <c r="B297" s="24"/>
      <c r="C297" s="24"/>
      <c r="D297" s="24"/>
      <c r="E297" s="24"/>
      <c r="F297" s="24"/>
      <c r="K297" s="24"/>
      <c r="L297" s="24"/>
      <c r="M297" s="24"/>
      <c r="N297" s="24"/>
      <c r="O297" s="24"/>
      <c r="P297" s="273"/>
      <c r="Q297" s="1"/>
      <c r="R297" s="1"/>
      <c r="T297" s="22"/>
    </row>
    <row r="298" spans="2:20" x14ac:dyDescent="0.25">
      <c r="B298" s="24"/>
      <c r="C298" s="24"/>
      <c r="D298" s="24"/>
      <c r="E298" s="24"/>
      <c r="F298" s="24"/>
      <c r="K298" s="24"/>
      <c r="L298" s="24"/>
      <c r="M298" s="24"/>
      <c r="N298" s="24"/>
      <c r="O298" s="24"/>
      <c r="P298" s="273"/>
      <c r="Q298" s="1"/>
      <c r="R298" s="1"/>
      <c r="T298" s="22"/>
    </row>
    <row r="299" spans="2:20" x14ac:dyDescent="0.25">
      <c r="B299" s="24"/>
      <c r="C299" s="24"/>
      <c r="D299" s="24"/>
      <c r="E299" s="24"/>
      <c r="F299" s="24"/>
      <c r="K299" s="24"/>
      <c r="L299" s="24"/>
      <c r="M299" s="24"/>
      <c r="N299" s="24"/>
      <c r="O299" s="24"/>
      <c r="P299" s="273"/>
      <c r="Q299" s="1"/>
      <c r="R299" s="1"/>
      <c r="T299" s="22"/>
    </row>
    <row r="300" spans="2:20" x14ac:dyDescent="0.25">
      <c r="B300" s="24"/>
      <c r="C300" s="24"/>
      <c r="D300" s="24"/>
      <c r="E300" s="24"/>
      <c r="F300" s="24"/>
      <c r="K300" s="24"/>
      <c r="L300" s="24"/>
      <c r="M300" s="24"/>
      <c r="N300" s="24"/>
      <c r="O300" s="24"/>
      <c r="P300" s="273"/>
      <c r="Q300" s="1"/>
      <c r="R300" s="1"/>
      <c r="T300" s="22"/>
    </row>
    <row r="301" spans="2:20" x14ac:dyDescent="0.25">
      <c r="B301" s="24"/>
      <c r="C301" s="24"/>
      <c r="D301" s="24"/>
      <c r="E301" s="24"/>
      <c r="K301" s="24"/>
      <c r="L301" s="24"/>
      <c r="M301" s="24"/>
      <c r="N301" s="24"/>
      <c r="O301" s="24"/>
      <c r="P301" s="273"/>
      <c r="Q301" s="1"/>
      <c r="R301" s="1"/>
      <c r="T301" s="22"/>
    </row>
    <row r="302" spans="2:20" x14ac:dyDescent="0.25">
      <c r="B302" s="24"/>
      <c r="C302" s="24"/>
      <c r="D302" s="24"/>
      <c r="E302" s="24"/>
      <c r="K302" s="24"/>
      <c r="L302" s="24"/>
      <c r="M302" s="24"/>
      <c r="N302" s="24"/>
      <c r="O302" s="24"/>
      <c r="P302" s="273"/>
      <c r="Q302" s="1"/>
      <c r="R302" s="1"/>
      <c r="T302" s="22"/>
    </row>
    <row r="303" spans="2:20" x14ac:dyDescent="0.25">
      <c r="B303" s="24"/>
      <c r="C303" s="24"/>
      <c r="D303" s="24"/>
      <c r="E303" s="24"/>
      <c r="K303" s="24"/>
      <c r="L303" s="24"/>
      <c r="M303" s="24"/>
      <c r="N303" s="24"/>
      <c r="O303" s="24"/>
      <c r="P303" s="273"/>
      <c r="Q303" s="1"/>
      <c r="R303" s="1"/>
      <c r="T303" s="22"/>
    </row>
    <row r="304" spans="2:20" x14ac:dyDescent="0.25">
      <c r="B304" s="24"/>
      <c r="C304" s="24"/>
      <c r="D304" s="24"/>
      <c r="E304" s="24"/>
      <c r="K304" s="24"/>
      <c r="L304" s="24"/>
      <c r="M304" s="24"/>
      <c r="N304" s="24"/>
      <c r="O304" s="24"/>
      <c r="P304" s="273"/>
      <c r="Q304" s="1"/>
      <c r="R304" s="1"/>
      <c r="T304" s="22"/>
    </row>
    <row r="305" spans="2:20" x14ac:dyDescent="0.25">
      <c r="B305" s="24"/>
      <c r="C305" s="24"/>
      <c r="D305" s="24"/>
      <c r="E305" s="24"/>
      <c r="K305" s="24"/>
      <c r="L305" s="24"/>
      <c r="M305" s="24"/>
      <c r="N305" s="24"/>
      <c r="O305" s="24"/>
      <c r="P305" s="273"/>
      <c r="Q305" s="1"/>
      <c r="R305" s="1"/>
      <c r="T305" s="22"/>
    </row>
    <row r="306" spans="2:20" x14ac:dyDescent="0.25">
      <c r="B306" s="24"/>
      <c r="C306" s="24"/>
      <c r="D306" s="24"/>
      <c r="E306" s="24"/>
      <c r="K306" s="24"/>
      <c r="L306" s="24"/>
      <c r="M306" s="24"/>
      <c r="N306" s="24"/>
      <c r="O306" s="24"/>
      <c r="P306" s="273"/>
      <c r="Q306" s="1"/>
      <c r="R306" s="1"/>
      <c r="T306" s="22"/>
    </row>
    <row r="307" spans="2:20" x14ac:dyDescent="0.25">
      <c r="B307" s="24"/>
      <c r="C307" s="24"/>
      <c r="D307" s="24"/>
      <c r="E307" s="24"/>
      <c r="K307" s="24"/>
      <c r="L307" s="24"/>
      <c r="M307" s="24"/>
      <c r="N307" s="24"/>
      <c r="O307" s="24"/>
      <c r="P307" s="273"/>
      <c r="Q307" s="1"/>
      <c r="R307" s="1"/>
      <c r="T307" s="22"/>
    </row>
    <row r="308" spans="2:20" x14ac:dyDescent="0.25">
      <c r="B308" s="24"/>
      <c r="C308" s="24"/>
      <c r="D308" s="24"/>
      <c r="E308" s="24"/>
      <c r="K308" s="24"/>
      <c r="L308" s="24"/>
      <c r="M308" s="24"/>
      <c r="N308" s="24"/>
      <c r="O308" s="24"/>
      <c r="P308" s="273"/>
      <c r="Q308" s="1"/>
      <c r="R308" s="1"/>
      <c r="T308" s="22"/>
    </row>
    <row r="309" spans="2:20" x14ac:dyDescent="0.25">
      <c r="B309" s="24"/>
      <c r="C309" s="24"/>
      <c r="D309" s="24"/>
      <c r="E309" s="24"/>
      <c r="K309" s="24"/>
      <c r="L309" s="24"/>
      <c r="M309" s="24"/>
      <c r="N309" s="24"/>
      <c r="O309" s="24"/>
      <c r="P309" s="273"/>
      <c r="Q309" s="1"/>
      <c r="R309" s="1"/>
      <c r="T309" s="22"/>
    </row>
    <row r="310" spans="2:20" x14ac:dyDescent="0.25">
      <c r="B310" s="24"/>
      <c r="C310" s="24"/>
      <c r="D310" s="24"/>
      <c r="E310" s="24"/>
      <c r="K310" s="24"/>
      <c r="L310" s="24"/>
      <c r="M310" s="24"/>
      <c r="N310" s="24"/>
      <c r="O310" s="24"/>
      <c r="P310" s="273"/>
      <c r="Q310" s="1"/>
      <c r="R310" s="1"/>
      <c r="T310" s="22"/>
    </row>
    <row r="311" spans="2:20" x14ac:dyDescent="0.25">
      <c r="B311" s="24"/>
      <c r="C311" s="24"/>
      <c r="D311" s="24"/>
      <c r="E311" s="24"/>
      <c r="K311" s="24"/>
      <c r="L311" s="24"/>
      <c r="M311" s="24"/>
      <c r="N311" s="24"/>
      <c r="O311" s="24"/>
      <c r="P311" s="273"/>
      <c r="Q311" s="1"/>
      <c r="R311" s="1"/>
      <c r="T311" s="22"/>
    </row>
    <row r="312" spans="2:20" x14ac:dyDescent="0.25">
      <c r="B312" s="24"/>
      <c r="C312" s="24"/>
      <c r="D312" s="24"/>
      <c r="E312" s="24"/>
      <c r="K312" s="24"/>
      <c r="L312" s="24"/>
      <c r="M312" s="24"/>
      <c r="N312" s="24"/>
      <c r="O312" s="24"/>
      <c r="P312" s="273"/>
      <c r="Q312" s="1"/>
      <c r="R312" s="1"/>
      <c r="T312" s="22"/>
    </row>
    <row r="313" spans="2:20" x14ac:dyDescent="0.25">
      <c r="B313" s="24"/>
      <c r="C313" s="24"/>
      <c r="D313" s="24"/>
      <c r="E313" s="24"/>
      <c r="K313" s="24"/>
      <c r="L313" s="24"/>
      <c r="M313" s="24"/>
      <c r="N313" s="24"/>
      <c r="O313" s="24"/>
      <c r="P313" s="273"/>
      <c r="Q313" s="1"/>
      <c r="R313" s="1"/>
      <c r="T313" s="22"/>
    </row>
    <row r="314" spans="2:20" x14ac:dyDescent="0.25">
      <c r="B314" s="24"/>
      <c r="C314" s="24"/>
      <c r="D314" s="24"/>
      <c r="E314" s="24"/>
      <c r="K314" s="24"/>
      <c r="L314" s="24"/>
      <c r="M314" s="24"/>
      <c r="N314" s="24"/>
      <c r="O314" s="24"/>
      <c r="P314" s="273"/>
      <c r="Q314" s="1"/>
      <c r="R314" s="1"/>
      <c r="T314" s="22"/>
    </row>
    <row r="315" spans="2:20" x14ac:dyDescent="0.25">
      <c r="B315" s="24"/>
      <c r="C315" s="24"/>
      <c r="D315" s="24"/>
      <c r="E315" s="24"/>
      <c r="K315" s="24"/>
      <c r="L315" s="24"/>
      <c r="M315" s="24"/>
      <c r="N315" s="24"/>
      <c r="O315" s="24"/>
      <c r="P315" s="273"/>
      <c r="Q315" s="1"/>
      <c r="R315" s="1"/>
      <c r="T315" s="22"/>
    </row>
    <row r="316" spans="2:20" x14ac:dyDescent="0.25">
      <c r="B316" s="24"/>
      <c r="C316" s="24"/>
      <c r="D316" s="24"/>
      <c r="E316" s="24"/>
      <c r="K316" s="24"/>
      <c r="L316" s="24"/>
      <c r="M316" s="24"/>
      <c r="N316" s="24"/>
      <c r="O316" s="24"/>
      <c r="P316" s="273"/>
      <c r="Q316" s="1"/>
      <c r="R316" s="1"/>
      <c r="T316" s="22"/>
    </row>
    <row r="317" spans="2:20" x14ac:dyDescent="0.25">
      <c r="B317" s="24"/>
      <c r="C317" s="24"/>
      <c r="D317" s="24"/>
      <c r="E317" s="24"/>
      <c r="K317" s="24"/>
      <c r="L317" s="24"/>
      <c r="M317" s="24"/>
      <c r="N317" s="24"/>
      <c r="O317" s="24"/>
      <c r="P317" s="273"/>
      <c r="Q317" s="1"/>
      <c r="R317" s="1"/>
      <c r="T317" s="22"/>
    </row>
    <row r="318" spans="2:20" x14ac:dyDescent="0.25">
      <c r="B318" s="24"/>
      <c r="C318" s="24"/>
      <c r="D318" s="24"/>
      <c r="E318" s="24"/>
      <c r="K318" s="24"/>
      <c r="L318" s="24"/>
      <c r="M318" s="24"/>
      <c r="N318" s="24"/>
      <c r="O318" s="24"/>
      <c r="P318" s="273"/>
      <c r="Q318" s="1"/>
      <c r="R318" s="1"/>
      <c r="T318" s="22"/>
    </row>
    <row r="319" spans="2:20" x14ac:dyDescent="0.25">
      <c r="B319" s="24"/>
      <c r="C319" s="24"/>
      <c r="D319" s="24"/>
      <c r="E319" s="24"/>
      <c r="K319" s="24"/>
      <c r="L319" s="24"/>
      <c r="M319" s="24"/>
      <c r="N319" s="24"/>
      <c r="O319" s="24"/>
      <c r="P319" s="273"/>
      <c r="Q319" s="1"/>
      <c r="R319" s="1"/>
      <c r="T319" s="22"/>
    </row>
    <row r="320" spans="2:20" x14ac:dyDescent="0.25">
      <c r="B320" s="24"/>
      <c r="C320" s="24"/>
      <c r="D320" s="24"/>
      <c r="E320" s="24"/>
      <c r="K320" s="24"/>
      <c r="L320" s="24"/>
      <c r="M320" s="24"/>
      <c r="N320" s="24"/>
      <c r="O320" s="24"/>
      <c r="P320" s="273"/>
      <c r="Q320" s="1"/>
      <c r="R320" s="1"/>
      <c r="T320" s="22"/>
    </row>
    <row r="321" spans="2:20" x14ac:dyDescent="0.25">
      <c r="B321" s="24"/>
      <c r="C321" s="24"/>
      <c r="D321" s="24"/>
      <c r="E321" s="24"/>
      <c r="K321" s="24"/>
      <c r="L321" s="24"/>
      <c r="M321" s="24"/>
      <c r="N321" s="24"/>
      <c r="O321" s="24"/>
      <c r="P321" s="273"/>
      <c r="Q321" s="1"/>
      <c r="R321" s="1"/>
      <c r="T321" s="22"/>
    </row>
    <row r="322" spans="2:20" x14ac:dyDescent="0.25">
      <c r="B322" s="24"/>
      <c r="C322" s="24"/>
      <c r="D322" s="24"/>
      <c r="E322" s="24"/>
      <c r="K322" s="24"/>
      <c r="L322" s="24"/>
      <c r="M322" s="24"/>
      <c r="N322" s="24"/>
      <c r="O322" s="24"/>
      <c r="P322" s="273"/>
      <c r="Q322" s="1"/>
      <c r="R322" s="1"/>
      <c r="T322" s="22"/>
    </row>
    <row r="323" spans="2:20" x14ac:dyDescent="0.25">
      <c r="B323" s="24"/>
      <c r="C323" s="24"/>
      <c r="D323" s="24"/>
      <c r="E323" s="24"/>
      <c r="K323" s="24"/>
      <c r="L323" s="24"/>
      <c r="M323" s="24"/>
      <c r="N323" s="24"/>
      <c r="O323" s="24"/>
      <c r="P323" s="273"/>
      <c r="Q323" s="1"/>
      <c r="R323" s="1"/>
      <c r="T323" s="22"/>
    </row>
    <row r="324" spans="2:20" x14ac:dyDescent="0.25">
      <c r="B324" s="24"/>
      <c r="C324" s="24"/>
      <c r="D324" s="24"/>
      <c r="E324" s="24"/>
      <c r="K324" s="24"/>
      <c r="L324" s="24"/>
      <c r="M324" s="24"/>
      <c r="N324" s="24"/>
      <c r="O324" s="24"/>
      <c r="P324" s="273"/>
      <c r="Q324" s="1"/>
      <c r="R324" s="1"/>
      <c r="T324" s="22"/>
    </row>
    <row r="325" spans="2:20" x14ac:dyDescent="0.25">
      <c r="B325" s="24"/>
      <c r="C325" s="24"/>
      <c r="D325" s="24"/>
      <c r="E325" s="24"/>
      <c r="K325" s="24"/>
      <c r="L325" s="24"/>
      <c r="M325" s="24"/>
      <c r="N325" s="24"/>
      <c r="O325" s="24"/>
      <c r="P325" s="273"/>
      <c r="Q325" s="1"/>
      <c r="R325" s="1"/>
      <c r="T325" s="22"/>
    </row>
    <row r="326" spans="2:20" x14ac:dyDescent="0.25">
      <c r="B326" s="24"/>
      <c r="C326" s="24"/>
      <c r="D326" s="24"/>
      <c r="E326" s="24"/>
      <c r="K326" s="24"/>
      <c r="L326" s="24"/>
      <c r="M326" s="24"/>
      <c r="N326" s="24"/>
      <c r="O326" s="24"/>
      <c r="P326" s="273"/>
      <c r="Q326" s="1"/>
      <c r="R326" s="1"/>
      <c r="T326" s="22"/>
    </row>
    <row r="327" spans="2:20" x14ac:dyDescent="0.25">
      <c r="B327" s="24"/>
      <c r="C327" s="24"/>
      <c r="D327" s="24"/>
      <c r="E327" s="24"/>
      <c r="K327" s="24"/>
      <c r="L327" s="24"/>
      <c r="M327" s="24"/>
      <c r="N327" s="24"/>
      <c r="O327" s="24"/>
      <c r="P327" s="273"/>
      <c r="Q327" s="1"/>
      <c r="R327" s="1"/>
      <c r="T327" s="22"/>
    </row>
    <row r="328" spans="2:20" x14ac:dyDescent="0.25">
      <c r="B328" s="24"/>
      <c r="C328" s="24"/>
      <c r="D328" s="24"/>
      <c r="E328" s="24"/>
      <c r="K328" s="24"/>
      <c r="L328" s="24"/>
      <c r="M328" s="24"/>
      <c r="N328" s="24"/>
      <c r="O328" s="24"/>
      <c r="P328" s="273"/>
      <c r="Q328" s="1"/>
      <c r="R328" s="1"/>
      <c r="T328" s="22"/>
    </row>
    <row r="329" spans="2:20" x14ac:dyDescent="0.25">
      <c r="B329" s="24"/>
      <c r="C329" s="24"/>
      <c r="D329" s="24"/>
      <c r="E329" s="24"/>
      <c r="K329" s="24"/>
      <c r="L329" s="24"/>
      <c r="M329" s="24"/>
      <c r="N329" s="24"/>
      <c r="O329" s="24"/>
      <c r="P329" s="273"/>
      <c r="Q329" s="1"/>
      <c r="R329" s="1"/>
      <c r="T329" s="22"/>
    </row>
    <row r="330" spans="2:20" x14ac:dyDescent="0.25">
      <c r="B330" s="24"/>
      <c r="C330" s="24"/>
      <c r="D330" s="24"/>
      <c r="E330" s="24"/>
      <c r="K330" s="24"/>
      <c r="L330" s="24"/>
      <c r="M330" s="24"/>
      <c r="N330" s="24"/>
      <c r="O330" s="24"/>
      <c r="P330" s="273"/>
      <c r="Q330" s="1"/>
      <c r="R330" s="1"/>
      <c r="T330" s="22"/>
    </row>
    <row r="331" spans="2:20" x14ac:dyDescent="0.25">
      <c r="B331" s="24"/>
      <c r="C331" s="24"/>
      <c r="D331" s="24"/>
      <c r="E331" s="24"/>
      <c r="K331" s="24"/>
      <c r="L331" s="24"/>
      <c r="M331" s="24"/>
      <c r="N331" s="24"/>
      <c r="O331" s="24"/>
      <c r="P331" s="273"/>
      <c r="Q331" s="1"/>
      <c r="R331" s="1"/>
      <c r="T331" s="22"/>
    </row>
    <row r="332" spans="2:20" x14ac:dyDescent="0.25">
      <c r="B332" s="24"/>
      <c r="C332" s="24"/>
      <c r="D332" s="24"/>
      <c r="E332" s="24"/>
      <c r="K332" s="24"/>
      <c r="L332" s="24"/>
      <c r="M332" s="24"/>
      <c r="N332" s="24"/>
      <c r="O332" s="24"/>
      <c r="P332" s="273"/>
      <c r="Q332" s="1"/>
      <c r="R332" s="1"/>
      <c r="T332" s="22"/>
    </row>
    <row r="333" spans="2:20" x14ac:dyDescent="0.25">
      <c r="B333" s="24"/>
      <c r="C333" s="24"/>
      <c r="D333" s="24"/>
      <c r="E333" s="24"/>
      <c r="K333" s="24"/>
      <c r="L333" s="24"/>
      <c r="M333" s="24"/>
      <c r="N333" s="24"/>
      <c r="O333" s="24"/>
      <c r="P333" s="273"/>
      <c r="Q333" s="1"/>
      <c r="R333" s="1"/>
      <c r="T333" s="22"/>
    </row>
    <row r="334" spans="2:20" x14ac:dyDescent="0.25">
      <c r="B334" s="24"/>
      <c r="C334" s="24"/>
      <c r="D334" s="24"/>
      <c r="E334" s="24"/>
      <c r="K334" s="24"/>
      <c r="L334" s="24"/>
      <c r="M334" s="24"/>
      <c r="N334" s="24"/>
      <c r="O334" s="24"/>
      <c r="P334" s="273"/>
      <c r="Q334" s="1"/>
      <c r="R334" s="1"/>
      <c r="T334" s="22"/>
    </row>
    <row r="335" spans="2:20" x14ac:dyDescent="0.25">
      <c r="B335" s="24"/>
      <c r="C335" s="24"/>
      <c r="D335" s="24"/>
      <c r="E335" s="24"/>
      <c r="K335" s="24"/>
      <c r="L335" s="24"/>
      <c r="M335" s="24"/>
      <c r="N335" s="24"/>
      <c r="O335" s="24"/>
      <c r="P335" s="273"/>
      <c r="Q335" s="1"/>
      <c r="R335" s="1"/>
      <c r="T335" s="22"/>
    </row>
    <row r="336" spans="2:20" x14ac:dyDescent="0.25">
      <c r="B336" s="24"/>
      <c r="C336" s="24"/>
      <c r="D336" s="24"/>
      <c r="E336" s="24"/>
      <c r="K336" s="24"/>
      <c r="L336" s="24"/>
      <c r="M336" s="24"/>
      <c r="N336" s="24"/>
      <c r="O336" s="24"/>
      <c r="P336" s="273"/>
      <c r="Q336" s="1"/>
      <c r="R336" s="1"/>
      <c r="T336" s="22"/>
    </row>
    <row r="337" spans="2:20" x14ac:dyDescent="0.25">
      <c r="B337" s="24"/>
      <c r="C337" s="24"/>
      <c r="D337" s="24"/>
      <c r="E337" s="24"/>
      <c r="K337" s="24"/>
      <c r="L337" s="24"/>
      <c r="M337" s="24"/>
      <c r="N337" s="24"/>
      <c r="O337" s="24"/>
      <c r="P337" s="273"/>
      <c r="Q337" s="1"/>
      <c r="R337" s="1"/>
      <c r="T337" s="22"/>
    </row>
    <row r="338" spans="2:20" x14ac:dyDescent="0.25">
      <c r="B338" s="24"/>
      <c r="C338" s="24"/>
      <c r="D338" s="24"/>
      <c r="E338" s="24"/>
      <c r="K338" s="24"/>
      <c r="L338" s="24"/>
      <c r="M338" s="24"/>
      <c r="N338" s="24"/>
      <c r="O338" s="24"/>
      <c r="P338" s="273"/>
      <c r="Q338" s="1"/>
      <c r="R338" s="1"/>
      <c r="T338" s="22"/>
    </row>
    <row r="339" spans="2:20" x14ac:dyDescent="0.25">
      <c r="B339" s="24"/>
      <c r="C339" s="24"/>
      <c r="D339" s="24"/>
      <c r="E339" s="24"/>
      <c r="K339" s="24"/>
      <c r="L339" s="24"/>
      <c r="M339" s="24"/>
      <c r="N339" s="24"/>
      <c r="O339" s="24"/>
      <c r="P339" s="273"/>
      <c r="Q339" s="1"/>
      <c r="R339" s="1"/>
      <c r="T339" s="22"/>
    </row>
    <row r="340" spans="2:20" x14ac:dyDescent="0.25">
      <c r="B340" s="24"/>
      <c r="C340" s="24"/>
      <c r="D340" s="24"/>
      <c r="E340" s="24"/>
      <c r="K340" s="24"/>
      <c r="L340" s="24"/>
      <c r="M340" s="24"/>
      <c r="N340" s="24"/>
      <c r="O340" s="24"/>
      <c r="P340" s="273"/>
      <c r="Q340" s="1"/>
      <c r="R340" s="1"/>
      <c r="T340" s="22"/>
    </row>
    <row r="341" spans="2:20" x14ac:dyDescent="0.25">
      <c r="B341" s="24"/>
      <c r="C341" s="24"/>
      <c r="D341" s="24"/>
      <c r="E341" s="24"/>
      <c r="K341" s="24"/>
      <c r="L341" s="24"/>
      <c r="M341" s="24"/>
      <c r="N341" s="24"/>
      <c r="O341" s="24"/>
      <c r="P341" s="273"/>
      <c r="Q341" s="1"/>
      <c r="R341" s="1"/>
      <c r="T341" s="22"/>
    </row>
    <row r="342" spans="2:20" x14ac:dyDescent="0.25">
      <c r="B342" s="24"/>
      <c r="C342" s="24"/>
      <c r="D342" s="24"/>
      <c r="E342" s="24"/>
      <c r="K342" s="24"/>
      <c r="L342" s="24"/>
      <c r="M342" s="24"/>
      <c r="N342" s="24"/>
      <c r="O342" s="24"/>
      <c r="P342" s="273"/>
      <c r="Q342" s="1"/>
      <c r="R342" s="1"/>
      <c r="T342" s="22"/>
    </row>
    <row r="343" spans="2:20" x14ac:dyDescent="0.25">
      <c r="B343" s="24"/>
      <c r="C343" s="24"/>
      <c r="D343" s="24"/>
      <c r="E343" s="24"/>
      <c r="K343" s="24"/>
      <c r="L343" s="24"/>
      <c r="M343" s="24"/>
      <c r="N343" s="24"/>
      <c r="O343" s="24"/>
      <c r="P343" s="273"/>
      <c r="Q343" s="1"/>
      <c r="R343" s="1"/>
      <c r="T343" s="22"/>
    </row>
    <row r="344" spans="2:20" x14ac:dyDescent="0.25">
      <c r="B344" s="24"/>
      <c r="C344" s="24"/>
      <c r="D344" s="24"/>
      <c r="E344" s="24"/>
      <c r="K344" s="24"/>
      <c r="L344" s="24"/>
      <c r="M344" s="24"/>
      <c r="N344" s="24"/>
      <c r="O344" s="24"/>
      <c r="P344" s="273"/>
      <c r="Q344" s="1"/>
      <c r="R344" s="1"/>
      <c r="T344" s="22"/>
    </row>
    <row r="345" spans="2:20" x14ac:dyDescent="0.25">
      <c r="B345" s="24"/>
      <c r="C345" s="24"/>
      <c r="D345" s="24"/>
      <c r="E345" s="24"/>
      <c r="K345" s="24"/>
      <c r="L345" s="24"/>
      <c r="M345" s="24"/>
      <c r="N345" s="24"/>
      <c r="O345" s="24"/>
      <c r="P345" s="273"/>
      <c r="Q345" s="1"/>
      <c r="R345" s="1"/>
      <c r="T345" s="22"/>
    </row>
    <row r="346" spans="2:20" x14ac:dyDescent="0.25">
      <c r="B346" s="24"/>
      <c r="C346" s="24"/>
      <c r="D346" s="24"/>
      <c r="E346" s="24"/>
      <c r="K346" s="24"/>
      <c r="L346" s="24"/>
      <c r="M346" s="24"/>
      <c r="N346" s="24"/>
      <c r="O346" s="24"/>
      <c r="P346" s="273"/>
      <c r="Q346" s="1"/>
      <c r="R346" s="1"/>
      <c r="T346" s="22"/>
    </row>
    <row r="347" spans="2:20" x14ac:dyDescent="0.25">
      <c r="B347" s="24"/>
      <c r="C347" s="24"/>
      <c r="D347" s="24"/>
      <c r="E347" s="24"/>
      <c r="K347" s="24"/>
      <c r="L347" s="24"/>
      <c r="M347" s="24"/>
      <c r="N347" s="24"/>
      <c r="O347" s="24"/>
      <c r="P347" s="273"/>
      <c r="Q347" s="1"/>
      <c r="R347" s="1"/>
      <c r="T347" s="22"/>
    </row>
    <row r="348" spans="2:20" x14ac:dyDescent="0.25">
      <c r="B348" s="24"/>
      <c r="C348" s="24"/>
      <c r="D348" s="24"/>
      <c r="E348" s="24"/>
      <c r="K348" s="24"/>
      <c r="L348" s="24"/>
      <c r="M348" s="24"/>
      <c r="N348" s="24"/>
      <c r="O348" s="24"/>
      <c r="P348" s="273"/>
      <c r="Q348" s="1"/>
      <c r="R348" s="1"/>
      <c r="T348" s="22"/>
    </row>
    <row r="349" spans="2:20" x14ac:dyDescent="0.25">
      <c r="B349" s="24"/>
      <c r="C349" s="24"/>
      <c r="D349" s="24"/>
      <c r="E349" s="24"/>
      <c r="K349" s="24"/>
      <c r="L349" s="24"/>
      <c r="M349" s="24"/>
      <c r="N349" s="24"/>
      <c r="O349" s="24"/>
      <c r="P349" s="273"/>
      <c r="Q349" s="1"/>
      <c r="R349" s="1"/>
      <c r="T349" s="22"/>
    </row>
  </sheetData>
  <phoneticPr fontId="2"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Z399"/>
  <sheetViews>
    <sheetView showGridLines="0" zoomScale="50" zoomScaleNormal="50" workbookViewId="0">
      <selection activeCell="AB3" sqref="AB3"/>
    </sheetView>
  </sheetViews>
  <sheetFormatPr defaultRowHeight="15" x14ac:dyDescent="0.25"/>
  <cols>
    <col min="1" max="1" width="21.140625" style="4" bestFit="1" customWidth="1"/>
    <col min="2" max="2" width="23.140625" style="25" customWidth="1"/>
    <col min="3" max="5" width="23.42578125" style="25" bestFit="1" customWidth="1"/>
    <col min="6" max="8" width="18.5703125" style="25" bestFit="1" customWidth="1"/>
    <col min="9" max="9" width="18.5703125" style="269" customWidth="1"/>
    <col min="10" max="10" width="18.5703125" style="373" customWidth="1"/>
    <col min="11" max="11" width="23.140625" style="25" bestFit="1" customWidth="1"/>
    <col min="12" max="13" width="24.28515625" style="25" bestFit="1" customWidth="1"/>
    <col min="14" max="14" width="22.7109375" style="25" bestFit="1" customWidth="1"/>
    <col min="15" max="15" width="23.140625" style="25" bestFit="1" customWidth="1"/>
    <col min="16" max="16" width="23.140625" style="373" bestFit="1" customWidth="1"/>
    <col min="17" max="17" width="22.42578125" style="25" bestFit="1" customWidth="1"/>
    <col min="18" max="18" width="22" style="25" bestFit="1" customWidth="1"/>
    <col min="19" max="20" width="9.140625" style="25"/>
    <col min="21" max="21" width="9.140625" style="697"/>
    <col min="22" max="28" width="9.140625" style="906"/>
    <col min="29" max="33" width="9.140625" style="25"/>
    <col min="34" max="34" width="13.7109375" style="25" bestFit="1" customWidth="1"/>
  </cols>
  <sheetData>
    <row r="1" spans="1:36" x14ac:dyDescent="0.25">
      <c r="B1" s="28" t="s">
        <v>99</v>
      </c>
      <c r="C1" s="28" t="s">
        <v>100</v>
      </c>
      <c r="D1" s="28" t="s">
        <v>101</v>
      </c>
      <c r="E1" s="28" t="s">
        <v>102</v>
      </c>
      <c r="F1" s="28" t="s">
        <v>97</v>
      </c>
      <c r="G1" s="28" t="s">
        <v>104</v>
      </c>
      <c r="H1" s="28" t="s">
        <v>103</v>
      </c>
      <c r="I1" s="275" t="s">
        <v>178</v>
      </c>
      <c r="J1" s="275" t="s">
        <v>200</v>
      </c>
      <c r="K1" s="275" t="s">
        <v>207</v>
      </c>
      <c r="L1" s="28" t="s">
        <v>105</v>
      </c>
      <c r="M1" s="28" t="s">
        <v>107</v>
      </c>
      <c r="N1" s="28" t="s">
        <v>98</v>
      </c>
      <c r="O1" s="28" t="s">
        <v>106</v>
      </c>
      <c r="P1" s="275" t="s">
        <v>179</v>
      </c>
      <c r="Q1" s="275" t="s">
        <v>199</v>
      </c>
      <c r="R1" s="275" t="s">
        <v>208</v>
      </c>
      <c r="S1" s="275" t="s">
        <v>182</v>
      </c>
      <c r="T1" s="275" t="s">
        <v>184</v>
      </c>
      <c r="U1" s="275" t="s">
        <v>222</v>
      </c>
      <c r="V1" s="275" t="s">
        <v>223</v>
      </c>
      <c r="W1" s="275" t="s">
        <v>256</v>
      </c>
      <c r="X1" s="275" t="s">
        <v>257</v>
      </c>
      <c r="Y1" s="275" t="s">
        <v>267</v>
      </c>
      <c r="Z1" s="275" t="s">
        <v>268</v>
      </c>
      <c r="AA1" s="275" t="s">
        <v>269</v>
      </c>
      <c r="AB1" s="275" t="s">
        <v>270</v>
      </c>
      <c r="AI1" s="25"/>
      <c r="AJ1" s="25"/>
    </row>
    <row r="2" spans="1:36" ht="18" customHeight="1" x14ac:dyDescent="0.25">
      <c r="B2" s="127" t="s">
        <v>166</v>
      </c>
      <c r="C2" s="127" t="s">
        <v>167</v>
      </c>
      <c r="D2" s="127" t="s">
        <v>168</v>
      </c>
      <c r="E2" s="127" t="s">
        <v>169</v>
      </c>
      <c r="F2" s="130" t="s">
        <v>170</v>
      </c>
      <c r="G2" s="130" t="s">
        <v>171</v>
      </c>
      <c r="H2" s="127" t="s">
        <v>172</v>
      </c>
      <c r="I2" s="269" t="s">
        <v>215</v>
      </c>
      <c r="J2" s="373" t="s">
        <v>202</v>
      </c>
      <c r="K2" s="384" t="s">
        <v>209</v>
      </c>
      <c r="L2" s="127" t="s">
        <v>173</v>
      </c>
      <c r="M2" s="127" t="s">
        <v>174</v>
      </c>
      <c r="N2" s="127" t="s">
        <v>190</v>
      </c>
      <c r="O2" s="127" t="s">
        <v>175</v>
      </c>
      <c r="P2" s="127" t="s">
        <v>216</v>
      </c>
      <c r="Q2" s="373" t="s">
        <v>201</v>
      </c>
      <c r="R2" s="384" t="s">
        <v>210</v>
      </c>
      <c r="S2" s="25" t="s">
        <v>185</v>
      </c>
      <c r="T2" s="25" t="s">
        <v>187</v>
      </c>
      <c r="U2" s="697" t="s">
        <v>225</v>
      </c>
      <c r="V2" s="697" t="s">
        <v>224</v>
      </c>
      <c r="W2" s="275" t="s">
        <v>278</v>
      </c>
      <c r="X2" s="275" t="s">
        <v>280</v>
      </c>
      <c r="Y2" s="275" t="s">
        <v>279</v>
      </c>
      <c r="Z2" s="275" t="s">
        <v>281</v>
      </c>
      <c r="AA2" s="275" t="s">
        <v>282</v>
      </c>
      <c r="AB2" s="275" t="s">
        <v>291</v>
      </c>
      <c r="AC2" s="25" t="s">
        <v>96</v>
      </c>
      <c r="AD2" s="25" t="s">
        <v>10</v>
      </c>
      <c r="AE2" s="25">
        <v>12</v>
      </c>
      <c r="AG2" s="25" t="s">
        <v>96</v>
      </c>
      <c r="AH2" s="25" t="s">
        <v>0</v>
      </c>
      <c r="AI2" s="25">
        <f>MATCH(AH2,Table!$A:$A,0)</f>
        <v>3</v>
      </c>
      <c r="AJ2" s="25" t="s">
        <v>113</v>
      </c>
    </row>
    <row r="3" spans="1:36" s="591" customFormat="1" ht="19.5" customHeight="1" x14ac:dyDescent="0.25">
      <c r="A3" s="592">
        <v>41822</v>
      </c>
      <c r="B3" s="596">
        <f ca="1">IF(ISERROR(MATCH(B$1,INDIRECT("Table!A"&amp;$AG3):INDIRECT("Table!" &amp; $AJ$86 &amp; $AG3),0)),"",INDIRECT(CONCATENATE("Table!",ADDRESS($AC3,MATCH(B$1,INDIRECT("Table!A" &amp; $AG3):INDIRECT("Table!" &amp; $AJ$86 &amp; $AG3),0)))))</f>
        <v>0.71407350419009152</v>
      </c>
      <c r="C3" s="596">
        <f ca="1">IF(ISERROR(MATCH(C$1,INDIRECT("Table!A"&amp;$AG3):INDIRECT("Table!" &amp; $AJ$86 &amp; $AG3),0)),"",INDIRECT(CONCATENATE("Table!",ADDRESS($AC3,MATCH(C$1,INDIRECT("Table!A" &amp; $AG3):INDIRECT("Table!" &amp; $AJ$86 &amp; $AG3),0)))))</f>
        <v>0.67404117283995724</v>
      </c>
      <c r="D3" s="596">
        <f ca="1">IF(ISERROR(MATCH(D$1,INDIRECT("Table!A"&amp;$AG3):INDIRECT("Table!" &amp; $AJ$86 &amp; $AG3),0)),"",INDIRECT(CONCATENATE("Table!",ADDRESS($AC3,MATCH(D$1,INDIRECT("Table!A" &amp; $AG3):INDIRECT("Table!" &amp; $AJ$86 &amp; $AG3),0)))))</f>
        <v>0.67404117283995724</v>
      </c>
      <c r="E3" s="596">
        <f ca="1">IF(ISERROR(MATCH(E$1,INDIRECT("Table!A"&amp;$AG3):INDIRECT("Table!" &amp; $AJ$86 &amp; $AG3),0)),"",INDIRECT(CONCATENATE("Table!",ADDRESS($AC3,MATCH(E$1,INDIRECT("Table!A" &amp; $AG3):INDIRECT("Table!" &amp; $AJ$86 &amp; $AG3),0)))))</f>
        <v>1.2632842798963511</v>
      </c>
      <c r="F3" s="596">
        <f ca="1">IF(ISERROR(MATCH(F$1,INDIRECT("Table!A"&amp;$AG3):INDIRECT("Table!" &amp; $AJ$86 &amp; $AG3),0)),"",INDIRECT(CONCATENATE("Table!",ADDRESS($AC3,MATCH(F$1,INDIRECT("Table!A" &amp; $AG3):INDIRECT("Table!" &amp; $AJ$86 &amp; $AG3),0)))))</f>
        <v>0.68464961086642162</v>
      </c>
      <c r="G3" s="596">
        <f ca="1">IF(ISERROR(MATCH(G$1,INDIRECT("Table!A"&amp;$AG3):INDIRECT("Table!" &amp; $AJ$86 &amp; $AG3),0)),"",INDIRECT(CONCATENATE("Table!",ADDRESS($AC3,MATCH(G$1,INDIRECT("Table!A" &amp; $AG3):INDIRECT("Table!" &amp; $AJ$86 &amp; $AG3),0)))))</f>
        <v>1.1790843686217121</v>
      </c>
      <c r="H3" s="596">
        <f ca="1">IF(ISERROR(MATCH(H$1,INDIRECT("Table!A"&amp;$AG3):INDIRECT("Table!" &amp; $AJ$86 &amp; $AG3),0)),"",INDIRECT(CONCATENATE("Table!",ADDRESS($AC3,MATCH(H$1,INDIRECT("Table!A" &amp; $AG3):INDIRECT("Table!" &amp; $AJ$86 &amp; $AG3),0)))))</f>
        <v>1.3624000686144246</v>
      </c>
      <c r="I3" s="596">
        <f ca="1">IF(ISERROR(MATCH(I$1,INDIRECT("Table!A"&amp;$AG3):INDIRECT("Table!" &amp; $AJ$64 &amp; $AG3),0)),"",INDIRECT(CONCATENATE("Table!",ADDRESS($AC3,MATCH(I$1,INDIRECT("Table!A" &amp; $AG3):INDIRECT("Table!" &amp; $AJ$64 &amp; $AG3),0)))))</f>
        <v>0.27996328833439704</v>
      </c>
      <c r="J3" s="596">
        <f ca="1">IF(ISERROR(MATCH(J$1,INDIRECT("Table!A"&amp;$AG3):INDIRECT("Table!" &amp; $AJ$64 &amp; $AG3),0)),"",INDIRECT(CONCATENATE("Table!",ADDRESS($AC3,MATCH(J$1,INDIRECT("Table!A" &amp; $AG3):INDIRECT("Table!" &amp; $AJ$64 &amp; $AG3),0)))))</f>
        <v>1.6255059136004748</v>
      </c>
      <c r="K3" s="596">
        <f ca="1">IF(ISERROR(MATCH(K$1,INDIRECT("Table!A"&amp;$AG3):INDIRECT("Table!" &amp; $AJ$64 &amp; $AG3),0)),"",INDIRECT(CONCATENATE("Table!",ADDRESS($AC3,MATCH(K$1,INDIRECT("Table!A" &amp; $AG3):INDIRECT("Table!" &amp; $AJ$64 &amp; $AG3),0)))))</f>
        <v>1.0063734027398434</v>
      </c>
      <c r="L3" s="596">
        <f ca="1">IF(ISERROR(MATCH(L$1,INDIRECT("Table!A"&amp;$AG3):INDIRECT("Table!" &amp; $AJ$86 &amp; $AG3),0)),"",INDIRECT(CONCATENATE("Table!",ADDRESS($AC3,MATCH(L$1,INDIRECT("Table!A" &amp; $AG3):INDIRECT("Table!" &amp; $AJ$86 &amp; $AG3),0)))))</f>
        <v>1.120353552909898</v>
      </c>
      <c r="M3" s="596">
        <f ca="1">IF(ISERROR(MATCH(M$1,INDIRECT("Table!A"&amp;$AG3):INDIRECT("Table!" &amp; $AJ$86 &amp; $AG3),0)),"",INDIRECT(CONCATENATE("Table!",ADDRESS($AC3,MATCH(M$1,INDIRECT("Table!A" &amp; $AG3):INDIRECT("Table!" &amp; $AJ$86 &amp; $AG3),0)))))</f>
        <v>0.83650063358601467</v>
      </c>
      <c r="N3" s="596">
        <f ca="1">IF(ISERROR(MATCH(N$1,INDIRECT("Table!A"&amp;$AG3):INDIRECT("Table!" &amp; $AJ$86 &amp; $AG3),0)),"",INDIRECT(CONCATENATE("Table!",ADDRESS($AC3,MATCH(N$1,INDIRECT("Table!A" &amp; $AG3):INDIRECT("Table!" &amp; $AJ$86 &amp; $AG3),0)))))</f>
        <v>1.3951503634445583</v>
      </c>
      <c r="O3" s="596">
        <f ca="1">IF(ISERROR(MATCH(O$1,INDIRECT("Table!A"&amp;$AG3):INDIRECT("Table!" &amp; $AJ$64 &amp; $AG3),0)),"",INDIRECT(CONCATENATE("Table!",ADDRESS($AC3,MATCH(O$1,INDIRECT("Table!A" &amp; $AG3):INDIRECT("Table!" &amp; $AJ$64 &amp; $AG3),0)))))</f>
        <v>0.62981941140852271</v>
      </c>
      <c r="P3" s="596">
        <f ca="1">IF(ISERROR(MATCH(P$1,INDIRECT("Table!A"&amp;$AG3):INDIRECT("Table!" &amp; $AJ$64 &amp; $AG3),0)),"",INDIRECT(CONCATENATE("Table!",ADDRESS($AC3,MATCH(P$1,INDIRECT("Table!A" &amp; $AG3):INDIRECT("Table!" &amp; $AJ$64 &amp; $AG3),0)))))</f>
        <v>0.74183344412491503</v>
      </c>
      <c r="Q3" s="596">
        <f ca="1">IF(ISERROR(MATCH(Q$1,INDIRECT("Table!A"&amp;$AG3):INDIRECT("Table!" &amp; $AJ$64 &amp; $AG3),0)),"",INDIRECT(CONCATENATE("Table!",ADDRESS($AC3,MATCH(Q$1,INDIRECT("Table!A" &amp; $AG3):INDIRECT("Table!" &amp; $AJ$64 &amp; $AG3),0)))))</f>
        <v>0.80906075727670956</v>
      </c>
      <c r="R3" s="596">
        <f ca="1">IF(ISERROR(MATCH(R$1,INDIRECT("Table!A"&amp;$AG3):INDIRECT("Table!" &amp; $AJ$64 &amp; $AG3),0)),"",INDIRECT(CONCATENATE("Table!",ADDRESS($AC3,MATCH(R$1,INDIRECT("Table!A" &amp; $AG3):INDIRECT("Table!" &amp; $AJ$64 &amp; $AG3),0)))))</f>
        <v>1.3198562739809956</v>
      </c>
      <c r="S3" s="596">
        <f ca="1">IF(ISERROR(MATCH(S$1,INDIRECT("Table!A"&amp;$AG3):INDIRECT("Table!" &amp; $AJ$43 &amp; $AG3),0)),"",INDIRECT(CONCATENATE("Table!",ADDRESS($AC3,MATCH(S$1,INDIRECT("Table!A" &amp; $AG3):INDIRECT("Table!" &amp; $AJ$43 &amp; $AG3),0)))))</f>
        <v>1.0490901706224727</v>
      </c>
      <c r="T3" s="596">
        <f ca="1">IF(ISERROR(MATCH(T$1,INDIRECT("Table!A"&amp;$AG3):INDIRECT("Table!" &amp; $AJ$43 &amp; $AG3),0)),"",INDIRECT(CONCATENATE("Table!",ADDRESS($AC3,MATCH(T$1,INDIRECT("Table!A" &amp; $AG3):INDIRECT("Table!" &amp; $AJ$43 &amp; $AG3),0)))))</f>
        <v>1.1238830177845605</v>
      </c>
      <c r="U3" s="596">
        <f ca="1">IF(ISERROR(MATCH(U$1,INDIRECT("Table!A"&amp;$AG3):INDIRECT("Table!" &amp; $AJ$43 &amp; $AG3),0)),"",INDIRECT(CONCATENATE("Table!",ADDRESS($AC3,MATCH(U$1,INDIRECT("Table!A" &amp; $AG3):INDIRECT("Table!" &amp; $AJ$43 &amp; $AG3),0)))))</f>
        <v>0.61299737270845867</v>
      </c>
      <c r="V3" s="596">
        <f ca="1">IF(ISERROR(MATCH(V$1,INDIRECT("Table!A"&amp;$AG3):INDIRECT("Table!" &amp; $AJ$43 &amp; $AG3),0)),"",INDIRECT(CONCATENATE("Table!",ADDRESS($AC3,MATCH(V$1,INDIRECT("Table!A" &amp; $AG3):INDIRECT("Table!" &amp; $AJ$43 &amp; $AG3),0)))))</f>
        <v>0.40074812705701529</v>
      </c>
      <c r="W3" s="596">
        <f ca="1">IF(ISERROR(MATCH(W$1,INDIRECT("Table!A"&amp;$AG3):INDIRECT("Table!" &amp; $AJ$43 &amp; $AG3),0)),"",INDIRECT(CONCATENATE("Table!",ADDRESS($AC3,MATCH(W$1,INDIRECT("Table!A" &amp; $AG3):INDIRECT("Table!" &amp; $AJ$43 &amp; $AG3),0)))))</f>
        <v>0.36786440827229899</v>
      </c>
      <c r="X3" s="596">
        <f ca="1">IF(ISERROR(MATCH(X$1,INDIRECT("Table!A"&amp;$AG3):INDIRECT("Table!" &amp; $AJ$43 &amp; $AG3),0)),"",INDIRECT(CONCATENATE("Table!",ADDRESS($AC3,MATCH(X$1,INDIRECT("Table!A" &amp; $AG3):INDIRECT("Table!" &amp; $AJ$43 &amp; $AG3),0)))))</f>
        <v>0.22419363091984829</v>
      </c>
      <c r="Y3" s="596">
        <f ca="1">IF(ISERROR(MATCH(Y$1,INDIRECT("Table!A"&amp;$AG3):INDIRECT("Table!" &amp; $AJ$43 &amp; $AG3),0)),"",INDIRECT(CONCATENATE("Table!",ADDRESS($AC3,MATCH(Y$1,INDIRECT("Table!A" &amp; $AG3):INDIRECT("Table!" &amp; $AJ$43 &amp; $AG3),0)))))</f>
        <v>0.18508693546256477</v>
      </c>
      <c r="Z3" s="596">
        <f ca="1">IF(ISERROR(MATCH(Z$1,INDIRECT("Table!A"&amp;$AG3):INDIRECT("Table!" &amp; $AJ$43 &amp; $AG3),0)),"",INDIRECT(CONCATENATE("Table!",ADDRESS($AC3,MATCH(Z$1,INDIRECT("Table!A" &amp; $AG3):INDIRECT("Table!" &amp; $AJ$43 &amp; $AG3),0)))))</f>
        <v>0.1791295845037984</v>
      </c>
      <c r="AA3" s="596">
        <f ca="1">IF(ISERROR(MATCH(AA$1,INDIRECT("Table!A"&amp;$AG3):INDIRECT("Table!" &amp; $AJ$43 &amp; $AG3),0)),"",INDIRECT(CONCATENATE("Table!",ADDRESS($AC3,MATCH(AA$1,INDIRECT("Table!A" &amp; $AG3):INDIRECT("Table!" &amp; $AJ$43 &amp; $AG3),0)))))</f>
        <v>0.20289990848664657</v>
      </c>
      <c r="AB3" s="596" t="str">
        <f ca="1">IF(ISERROR(MATCH(AB$1,INDIRECT("Table!A"&amp;$AG3):INDIRECT("Table!" &amp; $AJ$43 &amp; $AG3),0)),"",INDIRECT(CONCATENATE("Table!",ADDRESS($AC3,MATCH(AB$1,INDIRECT("Table!A" &amp; $AG3):INDIRECT("Table!" &amp; $AJ$43 &amp; $AG3),0)))))</f>
        <v/>
      </c>
      <c r="AC3" s="595">
        <f>MATCH($A3,Table!$A:$A,0)+$AE$2-1</f>
        <v>12</v>
      </c>
      <c r="AD3" s="697"/>
      <c r="AE3" s="697"/>
      <c r="AF3" s="697"/>
      <c r="AG3" s="595">
        <f>MATCH($A3,Table!$A:$A,0)+$AI$2-1</f>
        <v>3</v>
      </c>
      <c r="AH3" s="697"/>
      <c r="AI3" s="697"/>
      <c r="AJ3" s="697" t="s">
        <v>285</v>
      </c>
    </row>
    <row r="4" spans="1:36" s="743" customFormat="1" ht="19.5" customHeight="1" x14ac:dyDescent="0.25">
      <c r="A4" s="592">
        <v>41815</v>
      </c>
      <c r="B4" s="596">
        <f ca="1">IF(ISERROR(MATCH(B$1,INDIRECT("Table!A"&amp;$AG4):INDIRECT("Table!" &amp; $AJ$86 &amp; $AG4),0)),"",INDIRECT(CONCATENATE("Table!",ADDRESS($AC4,MATCH(B$1,INDIRECT("Table!A" &amp; $AG4):INDIRECT("Table!" &amp; $AJ$86 &amp; $AG4),0)))))</f>
        <v>0.71407350419009152</v>
      </c>
      <c r="C4" s="596">
        <f ca="1">IF(ISERROR(MATCH(C$1,INDIRECT("Table!A"&amp;$AG4):INDIRECT("Table!" &amp; $AJ$86 &amp; $AG4),0)),"",INDIRECT(CONCATENATE("Table!",ADDRESS($AC4,MATCH(C$1,INDIRECT("Table!A" &amp; $AG4):INDIRECT("Table!" &amp; $AJ$86 &amp; $AG4),0)))))</f>
        <v>0.67404117283995724</v>
      </c>
      <c r="D4" s="596">
        <f ca="1">IF(ISERROR(MATCH(D$1,INDIRECT("Table!A"&amp;$AG4):INDIRECT("Table!" &amp; $AJ$86 &amp; $AG4),0)),"",INDIRECT(CONCATENATE("Table!",ADDRESS($AC4,MATCH(D$1,INDIRECT("Table!A" &amp; $AG4):INDIRECT("Table!" &amp; $AJ$86 &amp; $AG4),0)))))</f>
        <v>0.67404117283995724</v>
      </c>
      <c r="E4" s="596">
        <f ca="1">IF(ISERROR(MATCH(E$1,INDIRECT("Table!A"&amp;$AG4):INDIRECT("Table!" &amp; $AJ$86 &amp; $AG4),0)),"",INDIRECT(CONCATENATE("Table!",ADDRESS($AC4,MATCH(E$1,INDIRECT("Table!A" &amp; $AG4):INDIRECT("Table!" &amp; $AJ$86 &amp; $AG4),0)))))</f>
        <v>1.2632842798963511</v>
      </c>
      <c r="F4" s="596">
        <f ca="1">IF(ISERROR(MATCH(F$1,INDIRECT("Table!A"&amp;$AG4):INDIRECT("Table!" &amp; $AJ$86 &amp; $AG4),0)),"",INDIRECT(CONCATENATE("Table!",ADDRESS($AC4,MATCH(F$1,INDIRECT("Table!A" &amp; $AG4):INDIRECT("Table!" &amp; $AJ$86 &amp; $AG4),0)))))</f>
        <v>0.68464961086642162</v>
      </c>
      <c r="G4" s="596">
        <f ca="1">IF(ISERROR(MATCH(G$1,INDIRECT("Table!A"&amp;$AG4):INDIRECT("Table!" &amp; $AJ$86 &amp; $AG4),0)),"",INDIRECT(CONCATENATE("Table!",ADDRESS($AC4,MATCH(G$1,INDIRECT("Table!A" &amp; $AG4):INDIRECT("Table!" &amp; $AJ$86 &amp; $AG4),0)))))</f>
        <v>1.1790843686217121</v>
      </c>
      <c r="H4" s="596">
        <f ca="1">IF(ISERROR(MATCH(H$1,INDIRECT("Table!A"&amp;$AG4):INDIRECT("Table!" &amp; $AJ$86 &amp; $AG4),0)),"",INDIRECT(CONCATENATE("Table!",ADDRESS($AC4,MATCH(H$1,INDIRECT("Table!A" &amp; $AG4):INDIRECT("Table!" &amp; $AJ$86 &amp; $AG4),0)))))</f>
        <v>1.3624000686144246</v>
      </c>
      <c r="I4" s="596">
        <f ca="1">IF(ISERROR(MATCH(I$1,INDIRECT("Table!A"&amp;$AG4):INDIRECT("Table!" &amp; $AJ$64 &amp; $AG4),0)),"",INDIRECT(CONCATENATE("Table!",ADDRESS($AC4,MATCH(I$1,INDIRECT("Table!A" &amp; $AG4):INDIRECT("Table!" &amp; $AJ$64 &amp; $AG4),0)))))</f>
        <v>0.27996328833439704</v>
      </c>
      <c r="J4" s="596">
        <f ca="1">IF(ISERROR(MATCH(J$1,INDIRECT("Table!A"&amp;$AG4):INDIRECT("Table!" &amp; $AJ$64 &amp; $AG4),0)),"",INDIRECT(CONCATENATE("Table!",ADDRESS($AC4,MATCH(J$1,INDIRECT("Table!A" &amp; $AG4):INDIRECT("Table!" &amp; $AJ$64 &amp; $AG4),0)))))</f>
        <v>1.6255059136004748</v>
      </c>
      <c r="K4" s="596">
        <f ca="1">IF(ISERROR(MATCH(K$1,INDIRECT("Table!A"&amp;$AG4):INDIRECT("Table!" &amp; $AJ$64 &amp; $AG4),0)),"",INDIRECT(CONCATENATE("Table!",ADDRESS($AC4,MATCH(K$1,INDIRECT("Table!A" &amp; $AG4):INDIRECT("Table!" &amp; $AJ$64 &amp; $AG4),0)))))</f>
        <v>1.0063734027398434</v>
      </c>
      <c r="L4" s="596">
        <f ca="1">IF(ISERROR(MATCH(L$1,INDIRECT("Table!A"&amp;$AG4):INDIRECT("Table!" &amp; $AJ$86 &amp; $AG4),0)),"",INDIRECT(CONCATENATE("Table!",ADDRESS($AC4,MATCH(L$1,INDIRECT("Table!A" &amp; $AG4):INDIRECT("Table!" &amp; $AJ$86 &amp; $AG4),0)))))</f>
        <v>1.120353552909898</v>
      </c>
      <c r="M4" s="596">
        <f ca="1">IF(ISERROR(MATCH(M$1,INDIRECT("Table!A"&amp;$AG4):INDIRECT("Table!" &amp; $AJ$86 &amp; $AG4),0)),"",INDIRECT(CONCATENATE("Table!",ADDRESS($AC4,MATCH(M$1,INDIRECT("Table!A" &amp; $AG4):INDIRECT("Table!" &amp; $AJ$86 &amp; $AG4),0)))))</f>
        <v>0.83650063358601467</v>
      </c>
      <c r="N4" s="596">
        <f ca="1">IF(ISERROR(MATCH(N$1,INDIRECT("Table!A"&amp;$AG4):INDIRECT("Table!" &amp; $AJ$86 &amp; $AG4),0)),"",INDIRECT(CONCATENATE("Table!",ADDRESS($AC4,MATCH(N$1,INDIRECT("Table!A" &amp; $AG4):INDIRECT("Table!" &amp; $AJ$86 &amp; $AG4),0)))))</f>
        <v>1.3951503634445583</v>
      </c>
      <c r="O4" s="596">
        <f ca="1">IF(ISERROR(MATCH(O$1,INDIRECT("Table!A"&amp;$AG4):INDIRECT("Table!" &amp; $AJ$64 &amp; $AG4),0)),"",INDIRECT(CONCATENATE("Table!",ADDRESS($AC4,MATCH(O$1,INDIRECT("Table!A" &amp; $AG4):INDIRECT("Table!" &amp; $AJ$64 &amp; $AG4),0)))))</f>
        <v>0.62981941140852271</v>
      </c>
      <c r="P4" s="596">
        <f ca="1">IF(ISERROR(MATCH(P$1,INDIRECT("Table!A"&amp;$AG4):INDIRECT("Table!" &amp; $AJ$64 &amp; $AG4),0)),"",INDIRECT(CONCATENATE("Table!",ADDRESS($AC4,MATCH(P$1,INDIRECT("Table!A" &amp; $AG4):INDIRECT("Table!" &amp; $AJ$64 &amp; $AG4),0)))))</f>
        <v>0.74183344412491503</v>
      </c>
      <c r="Q4" s="596">
        <f ca="1">IF(ISERROR(MATCH(Q$1,INDIRECT("Table!A"&amp;$AG4):INDIRECT("Table!" &amp; $AJ$64 &amp; $AG4),0)),"",INDIRECT(CONCATENATE("Table!",ADDRESS($AC4,MATCH(Q$1,INDIRECT("Table!A" &amp; $AG4):INDIRECT("Table!" &amp; $AJ$64 &amp; $AG4),0)))))</f>
        <v>0.80906075727670956</v>
      </c>
      <c r="R4" s="596">
        <f ca="1">IF(ISERROR(MATCH(R$1,INDIRECT("Table!A"&amp;$AG4):INDIRECT("Table!" &amp; $AJ$64 &amp; $AG4),0)),"",INDIRECT(CONCATENATE("Table!",ADDRESS($AC4,MATCH(R$1,INDIRECT("Table!A" &amp; $AG4):INDIRECT("Table!" &amp; $AJ$64 &amp; $AG4),0)))))</f>
        <v>1.3198562739809956</v>
      </c>
      <c r="S4" s="596">
        <f ca="1">IF(ISERROR(MATCH(S$1,INDIRECT("Table!A"&amp;$AG4):INDIRECT("Table!" &amp; $AJ$43 &amp; $AG4),0)),"",INDIRECT(CONCATENATE("Table!",ADDRESS($AC4,MATCH(S$1,INDIRECT("Table!A" &amp; $AG4):INDIRECT("Table!" &amp; $AJ$43 &amp; $AG4),0)))))</f>
        <v>1.0490901706224727</v>
      </c>
      <c r="T4" s="596">
        <f ca="1">IF(ISERROR(MATCH(T$1,INDIRECT("Table!A"&amp;$AG4):INDIRECT("Table!" &amp; $AJ$43 &amp; $AG4),0)),"",INDIRECT(CONCATENATE("Table!",ADDRESS($AC4,MATCH(T$1,INDIRECT("Table!A" &amp; $AG4):INDIRECT("Table!" &amp; $AJ$43 &amp; $AG4),0)))))</f>
        <v>1.1238830177845605</v>
      </c>
      <c r="U4" s="596">
        <f ca="1">IF(ISERROR(MATCH(U$1,INDIRECT("Table!A"&amp;$AG4):INDIRECT("Table!" &amp; $AJ$43 &amp; $AG4),0)),"",INDIRECT(CONCATENATE("Table!",ADDRESS($AC4,MATCH(U$1,INDIRECT("Table!A" &amp; $AG4):INDIRECT("Table!" &amp; $AJ$43 &amp; $AG4),0)))))</f>
        <v>0.61299737270845867</v>
      </c>
      <c r="V4" s="596">
        <f ca="1">IF(ISERROR(MATCH(V$1,INDIRECT("Table!A"&amp;$AG4):INDIRECT("Table!" &amp; $AJ$43 &amp; $AG4),0)),"",INDIRECT(CONCATENATE("Table!",ADDRESS($AC4,MATCH(V$1,INDIRECT("Table!A" &amp; $AG4):INDIRECT("Table!" &amp; $AJ$43 &amp; $AG4),0)))))</f>
        <v>0.40074812705701529</v>
      </c>
      <c r="W4" s="596">
        <f ca="1">IF(ISERROR(MATCH(W$1,INDIRECT("Table!A"&amp;$AG4):INDIRECT("Table!" &amp; $AJ$43 &amp; $AG4),0)),"",INDIRECT(CONCATENATE("Table!",ADDRESS($AC4,MATCH(W$1,INDIRECT("Table!A" &amp; $AG4):INDIRECT("Table!" &amp; $AJ$43 &amp; $AG4),0)))))</f>
        <v>0.36786440827229899</v>
      </c>
      <c r="X4" s="596">
        <f ca="1">IF(ISERROR(MATCH(X$1,INDIRECT("Table!A"&amp;$AG4):INDIRECT("Table!" &amp; $AJ$43 &amp; $AG4),0)),"",INDIRECT(CONCATENATE("Table!",ADDRESS($AC4,MATCH(X$1,INDIRECT("Table!A" &amp; $AG4):INDIRECT("Table!" &amp; $AJ$43 &amp; $AG4),0)))))</f>
        <v>0.22419363091984829</v>
      </c>
      <c r="Y4" s="596">
        <f ca="1">IF(ISERROR(MATCH(Y$1,INDIRECT("Table!A"&amp;$AG4):INDIRECT("Table!" &amp; $AJ$43 &amp; $AG4),0)),"",INDIRECT(CONCATENATE("Table!",ADDRESS($AC4,MATCH(Y$1,INDIRECT("Table!A" &amp; $AG4):INDIRECT("Table!" &amp; $AJ$43 &amp; $AG4),0)))))</f>
        <v>0.18508693546256477</v>
      </c>
      <c r="Z4" s="596">
        <f ca="1">IF(ISERROR(MATCH(Z$1,INDIRECT("Table!A"&amp;$AG4):INDIRECT("Table!" &amp; $AJ$43 &amp; $AG4),0)),"",INDIRECT(CONCATENATE("Table!",ADDRESS($AC4,MATCH(Z$1,INDIRECT("Table!A" &amp; $AG4):INDIRECT("Table!" &amp; $AJ$43 &amp; $AG4),0)))))</f>
        <v>0.1791295845037984</v>
      </c>
      <c r="AA4" s="596">
        <f ca="1">IF(ISERROR(MATCH(AA$1,INDIRECT("Table!A"&amp;$AG4):INDIRECT("Table!" &amp; $AJ$43 &amp; $AG4),0)),"",INDIRECT(CONCATENATE("Table!",ADDRESS($AC4,MATCH(AA$1,INDIRECT("Table!A" &amp; $AG4):INDIRECT("Table!" &amp; $AJ$43 &amp; $AG4),0)))))</f>
        <v>0.20289990848664657</v>
      </c>
      <c r="AB4" s="596" t="str">
        <f ca="1">IF(ISERROR(MATCH(AB$1,INDIRECT("Table!A"&amp;$AG4):INDIRECT("Table!" &amp; $AJ$43 &amp; $AG4),0)),"",INDIRECT(CONCATENATE("Table!",ADDRESS($AC4,MATCH(AB$1,INDIRECT("Table!A" &amp; $AG4):INDIRECT("Table!" &amp; $AJ$43 &amp; $AG4),0)))))</f>
        <v/>
      </c>
      <c r="AC4" s="595">
        <f>MATCH($A4,Table!$A:$A,0)+$AE$2-1</f>
        <v>26</v>
      </c>
      <c r="AD4" s="915"/>
      <c r="AE4" s="915"/>
      <c r="AF4" s="915"/>
      <c r="AG4" s="595">
        <f>MATCH($A4,Table!$A:$A,0)+$AI$2-1</f>
        <v>17</v>
      </c>
      <c r="AH4" s="915"/>
      <c r="AI4" s="915"/>
      <c r="AJ4" s="915" t="s">
        <v>285</v>
      </c>
    </row>
    <row r="5" spans="1:36" s="743" customFormat="1" ht="19.5" customHeight="1" x14ac:dyDescent="0.25">
      <c r="A5" s="592">
        <v>41808</v>
      </c>
      <c r="B5" s="596">
        <f ca="1">IF(ISERROR(MATCH(B$1,INDIRECT("Table!A"&amp;$AG5):INDIRECT("Table!" &amp; $AJ$86 &amp; $AG5),0)),"",INDIRECT(CONCATENATE("Table!",ADDRESS($AC5,MATCH(B$1,INDIRECT("Table!A" &amp; $AG5):INDIRECT("Table!" &amp; $AJ$86 &amp; $AG5),0)))))</f>
        <v>0.71757981412568039</v>
      </c>
      <c r="C5" s="596">
        <f ca="1">IF(ISERROR(MATCH(C$1,INDIRECT("Table!A"&amp;$AG5):INDIRECT("Table!" &amp; $AJ$86 &amp; $AG5),0)),"",INDIRECT(CONCATENATE("Table!",ADDRESS($AC5,MATCH(C$1,INDIRECT("Table!A" &amp; $AG5):INDIRECT("Table!" &amp; $AJ$86 &amp; $AG5),0)))))</f>
        <v>0.66037666252316185</v>
      </c>
      <c r="D5" s="596">
        <f ca="1">IF(ISERROR(MATCH(D$1,INDIRECT("Table!A"&amp;$AG5):INDIRECT("Table!" &amp; $AJ$86 &amp; $AG5),0)),"",INDIRECT(CONCATENATE("Table!",ADDRESS($AC5,MATCH(D$1,INDIRECT("Table!A" &amp; $AG5):INDIRECT("Table!" &amp; $AJ$86 &amp; $AG5),0)))))</f>
        <v>0.66037666252316185</v>
      </c>
      <c r="E5" s="596">
        <f ca="1">IF(ISERROR(MATCH(E$1,INDIRECT("Table!A"&amp;$AG5):INDIRECT("Table!" &amp; $AJ$86 &amp; $AG5),0)),"",INDIRECT(CONCATENATE("Table!",ADDRESS($AC5,MATCH(E$1,INDIRECT("Table!A" &amp; $AG5):INDIRECT("Table!" &amp; $AJ$86 &amp; $AG5),0)))))</f>
        <v>1.3233083459890944</v>
      </c>
      <c r="F5" s="596">
        <f ca="1">IF(ISERROR(MATCH(F$1,INDIRECT("Table!A"&amp;$AG5):INDIRECT("Table!" &amp; $AJ$86 &amp; $AG5),0)),"",INDIRECT(CONCATENATE("Table!",ADDRESS($AC5,MATCH(F$1,INDIRECT("Table!A" &amp; $AG5):INDIRECT("Table!" &amp; $AJ$86 &amp; $AG5),0)))))</f>
        <v>0.68342920157788967</v>
      </c>
      <c r="G5" s="596">
        <f ca="1">IF(ISERROR(MATCH(G$1,INDIRECT("Table!A"&amp;$AG5):INDIRECT("Table!" &amp; $AJ$86 &amp; $AG5),0)),"",INDIRECT(CONCATENATE("Table!",ADDRESS($AC5,MATCH(G$1,INDIRECT("Table!A" &amp; $AG5):INDIRECT("Table!" &amp; $AJ$86 &amp; $AG5),0)))))</f>
        <v>1.1786515500442869</v>
      </c>
      <c r="H5" s="596">
        <f ca="1">IF(ISERROR(MATCH(H$1,INDIRECT("Table!A"&amp;$AG5):INDIRECT("Table!" &amp; $AJ$86 &amp; $AG5),0)),"",INDIRECT(CONCATENATE("Table!",ADDRESS($AC5,MATCH(H$1,INDIRECT("Table!A" &amp; $AG5):INDIRECT("Table!" &amp; $AJ$86 &amp; $AG5),0)))))</f>
        <v>1.3624000686144246</v>
      </c>
      <c r="I5" s="596">
        <f ca="1">IF(ISERROR(MATCH(I$1,INDIRECT("Table!A"&amp;$AG5):INDIRECT("Table!" &amp; $AJ$64 &amp; $AG5),0)),"",INDIRECT(CONCATENATE("Table!",ADDRESS($AC5,MATCH(I$1,INDIRECT("Table!A" &amp; $AG5):INDIRECT("Table!" &amp; $AJ$64 &amp; $AG5),0)))))</f>
        <v>0.27996328833439704</v>
      </c>
      <c r="J5" s="596">
        <f ca="1">IF(ISERROR(MATCH(J$1,INDIRECT("Table!A"&amp;$AG5):INDIRECT("Table!" &amp; $AJ$64 &amp; $AG5),0)),"",INDIRECT(CONCATENATE("Table!",ADDRESS($AC5,MATCH(J$1,INDIRECT("Table!A" &amp; $AG5):INDIRECT("Table!" &amp; $AJ$64 &amp; $AG5),0)))))</f>
        <v>1.6255059136004748</v>
      </c>
      <c r="K5" s="596">
        <f ca="1">IF(ISERROR(MATCH(K$1,INDIRECT("Table!A"&amp;$AG5):INDIRECT("Table!" &amp; $AJ$64 &amp; $AG5),0)),"",INDIRECT(CONCATENATE("Table!",ADDRESS($AC5,MATCH(K$1,INDIRECT("Table!A" &amp; $AG5):INDIRECT("Table!" &amp; $AJ$64 &amp; $AG5),0)))))</f>
        <v>0.99584018829729115</v>
      </c>
      <c r="L5" s="596">
        <f ca="1">IF(ISERROR(MATCH(L$1,INDIRECT("Table!A"&amp;$AG5):INDIRECT("Table!" &amp; $AJ$86 &amp; $AG5),0)),"",INDIRECT(CONCATENATE("Table!",ADDRESS($AC5,MATCH(L$1,INDIRECT("Table!A" &amp; $AG5):INDIRECT("Table!" &amp; $AJ$86 &amp; $AG5),0)))))</f>
        <v>1.1648952049198797</v>
      </c>
      <c r="M5" s="596">
        <f ca="1">IF(ISERROR(MATCH(M$1,INDIRECT("Table!A"&amp;$AG5):INDIRECT("Table!" &amp; $AJ$86 &amp; $AG5),0)),"",INDIRECT(CONCATENATE("Table!",ADDRESS($AC5,MATCH(M$1,INDIRECT("Table!A" &amp; $AG5):INDIRECT("Table!" &amp; $AJ$86 &amp; $AG5),0)))))</f>
        <v>0.83650063358601467</v>
      </c>
      <c r="N5" s="596">
        <f ca="1">IF(ISERROR(MATCH(N$1,INDIRECT("Table!A"&amp;$AG5):INDIRECT("Table!" &amp; $AJ$86 &amp; $AG5),0)),"",INDIRECT(CONCATENATE("Table!",ADDRESS($AC5,MATCH(N$1,INDIRECT("Table!A" &amp; $AG5):INDIRECT("Table!" &amp; $AJ$86 &amp; $AG5),0)))))</f>
        <v>1.3927141288168903</v>
      </c>
      <c r="O5" s="596">
        <f ca="1">IF(ISERROR(MATCH(O$1,INDIRECT("Table!A"&amp;$AG5):INDIRECT("Table!" &amp; $AJ$64 &amp; $AG5),0)),"",INDIRECT(CONCATENATE("Table!",ADDRESS($AC5,MATCH(O$1,INDIRECT("Table!A" &amp; $AG5):INDIRECT("Table!" &amp; $AJ$64 &amp; $AG5),0)))))</f>
        <v>0.63409309876782849</v>
      </c>
      <c r="P5" s="596">
        <f ca="1">IF(ISERROR(MATCH(P$1,INDIRECT("Table!A"&amp;$AG5):INDIRECT("Table!" &amp; $AJ$64 &amp; $AG5),0)),"",INDIRECT(CONCATENATE("Table!",ADDRESS($AC5,MATCH(P$1,INDIRECT("Table!A" &amp; $AG5):INDIRECT("Table!" &amp; $AJ$64 &amp; $AG5),0)))))</f>
        <v>0.74183344412491503</v>
      </c>
      <c r="Q5" s="596">
        <f ca="1">IF(ISERROR(MATCH(Q$1,INDIRECT("Table!A"&amp;$AG5):INDIRECT("Table!" &amp; $AJ$64 &amp; $AG5),0)),"",INDIRECT(CONCATENATE("Table!",ADDRESS($AC5,MATCH(Q$1,INDIRECT("Table!A" &amp; $AG5):INDIRECT("Table!" &amp; $AJ$64 &amp; $AG5),0)))))</f>
        <v>0.80906075727670956</v>
      </c>
      <c r="R5" s="596">
        <f ca="1">IF(ISERROR(MATCH(R$1,INDIRECT("Table!A"&amp;$AG5):INDIRECT("Table!" &amp; $AJ$64 &amp; $AG5),0)),"",INDIRECT(CONCATENATE("Table!",ADDRESS($AC5,MATCH(R$1,INDIRECT("Table!A" &amp; $AG5):INDIRECT("Table!" &amp; $AJ$64 &amp; $AG5),0)))))</f>
        <v>1.3099197631516188</v>
      </c>
      <c r="S5" s="596">
        <f ca="1">IF(ISERROR(MATCH(S$1,INDIRECT("Table!A"&amp;$AG5):INDIRECT("Table!" &amp; $AJ$43 &amp; $AG5),0)),"",INDIRECT(CONCATENATE("Table!",ADDRESS($AC5,MATCH(S$1,INDIRECT("Table!A" &amp; $AG5):INDIRECT("Table!" &amp; $AJ$43 &amp; $AG5),0)))))</f>
        <v>1.0490901706224727</v>
      </c>
      <c r="T5" s="596">
        <f ca="1">IF(ISERROR(MATCH(T$1,INDIRECT("Table!A"&amp;$AG5):INDIRECT("Table!" &amp; $AJ$43 &amp; $AG5),0)),"",INDIRECT(CONCATENATE("Table!",ADDRESS($AC5,MATCH(T$1,INDIRECT("Table!A" &amp; $AG5):INDIRECT("Table!" &amp; $AJ$43 &amp; $AG5),0)))))</f>
        <v>1.1238830177845605</v>
      </c>
      <c r="U5" s="596">
        <f ca="1">IF(ISERROR(MATCH(U$1,INDIRECT("Table!A"&amp;$AG5):INDIRECT("Table!" &amp; $AJ$43 &amp; $AG5),0)),"",INDIRECT(CONCATENATE("Table!",ADDRESS($AC5,MATCH(U$1,INDIRECT("Table!A" &amp; $AG5):INDIRECT("Table!" &amp; $AJ$43 &amp; $AG5),0)))))</f>
        <v>0.61299737270845867</v>
      </c>
      <c r="V5" s="596">
        <f ca="1">IF(ISERROR(MATCH(V$1,INDIRECT("Table!A"&amp;$AG5):INDIRECT("Table!" &amp; $AJ$43 &amp; $AG5),0)),"",INDIRECT(CONCATENATE("Table!",ADDRESS($AC5,MATCH(V$1,INDIRECT("Table!A" &amp; $AG5):INDIRECT("Table!" &amp; $AJ$43 &amp; $AG5),0)))))</f>
        <v>0.40074812705701529</v>
      </c>
      <c r="W5" s="596">
        <f ca="1">IF(ISERROR(MATCH(W$1,INDIRECT("Table!A"&amp;$AG5):INDIRECT("Table!" &amp; $AJ$43 &amp; $AG5),0)),"",INDIRECT(CONCATENATE("Table!",ADDRESS($AC5,MATCH(W$1,INDIRECT("Table!A" &amp; $AG5):INDIRECT("Table!" &amp; $AJ$43 &amp; $AG5),0)))))</f>
        <v>0.31210738136824645</v>
      </c>
      <c r="X5" s="596">
        <f ca="1">IF(ISERROR(MATCH(X$1,INDIRECT("Table!A"&amp;$AG5):INDIRECT("Table!" &amp; $AJ$43 &amp; $AG5),0)),"",INDIRECT(CONCATENATE("Table!",ADDRESS($AC5,MATCH(X$1,INDIRECT("Table!A" &amp; $AG5):INDIRECT("Table!" &amp; $AJ$43 &amp; $AG5),0)))))</f>
        <v>0.19699426004730389</v>
      </c>
      <c r="Y5" s="596">
        <f ca="1">IF(ISERROR(MATCH(Y$1,INDIRECT("Table!A"&amp;$AG5):INDIRECT("Table!" &amp; $AJ$43 &amp; $AG5),0)),"",INDIRECT(CONCATENATE("Table!",ADDRESS($AC5,MATCH(Y$1,INDIRECT("Table!A" &amp; $AG5):INDIRECT("Table!" &amp; $AJ$43 &amp; $AG5),0)))))</f>
        <v>0.18508693546256477</v>
      </c>
      <c r="Z5" s="596">
        <f ca="1">IF(ISERROR(MATCH(Z$1,INDIRECT("Table!A"&amp;$AG5):INDIRECT("Table!" &amp; $AJ$43 &amp; $AG5),0)),"",INDIRECT(CONCATENATE("Table!",ADDRESS($AC5,MATCH(Z$1,INDIRECT("Table!A" &amp; $AG5):INDIRECT("Table!" &amp; $AJ$43 &amp; $AG5),0)))))</f>
        <v>0.1791295845037984</v>
      </c>
      <c r="AA5" s="596">
        <f ca="1">IF(ISERROR(MATCH(AA$1,INDIRECT("Table!A"&amp;$AG5):INDIRECT("Table!" &amp; $AJ$43 &amp; $AG5),0)),"",INDIRECT(CONCATENATE("Table!",ADDRESS($AC5,MATCH(AA$1,INDIRECT("Table!A" &amp; $AG5):INDIRECT("Table!" &amp; $AJ$43 &amp; $AG5),0)))))</f>
        <v>0.10205295557453249</v>
      </c>
      <c r="AB5" s="596" t="str">
        <f ca="1">IF(ISERROR(MATCH(AB$1,INDIRECT("Table!A"&amp;$AG5):INDIRECT("Table!" &amp; $AJ$43 &amp; $AG5),0)),"",INDIRECT(CONCATENATE("Table!",ADDRESS($AC5,MATCH(AB$1,INDIRECT("Table!A" &amp; $AG5):INDIRECT("Table!" &amp; $AJ$43 &amp; $AG5),0)))))</f>
        <v/>
      </c>
      <c r="AC5" s="595">
        <f>MATCH($A5,Table!$A:$A,0)+$AE$2-1</f>
        <v>40</v>
      </c>
      <c r="AD5" s="912"/>
      <c r="AE5" s="912"/>
      <c r="AF5" s="912"/>
      <c r="AG5" s="595">
        <f>MATCH($A5,Table!$A:$A,0)+$AI$2-1</f>
        <v>31</v>
      </c>
      <c r="AH5" s="912"/>
      <c r="AI5" s="912"/>
      <c r="AJ5" s="912" t="s">
        <v>285</v>
      </c>
    </row>
    <row r="6" spans="1:36" s="743" customFormat="1" ht="19.5" customHeight="1" x14ac:dyDescent="0.25">
      <c r="A6" s="592">
        <v>41801</v>
      </c>
      <c r="B6" s="596">
        <f ca="1">IF(ISERROR(MATCH(B$1,INDIRECT("Table!A"&amp;$AG6):INDIRECT("Table!" &amp; $AJ$86 &amp; $AG6),0)),"",INDIRECT(CONCATENATE("Table!",ADDRESS($AC6,MATCH(B$1,INDIRECT("Table!A" &amp; $AG6):INDIRECT("Table!" &amp; $AJ$86 &amp; $AG6),0)))))</f>
        <v>0.71757981412568039</v>
      </c>
      <c r="C6" s="596">
        <f ca="1">IF(ISERROR(MATCH(C$1,INDIRECT("Table!A"&amp;$AG6):INDIRECT("Table!" &amp; $AJ$86 &amp; $AG6),0)),"",INDIRECT(CONCATENATE("Table!",ADDRESS($AC6,MATCH(C$1,INDIRECT("Table!A" &amp; $AG6):INDIRECT("Table!" &amp; $AJ$86 &amp; $AG6),0)))))</f>
        <v>0.66037666252316185</v>
      </c>
      <c r="D6" s="596">
        <f ca="1">IF(ISERROR(MATCH(D$1,INDIRECT("Table!A"&amp;$AG6):INDIRECT("Table!" &amp; $AJ$86 &amp; $AG6),0)),"",INDIRECT(CONCATENATE("Table!",ADDRESS($AC6,MATCH(D$1,INDIRECT("Table!A" &amp; $AG6):INDIRECT("Table!" &amp; $AJ$86 &amp; $AG6),0)))))</f>
        <v>0.66037666252316185</v>
      </c>
      <c r="E6" s="596">
        <f ca="1">IF(ISERROR(MATCH(E$1,INDIRECT("Table!A"&amp;$AG6):INDIRECT("Table!" &amp; $AJ$86 &amp; $AG6),0)),"",INDIRECT(CONCATENATE("Table!",ADDRESS($AC6,MATCH(E$1,INDIRECT("Table!A" &amp; $AG6):INDIRECT("Table!" &amp; $AJ$86 &amp; $AG6),0)))))</f>
        <v>1.3938922014870427</v>
      </c>
      <c r="F6" s="596">
        <f ca="1">IF(ISERROR(MATCH(F$1,INDIRECT("Table!A"&amp;$AG6):INDIRECT("Table!" &amp; $AJ$86 &amp; $AG6),0)),"",INDIRECT(CONCATENATE("Table!",ADDRESS($AC6,MATCH(F$1,INDIRECT("Table!A" &amp; $AG6):INDIRECT("Table!" &amp; $AJ$86 &amp; $AG6),0)))))</f>
        <v>0.68098838300082576</v>
      </c>
      <c r="G6" s="596">
        <f ca="1">IF(ISERROR(MATCH(G$1,INDIRECT("Table!A"&amp;$AG6):INDIRECT("Table!" &amp; $AJ$86 &amp; $AG6),0)),"",INDIRECT(CONCATENATE("Table!",ADDRESS($AC6,MATCH(G$1,INDIRECT("Table!A" &amp; $AG6):INDIRECT("Table!" &amp; $AJ$86 &amp; $AG6),0)))))</f>
        <v>1.1786515500442869</v>
      </c>
      <c r="H6" s="596">
        <f ca="1">IF(ISERROR(MATCH(H$1,INDIRECT("Table!A"&amp;$AG6):INDIRECT("Table!" &amp; $AJ$86 &amp; $AG6),0)),"",INDIRECT(CONCATENATE("Table!",ADDRESS($AC6,MATCH(H$1,INDIRECT("Table!A" &amp; $AG6):INDIRECT("Table!" &amp; $AJ$86 &amp; $AG6),0)))))</f>
        <v>1.3624000686144246</v>
      </c>
      <c r="I6" s="596">
        <f ca="1">IF(ISERROR(MATCH(I$1,INDIRECT("Table!A"&amp;$AG6):INDIRECT("Table!" &amp; $AJ$64 &amp; $AG6),0)),"",INDIRECT(CONCATENATE("Table!",ADDRESS($AC6,MATCH(I$1,INDIRECT("Table!A" &amp; $AG6):INDIRECT("Table!" &amp; $AJ$64 &amp; $AG6),0)))))</f>
        <v>0.27996328833439704</v>
      </c>
      <c r="J6" s="596">
        <f ca="1">IF(ISERROR(MATCH(J$1,INDIRECT("Table!A"&amp;$AG6):INDIRECT("Table!" &amp; $AJ$64 &amp; $AG6),0)),"",INDIRECT(CONCATENATE("Table!",ADDRESS($AC6,MATCH(J$1,INDIRECT("Table!A" &amp; $AG6):INDIRECT("Table!" &amp; $AJ$64 &amp; $AG6),0)))))</f>
        <v>1.6192529221281866</v>
      </c>
      <c r="K6" s="596">
        <f ca="1">IF(ISERROR(MATCH(K$1,INDIRECT("Table!A"&amp;$AG6):INDIRECT("Table!" &amp; $AJ$64 &amp; $AG6),0)),"",INDIRECT(CONCATENATE("Table!",ADDRESS($AC6,MATCH(K$1,INDIRECT("Table!A" &amp; $AG6):INDIRECT("Table!" &amp; $AJ$64 &amp; $AG6),0)))))</f>
        <v>0.99132595353619735</v>
      </c>
      <c r="L6" s="596">
        <f ca="1">IF(ISERROR(MATCH(L$1,INDIRECT("Table!A"&amp;$AG6):INDIRECT("Table!" &amp; $AJ$86 &amp; $AG6),0)),"",INDIRECT(CONCATENATE("Table!",ADDRESS($AC6,MATCH(L$1,INDIRECT("Table!A" &amp; $AG6):INDIRECT("Table!" &amp; $AJ$86 &amp; $AG6),0)))))</f>
        <v>1.2296989417657751</v>
      </c>
      <c r="M6" s="596">
        <f ca="1">IF(ISERROR(MATCH(M$1,INDIRECT("Table!A"&amp;$AG6):INDIRECT("Table!" &amp; $AJ$86 &amp; $AG6),0)),"",INDIRECT(CONCATENATE("Table!",ADDRESS($AC6,MATCH(M$1,INDIRECT("Table!A" &amp; $AG6):INDIRECT("Table!" &amp; $AJ$86 &amp; $AG6),0)))))</f>
        <v>0.83650063358601467</v>
      </c>
      <c r="N6" s="596">
        <f ca="1">IF(ISERROR(MATCH(N$1,INDIRECT("Table!A"&amp;$AG6):INDIRECT("Table!" &amp; $AJ$86 &amp; $AG6),0)),"",INDIRECT(CONCATENATE("Table!",ADDRESS($AC6,MATCH(N$1,INDIRECT("Table!A" &amp; $AG6):INDIRECT("Table!" &amp; $AJ$86 &amp; $AG6),0)))))</f>
        <v>1.3927141288168903</v>
      </c>
      <c r="O6" s="596">
        <f ca="1">IF(ISERROR(MATCH(O$1,INDIRECT("Table!A"&amp;$AG6):INDIRECT("Table!" &amp; $AJ$64 &amp; $AG6),0)),"",INDIRECT(CONCATENATE("Table!",ADDRESS($AC6,MATCH(O$1,INDIRECT("Table!A" &amp; $AG6):INDIRECT("Table!" &amp; $AJ$64 &amp; $AG6),0)))))</f>
        <v>0.66632891199230504</v>
      </c>
      <c r="P6" s="596">
        <f ca="1">IF(ISERROR(MATCH(P$1,INDIRECT("Table!A"&amp;$AG6):INDIRECT("Table!" &amp; $AJ$64 &amp; $AG6),0)),"",INDIRECT(CONCATENATE("Table!",ADDRESS($AC6,MATCH(P$1,INDIRECT("Table!A" &amp; $AG6):INDIRECT("Table!" &amp; $AJ$64 &amp; $AG6),0)))))</f>
        <v>0.74183344412491503</v>
      </c>
      <c r="Q6" s="596">
        <f ca="1">IF(ISERROR(MATCH(Q$1,INDIRECT("Table!A"&amp;$AG6):INDIRECT("Table!" &amp; $AJ$64 &amp; $AG6),0)),"",INDIRECT(CONCATENATE("Table!",ADDRESS($AC6,MATCH(Q$1,INDIRECT("Table!A" &amp; $AG6):INDIRECT("Table!" &amp; $AJ$64 &amp; $AG6),0)))))</f>
        <v>0.8050136938975524</v>
      </c>
      <c r="R6" s="596">
        <f ca="1">IF(ISERROR(MATCH(R$1,INDIRECT("Table!A"&amp;$AG6):INDIRECT("Table!" &amp; $AJ$64 &amp; $AG6),0)),"",INDIRECT(CONCATENATE("Table!",ADDRESS($AC6,MATCH(R$1,INDIRECT("Table!A" &amp; $AG6):INDIRECT("Table!" &amp; $AJ$64 &amp; $AG6),0)))))</f>
        <v>1.3095275324609859</v>
      </c>
      <c r="S6" s="596">
        <f ca="1">IF(ISERROR(MATCH(S$1,INDIRECT("Table!A"&amp;$AG6):INDIRECT("Table!" &amp; $AJ$43 &amp; $AG6),0)),"",INDIRECT(CONCATENATE("Table!",ADDRESS($AC6,MATCH(S$1,INDIRECT("Table!A" &amp; $AG6):INDIRECT("Table!" &amp; $AJ$43 &amp; $AG6),0)))))</f>
        <v>1.0490901706224727</v>
      </c>
      <c r="T6" s="596">
        <f ca="1">IF(ISERROR(MATCH(T$1,INDIRECT("Table!A"&amp;$AG6):INDIRECT("Table!" &amp; $AJ$43 &amp; $AG6),0)),"",INDIRECT(CONCATENATE("Table!",ADDRESS($AC6,MATCH(T$1,INDIRECT("Table!A" &amp; $AG6):INDIRECT("Table!" &amp; $AJ$43 &amp; $AG6),0)))))</f>
        <v>1.1238830177845605</v>
      </c>
      <c r="U6" s="596">
        <f ca="1">IF(ISERROR(MATCH(U$1,INDIRECT("Table!A"&amp;$AG6):INDIRECT("Table!" &amp; $AJ$43 &amp; $AG6),0)),"",INDIRECT(CONCATENATE("Table!",ADDRESS($AC6,MATCH(U$1,INDIRECT("Table!A" &amp; $AG6):INDIRECT("Table!" &amp; $AJ$43 &amp; $AG6),0)))))</f>
        <v>0.6096981403472721</v>
      </c>
      <c r="V6" s="596">
        <f ca="1">IF(ISERROR(MATCH(V$1,INDIRECT("Table!A"&amp;$AG6):INDIRECT("Table!" &amp; $AJ$43 &amp; $AG6),0)),"",INDIRECT(CONCATENATE("Table!",ADDRESS($AC6,MATCH(V$1,INDIRECT("Table!A" &amp; $AG6):INDIRECT("Table!" &amp; $AJ$43 &amp; $AG6),0)))))</f>
        <v>0.39913869682787068</v>
      </c>
      <c r="W6" s="596">
        <f ca="1">IF(ISERROR(MATCH(W$1,INDIRECT("Table!A"&amp;$AG6):INDIRECT("Table!" &amp; $AJ$43 &amp; $AG6),0)),"",INDIRECT(CONCATENATE("Table!",ADDRESS($AC6,MATCH(W$1,INDIRECT("Table!A" &amp; $AG6):INDIRECT("Table!" &amp; $AJ$43 &amp; $AG6),0)))))</f>
        <v>0.22500764703292186</v>
      </c>
      <c r="X6" s="596">
        <f ca="1">IF(ISERROR(MATCH(X$1,INDIRECT("Table!A"&amp;$AG6):INDIRECT("Table!" &amp; $AJ$43 &amp; $AG6),0)),"",INDIRECT(CONCATENATE("Table!",ADDRESS($AC6,MATCH(X$1,INDIRECT("Table!A" &amp; $AG6):INDIRECT("Table!" &amp; $AJ$43 &amp; $AG6),0)))))</f>
        <v>0.1545053019978854</v>
      </c>
      <c r="Y6" s="596">
        <f ca="1">IF(ISERROR(MATCH(Y$1,INDIRECT("Table!A"&amp;$AG6):INDIRECT("Table!" &amp; $AJ$43 &amp; $AG6),0)),"",INDIRECT(CONCATENATE("Table!",ADDRESS($AC6,MATCH(Y$1,INDIRECT("Table!A" &amp; $AG6):INDIRECT("Table!" &amp; $AJ$43 &amp; $AG6),0)))))</f>
        <v>0.18508693546256477</v>
      </c>
      <c r="Z6" s="596">
        <f ca="1">IF(ISERROR(MATCH(Z$1,INDIRECT("Table!A"&amp;$AG6):INDIRECT("Table!" &amp; $AJ$43 &amp; $AG6),0)),"",INDIRECT(CONCATENATE("Table!",ADDRESS($AC6,MATCH(Z$1,INDIRECT("Table!A" &amp; $AG6):INDIRECT("Table!" &amp; $AJ$43 &amp; $AG6),0)))))</f>
        <v>0.1791295845037984</v>
      </c>
      <c r="AA6" s="596">
        <f ca="1">IF(ISERROR(MATCH(AA$1,INDIRECT("Table!A"&amp;$AG6):INDIRECT("Table!" &amp; $AJ$43 &amp; $AG6),0)),"",INDIRECT(CONCATENATE("Table!",ADDRESS($AC6,MATCH(AA$1,INDIRECT("Table!A" &amp; $AG6):INDIRECT("Table!" &amp; $AJ$43 &amp; $AG6),0)))))</f>
        <v>0.10610645168632173</v>
      </c>
      <c r="AB6" s="596" t="str">
        <f ca="1">IF(ISERROR(MATCH(AB$1,INDIRECT("Table!A"&amp;$AG6):INDIRECT("Table!" &amp; $AJ$43 &amp; $AG6),0)),"",INDIRECT(CONCATENATE("Table!",ADDRESS($AC6,MATCH(AB$1,INDIRECT("Table!A" &amp; $AG6):INDIRECT("Table!" &amp; $AJ$43 &amp; $AG6),0)))))</f>
        <v/>
      </c>
      <c r="AC6" s="595">
        <f>MATCH($A6,Table!$A:$A,0)+$AE$2-1</f>
        <v>54</v>
      </c>
      <c r="AD6" s="903"/>
      <c r="AE6" s="903"/>
      <c r="AF6" s="903"/>
      <c r="AG6" s="595">
        <f>MATCH($A6,Table!$A:$A,0)+$AI$2-1</f>
        <v>45</v>
      </c>
      <c r="AH6" s="903"/>
      <c r="AI6" s="903"/>
      <c r="AJ6" s="904" t="s">
        <v>285</v>
      </c>
    </row>
    <row r="7" spans="1:36" s="743" customFormat="1" ht="19.5" customHeight="1" x14ac:dyDescent="0.25">
      <c r="A7" s="592">
        <v>41794</v>
      </c>
      <c r="B7" s="596">
        <f ca="1">IF(ISERROR(MATCH(B$1,INDIRECT("Table!A"&amp;$AG7):INDIRECT("Table!" &amp; $AJ$86 &amp; $AG7),0)),"",INDIRECT(CONCATENATE("Table!",ADDRESS($AC7,MATCH(B$1,INDIRECT("Table!A" &amp; $AG7):INDIRECT("Table!" &amp; $AJ$86 &amp; $AG7),0)))))</f>
        <v>0.71757981412568039</v>
      </c>
      <c r="C7" s="596">
        <f ca="1">IF(ISERROR(MATCH(C$1,INDIRECT("Table!A"&amp;$AG7):INDIRECT("Table!" &amp; $AJ$86 &amp; $AG7),0)),"",INDIRECT(CONCATENATE("Table!",ADDRESS($AC7,MATCH(C$1,INDIRECT("Table!A" &amp; $AG7):INDIRECT("Table!" &amp; $AJ$86 &amp; $AG7),0)))))</f>
        <v>0.66037666252316185</v>
      </c>
      <c r="D7" s="596">
        <f ca="1">IF(ISERROR(MATCH(D$1,INDIRECT("Table!A"&amp;$AG7):INDIRECT("Table!" &amp; $AJ$86 &amp; $AG7),0)),"",INDIRECT(CONCATENATE("Table!",ADDRESS($AC7,MATCH(D$1,INDIRECT("Table!A" &amp; $AG7):INDIRECT("Table!" &amp; $AJ$86 &amp; $AG7),0)))))</f>
        <v>0.66037666252316185</v>
      </c>
      <c r="E7" s="596">
        <f ca="1">IF(ISERROR(MATCH(E$1,INDIRECT("Table!A"&amp;$AG7):INDIRECT("Table!" &amp; $AJ$86 &amp; $AG7),0)),"",INDIRECT(CONCATENATE("Table!",ADDRESS($AC7,MATCH(E$1,INDIRECT("Table!A" &amp; $AG7):INDIRECT("Table!" &amp; $AJ$86 &amp; $AG7),0)))))</f>
        <v>1.3938922014870427</v>
      </c>
      <c r="F7" s="596">
        <f ca="1">IF(ISERROR(MATCH(F$1,INDIRECT("Table!A"&amp;$AG7):INDIRECT("Table!" &amp; $AJ$86 &amp; $AG7),0)),"",INDIRECT(CONCATENATE("Table!",ADDRESS($AC7,MATCH(F$1,INDIRECT("Table!A" &amp; $AG7):INDIRECT("Table!" &amp; $AJ$86 &amp; $AG7),0)))))</f>
        <v>0.68098838300082576</v>
      </c>
      <c r="G7" s="596">
        <f ca="1">IF(ISERROR(MATCH(G$1,INDIRECT("Table!A"&amp;$AG7):INDIRECT("Table!" &amp; $AJ$86 &amp; $AG7),0)),"",INDIRECT(CONCATENATE("Table!",ADDRESS($AC7,MATCH(G$1,INDIRECT("Table!A" &amp; $AG7):INDIRECT("Table!" &amp; $AJ$86 &amp; $AG7),0)))))</f>
        <v>1.1786515500442869</v>
      </c>
      <c r="H7" s="596">
        <f ca="1">IF(ISERROR(MATCH(H$1,INDIRECT("Table!A"&amp;$AG7):INDIRECT("Table!" &amp; $AJ$86 &amp; $AG7),0)),"",INDIRECT(CONCATENATE("Table!",ADDRESS($AC7,MATCH(H$1,INDIRECT("Table!A" &amp; $AG7):INDIRECT("Table!" &amp; $AJ$86 &amp; $AG7),0)))))</f>
        <v>1.3602434416530262</v>
      </c>
      <c r="I7" s="596">
        <f ca="1">IF(ISERROR(MATCH(I$1,INDIRECT("Table!A"&amp;$AG7):INDIRECT("Table!" &amp; $AJ$64 &amp; $AG7),0)),"",INDIRECT(CONCATENATE("Table!",ADDRESS($AC7,MATCH(I$1,INDIRECT("Table!A" &amp; $AG7):INDIRECT("Table!" &amp; $AJ$64 &amp; $AG7),0)))))</f>
        <v>0.27996328833439704</v>
      </c>
      <c r="J7" s="596">
        <f ca="1">IF(ISERROR(MATCH(J$1,INDIRECT("Table!A"&amp;$AG7):INDIRECT("Table!" &amp; $AJ$64 &amp; $AG7),0)),"",INDIRECT(CONCATENATE("Table!",ADDRESS($AC7,MATCH(J$1,INDIRECT("Table!A" &amp; $AG7):INDIRECT("Table!" &amp; $AJ$64 &amp; $AG7),0)))))</f>
        <v>1.6192529221281866</v>
      </c>
      <c r="K7" s="596">
        <f ca="1">IF(ISERROR(MATCH(K$1,INDIRECT("Table!A"&amp;$AG7):INDIRECT("Table!" &amp; $AJ$64 &amp; $AG7),0)),"",INDIRECT(CONCATENATE("Table!",ADDRESS($AC7,MATCH(K$1,INDIRECT("Table!A" &amp; $AG7):INDIRECT("Table!" &amp; $AJ$64 &amp; $AG7),0)))))</f>
        <v>0.98952025963175982</v>
      </c>
      <c r="L7" s="596">
        <f ca="1">IF(ISERROR(MATCH(L$1,INDIRECT("Table!A"&amp;$AG7):INDIRECT("Table!" &amp; $AJ$86 &amp; $AG7),0)),"",INDIRECT(CONCATENATE("Table!",ADDRESS($AC7,MATCH(L$1,INDIRECT("Table!A" &amp; $AG7):INDIRECT("Table!" &amp; $AJ$86 &amp; $AG7),0)))))</f>
        <v>1.2296989417657751</v>
      </c>
      <c r="M7" s="596">
        <f ca="1">IF(ISERROR(MATCH(M$1,INDIRECT("Table!A"&amp;$AG7):INDIRECT("Table!" &amp; $AJ$86 &amp; $AG7),0)),"",INDIRECT(CONCATENATE("Table!",ADDRESS($AC7,MATCH(M$1,INDIRECT("Table!A" &amp; $AG7):INDIRECT("Table!" &amp; $AJ$86 &amp; $AG7),0)))))</f>
        <v>0.83650063358601467</v>
      </c>
      <c r="N7" s="596">
        <f ca="1">IF(ISERROR(MATCH(N$1,INDIRECT("Table!A"&amp;$AG7):INDIRECT("Table!" &amp; $AJ$86 &amp; $AG7),0)),"",INDIRECT(CONCATENATE("Table!",ADDRESS($AC7,MATCH(N$1,INDIRECT("Table!A" &amp; $AG7):INDIRECT("Table!" &amp; $AJ$86 &amp; $AG7),0)))))</f>
        <v>1.3927141288168903</v>
      </c>
      <c r="O7" s="596">
        <f ca="1">IF(ISERROR(MATCH(O$1,INDIRECT("Table!A"&amp;$AG7):INDIRECT("Table!" &amp; $AJ$64 &amp; $AG7),0)),"",INDIRECT(CONCATENATE("Table!",ADDRESS($AC7,MATCH(O$1,INDIRECT("Table!A" &amp; $AG7):INDIRECT("Table!" &amp; $AJ$64 &amp; $AG7),0)))))</f>
        <v>0.66498575310795183</v>
      </c>
      <c r="P7" s="596">
        <f ca="1">IF(ISERROR(MATCH(P$1,INDIRECT("Table!A"&amp;$AG7):INDIRECT("Table!" &amp; $AJ$64 &amp; $AG7),0)),"",INDIRECT(CONCATENATE("Table!",ADDRESS($AC7,MATCH(P$1,INDIRECT("Table!A" &amp; $AG7):INDIRECT("Table!" &amp; $AJ$64 &amp; $AG7),0)))))</f>
        <v>0.74183344412491503</v>
      </c>
      <c r="Q7" s="596">
        <f ca="1">IF(ISERROR(MATCH(Q$1,INDIRECT("Table!A"&amp;$AG7):INDIRECT("Table!" &amp; $AJ$64 &amp; $AG7),0)),"",INDIRECT(CONCATENATE("Table!",ADDRESS($AC7,MATCH(Q$1,INDIRECT("Table!A" &amp; $AG7):INDIRECT("Table!" &amp; $AJ$64 &amp; $AG7),0)))))</f>
        <v>0.8050136938975524</v>
      </c>
      <c r="R7" s="596">
        <f ca="1">IF(ISERROR(MATCH(R$1,INDIRECT("Table!A"&amp;$AG7):INDIRECT("Table!" &amp; $AJ$64 &amp; $AG7),0)),"",INDIRECT(CONCATENATE("Table!",ADDRESS($AC7,MATCH(R$1,INDIRECT("Table!A" &amp; $AG7):INDIRECT("Table!" &amp; $AJ$64 &amp; $AG7),0)))))</f>
        <v>1.3040363027921198</v>
      </c>
      <c r="S7" s="596">
        <f ca="1">IF(ISERROR(MATCH(S$1,INDIRECT("Table!A"&amp;$AG7):INDIRECT("Table!" &amp; $AJ$43 &amp; $AG7),0)),"",INDIRECT(CONCATENATE("Table!",ADDRESS($AC7,MATCH(S$1,INDIRECT("Table!A" &amp; $AG7):INDIRECT("Table!" &amp; $AJ$43 &amp; $AG7),0)))))</f>
        <v>1.0490901706224727</v>
      </c>
      <c r="T7" s="596">
        <f ca="1">IF(ISERROR(MATCH(T$1,INDIRECT("Table!A"&amp;$AG7):INDIRECT("Table!" &amp; $AJ$43 &amp; $AG7),0)),"",INDIRECT(CONCATENATE("Table!",ADDRESS($AC7,MATCH(T$1,INDIRECT("Table!A" &amp; $AG7):INDIRECT("Table!" &amp; $AJ$43 &amp; $AG7),0)))))</f>
        <v>1.1238830177845605</v>
      </c>
      <c r="U7" s="596">
        <f ca="1">IF(ISERROR(MATCH(U$1,INDIRECT("Table!A"&amp;$AG7):INDIRECT("Table!" &amp; $AJ$43 &amp; $AG7),0)),"",INDIRECT(CONCATENATE("Table!",ADDRESS($AC7,MATCH(U$1,INDIRECT("Table!A" &amp; $AG7):INDIRECT("Table!" &amp; $AJ$43 &amp; $AG7),0)))))</f>
        <v>0.6096981403472721</v>
      </c>
      <c r="V7" s="596">
        <f ca="1">IF(ISERROR(MATCH(V$1,INDIRECT("Table!A"&amp;$AG7):INDIRECT("Table!" &amp; $AJ$43 &amp; $AG7),0)),"",INDIRECT(CONCATENATE("Table!",ADDRESS($AC7,MATCH(V$1,INDIRECT("Table!A" &amp; $AG7):INDIRECT("Table!" &amp; $AJ$43 &amp; $AG7),0)))))</f>
        <v>0.39913869682787068</v>
      </c>
      <c r="W7" s="596">
        <f ca="1">IF(ISERROR(MATCH(W$1,INDIRECT("Table!A"&amp;$AG7):INDIRECT("Table!" &amp; $AJ$43 &amp; $AG7),0)),"",INDIRECT(CONCATENATE("Table!",ADDRESS($AC7,MATCH(W$1,INDIRECT("Table!A" &amp; $AG7):INDIRECT("Table!" &amp; $AJ$43 &amp; $AG7),0)))))</f>
        <v>0.21906902878278611</v>
      </c>
      <c r="X7" s="596">
        <f ca="1">IF(ISERROR(MATCH(X$1,INDIRECT("Table!A"&amp;$AG7):INDIRECT("Table!" &amp; $AJ$43 &amp; $AG7),0)),"",INDIRECT(CONCATENATE("Table!",ADDRESS($AC7,MATCH(X$1,INDIRECT("Table!A" &amp; $AG7):INDIRECT("Table!" &amp; $AJ$43 &amp; $AG7),0)))))</f>
        <v>0.15160832758542503</v>
      </c>
      <c r="Y7" s="596">
        <f ca="1">IF(ISERROR(MATCH(Y$1,INDIRECT("Table!A"&amp;$AG7):INDIRECT("Table!" &amp; $AJ$43 &amp; $AG7),0)),"",INDIRECT(CONCATENATE("Table!",ADDRESS($AC7,MATCH(Y$1,INDIRECT("Table!A" &amp; $AG7):INDIRECT("Table!" &amp; $AJ$43 &amp; $AG7),0)))))</f>
        <v>0.1547339977396486</v>
      </c>
      <c r="Z7" s="596">
        <f ca="1">IF(ISERROR(MATCH(Z$1,INDIRECT("Table!A"&amp;$AG7):INDIRECT("Table!" &amp; $AJ$43 &amp; $AG7),0)),"",INDIRECT(CONCATENATE("Table!",ADDRESS($AC7,MATCH(Z$1,INDIRECT("Table!A" &amp; $AG7):INDIRECT("Table!" &amp; $AJ$43 &amp; $AG7),0)))))</f>
        <v>0.15015984037919489</v>
      </c>
      <c r="AA7" s="596">
        <f ca="1">IF(ISERROR(MATCH(AA$1,INDIRECT("Table!A"&amp;$AG7):INDIRECT("Table!" &amp; $AJ$43 &amp; $AG7),0)),"",INDIRECT(CONCATENATE("Table!",ADDRESS($AC7,MATCH(AA$1,INDIRECT("Table!A" &amp; $AG7):INDIRECT("Table!" &amp; $AJ$43 &amp; $AG7),0)))))</f>
        <v>8.6331396712793065E-2</v>
      </c>
      <c r="AB7" s="596" t="str">
        <f ca="1">IF(ISERROR(MATCH(AB$1,INDIRECT("Table!A"&amp;$AG7):INDIRECT("Table!" &amp; $AJ$43 &amp; $AG7),0)),"",INDIRECT(CONCATENATE("Table!",ADDRESS($AC7,MATCH(AB$1,INDIRECT("Table!A" &amp; $AG7):INDIRECT("Table!" &amp; $AJ$43 &amp; $AG7),0)))))</f>
        <v/>
      </c>
      <c r="AC7" s="595">
        <f>MATCH($A7,Table!$A:$A,0)+$AE$2-1</f>
        <v>68</v>
      </c>
      <c r="AD7" s="900"/>
      <c r="AE7" s="900"/>
      <c r="AF7" s="900"/>
      <c r="AG7" s="595">
        <f>MATCH($A7,Table!$A:$A,0)+$AI$2-1</f>
        <v>59</v>
      </c>
      <c r="AH7" s="900"/>
      <c r="AI7" s="900"/>
      <c r="AJ7" s="904" t="s">
        <v>285</v>
      </c>
    </row>
    <row r="8" spans="1:36" s="743" customFormat="1" ht="19.5" customHeight="1" x14ac:dyDescent="0.25">
      <c r="A8" s="592">
        <v>41787</v>
      </c>
      <c r="B8" s="596">
        <f ca="1">IF(ISERROR(MATCH(B$1,INDIRECT("Table!A"&amp;$AG8):INDIRECT("Table!" &amp; $AJ$86 &amp; $AG8),0)),"",INDIRECT(CONCATENATE("Table!",ADDRESS($AC8,MATCH(B$1,INDIRECT("Table!A" &amp; $AG8):INDIRECT("Table!" &amp; $AJ$86 &amp; $AG8),0)))))</f>
        <v>0.72351356940129208</v>
      </c>
      <c r="C8" s="596">
        <f ca="1">IF(ISERROR(MATCH(C$1,INDIRECT("Table!A"&amp;$AG8):INDIRECT("Table!" &amp; $AJ$86 &amp; $AG8),0)),"",INDIRECT(CONCATENATE("Table!",ADDRESS($AC8,MATCH(C$1,INDIRECT("Table!A" &amp; $AG8):INDIRECT("Table!" &amp; $AJ$86 &amp; $AG8),0)))))</f>
        <v>0.66037666252316185</v>
      </c>
      <c r="D8" s="596">
        <f ca="1">IF(ISERROR(MATCH(D$1,INDIRECT("Table!A"&amp;$AG8):INDIRECT("Table!" &amp; $AJ$86 &amp; $AG8),0)),"",INDIRECT(CONCATENATE("Table!",ADDRESS($AC8,MATCH(D$1,INDIRECT("Table!A" &amp; $AG8):INDIRECT("Table!" &amp; $AJ$86 &amp; $AG8),0)))))</f>
        <v>0.66037666252316185</v>
      </c>
      <c r="E8" s="596">
        <f ca="1">IF(ISERROR(MATCH(E$1,INDIRECT("Table!A"&amp;$AG8):INDIRECT("Table!" &amp; $AJ$86 &amp; $AG8),0)),"",INDIRECT(CONCATENATE("Table!",ADDRESS($AC8,MATCH(E$1,INDIRECT("Table!A" &amp; $AG8):INDIRECT("Table!" &amp; $AJ$86 &amp; $AG8),0)))))</f>
        <v>1.3938922014870427</v>
      </c>
      <c r="F8" s="596">
        <f ca="1">IF(ISERROR(MATCH(F$1,INDIRECT("Table!A"&amp;$AG8):INDIRECT("Table!" &amp; $AJ$86 &amp; $AG8),0)),"",INDIRECT(CONCATENATE("Table!",ADDRESS($AC8,MATCH(F$1,INDIRECT("Table!A" &amp; $AG8):INDIRECT("Table!" &amp; $AJ$86 &amp; $AG8),0)))))</f>
        <v>0.68098838300082576</v>
      </c>
      <c r="G8" s="596">
        <f ca="1">IF(ISERROR(MATCH(G$1,INDIRECT("Table!A"&amp;$AG8):INDIRECT("Table!" &amp; $AJ$86 &amp; $AG8),0)),"",INDIRECT(CONCATENATE("Table!",ADDRESS($AC8,MATCH(G$1,INDIRECT("Table!A" &amp; $AG8):INDIRECT("Table!" &amp; $AJ$86 &amp; $AG8),0)))))</f>
        <v>1.1786515500442869</v>
      </c>
      <c r="H8" s="596">
        <f ca="1">IF(ISERROR(MATCH(H$1,INDIRECT("Table!A"&amp;$AG8):INDIRECT("Table!" &amp; $AJ$86 &amp; $AG8),0)),"",INDIRECT(CONCATENATE("Table!",ADDRESS($AC8,MATCH(H$1,INDIRECT("Table!A" &amp; $AG8):INDIRECT("Table!" &amp; $AJ$86 &amp; $AG8),0)))))</f>
        <v>1.3761240583687793</v>
      </c>
      <c r="I8" s="596">
        <f ca="1">IF(ISERROR(MATCH(I$1,INDIRECT("Table!A"&amp;$AG8):INDIRECT("Table!" &amp; $AJ$64 &amp; $AG8),0)),"",INDIRECT(CONCATENATE("Table!",ADDRESS($AC8,MATCH(I$1,INDIRECT("Table!A" &amp; $AG8):INDIRECT("Table!" &amp; $AJ$64 &amp; $AG8),0)))))</f>
        <v>0.27996328833439704</v>
      </c>
      <c r="J8" s="596">
        <f ca="1">IF(ISERROR(MATCH(J$1,INDIRECT("Table!A"&amp;$AG8):INDIRECT("Table!" &amp; $AJ$64 &amp; $AG8),0)),"",INDIRECT(CONCATENATE("Table!",ADDRESS($AC8,MATCH(J$1,INDIRECT("Table!A" &amp; $AG8):INDIRECT("Table!" &amp; $AJ$64 &amp; $AG8),0)))))</f>
        <v>1.6149030150170296</v>
      </c>
      <c r="K8" s="596">
        <f ca="1">IF(ISERROR(MATCH(K$1,INDIRECT("Table!A"&amp;$AG8):INDIRECT("Table!" &amp; $AJ$64 &amp; $AG8),0)),"",INDIRECT(CONCATENATE("Table!",ADDRESS($AC8,MATCH(K$1,INDIRECT("Table!A" &amp; $AG8):INDIRECT("Table!" &amp; $AJ$64 &amp; $AG8),0)))))</f>
        <v>0.90164315628246727</v>
      </c>
      <c r="L8" s="596">
        <f ca="1">IF(ISERROR(MATCH(L$1,INDIRECT("Table!A"&amp;$AG8):INDIRECT("Table!" &amp; $AJ$86 &amp; $AG8),0)),"",INDIRECT(CONCATENATE("Table!",ADDRESS($AC8,MATCH(L$1,INDIRECT("Table!A" &amp; $AG8):INDIRECT("Table!" &amp; $AJ$86 &amp; $AG8),0)))))</f>
        <v>1.2522317774884717</v>
      </c>
      <c r="M8" s="596">
        <f ca="1">IF(ISERROR(MATCH(M$1,INDIRECT("Table!A"&amp;$AG8):INDIRECT("Table!" &amp; $AJ$86 &amp; $AG8),0)),"",INDIRECT(CONCATENATE("Table!",ADDRESS($AC8,MATCH(M$1,INDIRECT("Table!A" &amp; $AG8):INDIRECT("Table!" &amp; $AJ$86 &amp; $AG8),0)))))</f>
        <v>0.83650063358601467</v>
      </c>
      <c r="N8" s="596">
        <f ca="1">IF(ISERROR(MATCH(N$1,INDIRECT("Table!A"&amp;$AG8):INDIRECT("Table!" &amp; $AJ$86 &amp; $AG8),0)),"",INDIRECT(CONCATENATE("Table!",ADDRESS($AC8,MATCH(N$1,INDIRECT("Table!A" &amp; $AG8):INDIRECT("Table!" &amp; $AJ$86 &amp; $AG8),0)))))</f>
        <v>1.3927141288168903</v>
      </c>
      <c r="O8" s="596">
        <f ca="1">IF(ISERROR(MATCH(O$1,INDIRECT("Table!A"&amp;$AG8):INDIRECT("Table!" &amp; $AJ$64 &amp; $AG8),0)),"",INDIRECT(CONCATENATE("Table!",ADDRESS($AC8,MATCH(O$1,INDIRECT("Table!A" &amp; $AG8):INDIRECT("Table!" &amp; $AJ$64 &amp; $AG8),0)))))</f>
        <v>0.68232471325142019</v>
      </c>
      <c r="P8" s="596">
        <f ca="1">IF(ISERROR(MATCH(P$1,INDIRECT("Table!A"&amp;$AG8):INDIRECT("Table!" &amp; $AJ$64 &amp; $AG8),0)),"",INDIRECT(CONCATENATE("Table!",ADDRESS($AC8,MATCH(P$1,INDIRECT("Table!A" &amp; $AG8):INDIRECT("Table!" &amp; $AJ$64 &amp; $AG8),0)))))</f>
        <v>0.74183344412491503</v>
      </c>
      <c r="Q8" s="596">
        <f ca="1">IF(ISERROR(MATCH(Q$1,INDIRECT("Table!A"&amp;$AG8):INDIRECT("Table!" &amp; $AJ$64 &amp; $AG8),0)),"",INDIRECT(CONCATENATE("Table!",ADDRESS($AC8,MATCH(Q$1,INDIRECT("Table!A" &amp; $AG8):INDIRECT("Table!" &amp; $AJ$64 &amp; $AG8),0)))))</f>
        <v>0.7993829970222035</v>
      </c>
      <c r="R8" s="596">
        <f ca="1">IF(ISERROR(MATCH(R$1,INDIRECT("Table!A"&amp;$AG8):INDIRECT("Table!" &amp; $AJ$64 &amp; $AG8),0)),"",INDIRECT(CONCATENATE("Table!",ADDRESS($AC8,MATCH(R$1,INDIRECT("Table!A" &amp; $AG8):INDIRECT("Table!" &amp; $AJ$64 &amp; $AG8),0)))))</f>
        <v>1.2840325375698225</v>
      </c>
      <c r="S8" s="596">
        <f ca="1">IF(ISERROR(MATCH(S$1,INDIRECT("Table!A"&amp;$AG8):INDIRECT("Table!" &amp; $AJ$43 &amp; $AG8),0)),"",INDIRECT(CONCATENATE("Table!",ADDRESS($AC8,MATCH(S$1,INDIRECT("Table!A" &amp; $AG8):INDIRECT("Table!" &amp; $AJ$43 &amp; $AG8),0)))))</f>
        <v>1.0490901706224727</v>
      </c>
      <c r="T8" s="596">
        <f ca="1">IF(ISERROR(MATCH(T$1,INDIRECT("Table!A"&amp;$AG8):INDIRECT("Table!" &amp; $AJ$43 &amp; $AG8),0)),"",INDIRECT(CONCATENATE("Table!",ADDRESS($AC8,MATCH(T$1,INDIRECT("Table!A" &amp; $AG8):INDIRECT("Table!" &amp; $AJ$43 &amp; $AG8),0)))))</f>
        <v>1.1238830177845605</v>
      </c>
      <c r="U8" s="596">
        <f ca="1">IF(ISERROR(MATCH(U$1,INDIRECT("Table!A"&amp;$AG8):INDIRECT("Table!" &amp; $AJ$43 &amp; $AG8),0)),"",INDIRECT(CONCATENATE("Table!",ADDRESS($AC8,MATCH(U$1,INDIRECT("Table!A" &amp; $AG8):INDIRECT("Table!" &amp; $AJ$43 &amp; $AG8),0)))))</f>
        <v>0.6096981403472721</v>
      </c>
      <c r="V8" s="596">
        <f ca="1">IF(ISERROR(MATCH(V$1,INDIRECT("Table!A"&amp;$AG8):INDIRECT("Table!" &amp; $AJ$43 &amp; $AG8),0)),"",INDIRECT(CONCATENATE("Table!",ADDRESS($AC8,MATCH(V$1,INDIRECT("Table!A" &amp; $AG8):INDIRECT("Table!" &amp; $AJ$43 &amp; $AG8),0)))))</f>
        <v>0.39913869682787068</v>
      </c>
      <c r="W8" s="596">
        <f ca="1">IF(ISERROR(MATCH(W$1,INDIRECT("Table!A"&amp;$AG8):INDIRECT("Table!" &amp; $AJ$43 &amp; $AG8),0)),"",INDIRECT(CONCATENATE("Table!",ADDRESS($AC8,MATCH(W$1,INDIRECT("Table!A" &amp; $AG8):INDIRECT("Table!" &amp; $AJ$43 &amp; $AG8),0)))))</f>
        <v>0.21906902878278611</v>
      </c>
      <c r="X8" s="596">
        <f ca="1">IF(ISERROR(MATCH(X$1,INDIRECT("Table!A"&amp;$AG8):INDIRECT("Table!" &amp; $AJ$43 &amp; $AG8),0)),"",INDIRECT(CONCATENATE("Table!",ADDRESS($AC8,MATCH(X$1,INDIRECT("Table!A" &amp; $AG8):INDIRECT("Table!" &amp; $AJ$43 &amp; $AG8),0)))))</f>
        <v>0.15160832758542503</v>
      </c>
      <c r="Y8" s="596">
        <f ca="1">IF(ISERROR(MATCH(Y$1,INDIRECT("Table!A"&amp;$AG8):INDIRECT("Table!" &amp; $AJ$43 &amp; $AG8),0)),"",INDIRECT(CONCATENATE("Table!",ADDRESS($AC8,MATCH(Y$1,INDIRECT("Table!A" &amp; $AG8):INDIRECT("Table!" &amp; $AJ$43 &amp; $AG8),0)))))</f>
        <v>0.1547339977396486</v>
      </c>
      <c r="Z8" s="596">
        <f ca="1">IF(ISERROR(MATCH(Z$1,INDIRECT("Table!A"&amp;$AG8):INDIRECT("Table!" &amp; $AJ$43 &amp; $AG8),0)),"",INDIRECT(CONCATENATE("Table!",ADDRESS($AC8,MATCH(Z$1,INDIRECT("Table!A" &amp; $AG8):INDIRECT("Table!" &amp; $AJ$43 &amp; $AG8),0)))))</f>
        <v>0.15015984037919489</v>
      </c>
      <c r="AA8" s="596">
        <f ca="1">IF(ISERROR(MATCH(AA$1,INDIRECT("Table!A"&amp;$AG8):INDIRECT("Table!" &amp; $AJ$43 &amp; $AG8),0)),"",INDIRECT(CONCATENATE("Table!",ADDRESS($AC8,MATCH(AA$1,INDIRECT("Table!A" &amp; $AG8):INDIRECT("Table!" &amp; $AJ$43 &amp; $AG8),0)))))</f>
        <v>2.9367432386061234E-2</v>
      </c>
      <c r="AB8" s="596" t="str">
        <f ca="1">IF(ISERROR(MATCH(AB$1,INDIRECT("Table!A"&amp;$AG8):INDIRECT("Table!" &amp; $AJ$43 &amp; $AG8),0)),"",INDIRECT(CONCATENATE("Table!",ADDRESS($AC8,MATCH(AB$1,INDIRECT("Table!A" &amp; $AG8):INDIRECT("Table!" &amp; $AJ$43 &amp; $AG8),0)))))</f>
        <v/>
      </c>
      <c r="AC8" s="595">
        <f>MATCH($A8,Table!$A:$A,0)+$AE$2-1</f>
        <v>82</v>
      </c>
      <c r="AD8" s="897"/>
      <c r="AE8" s="897"/>
      <c r="AF8" s="897"/>
      <c r="AG8" s="595">
        <f>MATCH($A8,Table!$A:$A,0)+$AI$2-1</f>
        <v>73</v>
      </c>
      <c r="AH8" s="897"/>
      <c r="AI8" s="897"/>
      <c r="AJ8" s="904" t="s">
        <v>285</v>
      </c>
    </row>
    <row r="9" spans="1:36" s="743" customFormat="1" ht="19.5" customHeight="1" x14ac:dyDescent="0.25">
      <c r="A9" s="592">
        <v>41780</v>
      </c>
      <c r="B9" s="596">
        <f ca="1">IF(ISERROR(MATCH(B$1,INDIRECT("Table!A"&amp;$AG9):INDIRECT("Table!" &amp; $AJ$86 &amp; $AG9),0)),"",INDIRECT(CONCATENATE("Table!",ADDRESS($AC9,MATCH(B$1,INDIRECT("Table!A" &amp; $AG9):INDIRECT("Table!" &amp; $AJ$86 &amp; $AG9),0)))))</f>
        <v>0.72782902778355518</v>
      </c>
      <c r="C9" s="596">
        <f ca="1">IF(ISERROR(MATCH(C$1,INDIRECT("Table!A"&amp;$AG9):INDIRECT("Table!" &amp; $AJ$86 &amp; $AG9),0)),"",INDIRECT(CONCATENATE("Table!",ADDRESS($AC9,MATCH(C$1,INDIRECT("Table!A" &amp; $AG9):INDIRECT("Table!" &amp; $AJ$86 &amp; $AG9),0)))))</f>
        <v>0.66776893859618225</v>
      </c>
      <c r="D9" s="596">
        <f ca="1">IF(ISERROR(MATCH(D$1,INDIRECT("Table!A"&amp;$AG9):INDIRECT("Table!" &amp; $AJ$86 &amp; $AG9),0)),"",INDIRECT(CONCATENATE("Table!",ADDRESS($AC9,MATCH(D$1,INDIRECT("Table!A" &amp; $AG9):INDIRECT("Table!" &amp; $AJ$86 &amp; $AG9),0)))))</f>
        <v>0.67359315610825898</v>
      </c>
      <c r="E9" s="596">
        <f ca="1">IF(ISERROR(MATCH(E$1,INDIRECT("Table!A"&amp;$AG9):INDIRECT("Table!" &amp; $AJ$86 &amp; $AG9),0)),"",INDIRECT(CONCATENATE("Table!",ADDRESS($AC9,MATCH(E$1,INDIRECT("Table!A" &amp; $AG9):INDIRECT("Table!" &amp; $AJ$86 &amp; $AG9),0)))))</f>
        <v>1.4266831264821527</v>
      </c>
      <c r="F9" s="596">
        <f ca="1">IF(ISERROR(MATCH(F$1,INDIRECT("Table!A"&amp;$AG9):INDIRECT("Table!" &amp; $AJ$86 &amp; $AG9),0)),"",INDIRECT(CONCATENATE("Table!",ADDRESS($AC9,MATCH(F$1,INDIRECT("Table!A" &amp; $AG9):INDIRECT("Table!" &amp; $AJ$86 &amp; $AG9),0)))))</f>
        <v>0.68261559538553507</v>
      </c>
      <c r="G9" s="596">
        <f ca="1">IF(ISERROR(MATCH(G$1,INDIRECT("Table!A"&amp;$AG9):INDIRECT("Table!" &amp; $AJ$86 &amp; $AG9),0)),"",INDIRECT(CONCATENATE("Table!",ADDRESS($AC9,MATCH(G$1,INDIRECT("Table!A" &amp; $AG9):INDIRECT("Table!" &amp; $AJ$86 &amp; $AG9),0)))))</f>
        <v>1.1785649863288019</v>
      </c>
      <c r="H9" s="596">
        <f ca="1">IF(ISERROR(MATCH(H$1,INDIRECT("Table!A"&amp;$AG9):INDIRECT("Table!" &amp; $AJ$86 &amp; $AG9),0)),"",INDIRECT(CONCATENATE("Table!",ADDRESS($AC9,MATCH(H$1,INDIRECT("Table!A" &amp; $AG9):INDIRECT("Table!" &amp; $AJ$86 &amp; $AG9),0)))))</f>
        <v>1.3906322761090968</v>
      </c>
      <c r="I9" s="596">
        <f ca="1">IF(ISERROR(MATCH(I$1,INDIRECT("Table!A"&amp;$AG9):INDIRECT("Table!" &amp; $AJ$64 &amp; $AG9),0)),"",INDIRECT(CONCATENATE("Table!",ADDRESS($AC9,MATCH(I$1,INDIRECT("Table!A" &amp; $AG9):INDIRECT("Table!" &amp; $AJ$64 &amp; $AG9),0)))))</f>
        <v>0.27996328833439704</v>
      </c>
      <c r="J9" s="596">
        <f ca="1">IF(ISERROR(MATCH(J$1,INDIRECT("Table!A"&amp;$AG9):INDIRECT("Table!" &amp; $AJ$64 &amp; $AG9),0)),"",INDIRECT(CONCATENATE("Table!",ADDRESS($AC9,MATCH(J$1,INDIRECT("Table!A" &amp; $AG9):INDIRECT("Table!" &amp; $AJ$64 &amp; $AG9),0)))))</f>
        <v>1.589891049127877</v>
      </c>
      <c r="K9" s="596">
        <f ca="1">IF(ISERROR(MATCH(K$1,INDIRECT("Table!A"&amp;$AG9):INDIRECT("Table!" &amp; $AJ$64 &amp; $AG9),0)),"",INDIRECT(CONCATENATE("Table!",ADDRESS($AC9,MATCH(K$1,INDIRECT("Table!A" &amp; $AG9):INDIRECT("Table!" &amp; $AJ$64 &amp; $AG9),0)))))</f>
        <v>0.85003040551396147</v>
      </c>
      <c r="L9" s="596">
        <f ca="1">IF(ISERROR(MATCH(L$1,INDIRECT("Table!A"&amp;$AG9):INDIRECT("Table!" &amp; $AJ$86 &amp; $AG9),0)),"",INDIRECT(CONCATENATE("Table!",ADDRESS($AC9,MATCH(L$1,INDIRECT("Table!A" &amp; $AG9):INDIRECT("Table!" &amp; $AJ$86 &amp; $AG9),0)))))</f>
        <v>1.3289132882036956</v>
      </c>
      <c r="M9" s="596">
        <f ca="1">IF(ISERROR(MATCH(M$1,INDIRECT("Table!A"&amp;$AG9):INDIRECT("Table!" &amp; $AJ$86 &amp; $AG9),0)),"",INDIRECT(CONCATENATE("Table!",ADDRESS($AC9,MATCH(M$1,INDIRECT("Table!A" &amp; $AG9):INDIRECT("Table!" &amp; $AJ$86 &amp; $AG9),0)))))</f>
        <v>0.83650063358601467</v>
      </c>
      <c r="N9" s="596">
        <f ca="1">IF(ISERROR(MATCH(N$1,INDIRECT("Table!A"&amp;$AG9):INDIRECT("Table!" &amp; $AJ$86 &amp; $AG9),0)),"",INDIRECT(CONCATENATE("Table!",ADDRESS($AC9,MATCH(N$1,INDIRECT("Table!A" &amp; $AG9):INDIRECT("Table!" &amp; $AJ$86 &amp; $AG9),0)))))</f>
        <v>1.3927141288168903</v>
      </c>
      <c r="O9" s="596">
        <f ca="1">IF(ISERROR(MATCH(O$1,INDIRECT("Table!A"&amp;$AG9):INDIRECT("Table!" &amp; $AJ$64 &amp; $AG9),0)),"",INDIRECT(CONCATENATE("Table!",ADDRESS($AC9,MATCH(O$1,INDIRECT("Table!A" &amp; $AG9):INDIRECT("Table!" &amp; $AJ$64 &amp; $AG9),0)))))</f>
        <v>0.68232471325142019</v>
      </c>
      <c r="P9" s="596">
        <f ca="1">IF(ISERROR(MATCH(P$1,INDIRECT("Table!A"&amp;$AG9):INDIRECT("Table!" &amp; $AJ$64 &amp; $AG9),0)),"",INDIRECT(CONCATENATE("Table!",ADDRESS($AC9,MATCH(P$1,INDIRECT("Table!A" &amp; $AG9):INDIRECT("Table!" &amp; $AJ$64 &amp; $AG9),0)))))</f>
        <v>0.74183344412491503</v>
      </c>
      <c r="Q9" s="596">
        <f ca="1">IF(ISERROR(MATCH(Q$1,INDIRECT("Table!A"&amp;$AG9):INDIRECT("Table!" &amp; $AJ$64 &amp; $AG9),0)),"",INDIRECT(CONCATENATE("Table!",ADDRESS($AC9,MATCH(Q$1,INDIRECT("Table!A" &amp; $AG9):INDIRECT("Table!" &amp; $AJ$64 &amp; $AG9),0)))))</f>
        <v>0.78319474350557505</v>
      </c>
      <c r="R9" s="596">
        <f ca="1">IF(ISERROR(MATCH(R$1,INDIRECT("Table!A"&amp;$AG9):INDIRECT("Table!" &amp; $AJ$64 &amp; $AG9),0)),"",INDIRECT(CONCATENATE("Table!",ADDRESS($AC9,MATCH(R$1,INDIRECT("Table!A" &amp; $AG9):INDIRECT("Table!" &amp; $AJ$64 &amp; $AG9),0)))))</f>
        <v>1.2624598495849919</v>
      </c>
      <c r="S9" s="596">
        <f ca="1">IF(ISERROR(MATCH(S$1,INDIRECT("Table!A"&amp;$AG9):INDIRECT("Table!" &amp; $AJ$43 &amp; $AG9),0)),"",INDIRECT(CONCATENATE("Table!",ADDRESS($AC9,MATCH(S$1,INDIRECT("Table!A" &amp; $AG9):INDIRECT("Table!" &amp; $AJ$43 &amp; $AG9),0)))))</f>
        <v>1.0490901706224727</v>
      </c>
      <c r="T9" s="596">
        <f ca="1">IF(ISERROR(MATCH(T$1,INDIRECT("Table!A"&amp;$AG9):INDIRECT("Table!" &amp; $AJ$43 &amp; $AG9),0)),"",INDIRECT(CONCATENATE("Table!",ADDRESS($AC9,MATCH(T$1,INDIRECT("Table!A" &amp; $AG9):INDIRECT("Table!" &amp; $AJ$43 &amp; $AG9),0)))))</f>
        <v>1.1238830177845605</v>
      </c>
      <c r="U9" s="596">
        <f ca="1">IF(ISERROR(MATCH(U$1,INDIRECT("Table!A"&amp;$AG9):INDIRECT("Table!" &amp; $AJ$43 &amp; $AG9),0)),"",INDIRECT(CONCATENATE("Table!",ADDRESS($AC9,MATCH(U$1,INDIRECT("Table!A" &amp; $AG9):INDIRECT("Table!" &amp; $AJ$43 &amp; $AG9),0)))))</f>
        <v>0.6096981403472721</v>
      </c>
      <c r="V9" s="596">
        <f ca="1">IF(ISERROR(MATCH(V$1,INDIRECT("Table!A"&amp;$AG9):INDIRECT("Table!" &amp; $AJ$43 &amp; $AG9),0)),"",INDIRECT(CONCATENATE("Table!",ADDRESS($AC9,MATCH(V$1,INDIRECT("Table!A" &amp; $AG9):INDIRECT("Table!" &amp; $AJ$43 &amp; $AG9),0)))))</f>
        <v>0.39913869682787068</v>
      </c>
      <c r="W9" s="596">
        <f ca="1">IF(ISERROR(MATCH(W$1,INDIRECT("Table!A"&amp;$AG9):INDIRECT("Table!" &amp; $AJ$43 &amp; $AG9),0)),"",INDIRECT(CONCATENATE("Table!",ADDRESS($AC9,MATCH(W$1,INDIRECT("Table!A" &amp; $AG9):INDIRECT("Table!" &amp; $AJ$43 &amp; $AG9),0)))))</f>
        <v>0.16595138776768284</v>
      </c>
      <c r="X9" s="596">
        <f ca="1">IF(ISERROR(MATCH(X$1,INDIRECT("Table!A"&amp;$AG9):INDIRECT("Table!" &amp; $AJ$43 &amp; $AG9),0)),"",INDIRECT(CONCATENATE("Table!",ADDRESS($AC9,MATCH(X$1,INDIRECT("Table!A" &amp; $AG9):INDIRECT("Table!" &amp; $AJ$43 &amp; $AG9),0)))))</f>
        <v>0.11169445790263799</v>
      </c>
      <c r="Y9" s="596">
        <f ca="1">IF(ISERROR(MATCH(Y$1,INDIRECT("Table!A"&amp;$AG9):INDIRECT("Table!" &amp; $AJ$43 &amp; $AG9),0)),"",INDIRECT(CONCATENATE("Table!",ADDRESS($AC9,MATCH(Y$1,INDIRECT("Table!A" &amp; $AG9):INDIRECT("Table!" &amp; $AJ$43 &amp; $AG9),0)))))</f>
        <v>0.1547339977396486</v>
      </c>
      <c r="Z9" s="596">
        <f ca="1">IF(ISERROR(MATCH(Z$1,INDIRECT("Table!A"&amp;$AG9):INDIRECT("Table!" &amp; $AJ$43 &amp; $AG9),0)),"",INDIRECT(CONCATENATE("Table!",ADDRESS($AC9,MATCH(Z$1,INDIRECT("Table!A" &amp; $AG9):INDIRECT("Table!" &amp; $AJ$43 &amp; $AG9),0)))))</f>
        <v>0.15015984037919489</v>
      </c>
      <c r="AA9" s="596">
        <f ca="1">IF(ISERROR(MATCH(AA$1,INDIRECT("Table!A"&amp;$AG9):INDIRECT("Table!" &amp; $AJ$43 &amp; $AG9),0)),"",INDIRECT(CONCATENATE("Table!",ADDRESS($AC9,MATCH(AA$1,INDIRECT("Table!A" &amp; $AG9):INDIRECT("Table!" &amp; $AJ$43 &amp; $AG9),0)))))</f>
        <v>-1.4757503711588558E-4</v>
      </c>
      <c r="AB9" s="596" t="str">
        <f ca="1">IF(ISERROR(MATCH(AB$1,INDIRECT("Table!A"&amp;$AG9):INDIRECT("Table!" &amp; $AJ$43 &amp; $AG9),0)),"",INDIRECT(CONCATENATE("Table!",ADDRESS($AC9,MATCH(AB$1,INDIRECT("Table!A" &amp; $AG9):INDIRECT("Table!" &amp; $AJ$43 &amp; $AG9),0)))))</f>
        <v/>
      </c>
      <c r="AC9" s="595">
        <f>MATCH($A9,Table!$A:$A,0)+$AE$2-1</f>
        <v>96</v>
      </c>
      <c r="AD9" s="897"/>
      <c r="AE9" s="897"/>
      <c r="AF9" s="897"/>
      <c r="AG9" s="595">
        <f>MATCH($A9,Table!$A:$A,0)+$AI$2-1</f>
        <v>87</v>
      </c>
      <c r="AH9" s="897"/>
      <c r="AI9" s="897"/>
      <c r="AJ9" s="904" t="s">
        <v>285</v>
      </c>
    </row>
    <row r="10" spans="1:36" s="743" customFormat="1" ht="19.5" customHeight="1" x14ac:dyDescent="0.25">
      <c r="A10" s="592">
        <v>41773</v>
      </c>
      <c r="B10" s="596">
        <f ca="1">IF(ISERROR(MATCH(B$1,INDIRECT("Table!A"&amp;$AG10):INDIRECT("Table!" &amp; $AJ$86 &amp; $AG10),0)),"",INDIRECT(CONCATENATE("Table!",ADDRESS($AC10,MATCH(B$1,INDIRECT("Table!A" &amp; $AG10):INDIRECT("Table!" &amp; $AJ$86 &amp; $AG10),0)))))</f>
        <v>0.72782902778355518</v>
      </c>
      <c r="C10" s="596">
        <f ca="1">IF(ISERROR(MATCH(C$1,INDIRECT("Table!A"&amp;$AG10):INDIRECT("Table!" &amp; $AJ$86 &amp; $AG10),0)),"",INDIRECT(CONCATENATE("Table!",ADDRESS($AC10,MATCH(C$1,INDIRECT("Table!A" &amp; $AG10):INDIRECT("Table!" &amp; $AJ$86 &amp; $AG10),0)))))</f>
        <v>0.66575286330354033</v>
      </c>
      <c r="D10" s="596">
        <f ca="1">IF(ISERROR(MATCH(D$1,INDIRECT("Table!A"&amp;$AG10):INDIRECT("Table!" &amp; $AJ$86 &amp; $AG10),0)),"",INDIRECT(CONCATENATE("Table!",ADDRESS($AC10,MATCH(D$1,INDIRECT("Table!A" &amp; $AG10):INDIRECT("Table!" &amp; $AJ$86 &amp; $AG10),0)))))</f>
        <v>0.67157708081561707</v>
      </c>
      <c r="E10" s="596">
        <f ca="1">IF(ISERROR(MATCH(E$1,INDIRECT("Table!A"&amp;$AG10):INDIRECT("Table!" &amp; $AJ$86 &amp; $AG10),0)),"",INDIRECT(CONCATENATE("Table!",ADDRESS($AC10,MATCH(E$1,INDIRECT("Table!A" &amp; $AG10):INDIRECT("Table!" &amp; $AJ$86 &amp; $AG10),0)))))</f>
        <v>1.4266831264821527</v>
      </c>
      <c r="F10" s="596">
        <f ca="1">IF(ISERROR(MATCH(F$1,INDIRECT("Table!A"&amp;$AG10):INDIRECT("Table!" &amp; $AJ$86 &amp; $AG10),0)),"",INDIRECT(CONCATENATE("Table!",ADDRESS($AC10,MATCH(F$1,INDIRECT("Table!A" &amp; $AG10):INDIRECT("Table!" &amp; $AJ$86 &amp; $AG10),0)))))</f>
        <v>0.68261559538553507</v>
      </c>
      <c r="G10" s="596">
        <f ca="1">IF(ISERROR(MATCH(G$1,INDIRECT("Table!A"&amp;$AG10):INDIRECT("Table!" &amp; $AJ$86 &amp; $AG10),0)),"",INDIRECT(CONCATENATE("Table!",ADDRESS($AC10,MATCH(G$1,INDIRECT("Table!A" &amp; $AG10):INDIRECT("Table!" &amp; $AJ$86 &amp; $AG10),0)))))</f>
        <v>1.1784784226133167</v>
      </c>
      <c r="H10" s="596">
        <f ca="1">IF(ISERROR(MATCH(H$1,INDIRECT("Table!A"&amp;$AG10):INDIRECT("Table!" &amp; $AJ$86 &amp; $AG10),0)),"",INDIRECT(CONCATENATE("Table!",ADDRESS($AC10,MATCH(H$1,INDIRECT("Table!A" &amp; $AG10):INDIRECT("Table!" &amp; $AJ$86 &amp; $AG10),0)))))</f>
        <v>1.3906322761090968</v>
      </c>
      <c r="I10" s="596">
        <f ca="1">IF(ISERROR(MATCH(I$1,INDIRECT("Table!A"&amp;$AG10):INDIRECT("Table!" &amp; $AJ$64 &amp; $AG10),0)),"",INDIRECT(CONCATENATE("Table!",ADDRESS($AC10,MATCH(I$1,INDIRECT("Table!A" &amp; $AG10):INDIRECT("Table!" &amp; $AJ$64 &amp; $AG10),0)))))</f>
        <v>0.27996328833439704</v>
      </c>
      <c r="J10" s="596">
        <f ca="1">IF(ISERROR(MATCH(J$1,INDIRECT("Table!A"&amp;$AG10):INDIRECT("Table!" &amp; $AJ$64 &amp; $AG10),0)),"",INDIRECT(CONCATENATE("Table!",ADDRESS($AC10,MATCH(J$1,INDIRECT("Table!A" &amp; $AG10):INDIRECT("Table!" &amp; $AJ$64 &amp; $AG10),0)))))</f>
        <v>1.589891049127877</v>
      </c>
      <c r="K10" s="596">
        <f ca="1">IF(ISERROR(MATCH(K$1,INDIRECT("Table!A"&amp;$AG10):INDIRECT("Table!" &amp; $AJ$64 &amp; $AG10),0)),"",INDIRECT(CONCATENATE("Table!",ADDRESS($AC10,MATCH(K$1,INDIRECT("Table!A" &amp; $AG10):INDIRECT("Table!" &amp; $AJ$64 &amp; $AG10),0)))))</f>
        <v>0.81782886421815915</v>
      </c>
      <c r="L10" s="596">
        <f ca="1">IF(ISERROR(MATCH(L$1,INDIRECT("Table!A"&amp;$AG10):INDIRECT("Table!" &amp; $AJ$86 &amp; $AG10),0)),"",INDIRECT(CONCATENATE("Table!",ADDRESS($AC10,MATCH(L$1,INDIRECT("Table!A" &amp; $AG10):INDIRECT("Table!" &amp; $AJ$86 &amp; $AG10),0)))))</f>
        <v>1.3315333853807534</v>
      </c>
      <c r="M10" s="596">
        <f ca="1">IF(ISERROR(MATCH(M$1,INDIRECT("Table!A"&amp;$AG10):INDIRECT("Table!" &amp; $AJ$86 &amp; $AG10),0)),"",INDIRECT(CONCATENATE("Table!",ADDRESS($AC10,MATCH(M$1,INDIRECT("Table!A" &amp; $AG10):INDIRECT("Table!" &amp; $AJ$86 &amp; $AG10),0)))))</f>
        <v>0.83650063358601467</v>
      </c>
      <c r="N10" s="596">
        <f ca="1">IF(ISERROR(MATCH(N$1,INDIRECT("Table!A"&amp;$AG10):INDIRECT("Table!" &amp; $AJ$86 &amp; $AG10),0)),"",INDIRECT(CONCATENATE("Table!",ADDRESS($AC10,MATCH(N$1,INDIRECT("Table!A" &amp; $AG10):INDIRECT("Table!" &amp; $AJ$86 &amp; $AG10),0)))))</f>
        <v>1.3927141288168903</v>
      </c>
      <c r="O10" s="596">
        <f ca="1">IF(ISERROR(MATCH(O$1,INDIRECT("Table!A"&amp;$AG10):INDIRECT("Table!" &amp; $AJ$64 &amp; $AG10),0)),"",INDIRECT(CONCATENATE("Table!",ADDRESS($AC10,MATCH(O$1,INDIRECT("Table!A" &amp; $AG10):INDIRECT("Table!" &amp; $AJ$64 &amp; $AG10),0)))))</f>
        <v>0.69136050938252347</v>
      </c>
      <c r="P10" s="596">
        <f ca="1">IF(ISERROR(MATCH(P$1,INDIRECT("Table!A"&amp;$AG10):INDIRECT("Table!" &amp; $AJ$64 &amp; $AG10),0)),"",INDIRECT(CONCATENATE("Table!",ADDRESS($AC10,MATCH(P$1,INDIRECT("Table!A" &amp; $AG10):INDIRECT("Table!" &amp; $AJ$64 &amp; $AG10),0)))))</f>
        <v>0.74183344412491503</v>
      </c>
      <c r="Q10" s="596">
        <f ca="1">IF(ISERROR(MATCH(Q$1,INDIRECT("Table!A"&amp;$AG10):INDIRECT("Table!" &amp; $AJ$64 &amp; $AG10),0)),"",INDIRECT(CONCATENATE("Table!",ADDRESS($AC10,MATCH(Q$1,INDIRECT("Table!A" &amp; $AG10):INDIRECT("Table!" &amp; $AJ$64 &amp; $AG10),0)))))</f>
        <v>0.78319474350557505</v>
      </c>
      <c r="R10" s="596">
        <f ca="1">IF(ISERROR(MATCH(R$1,INDIRECT("Table!A"&amp;$AG10):INDIRECT("Table!" &amp; $AJ$64 &amp; $AG10),0)),"",INDIRECT(CONCATENATE("Table!",ADDRESS($AC10,MATCH(R$1,INDIRECT("Table!A" &amp; $AG10):INDIRECT("Table!" &amp; $AJ$64 &amp; $AG10),0)))))</f>
        <v>1.4269496079817485</v>
      </c>
      <c r="S10" s="596">
        <f ca="1">IF(ISERROR(MATCH(S$1,INDIRECT("Table!A"&amp;$AG10):INDIRECT("Table!" &amp; $AJ$43 &amp; $AG10),0)),"",INDIRECT(CONCATENATE("Table!",ADDRESS($AC10,MATCH(S$1,INDIRECT("Table!A" &amp; $AG10):INDIRECT("Table!" &amp; $AJ$43 &amp; $AG10),0)))))</f>
        <v>1.0490901706224727</v>
      </c>
      <c r="T10" s="596">
        <f ca="1">IF(ISERROR(MATCH(T$1,INDIRECT("Table!A"&amp;$AG10):INDIRECT("Table!" &amp; $AJ$43 &amp; $AG10),0)),"",INDIRECT(CONCATENATE("Table!",ADDRESS($AC10,MATCH(T$1,INDIRECT("Table!A" &amp; $AG10):INDIRECT("Table!" &amp; $AJ$43 &amp; $AG10),0)))))</f>
        <v>1.1238830177845605</v>
      </c>
      <c r="U10" s="596">
        <f ca="1">IF(ISERROR(MATCH(U$1,INDIRECT("Table!A"&amp;$AG10):INDIRECT("Table!" &amp; $AJ$43 &amp; $AG10),0)),"",INDIRECT(CONCATENATE("Table!",ADDRESS($AC10,MATCH(U$1,INDIRECT("Table!A" &amp; $AG10):INDIRECT("Table!" &amp; $AJ$43 &amp; $AG10),0)))))</f>
        <v>0.6096981403472721</v>
      </c>
      <c r="V10" s="596">
        <f ca="1">IF(ISERROR(MATCH(V$1,INDIRECT("Table!A"&amp;$AG10):INDIRECT("Table!" &amp; $AJ$43 &amp; $AG10),0)),"",INDIRECT(CONCATENATE("Table!",ADDRESS($AC10,MATCH(V$1,INDIRECT("Table!A" &amp; $AG10):INDIRECT("Table!" &amp; $AJ$43 &amp; $AG10),0)))))</f>
        <v>0.39913869682787068</v>
      </c>
      <c r="W10" s="596">
        <f ca="1">IF(ISERROR(MATCH(W$1,INDIRECT("Table!A"&amp;$AG10):INDIRECT("Table!" &amp; $AJ$43 &amp; $AG10),0)),"",INDIRECT(CONCATENATE("Table!",ADDRESS($AC10,MATCH(W$1,INDIRECT("Table!A" &amp; $AG10):INDIRECT("Table!" &amp; $AJ$43 &amp; $AG10),0)))))</f>
        <v>0.13856775916983458</v>
      </c>
      <c r="X10" s="596">
        <f ca="1">IF(ISERROR(MATCH(X$1,INDIRECT("Table!A"&amp;$AG10):INDIRECT("Table!" &amp; $AJ$43 &amp; $AG10),0)),"",INDIRECT(CONCATENATE("Table!",ADDRESS($AC10,MATCH(X$1,INDIRECT("Table!A" &amp; $AG10):INDIRECT("Table!" &amp; $AJ$43 &amp; $AG10),0)))))</f>
        <v>9.8336187000737485E-2</v>
      </c>
      <c r="Y10" s="596">
        <f ca="1">IF(ISERROR(MATCH(Y$1,INDIRECT("Table!A"&amp;$AG10):INDIRECT("Table!" &amp; $AJ$43 &amp; $AG10),0)),"",INDIRECT(CONCATENATE("Table!",ADDRESS($AC10,MATCH(Y$1,INDIRECT("Table!A" &amp; $AG10):INDIRECT("Table!" &amp; $AJ$43 &amp; $AG10),0)))))</f>
        <v>0.1547339977396486</v>
      </c>
      <c r="Z10" s="596">
        <f ca="1">IF(ISERROR(MATCH(Z$1,INDIRECT("Table!A"&amp;$AG10):INDIRECT("Table!" &amp; $AJ$43 &amp; $AG10),0)),"",INDIRECT(CONCATENATE("Table!",ADDRESS($AC10,MATCH(Z$1,INDIRECT("Table!A" &amp; $AG10):INDIRECT("Table!" &amp; $AJ$43 &amp; $AG10),0)))))</f>
        <v>0.15015984037919489</v>
      </c>
      <c r="AA10" s="596" t="str">
        <f ca="1">IF(ISERROR(MATCH(AA$1,INDIRECT("Table!A"&amp;$AG10):INDIRECT("Table!" &amp; $AJ$43 &amp; $AG10),0)),"",INDIRECT(CONCATENATE("Table!",ADDRESS($AC10,MATCH(AA$1,INDIRECT("Table!A" &amp; $AG10):INDIRECT("Table!" &amp; $AJ$43 &amp; $AG10),0)))))</f>
        <v/>
      </c>
      <c r="AB10" s="596" t="str">
        <f ca="1">IF(ISERROR(MATCH(AB$1,INDIRECT("Table!A"&amp;$AG10):INDIRECT("Table!" &amp; $AJ$43 &amp; $AG10),0)),"",INDIRECT(CONCATENATE("Table!",ADDRESS($AC10,MATCH(AB$1,INDIRECT("Table!A" &amp; $AG10):INDIRECT("Table!" &amp; $AJ$43 &amp; $AG10),0)))))</f>
        <v/>
      </c>
      <c r="AC10" s="595">
        <f>MATCH($A10,Table!$A:$A,0)+$AE$2-1</f>
        <v>110</v>
      </c>
      <c r="AD10" s="894"/>
      <c r="AE10" s="894"/>
      <c r="AF10" s="894"/>
      <c r="AG10" s="595">
        <f>MATCH($A10,Table!$A:$A,0)+$AI$2-1</f>
        <v>101</v>
      </c>
      <c r="AH10" s="894"/>
      <c r="AI10" s="894"/>
      <c r="AJ10" s="904" t="s">
        <v>285</v>
      </c>
    </row>
    <row r="11" spans="1:36" s="743" customFormat="1" ht="19.5" customHeight="1" x14ac:dyDescent="0.25">
      <c r="A11" s="592">
        <v>41766</v>
      </c>
      <c r="B11" s="596">
        <f ca="1">IF(ISERROR(MATCH(B$1,INDIRECT("Table!A"&amp;$AG11):INDIRECT("Table!" &amp; $AJ$86 &amp; $AG11),0)),"",INDIRECT(CONCATENATE("Table!",ADDRESS($AC11,MATCH(B$1,INDIRECT("Table!A" &amp; $AG11):INDIRECT("Table!" &amp; $AJ$86 &amp; $AG11),0)))))</f>
        <v>0.7278</v>
      </c>
      <c r="C11" s="596">
        <f ca="1">IF(ISERROR(MATCH(C$1,INDIRECT("Table!A"&amp;$AG11):INDIRECT("Table!" &amp; $AJ$86 &amp; $AG11),0)),"",INDIRECT(CONCATENATE("Table!",ADDRESS($AC11,MATCH(C$1,INDIRECT("Table!A" &amp; $AG11):INDIRECT("Table!" &amp; $AJ$86 &amp; $AG11),0)))))</f>
        <v>0.66349999999999998</v>
      </c>
      <c r="D11" s="596">
        <f ca="1">IF(ISERROR(MATCH(D$1,INDIRECT("Table!A"&amp;$AG11):INDIRECT("Table!" &amp; $AJ$86 &amp; $AG11),0)),"",INDIRECT(CONCATENATE("Table!",ADDRESS($AC11,MATCH(D$1,INDIRECT("Table!A" &amp; $AG11):INDIRECT("Table!" &amp; $AJ$86 &amp; $AG11),0)))))</f>
        <v>0.66930000000000001</v>
      </c>
      <c r="E11" s="596">
        <f ca="1">IF(ISERROR(MATCH(E$1,INDIRECT("Table!A"&amp;$AG11):INDIRECT("Table!" &amp; $AJ$86 &amp; $AG11),0)),"",INDIRECT(CONCATENATE("Table!",ADDRESS($AC11,MATCH(E$1,INDIRECT("Table!A" &amp; $AG11):INDIRECT("Table!" &amp; $AJ$86 &amp; $AG11),0)))))</f>
        <v>1.4260999999999999</v>
      </c>
      <c r="F11" s="596">
        <f ca="1">IF(ISERROR(MATCH(F$1,INDIRECT("Table!A"&amp;$AG11):INDIRECT("Table!" &amp; $AJ$86 &amp; $AG11),0)),"",INDIRECT(CONCATENATE("Table!",ADDRESS($AC11,MATCH(F$1,INDIRECT("Table!A" &amp; $AG11):INDIRECT("Table!" &amp; $AJ$86 &amp; $AG11),0)))))</f>
        <v>0.68259999999999998</v>
      </c>
      <c r="G11" s="596">
        <f ca="1">IF(ISERROR(MATCH(G$1,INDIRECT("Table!A"&amp;$AG11):INDIRECT("Table!" &amp; $AJ$86 &amp; $AG11),0)),"",INDIRECT(CONCATENATE("Table!",ADDRESS($AC11,MATCH(G$1,INDIRECT("Table!A" &amp; $AG11):INDIRECT("Table!" &amp; $AJ$86 &amp; $AG11),0)))))</f>
        <v>1.1785000000000001</v>
      </c>
      <c r="H11" s="596">
        <f ca="1">IF(ISERROR(MATCH(H$1,INDIRECT("Table!A"&amp;$AG11):INDIRECT("Table!" &amp; $AJ$86 &amp; $AG11),0)),"",INDIRECT(CONCATENATE("Table!",ADDRESS($AC11,MATCH(H$1,INDIRECT("Table!A" &amp; $AG11):INDIRECT("Table!" &amp; $AJ$86 &amp; $AG11),0)))))</f>
        <v>1.3906000000000001</v>
      </c>
      <c r="I11" s="596">
        <f ca="1">IF(ISERROR(MATCH(I$1,INDIRECT("Table!A"&amp;$AG11):INDIRECT("Table!" &amp; $AJ$64 &amp; $AG11),0)),"",INDIRECT(CONCATENATE("Table!",ADDRESS($AC11,MATCH(I$1,INDIRECT("Table!A" &amp; $AG11):INDIRECT("Table!" &amp; $AJ$64 &amp; $AG11),0)))))</f>
        <v>0.27939999999999998</v>
      </c>
      <c r="J11" s="596">
        <f ca="1">IF(ISERROR(MATCH(J$1,INDIRECT("Table!A"&amp;$AG11):INDIRECT("Table!" &amp; $AJ$64 &amp; $AG11),0)),"",INDIRECT(CONCATENATE("Table!",ADDRESS($AC11,MATCH(J$1,INDIRECT("Table!A" &amp; $AG11):INDIRECT("Table!" &amp; $AJ$64 &amp; $AG11),0)))))</f>
        <v>1.5899000000000001</v>
      </c>
      <c r="K11" s="596">
        <f ca="1">IF(ISERROR(MATCH(K$1,INDIRECT("Table!A"&amp;$AG11):INDIRECT("Table!" &amp; $AJ$64 &amp; $AG11),0)),"",INDIRECT(CONCATENATE("Table!",ADDRESS($AC11,MATCH(K$1,INDIRECT("Table!A" &amp; $AG11):INDIRECT("Table!" &amp; $AJ$64 &amp; $AG11),0)))))</f>
        <v>0.79769999999999996</v>
      </c>
      <c r="L11" s="596">
        <f ca="1">IF(ISERROR(MATCH(L$1,INDIRECT("Table!A"&amp;$AG11):INDIRECT("Table!" &amp; $AJ$86 &amp; $AG11),0)),"",INDIRECT(CONCATENATE("Table!",ADDRESS($AC11,MATCH(L$1,INDIRECT("Table!A" &amp; $AG11):INDIRECT("Table!" &amp; $AJ$86 &amp; $AG11),0)))))</f>
        <v>1.3303</v>
      </c>
      <c r="M11" s="596">
        <f ca="1">IF(ISERROR(MATCH(M$1,INDIRECT("Table!A"&amp;$AG11):INDIRECT("Table!" &amp; $AJ$86 &amp; $AG11),0)),"",INDIRECT(CONCATENATE("Table!",ADDRESS($AC11,MATCH(M$1,INDIRECT("Table!A" &amp; $AG11):INDIRECT("Table!" &amp; $AJ$86 &amp; $AG11),0)))))</f>
        <v>0.83650000000000002</v>
      </c>
      <c r="N11" s="596">
        <f ca="1">IF(ISERROR(MATCH(N$1,INDIRECT("Table!A"&amp;$AG11):INDIRECT("Table!" &amp; $AJ$86 &amp; $AG11),0)),"",INDIRECT(CONCATENATE("Table!",ADDRESS($AC11,MATCH(N$1,INDIRECT("Table!A" &amp; $AG11):INDIRECT("Table!" &amp; $AJ$86 &amp; $AG11),0)))))</f>
        <v>1.3927</v>
      </c>
      <c r="O11" s="596">
        <f ca="1">IF(ISERROR(MATCH(O$1,INDIRECT("Table!A"&amp;$AG11):INDIRECT("Table!" &amp; $AJ$64 &amp; $AG11),0)),"",INDIRECT(CONCATENATE("Table!",ADDRESS($AC11,MATCH(O$1,INDIRECT("Table!A" &amp; $AG11):INDIRECT("Table!" &amp; $AJ$64 &amp; $AG11),0)))))</f>
        <v>0.69140000000000001</v>
      </c>
      <c r="P11" s="596">
        <f ca="1">IF(ISERROR(MATCH(P$1,INDIRECT("Table!A"&amp;$AG11):INDIRECT("Table!" &amp; $AJ$64 &amp; $AG11),0)),"",INDIRECT(CONCATENATE("Table!",ADDRESS($AC11,MATCH(P$1,INDIRECT("Table!A" &amp; $AG11):INDIRECT("Table!" &amp; $AJ$64 &amp; $AG11),0)))))</f>
        <v>0.74060000000000004</v>
      </c>
      <c r="Q11" s="596">
        <f ca="1">IF(ISERROR(MATCH(Q$1,INDIRECT("Table!A"&amp;$AG11):INDIRECT("Table!" &amp; $AJ$64 &amp; $AG11),0)),"",INDIRECT(CONCATENATE("Table!",ADDRESS($AC11,MATCH(Q$1,INDIRECT("Table!A" &amp; $AG11):INDIRECT("Table!" &amp; $AJ$64 &amp; $AG11),0)))))</f>
        <v>0.78320000000000001</v>
      </c>
      <c r="R11" s="596">
        <f ca="1">IF(ISERROR(MATCH(R$1,INDIRECT("Table!A"&amp;$AG11):INDIRECT("Table!" &amp; $AJ$64 &amp; $AG11),0)),"",INDIRECT(CONCATENATE("Table!",ADDRESS($AC11,MATCH(R$1,INDIRECT("Table!A" &amp; $AG11):INDIRECT("Table!" &amp; $AJ$64 &amp; $AG11),0)))))</f>
        <v>1.4160999999999999</v>
      </c>
      <c r="S11" s="596">
        <f ca="1">IF(ISERROR(MATCH(S$1,INDIRECT("Table!A"&amp;$AG11):INDIRECT("Table!" &amp; $AJ$43 &amp; $AG11),0)),"",INDIRECT(CONCATENATE("Table!",ADDRESS($AC11,MATCH(S$1,INDIRECT("Table!A" &amp; $AG11):INDIRECT("Table!" &amp; $AJ$43 &amp; $AG11),0)))))</f>
        <v>1.0490999999999999</v>
      </c>
      <c r="T11" s="596">
        <f ca="1">IF(ISERROR(MATCH(T$1,INDIRECT("Table!A"&amp;$AG11):INDIRECT("Table!" &amp; $AJ$43 &amp; $AG11),0)),"",INDIRECT(CONCATENATE("Table!",ADDRESS($AC11,MATCH(T$1,INDIRECT("Table!A" &amp; $AG11):INDIRECT("Table!" &amp; $AJ$43 &amp; $AG11),0)))))</f>
        <v>1.1238999999999999</v>
      </c>
      <c r="U11" s="596">
        <f ca="1">IF(ISERROR(MATCH(U$1,INDIRECT("Table!A"&amp;$AG11):INDIRECT("Table!" &amp; $AJ$43 &amp; $AG11),0)),"",INDIRECT(CONCATENATE("Table!",ADDRESS($AC11,MATCH(U$1,INDIRECT("Table!A" &amp; $AG11):INDIRECT("Table!" &amp; $AJ$43 &amp; $AG11),0)))))</f>
        <v>0.39389999999999997</v>
      </c>
      <c r="V11" s="596">
        <f ca="1">IF(ISERROR(MATCH(V$1,INDIRECT("Table!A"&amp;$AG11):INDIRECT("Table!" &amp; $AJ$43 &amp; $AG11),0)),"",INDIRECT(CONCATENATE("Table!",ADDRESS($AC11,MATCH(V$1,INDIRECT("Table!A" &amp; $AG11):INDIRECT("Table!" &amp; $AJ$43 &amp; $AG11),0)))))</f>
        <v>0.19220000000000001</v>
      </c>
      <c r="W11" s="596">
        <f ca="1">IF(ISERROR(MATCH(W$1,INDIRECT("Table!A"&amp;$AG11):INDIRECT("Table!" &amp; $AJ$43 &amp; $AG11),0)),"",INDIRECT(CONCATENATE("Table!",ADDRESS($AC11,MATCH(W$1,INDIRECT("Table!A" &amp; $AG11):INDIRECT("Table!" &amp; $AJ$43 &amp; $AG11),0)))))</f>
        <v>0.13789999999999999</v>
      </c>
      <c r="X11" s="596">
        <f ca="1">IF(ISERROR(MATCH(X$1,INDIRECT("Table!A"&amp;$AG11):INDIRECT("Table!" &amp; $AJ$43 &amp; $AG11),0)),"",INDIRECT(CONCATENATE("Table!",ADDRESS($AC11,MATCH(X$1,INDIRECT("Table!A" &amp; $AG11):INDIRECT("Table!" &amp; $AJ$43 &amp; $AG11),0)))))</f>
        <v>9.8000000000000004E-2</v>
      </c>
      <c r="Y11" s="596">
        <f ca="1">IF(ISERROR(MATCH(Y$1,INDIRECT("Table!A"&amp;$AG11):INDIRECT("Table!" &amp; $AJ$43 &amp; $AG11),0)),"",INDIRECT(CONCATENATE("Table!",ADDRESS($AC11,MATCH(Y$1,INDIRECT("Table!A" &amp; $AG11):INDIRECT("Table!" &amp; $AJ$43 &amp; $AG11),0)))))</f>
        <v>-2.9999999999999997E-4</v>
      </c>
      <c r="Z11" s="596">
        <f ca="1">IF(ISERROR(MATCH(Z$1,INDIRECT("Table!A"&amp;$AG11):INDIRECT("Table!" &amp; $AJ$43 &amp; $AG11),0)),"",INDIRECT(CONCATENATE("Table!",ADDRESS($AC11,MATCH(Z$1,INDIRECT("Table!A" &amp; $AG11):INDIRECT("Table!" &amp; $AJ$43 &amp; $AG11),0)))))</f>
        <v>-2.0000000000000001E-4</v>
      </c>
      <c r="AA11" s="596" t="str">
        <f ca="1">IF(ISERROR(MATCH(AA$1,INDIRECT("Table!A"&amp;$AG11):INDIRECT("Table!" &amp; $AJ$43 &amp; $AG11),0)),"",INDIRECT(CONCATENATE("Table!",ADDRESS($AC11,MATCH(AA$1,INDIRECT("Table!A" &amp; $AG11):INDIRECT("Table!" &amp; $AJ$43 &amp; $AG11),0)))))</f>
        <v/>
      </c>
      <c r="AB11" s="596" t="str">
        <f ca="1">IF(ISERROR(MATCH(AB$1,INDIRECT("Table!A"&amp;$AG11):INDIRECT("Table!" &amp; $AJ$43 &amp; $AG11),0)),"",INDIRECT(CONCATENATE("Table!",ADDRESS($AC11,MATCH(AB$1,INDIRECT("Table!A" &amp; $AG11):INDIRECT("Table!" &amp; $AJ$43 &amp; $AG11),0)))))</f>
        <v/>
      </c>
      <c r="AC11" s="595">
        <f>MATCH($A11,Table!$A:$A,0)+$AE$2-1</f>
        <v>124</v>
      </c>
      <c r="AD11" s="886"/>
      <c r="AE11" s="886"/>
      <c r="AF11" s="886"/>
      <c r="AG11" s="595">
        <f>MATCH($A11,Table!$A:$A,0)+$AI$2-1</f>
        <v>115</v>
      </c>
      <c r="AH11" s="886"/>
      <c r="AI11" s="886"/>
      <c r="AJ11" s="904" t="s">
        <v>285</v>
      </c>
    </row>
    <row r="12" spans="1:36" s="743" customFormat="1" ht="19.5" customHeight="1" x14ac:dyDescent="0.25">
      <c r="A12" s="592">
        <v>41752</v>
      </c>
      <c r="B12" s="596">
        <f ca="1">IF(ISERROR(MATCH(B$1,INDIRECT("Table!A"&amp;$AG12):INDIRECT("Table!" &amp; $AJ$86 &amp; $AG12),0)),"",INDIRECT(CONCATENATE("Table!",ADDRESS($AC12,MATCH(B$1,INDIRECT("Table!A" &amp; $AG12):INDIRECT("Table!" &amp; $AJ$86 &amp; $AG12),0)))))</f>
        <v>0.74455142901482452</v>
      </c>
      <c r="C12" s="596">
        <f ca="1">IF(ISERROR(MATCH(C$1,INDIRECT("Table!A"&amp;$AG12):INDIRECT("Table!" &amp; $AJ$86 &amp; $AG12),0)),"",INDIRECT(CONCATENATE("Table!",ADDRESS($AC12,MATCH(C$1,INDIRECT("Table!A" &amp; $AG12):INDIRECT("Table!" &amp; $AJ$86 &amp; $AG12),0)))))</f>
        <v>0.66284075454750202</v>
      </c>
      <c r="D12" s="596">
        <f ca="1">IF(ISERROR(MATCH(D$1,INDIRECT("Table!A"&amp;$AG12):INDIRECT("Table!" &amp; $AJ$86 &amp; $AG12),0)),"",INDIRECT(CONCATENATE("Table!",ADDRESS($AC12,MATCH(D$1,INDIRECT("Table!A" &amp; $AG12):INDIRECT("Table!" &amp; $AJ$86 &amp; $AG12),0)))))</f>
        <v>0.66866497205957864</v>
      </c>
      <c r="E12" s="596">
        <f ca="1">IF(ISERROR(MATCH(E$1,INDIRECT("Table!A"&amp;$AG12):INDIRECT("Table!" &amp; $AJ$86 &amp; $AG12),0)),"",INDIRECT(CONCATENATE("Table!",ADDRESS($AC12,MATCH(E$1,INDIRECT("Table!A" &amp; $AG12):INDIRECT("Table!" &amp; $AJ$86 &amp; $AG12),0)))))</f>
        <v>1.426127348092405</v>
      </c>
      <c r="F12" s="596">
        <f ca="1">IF(ISERROR(MATCH(F$1,INDIRECT("Table!A"&amp;$AG12):INDIRECT("Table!" &amp; $AJ$86 &amp; $AG12),0)),"",INDIRECT(CONCATENATE("Table!",ADDRESS($AC12,MATCH(F$1,INDIRECT("Table!A" &amp; $AG12):INDIRECT("Table!" &amp; $AJ$86 &amp; $AG12),0)))))</f>
        <v>0.68261559538553507</v>
      </c>
      <c r="G12" s="596">
        <f ca="1">IF(ISERROR(MATCH(G$1,INDIRECT("Table!A"&amp;$AG12):INDIRECT("Table!" &amp; $AJ$86 &amp; $AG12),0)),"",INDIRECT(CONCATENATE("Table!",ADDRESS($AC12,MATCH(G$1,INDIRECT("Table!A" &amp; $AG12):INDIRECT("Table!" &amp; $AJ$86 &amp; $AG12),0)))))</f>
        <v>1.1784784226133167</v>
      </c>
      <c r="H12" s="596">
        <f ca="1">IF(ISERROR(MATCH(H$1,INDIRECT("Table!A"&amp;$AG12):INDIRECT("Table!" &amp; $AJ$86 &amp; $AG12),0)),"",INDIRECT(CONCATENATE("Table!",ADDRESS($AC12,MATCH(H$1,INDIRECT("Table!A" &amp; $AG12):INDIRECT("Table!" &amp; $AJ$86 &amp; $AG12),0)))))</f>
        <v>1.3969060999968019</v>
      </c>
      <c r="I12" s="596">
        <f ca="1">IF(ISERROR(MATCH(I$1,INDIRECT("Table!A"&amp;$AG12):INDIRECT("Table!" &amp; $AJ$64 &amp; $AG12),0)),"",INDIRECT(CONCATENATE("Table!",ADDRESS($AC12,MATCH(I$1,INDIRECT("Table!A" &amp; $AG12):INDIRECT("Table!" &amp; $AJ$64 &amp; $AG12),0)))))</f>
        <v>0.27935439935114786</v>
      </c>
      <c r="J12" s="596">
        <f ca="1">IF(ISERROR(MATCH(J$1,INDIRECT("Table!A"&amp;$AG12):INDIRECT("Table!" &amp; $AJ$64 &amp; $AG12),0)),"",INDIRECT(CONCATENATE("Table!",ADDRESS($AC12,MATCH(J$1,INDIRECT("Table!A" &amp; $AG12):INDIRECT("Table!" &amp; $AJ$64 &amp; $AG12),0)))))</f>
        <v>1.1073232289838992</v>
      </c>
      <c r="K12" s="596">
        <f ca="1">IF(ISERROR(MATCH(K$1,INDIRECT("Table!A"&amp;$AG12):INDIRECT("Table!" &amp; $AJ$64 &amp; $AG12),0)),"",INDIRECT(CONCATENATE("Table!",ADDRESS($AC12,MATCH(K$1,INDIRECT("Table!A" &amp; $AG12):INDIRECT("Table!" &amp; $AJ$64 &amp; $AG12),0)))))</f>
        <v>0.75011534280175229</v>
      </c>
      <c r="L12" s="596">
        <f ca="1">IF(ISERROR(MATCH(L$1,INDIRECT("Table!A"&amp;$AG12):INDIRECT("Table!" &amp; $AJ$86 &amp; $AG12),0)),"",INDIRECT(CONCATENATE("Table!",ADDRESS($AC12,MATCH(L$1,INDIRECT("Table!A" &amp; $AG12):INDIRECT("Table!" &amp; $AJ$86 &amp; $AG12),0)))))</f>
        <v>1.3303106733647931</v>
      </c>
      <c r="M12" s="596">
        <f ca="1">IF(ISERROR(MATCH(M$1,INDIRECT("Table!A"&amp;$AG12):INDIRECT("Table!" &amp; $AJ$86 &amp; $AG12),0)),"",INDIRECT(CONCATENATE("Table!",ADDRESS($AC12,MATCH(M$1,INDIRECT("Table!A" &amp; $AG12):INDIRECT("Table!" &amp; $AJ$86 &amp; $AG12),0)))))</f>
        <v>0.83650063358601467</v>
      </c>
      <c r="N12" s="596">
        <f ca="1">IF(ISERROR(MATCH(N$1,INDIRECT("Table!A"&amp;$AG12):INDIRECT("Table!" &amp; $AJ$86 &amp; $AG12),0)),"",INDIRECT(CONCATENATE("Table!",ADDRESS($AC12,MATCH(N$1,INDIRECT("Table!A" &amp; $AG12):INDIRECT("Table!" &amp; $AJ$86 &amp; $AG12),0)))))</f>
        <v>1.3927141288168903</v>
      </c>
      <c r="O12" s="596">
        <f ca="1">IF(ISERROR(MATCH(O$1,INDIRECT("Table!A"&amp;$AG12):INDIRECT("Table!" &amp; $AJ$64 &amp; $AG12),0)),"",INDIRECT(CONCATENATE("Table!",ADDRESS($AC12,MATCH(O$1,INDIRECT("Table!A" &amp; $AG12):INDIRECT("Table!" &amp; $AJ$64 &amp; $AG12),0)))))</f>
        <v>0.70894368023223808</v>
      </c>
      <c r="P12" s="596">
        <f ca="1">IF(ISERROR(MATCH(P$1,INDIRECT("Table!A"&amp;$AG12):INDIRECT("Table!" &amp; $AJ$64 &amp; $AG12),0)),"",INDIRECT(CONCATENATE("Table!",ADDRESS($AC12,MATCH(P$1,INDIRECT("Table!A" &amp; $AG12):INDIRECT("Table!" &amp; $AJ$64 &amp; $AG12),0)))))</f>
        <v>0.740615326811081</v>
      </c>
      <c r="Q12" s="596">
        <f ca="1">IF(ISERROR(MATCH(Q$1,INDIRECT("Table!A"&amp;$AG12):INDIRECT("Table!" &amp; $AJ$64 &amp; $AG12),0)),"",INDIRECT(CONCATENATE("Table!",ADDRESS($AC12,MATCH(Q$1,INDIRECT("Table!A" &amp; $AG12):INDIRECT("Table!" &amp; $AJ$64 &amp; $AG12),0)))))</f>
        <v>0.78055535434525525</v>
      </c>
      <c r="R12" s="596">
        <f ca="1">IF(ISERROR(MATCH(R$1,INDIRECT("Table!A"&amp;$AG12):INDIRECT("Table!" &amp; $AJ$64 &amp; $AG12),0)),"",INDIRECT(CONCATENATE("Table!",ADDRESS($AC12,MATCH(R$1,INDIRECT("Table!A" &amp; $AG12):INDIRECT("Table!" &amp; $AJ$64 &amp; $AG12),0)))))</f>
        <v>1.3884281380204146</v>
      </c>
      <c r="S12" s="596">
        <f ca="1">IF(ISERROR(MATCH(S$1,INDIRECT("Table!A"&amp;$AG12):INDIRECT("Table!" &amp; $AJ$43 &amp; $AG12),0)),"",INDIRECT(CONCATENATE("Table!",ADDRESS($AC12,MATCH(S$1,INDIRECT("Table!A" &amp; $AG12):INDIRECT("Table!" &amp; $AJ$43 &amp; $AG12),0)))))</f>
        <v>1.0490901706224727</v>
      </c>
      <c r="T12" s="596">
        <f ca="1">IF(ISERROR(MATCH(T$1,INDIRECT("Table!A"&amp;$AG12):INDIRECT("Table!" &amp; $AJ$43 &amp; $AG12),0)),"",INDIRECT(CONCATENATE("Table!",ADDRESS($AC12,MATCH(T$1,INDIRECT("Table!A" &amp; $AG12):INDIRECT("Table!" &amp; $AJ$43 &amp; $AG12),0)))))</f>
        <v>1.1238830177845605</v>
      </c>
      <c r="U12" s="596">
        <f ca="1">IF(ISERROR(MATCH(U$1,INDIRECT("Table!A"&amp;$AG12):INDIRECT("Table!" &amp; $AJ$43 &amp; $AG12),0)),"",INDIRECT(CONCATENATE("Table!",ADDRESS($AC12,MATCH(U$1,INDIRECT("Table!A" &amp; $AG12):INDIRECT("Table!" &amp; $AJ$43 &amp; $AG12),0)))))</f>
        <v>0.38831964891165549</v>
      </c>
      <c r="V12" s="596">
        <f ca="1">IF(ISERROR(MATCH(V$1,INDIRECT("Table!A"&amp;$AG12):INDIRECT("Table!" &amp; $AJ$43 &amp; $AG12),0)),"",INDIRECT(CONCATENATE("Table!",ADDRESS($AC12,MATCH(V$1,INDIRECT("Table!A" &amp; $AG12):INDIRECT("Table!" &amp; $AJ$43 &amp; $AG12),0)))))</f>
        <v>0.18942993797032409</v>
      </c>
      <c r="W12" s="596">
        <f ca="1">IF(ISERROR(MATCH(W$1,INDIRECT("Table!A"&amp;$AG12):INDIRECT("Table!" &amp; $AJ$43 &amp; $AG12),0)),"",INDIRECT(CONCATENATE("Table!",ADDRESS($AC12,MATCH(W$1,INDIRECT("Table!A" &amp; $AG12):INDIRECT("Table!" &amp; $AJ$43 &amp; $AG12),0)))))</f>
        <v>7.6542190779527675E-2</v>
      </c>
      <c r="X12" s="596">
        <f ca="1">IF(ISERROR(MATCH(X$1,INDIRECT("Table!A"&amp;$AG12):INDIRECT("Table!" &amp; $AJ$43 &amp; $AG12),0)),"",INDIRECT(CONCATENATE("Table!",ADDRESS($AC12,MATCH(X$1,INDIRECT("Table!A" &amp; $AG12):INDIRECT("Table!" &amp; $AJ$43 &amp; $AG12),0)))))</f>
        <v>4.7478191759766863E-2</v>
      </c>
      <c r="Y12" s="596" t="str">
        <f ca="1">IF(ISERROR(MATCH(Y$1,INDIRECT("Table!A"&amp;$AG12):INDIRECT("Table!" &amp; $AJ$43 &amp; $AG12),0)),"",INDIRECT(CONCATENATE("Table!",ADDRESS($AC12,MATCH(Y$1,INDIRECT("Table!A" &amp; $AG12):INDIRECT("Table!" &amp; $AJ$43 &amp; $AG12),0)))))</f>
        <v/>
      </c>
      <c r="Z12" s="596" t="str">
        <f ca="1">IF(ISERROR(MATCH(Z$1,INDIRECT("Table!A"&amp;$AG12):INDIRECT("Table!" &amp; $AJ$43 &amp; $AG12),0)),"",INDIRECT(CONCATENATE("Table!",ADDRESS($AC12,MATCH(Z$1,INDIRECT("Table!A" &amp; $AG12):INDIRECT("Table!" &amp; $AJ$43 &amp; $AG12),0)))))</f>
        <v/>
      </c>
      <c r="AA12" s="596" t="str">
        <f ca="1">IF(ISERROR(MATCH(AA$1,INDIRECT("Table!A"&amp;$AG12):INDIRECT("Table!" &amp; $AJ$43 &amp; $AG12),0)),"",INDIRECT(CONCATENATE("Table!",ADDRESS($AC12,MATCH(AA$1,INDIRECT("Table!A" &amp; $AG12):INDIRECT("Table!" &amp; $AJ$43 &amp; $AG12),0)))))</f>
        <v/>
      </c>
      <c r="AB12" s="596" t="str">
        <f ca="1">IF(ISERROR(MATCH(AB$1,INDIRECT("Table!A"&amp;$AG12):INDIRECT("Table!" &amp; $AJ$43 &amp; $AG12),0)),"",INDIRECT(CONCATENATE("Table!",ADDRESS($AC12,MATCH(AB$1,INDIRECT("Table!A" &amp; $AG12):INDIRECT("Table!" &amp; $AJ$43 &amp; $AG12),0)))))</f>
        <v/>
      </c>
      <c r="AC12" s="595">
        <f>MATCH($A12,Table!$A:$A,0)+$AE$2-1</f>
        <v>138</v>
      </c>
      <c r="AD12" s="816"/>
      <c r="AE12" s="816"/>
      <c r="AF12" s="816"/>
      <c r="AG12" s="595">
        <f>MATCH($A12,Table!$A:$A,0)+$AI$2-1</f>
        <v>129</v>
      </c>
      <c r="AH12" s="816"/>
      <c r="AI12" s="816"/>
      <c r="AJ12" s="904" t="s">
        <v>285</v>
      </c>
    </row>
    <row r="13" spans="1:36" s="743" customFormat="1" ht="19.5" customHeight="1" x14ac:dyDescent="0.25">
      <c r="A13" s="592">
        <v>41745</v>
      </c>
      <c r="B13" s="596">
        <f ca="1">IF(ISERROR(MATCH(B$1,INDIRECT("Table!A"&amp;$AG13):INDIRECT("Table!" &amp; $AJ$86 &amp; $AG13),0)),"",INDIRECT(CONCATENATE("Table!",ADDRESS($AC13,MATCH(B$1,INDIRECT("Table!A" &amp; $AG13):INDIRECT("Table!" &amp; $AJ$86 &amp; $AG13),0)))))</f>
        <v>0.74441657094037883</v>
      </c>
      <c r="C13" s="596">
        <f ca="1">IF(ISERROR(MATCH(C$1,INDIRECT("Table!A"&amp;$AG13):INDIRECT("Table!" &amp; $AJ$86 &amp; $AG13),0)),"",INDIRECT(CONCATENATE("Table!",ADDRESS($AC13,MATCH(C$1,INDIRECT("Table!A" &amp; $AG13):INDIRECT("Table!" &amp; $AJ$86 &amp; $AG13),0)))))</f>
        <v>0.65836058723051982</v>
      </c>
      <c r="D13" s="596">
        <f ca="1">IF(ISERROR(MATCH(D$1,INDIRECT("Table!A"&amp;$AG13):INDIRECT("Table!" &amp; $AJ$86 &amp; $AG13),0)),"",INDIRECT(CONCATENATE("Table!",ADDRESS($AC13,MATCH(D$1,INDIRECT("Table!A" &amp; $AG13):INDIRECT("Table!" &amp; $AJ$86 &amp; $AG13),0)))))</f>
        <v>0.66418480474259656</v>
      </c>
      <c r="E13" s="596">
        <f ca="1">IF(ISERROR(MATCH(E$1,INDIRECT("Table!A"&amp;$AG13):INDIRECT("Table!" &amp; $AJ$86 &amp; $AG13),0)),"",INDIRECT(CONCATENATE("Table!",ADDRESS($AC13,MATCH(E$1,INDIRECT("Table!A" &amp; $AG13):INDIRECT("Table!" &amp; $AJ$86 &amp; $AG13),0)))))</f>
        <v>1.426127348092405</v>
      </c>
      <c r="F13" s="596">
        <f ca="1">IF(ISERROR(MATCH(F$1,INDIRECT("Table!A"&amp;$AG13):INDIRECT("Table!" &amp; $AJ$86 &amp; $AG13),0)),"",INDIRECT(CONCATENATE("Table!",ADDRESS($AC13,MATCH(F$1,INDIRECT("Table!A" &amp; $AG13):INDIRECT("Table!" &amp; $AJ$86 &amp; $AG13),0)))))</f>
        <v>0.698074113040273</v>
      </c>
      <c r="G13" s="596">
        <f ca="1">IF(ISERROR(MATCH(G$1,INDIRECT("Table!A"&amp;$AG13):INDIRECT("Table!" &amp; $AJ$86 &amp; $AG13),0)),"",INDIRECT(CONCATENATE("Table!",ADDRESS($AC13,MATCH(G$1,INDIRECT("Table!A" &amp; $AG13):INDIRECT("Table!" &amp; $AJ$86 &amp; $AG13),0)))))</f>
        <v>1.1788246774752569</v>
      </c>
      <c r="H13" s="596">
        <f ca="1">IF(ISERROR(MATCH(H$1,INDIRECT("Table!A"&amp;$AG13):INDIRECT("Table!" &amp; $AJ$86 &amp; $AG13),0)),"",INDIRECT(CONCATENATE("Table!",ADDRESS($AC13,MATCH(H$1,INDIRECT("Table!A" &amp; $AG13):INDIRECT("Table!" &amp; $AJ$86 &amp; $AG13),0)))))</f>
        <v>1.396710043000311</v>
      </c>
      <c r="I13" s="596">
        <f ca="1">IF(ISERROR(MATCH(I$1,INDIRECT("Table!A"&amp;$AG13):INDIRECT("Table!" &amp; $AJ$64 &amp; $AG13),0)),"",INDIRECT(CONCATENATE("Table!",ADDRESS($AC13,MATCH(I$1,INDIRECT("Table!A" &amp; $AG13):INDIRECT("Table!" &amp; $AJ$64 &amp; $AG13),0)))))</f>
        <v>0.27935439935114786</v>
      </c>
      <c r="J13" s="596">
        <f ca="1">IF(ISERROR(MATCH(J$1,INDIRECT("Table!A"&amp;$AG13):INDIRECT("Table!" &amp; $AJ$64 &amp; $AG13),0)),"",INDIRECT(CONCATENATE("Table!",ADDRESS($AC13,MATCH(J$1,INDIRECT("Table!A" &amp; $AG13):INDIRECT("Table!" &amp; $AJ$64 &amp; $AG13),0)))))</f>
        <v>1.1043326678449787</v>
      </c>
      <c r="K13" s="596">
        <f ca="1">IF(ISERROR(MATCH(K$1,INDIRECT("Table!A"&amp;$AG13):INDIRECT("Table!" &amp; $AJ$64 &amp; $AG13),0)),"",INDIRECT(CONCATENATE("Table!",ADDRESS($AC13,MATCH(K$1,INDIRECT("Table!A" &amp; $AG13):INDIRECT("Table!" &amp; $AJ$64 &amp; $AG13),0)))))</f>
        <v>0.74499921007251257</v>
      </c>
      <c r="L13" s="596">
        <f ca="1">IF(ISERROR(MATCH(L$1,INDIRECT("Table!A"&amp;$AG13):INDIRECT("Table!" &amp; $AJ$86 &amp; $AG13),0)),"",INDIRECT(CONCATENATE("Table!",ADDRESS($AC13,MATCH(L$1,INDIRECT("Table!A" &amp; $AG13):INDIRECT("Table!" &amp; $AJ$86 &amp; $AG13),0)))))</f>
        <v>1.3303106733647931</v>
      </c>
      <c r="M13" s="596">
        <f ca="1">IF(ISERROR(MATCH(M$1,INDIRECT("Table!A"&amp;$AG13):INDIRECT("Table!" &amp; $AJ$86 &amp; $AG13),0)),"",INDIRECT(CONCATENATE("Table!",ADDRESS($AC13,MATCH(M$1,INDIRECT("Table!A" &amp; $AG13):INDIRECT("Table!" &amp; $AJ$86 &amp; $AG13),0)))))</f>
        <v>0.83696227852728733</v>
      </c>
      <c r="N13" s="596">
        <f ca="1">IF(ISERROR(MATCH(N$1,INDIRECT("Table!A"&amp;$AG13):INDIRECT("Table!" &amp; $AJ$86 &amp; $AG13),0)),"",INDIRECT(CONCATENATE("Table!",ADDRESS($AC13,MATCH(N$1,INDIRECT("Table!A" &amp; $AG13):INDIRECT("Table!" &amp; $AJ$86 &amp; $AG13),0)))))</f>
        <v>1.4048953019552304</v>
      </c>
      <c r="O13" s="596">
        <f ca="1">IF(ISERROR(MATCH(O$1,INDIRECT("Table!A"&amp;$AG13):INDIRECT("Table!" &amp; $AJ$64 &amp; $AG13),0)),"",INDIRECT(CONCATENATE("Table!",ADDRESS($AC13,MATCH(O$1,INDIRECT("Table!A" &amp; $AG13):INDIRECT("Table!" &amp; $AJ$64 &amp; $AG13),0)))))</f>
        <v>0.72945737955690471</v>
      </c>
      <c r="P13" s="596">
        <f ca="1">IF(ISERROR(MATCH(P$1,INDIRECT("Table!A"&amp;$AG13):INDIRECT("Table!" &amp; $AJ$64 &amp; $AG13),0)),"",INDIRECT(CONCATENATE("Table!",ADDRESS($AC13,MATCH(P$1,INDIRECT("Table!A" &amp; $AG13):INDIRECT("Table!" &amp; $AJ$64 &amp; $AG13),0)))))</f>
        <v>0.740615326811081</v>
      </c>
      <c r="Q13" s="596">
        <f ca="1">IF(ISERROR(MATCH(Q$1,INDIRECT("Table!A"&amp;$AG13):INDIRECT("Table!" &amp; $AJ$64 &amp; $AG13),0)),"",INDIRECT(CONCATENATE("Table!",ADDRESS($AC13,MATCH(Q$1,INDIRECT("Table!A" &amp; $AG13):INDIRECT("Table!" &amp; $AJ$64 &amp; $AG13),0)))))</f>
        <v>0.77791596518493533</v>
      </c>
      <c r="R13" s="596">
        <f ca="1">IF(ISERROR(MATCH(R$1,INDIRECT("Table!A"&amp;$AG13):INDIRECT("Table!" &amp; $AJ$64 &amp; $AG13),0)),"",INDIRECT(CONCATENATE("Table!",ADDRESS($AC13,MATCH(R$1,INDIRECT("Table!A" &amp; $AG13):INDIRECT("Table!" &amp; $AJ$64 &amp; $AG13),0)))))</f>
        <v>1.3837634287672846</v>
      </c>
      <c r="S13" s="596">
        <f ca="1">IF(ISERROR(MATCH(S$1,INDIRECT("Table!A"&amp;$AG13):INDIRECT("Table!" &amp; $AJ$43 &amp; $AG13),0)),"",INDIRECT(CONCATENATE("Table!",ADDRESS($AC13,MATCH(S$1,INDIRECT("Table!A" &amp; $AG13):INDIRECT("Table!" &amp; $AJ$43 &amp; $AG13),0)))))</f>
        <v>1.0490901706224727</v>
      </c>
      <c r="T13" s="596">
        <f ca="1">IF(ISERROR(MATCH(T$1,INDIRECT("Table!A"&amp;$AG13):INDIRECT("Table!" &amp; $AJ$43 &amp; $AG13),0)),"",INDIRECT(CONCATENATE("Table!",ADDRESS($AC13,MATCH(T$1,INDIRECT("Table!A" &amp; $AG13):INDIRECT("Table!" &amp; $AJ$43 &amp; $AG13),0)))))</f>
        <v>1.1238830177845605</v>
      </c>
      <c r="U13" s="596">
        <f ca="1">IF(ISERROR(MATCH(U$1,INDIRECT("Table!A"&amp;$AG13):INDIRECT("Table!" &amp; $AJ$43 &amp; $AG13),0)),"",INDIRECT(CONCATENATE("Table!",ADDRESS($AC13,MATCH(U$1,INDIRECT("Table!A" &amp; $AG13):INDIRECT("Table!" &amp; $AJ$43 &amp; $AG13),0)))))</f>
        <v>0.38831964891165549</v>
      </c>
      <c r="V13" s="596">
        <f ca="1">IF(ISERROR(MATCH(V$1,INDIRECT("Table!A"&amp;$AG13):INDIRECT("Table!" &amp; $AJ$43 &amp; $AG13),0)),"",INDIRECT(CONCATENATE("Table!",ADDRESS($AC13,MATCH(V$1,INDIRECT("Table!A" &amp; $AG13):INDIRECT("Table!" &amp; $AJ$43 &amp; $AG13),0)))))</f>
        <v>0.18942993797032409</v>
      </c>
      <c r="W13" s="596">
        <f ca="1">IF(ISERROR(MATCH(W$1,INDIRECT("Table!A"&amp;$AG13):INDIRECT("Table!" &amp; $AJ$43 &amp; $AG13),0)),"",INDIRECT(CONCATENATE("Table!",ADDRESS($AC13,MATCH(W$1,INDIRECT("Table!A" &amp; $AG13):INDIRECT("Table!" &amp; $AJ$43 &amp; $AG13),0)))))</f>
        <v>-3.2992323611865374E-4</v>
      </c>
      <c r="X13" s="596">
        <f ca="1">IF(ISERROR(MATCH(X$1,INDIRECT("Table!A"&amp;$AG13):INDIRECT("Table!" &amp; $AJ$43 &amp; $AG13),0)),"",INDIRECT(CONCATENATE("Table!",ADDRESS($AC13,MATCH(X$1,INDIRECT("Table!A" &amp; $AG13):INDIRECT("Table!" &amp; $AJ$43 &amp; $AG13),0)))))</f>
        <v>-1.6094302291446395E-4</v>
      </c>
      <c r="Y13" s="596" t="str">
        <f ca="1">IF(ISERROR(MATCH(Y$1,INDIRECT("Table!A"&amp;$AG13):INDIRECT("Table!" &amp; $AJ$43 &amp; $AG13),0)),"",INDIRECT(CONCATENATE("Table!",ADDRESS($AC13,MATCH(Y$1,INDIRECT("Table!A" &amp; $AG13):INDIRECT("Table!" &amp; $AJ$43 &amp; $AG13),0)))))</f>
        <v/>
      </c>
      <c r="Z13" s="596" t="str">
        <f ca="1">IF(ISERROR(MATCH(Z$1,INDIRECT("Table!A"&amp;$AG13):INDIRECT("Table!" &amp; $AJ$43 &amp; $AG13),0)),"",INDIRECT(CONCATENATE("Table!",ADDRESS($AC13,MATCH(Z$1,INDIRECT("Table!A" &amp; $AG13):INDIRECT("Table!" &amp; $AJ$43 &amp; $AG13),0)))))</f>
        <v/>
      </c>
      <c r="AA13" s="596" t="str">
        <f ca="1">IF(ISERROR(MATCH(AA$1,INDIRECT("Table!A"&amp;$AG13):INDIRECT("Table!" &amp; $AJ$43 &amp; $AG13),0)),"",INDIRECT(CONCATENATE("Table!",ADDRESS($AC13,MATCH(AA$1,INDIRECT("Table!A" &amp; $AG13):INDIRECT("Table!" &amp; $AJ$43 &amp; $AG13),0)))))</f>
        <v/>
      </c>
      <c r="AB13" s="596" t="str">
        <f ca="1">IF(ISERROR(MATCH(AB$1,INDIRECT("Table!A"&amp;$AG13):INDIRECT("Table!" &amp; $AJ$43 &amp; $AG13),0)),"",INDIRECT(CONCATENATE("Table!",ADDRESS($AC13,MATCH(AB$1,INDIRECT("Table!A" &amp; $AG13):INDIRECT("Table!" &amp; $AJ$43 &amp; $AG13),0)))))</f>
        <v/>
      </c>
      <c r="AC13" s="595">
        <f>MATCH($A13,Table!$A:$A,0)+$AE$2-1</f>
        <v>152</v>
      </c>
      <c r="AD13" s="769"/>
      <c r="AE13" s="769"/>
      <c r="AF13" s="769"/>
      <c r="AG13" s="595">
        <f>MATCH($A13,Table!$A:$A,0)+$AI$2-1</f>
        <v>143</v>
      </c>
      <c r="AH13" s="769"/>
      <c r="AI13" s="769"/>
      <c r="AJ13" s="904" t="s">
        <v>285</v>
      </c>
    </row>
    <row r="14" spans="1:36" s="743" customFormat="1" ht="19.5" customHeight="1" x14ac:dyDescent="0.25">
      <c r="A14" s="592">
        <v>41739</v>
      </c>
      <c r="B14" s="596">
        <f ca="1">IF(ISERROR(MATCH(B$1,INDIRECT("Table!A"&amp;$AG14):INDIRECT("Table!" &amp; $AJ$86 &amp; $AG14),0)),"",INDIRECT(CONCATENATE("Table!",ADDRESS($AC14,MATCH(B$1,INDIRECT("Table!A" &amp; $AG14):INDIRECT("Table!" &amp; $AJ$86 &amp; $AG14),0)))))</f>
        <v>0.74428171286593303</v>
      </c>
      <c r="C14" s="596">
        <f ca="1">IF(ISERROR(MATCH(C$1,INDIRECT("Table!A"&amp;$AG14):INDIRECT("Table!" &amp; $AJ$86 &amp; $AG14),0)),"",INDIRECT(CONCATENATE("Table!",ADDRESS($AC14,MATCH(C$1,INDIRECT("Table!A" &amp; $AG14):INDIRECT("Table!" &amp; $AJ$86 &amp; $AG14),0)))))</f>
        <v>0.65836058723051982</v>
      </c>
      <c r="D14" s="596">
        <f ca="1">IF(ISERROR(MATCH(D$1,INDIRECT("Table!A"&amp;$AG14):INDIRECT("Table!" &amp; $AJ$86 &amp; $AG14),0)),"",INDIRECT(CONCATENATE("Table!",ADDRESS($AC14,MATCH(D$1,INDIRECT("Table!A" &amp; $AG14):INDIRECT("Table!" &amp; $AJ$86 &amp; $AG14),0)))))</f>
        <v>0.66418480474259656</v>
      </c>
      <c r="E14" s="596">
        <f ca="1">IF(ISERROR(MATCH(E$1,INDIRECT("Table!A"&amp;$AG14):INDIRECT("Table!" &amp; $AJ$86 &amp; $AG14),0)),"",INDIRECT(CONCATENATE("Table!",ADDRESS($AC14,MATCH(E$1,INDIRECT("Table!A" &amp; $AG14):INDIRECT("Table!" &amp; $AJ$86 &amp; $AG14),0)))))</f>
        <v>1.4264978670189035</v>
      </c>
      <c r="F14" s="596">
        <f ca="1">IF(ISERROR(MATCH(F$1,INDIRECT("Table!A"&amp;$AG14):INDIRECT("Table!" &amp; $AJ$86 &amp; $AG14),0)),"",INDIRECT(CONCATENATE("Table!",ADDRESS($AC14,MATCH(F$1,INDIRECT("Table!A" &amp; $AG14):INDIRECT("Table!" &amp; $AJ$86 &amp; $AG14),0)))))</f>
        <v>0.7123122214064791</v>
      </c>
      <c r="G14" s="596">
        <f ca="1">IF(ISERROR(MATCH(G$1,INDIRECT("Table!A"&amp;$AG14):INDIRECT("Table!" &amp; $AJ$86 &amp; $AG14),0)),"",INDIRECT(CONCATENATE("Table!",ADDRESS($AC14,MATCH(G$1,INDIRECT("Table!A" &amp; $AG14):INDIRECT("Table!" &amp; $AJ$86 &amp; $AG14),0)))))</f>
        <v>1.1788246774752569</v>
      </c>
      <c r="H14" s="596">
        <f ca="1">IF(ISERROR(MATCH(H$1,INDIRECT("Table!A"&amp;$AG14):INDIRECT("Table!" &amp; $AJ$86 &amp; $AG14),0)),"",INDIRECT(CONCATENATE("Table!",ADDRESS($AC14,MATCH(H$1,INDIRECT("Table!A" &amp; $AG14):INDIRECT("Table!" &amp; $AJ$86 &amp; $AG14),0)))))</f>
        <v>1.3965139860038203</v>
      </c>
      <c r="I14" s="596">
        <f ca="1">IF(ISERROR(MATCH(I$1,INDIRECT("Table!A"&amp;$AG14):INDIRECT("Table!" &amp; $AJ$64 &amp; $AG14),0)),"",INDIRECT(CONCATENATE("Table!",ADDRESS($AC14,MATCH(I$1,INDIRECT("Table!A" &amp; $AG14):INDIRECT("Table!" &amp; $AJ$64 &amp; $AG14),0)))))</f>
        <v>0.27935439935114786</v>
      </c>
      <c r="J14" s="596">
        <f ca="1">IF(ISERROR(MATCH(J$1,INDIRECT("Table!A"&amp;$AG14):INDIRECT("Table!" &amp; $AJ$64 &amp; $AG14),0)),"",INDIRECT(CONCATENATE("Table!",ADDRESS($AC14,MATCH(J$1,INDIRECT("Table!A" &amp; $AG14):INDIRECT("Table!" &amp; $AJ$64 &amp; $AG14),0)))))</f>
        <v>1.0263062090386004</v>
      </c>
      <c r="K14" s="596">
        <f ca="1">IF(ISERROR(MATCH(K$1,INDIRECT("Table!A"&amp;$AG14):INDIRECT("Table!" &amp; $AJ$64 &amp; $AG14),0)),"",INDIRECT(CONCATENATE("Table!",ADDRESS($AC14,MATCH(K$1,INDIRECT("Table!A" &amp; $AG14):INDIRECT("Table!" &amp; $AJ$64 &amp; $AG14),0)))))</f>
        <v>0.74319351616807516</v>
      </c>
      <c r="L14" s="596">
        <f ca="1">IF(ISERROR(MATCH(L$1,INDIRECT("Table!A"&amp;$AG14):INDIRECT("Table!" &amp; $AJ$86 &amp; $AG14),0)),"",INDIRECT(CONCATENATE("Table!",ADDRESS($AC14,MATCH(L$1,INDIRECT("Table!A" &amp; $AG14):INDIRECT("Table!" &amp; $AJ$86 &amp; $AG14),0)))))</f>
        <v>1.3303106733647931</v>
      </c>
      <c r="M14" s="596">
        <f ca="1">IF(ISERROR(MATCH(M$1,INDIRECT("Table!A"&amp;$AG14):INDIRECT("Table!" &amp; $AJ$86 &amp; $AG14),0)),"",INDIRECT(CONCATENATE("Table!",ADDRESS($AC14,MATCH(M$1,INDIRECT("Table!A" &amp; $AG14):INDIRECT("Table!" &amp; $AJ$86 &amp; $AG14),0)))))</f>
        <v>0.83696227852728733</v>
      </c>
      <c r="N14" s="596">
        <f ca="1">IF(ISERROR(MATCH(N$1,INDIRECT("Table!A"&amp;$AG14):INDIRECT("Table!" &amp; $AJ$86 &amp; $AG14),0)),"",INDIRECT(CONCATENATE("Table!",ADDRESS($AC14,MATCH(N$1,INDIRECT("Table!A" &amp; $AG14):INDIRECT("Table!" &amp; $AJ$86 &amp; $AG14),0)))))</f>
        <v>1.4792004580991054</v>
      </c>
      <c r="O14" s="596">
        <f ca="1">IF(ISERROR(MATCH(O$1,INDIRECT("Table!A"&amp;$AG14):INDIRECT("Table!" &amp; $AJ$64 &amp; $AG14),0)),"",INDIRECT(CONCATENATE("Table!",ADDRESS($AC14,MATCH(O$1,INDIRECT("Table!A" &amp; $AG14):INDIRECT("Table!" &amp; $AJ$64 &amp; $AG14),0)))))</f>
        <v>0.72933527420378197</v>
      </c>
      <c r="P14" s="596">
        <f ca="1">IF(ISERROR(MATCH(P$1,INDIRECT("Table!A"&amp;$AG14):INDIRECT("Table!" &amp; $AJ$64 &amp; $AG14),0)),"",INDIRECT(CONCATENATE("Table!",ADDRESS($AC14,MATCH(P$1,INDIRECT("Table!A" &amp; $AG14):INDIRECT("Table!" &amp; $AJ$64 &amp; $AG14),0)))))</f>
        <v>0.740615326811081</v>
      </c>
      <c r="Q14" s="596">
        <f ca="1">IF(ISERROR(MATCH(Q$1,INDIRECT("Table!A"&amp;$AG14):INDIRECT("Table!" &amp; $AJ$64 &amp; $AG14),0)),"",INDIRECT(CONCATENATE("Table!",ADDRESS($AC14,MATCH(Q$1,INDIRECT("Table!A" &amp; $AG14):INDIRECT("Table!" &amp; $AJ$64 &amp; $AG14),0)))))</f>
        <v>0.72741565258414909</v>
      </c>
      <c r="R14" s="596">
        <f ca="1">IF(ISERROR(MATCH(R$1,INDIRECT("Table!A"&amp;$AG14):INDIRECT("Table!" &amp; $AJ$64 &amp; $AG14),0)),"",INDIRECT(CONCATENATE("Table!",ADDRESS($AC14,MATCH(R$1,INDIRECT("Table!A" &amp; $AG14):INDIRECT("Table!" &amp; $AJ$64 &amp; $AG14),0)))))</f>
        <v>1.3837634287672846</v>
      </c>
      <c r="S14" s="596">
        <f ca="1">IF(ISERROR(MATCH(S$1,INDIRECT("Table!A"&amp;$AG14):INDIRECT("Table!" &amp; $AJ$43 &amp; $AG14),0)),"",INDIRECT(CONCATENATE("Table!",ADDRESS($AC14,MATCH(S$1,INDIRECT("Table!A" &amp; $AG14):INDIRECT("Table!" &amp; $AJ$43 &amp; $AG14),0)))))</f>
        <v>1.0325835070986926</v>
      </c>
      <c r="T14" s="596">
        <f ca="1">IF(ISERROR(MATCH(T$1,INDIRECT("Table!A"&amp;$AG14):INDIRECT("Table!" &amp; $AJ$43 &amp; $AG14),0)),"",INDIRECT(CONCATENATE("Table!",ADDRESS($AC14,MATCH(T$1,INDIRECT("Table!A" &amp; $AG14):INDIRECT("Table!" &amp; $AJ$43 &amp; $AG14),0)))))</f>
        <v>1.107580090962663</v>
      </c>
      <c r="U14" s="596">
        <f ca="1">IF(ISERROR(MATCH(U$1,INDIRECT("Table!A"&amp;$AG14):INDIRECT("Table!" &amp; $AJ$43 &amp; $AG14),0)),"",INDIRECT(CONCATENATE("Table!",ADDRESS($AC14,MATCH(U$1,INDIRECT("Table!A" &amp; $AG14):INDIRECT("Table!" &amp; $AJ$43 &amp; $AG14),0)))))</f>
        <v>0.38831964891165549</v>
      </c>
      <c r="V14" s="596">
        <f ca="1">IF(ISERROR(MATCH(V$1,INDIRECT("Table!A"&amp;$AG14):INDIRECT("Table!" &amp; $AJ$43 &amp; $AG14),0)),"",INDIRECT(CONCATENATE("Table!",ADDRESS($AC14,MATCH(V$1,INDIRECT("Table!A" &amp; $AG14):INDIRECT("Table!" &amp; $AJ$43 &amp; $AG14),0)))))</f>
        <v>0.18942993797032409</v>
      </c>
      <c r="W14" s="596" t="str">
        <f ca="1">IF(ISERROR(MATCH(W$1,INDIRECT("Table!A"&amp;$AG14):INDIRECT("Table!" &amp; $AJ$43 &amp; $AG14),0)),"",INDIRECT(CONCATENATE("Table!",ADDRESS($AC14,MATCH(W$1,INDIRECT("Table!A" &amp; $AG14):INDIRECT("Table!" &amp; $AJ$43 &amp; $AG14),0)))))</f>
        <v/>
      </c>
      <c r="X14" s="596"/>
      <c r="Y14" s="596"/>
      <c r="Z14" s="596"/>
      <c r="AA14" s="596"/>
      <c r="AB14" s="596"/>
      <c r="AC14" s="595">
        <f>MATCH($A14,Table!$A:$A,0)+$AE$2-1</f>
        <v>166</v>
      </c>
      <c r="AD14" s="764"/>
      <c r="AE14" s="764"/>
      <c r="AF14" s="764"/>
      <c r="AG14" s="595">
        <f>MATCH($A14,Table!$A:$A,0)+$AI$2-1</f>
        <v>157</v>
      </c>
      <c r="AH14" s="764"/>
      <c r="AI14" s="764"/>
      <c r="AJ14" s="904" t="s">
        <v>285</v>
      </c>
    </row>
    <row r="15" spans="1:36" s="743" customFormat="1" ht="19.5" customHeight="1" x14ac:dyDescent="0.25">
      <c r="A15" s="592">
        <v>41732</v>
      </c>
      <c r="B15" s="596">
        <f ca="1">IF(ISERROR(MATCH(B$1,INDIRECT("Table!A"&amp;$AG15):INDIRECT("Table!" &amp; $AJ$86 &amp; $AG15),0)),"",INDIRECT(CONCATENATE("Table!",ADDRESS($AC15,MATCH(B$1,INDIRECT("Table!A" &amp; $AG15):INDIRECT("Table!" &amp; $AJ$86 &amp; $AG15),0)))))</f>
        <v>0.74320284827036731</v>
      </c>
      <c r="C15" s="596">
        <f ca="1">IF(ISERROR(MATCH(C$1,INDIRECT("Table!A"&amp;$AG15):INDIRECT("Table!" &amp; $AJ$86 &amp; $AG15),0)),"",INDIRECT(CONCATENATE("Table!",ADDRESS($AC15,MATCH(C$1,INDIRECT("Table!A" &amp; $AG15):INDIRECT("Table!" &amp; $AJ$86 &amp; $AG15),0)))))</f>
        <v>0.65836058723051982</v>
      </c>
      <c r="D15" s="596">
        <f ca="1">IF(ISERROR(MATCH(D$1,INDIRECT("Table!A"&amp;$AG15):INDIRECT("Table!" &amp; $AJ$86 &amp; $AG15),0)),"",INDIRECT(CONCATENATE("Table!",ADDRESS($AC15,MATCH(D$1,INDIRECT("Table!A" &amp; $AG15):INDIRECT("Table!" &amp; $AJ$86 &amp; $AG15),0)))))</f>
        <v>0.66418480474259656</v>
      </c>
      <c r="E15" s="596">
        <f ca="1">IF(ISERROR(MATCH(E$1,INDIRECT("Table!A"&amp;$AG15):INDIRECT("Table!" &amp; $AJ$86 &amp; $AG15),0)),"",INDIRECT(CONCATENATE("Table!",ADDRESS($AC15,MATCH(E$1,INDIRECT("Table!A" &amp; $AG15):INDIRECT("Table!" &amp; $AJ$86 &amp; $AG15),0)))))</f>
        <v>1.4264978670189035</v>
      </c>
      <c r="F15" s="596">
        <f ca="1">IF(ISERROR(MATCH(F$1,INDIRECT("Table!A"&amp;$AG15):INDIRECT("Table!" &amp; $AJ$86 &amp; $AG15),0)),"",INDIRECT(CONCATENATE("Table!",ADDRESS($AC15,MATCH(F$1,INDIRECT("Table!A" &amp; $AG15):INDIRECT("Table!" &amp; $AJ$86 &amp; $AG15),0)))))</f>
        <v>0.7123122214064791</v>
      </c>
      <c r="G15" s="596">
        <f ca="1">IF(ISERROR(MATCH(G$1,INDIRECT("Table!A"&amp;$AG15):INDIRECT("Table!" &amp; $AJ$86 &amp; $AG15),0)),"",INDIRECT(CONCATENATE("Table!",ADDRESS($AC15,MATCH(G$1,INDIRECT("Table!A" &amp; $AG15):INDIRECT("Table!" &amp; $AJ$86 &amp; $AG15),0)))))</f>
        <v>1.1788246774752569</v>
      </c>
      <c r="H15" s="596">
        <f ca="1">IF(ISERROR(MATCH(H$1,INDIRECT("Table!A"&amp;$AG15):INDIRECT("Table!" &amp; $AJ$86 &amp; $AG15),0)),"",INDIRECT(CONCATENATE("Table!",ADDRESS($AC15,MATCH(H$1,INDIRECT("Table!A" &amp; $AG15):INDIRECT("Table!" &amp; $AJ$86 &amp; $AG15),0)))))</f>
        <v>1.3941613020459309</v>
      </c>
      <c r="I15" s="596">
        <f ca="1">IF(ISERROR(MATCH(I$1,INDIRECT("Table!A"&amp;$AG15):INDIRECT("Table!" &amp; $AJ$64 &amp; $AG15),0)),"",INDIRECT(CONCATENATE("Table!",ADDRESS($AC15,MATCH(I$1,INDIRECT("Table!A" &amp; $AG15):INDIRECT("Table!" &amp; $AJ$64 &amp; $AG15),0)))))</f>
        <v>0.27813628423769809</v>
      </c>
      <c r="J15" s="596">
        <f ca="1">IF(ISERROR(MATCH(J$1,INDIRECT("Table!A"&amp;$AG15):INDIRECT("Table!" &amp; $AJ$64 &amp; $AG15),0)),"",INDIRECT(CONCATENATE("Table!",ADDRESS($AC15,MATCH(J$1,INDIRECT("Table!A" &amp; $AG15):INDIRECT("Table!" &amp; $AJ$64 &amp; $AG15),0)))))</f>
        <v>1.0233156478996801</v>
      </c>
      <c r="K15" s="596">
        <f ca="1">IF(ISERROR(MATCH(K$1,INDIRECT("Table!A"&amp;$AG15):INDIRECT("Table!" &amp; $AJ$64 &amp; $AG15),0)),"",INDIRECT(CONCATENATE("Table!",ADDRESS($AC15,MATCH(K$1,INDIRECT("Table!A" &amp; $AG15):INDIRECT("Table!" &amp; $AJ$64 &amp; $AG15),0)))))</f>
        <v>0.73341267418570522</v>
      </c>
      <c r="L15" s="596">
        <f ca="1">IF(ISERROR(MATCH(L$1,INDIRECT("Table!A"&amp;$AG15):INDIRECT("Table!" &amp; $AJ$86 &amp; $AG15),0)),"",INDIRECT(CONCATENATE("Table!",ADDRESS($AC15,MATCH(L$1,INDIRECT("Table!A" &amp; $AG15):INDIRECT("Table!" &amp; $AJ$86 &amp; $AG15),0)))))</f>
        <v>1.3303106733647931</v>
      </c>
      <c r="M15" s="596">
        <f ca="1">IF(ISERROR(MATCH(M$1,INDIRECT("Table!A"&amp;$AG15):INDIRECT("Table!" &amp; $AJ$86 &amp; $AG15),0)),"",INDIRECT(CONCATENATE("Table!",ADDRESS($AC15,MATCH(M$1,INDIRECT("Table!A" &amp; $AG15):INDIRECT("Table!" &amp; $AJ$86 &amp; $AG15),0)))))</f>
        <v>0.83696227852728733</v>
      </c>
      <c r="N15" s="596">
        <f ca="1">IF(ISERROR(MATCH(N$1,INDIRECT("Table!A"&amp;$AG15):INDIRECT("Table!" &amp; $AJ$86 &amp; $AG15),0)),"",INDIRECT(CONCATENATE("Table!",ADDRESS($AC15,MATCH(N$1,INDIRECT("Table!A" &amp; $AG15):INDIRECT("Table!" &amp; $AJ$86 &amp; $AG15),0)))))</f>
        <v>1.4792004580991054</v>
      </c>
      <c r="O15" s="596">
        <f ca="1">IF(ISERROR(MATCH(O$1,INDIRECT("Table!A"&amp;$AG15):INDIRECT("Table!" &amp; $AJ$64 &amp; $AG15),0)),"",INDIRECT(CONCATENATE("Table!",ADDRESS($AC15,MATCH(O$1,INDIRECT("Table!A" &amp; $AG15):INDIRECT("Table!" &amp; $AJ$64 &amp; $AG15),0)))))</f>
        <v>0.72787000996630558</v>
      </c>
      <c r="P15" s="596">
        <f ca="1">IF(ISERROR(MATCH(P$1,INDIRECT("Table!A"&amp;$AG15):INDIRECT("Table!" &amp; $AJ$64 &amp; $AG15),0)),"",INDIRECT(CONCATENATE("Table!",ADDRESS($AC15,MATCH(P$1,INDIRECT("Table!A" &amp; $AG15):INDIRECT("Table!" &amp; $AJ$64 &amp; $AG15),0)))))</f>
        <v>0.73817909218341304</v>
      </c>
      <c r="Q15" s="596">
        <f ca="1">IF(ISERROR(MATCH(Q$1,INDIRECT("Table!A"&amp;$AG15):INDIRECT("Table!" &amp; $AJ$64 &amp; $AG15),0)),"",INDIRECT(CONCATENATE("Table!",ADDRESS($AC15,MATCH(Q$1,INDIRECT("Table!A" &amp; $AG15):INDIRECT("Table!" &amp; $AJ$64 &amp; $AG15),0)))))</f>
        <v>0.7210811185993814</v>
      </c>
      <c r="R15" s="596">
        <f ca="1">IF(ISERROR(MATCH(R$1,INDIRECT("Table!A"&amp;$AG15):INDIRECT("Table!" &amp; $AJ$64 &amp; $AG15),0)),"",INDIRECT(CONCATENATE("Table!",ADDRESS($AC15,MATCH(R$1,INDIRECT("Table!A" &amp; $AG15):INDIRECT("Table!" &amp; $AJ$64 &amp; $AG15),0)))))</f>
        <v>1.3052157439242524</v>
      </c>
      <c r="S15" s="596">
        <f ca="1">IF(ISERROR(MATCH(S$1,INDIRECT("Table!A"&amp;$AG15):INDIRECT("Table!" &amp; $AJ$43 &amp; $AG15),0)),"",INDIRECT(CONCATENATE("Table!",ADDRESS($AC15,MATCH(S$1,INDIRECT("Table!A" &amp; $AG15):INDIRECT("Table!" &amp; $AJ$43 &amp; $AG15),0)))))</f>
        <v>1.0325835070986926</v>
      </c>
      <c r="T15" s="596">
        <f ca="1">IF(ISERROR(MATCH(T$1,INDIRECT("Table!A"&amp;$AG15):INDIRECT("Table!" &amp; $AJ$43 &amp; $AG15),0)),"",INDIRECT(CONCATENATE("Table!",ADDRESS($AC15,MATCH(T$1,INDIRECT("Table!A" &amp; $AG15):INDIRECT("Table!" &amp; $AJ$43 &amp; $AG15),0)))))</f>
        <v>1.107580090962663</v>
      </c>
      <c r="U15" s="596">
        <f ca="1">IF(ISERROR(MATCH(U$1,INDIRECT("Table!A"&amp;$AG15):INDIRECT("Table!" &amp; $AJ$43 &amp; $AG15),0)),"",INDIRECT(CONCATENATE("Table!",ADDRESS($AC15,MATCH(U$1,INDIRECT("Table!A" &amp; $AG15):INDIRECT("Table!" &amp; $AJ$43 &amp; $AG15),0)))))</f>
        <v>0.38337080036987564</v>
      </c>
      <c r="V15" s="596">
        <f ca="1">IF(ISERROR(MATCH(V$1,INDIRECT("Table!A"&amp;$AG15):INDIRECT("Table!" &amp; $AJ$43 &amp; $AG15),0)),"",INDIRECT(CONCATENATE("Table!",ADDRESS($AC15,MATCH(V$1,INDIRECT("Table!A" &amp; $AG15):INDIRECT("Table!" &amp; $AJ$43 &amp; $AG15),0)))))</f>
        <v>0.18701579262660711</v>
      </c>
      <c r="W15" s="596" t="str">
        <f ca="1">IF(ISERROR(MATCH(W$1,INDIRECT("Table!A"&amp;$AG15):INDIRECT("Table!" &amp; $AJ$43 &amp; $AG15),0)),"",INDIRECT(CONCATENATE("Table!",ADDRESS($AC15,MATCH(W$1,INDIRECT("Table!A" &amp; $AG15):INDIRECT("Table!" &amp; $AJ$43 &amp; $AG15),0)))))</f>
        <v/>
      </c>
      <c r="X15" s="596"/>
      <c r="Y15" s="596"/>
      <c r="Z15" s="596"/>
      <c r="AA15" s="596"/>
      <c r="AB15" s="596"/>
      <c r="AC15" s="595">
        <f>MATCH($A15,Table!$A:$A,0)+$AE$2-1</f>
        <v>180</v>
      </c>
      <c r="AD15" s="759"/>
      <c r="AE15" s="759"/>
      <c r="AF15" s="759"/>
      <c r="AG15" s="595">
        <f>MATCH($A15,Table!$A:$A,0)+$AI$2-1</f>
        <v>171</v>
      </c>
      <c r="AH15" s="759"/>
      <c r="AI15" s="759"/>
      <c r="AJ15" s="904" t="s">
        <v>285</v>
      </c>
    </row>
    <row r="16" spans="1:36" s="743" customFormat="1" ht="19.5" customHeight="1" x14ac:dyDescent="0.25">
      <c r="A16" s="592">
        <v>41725</v>
      </c>
      <c r="B16" s="596">
        <f ca="1">IF(ISERROR(MATCH(B$1,INDIRECT("Table!A"&amp;$AG16):INDIRECT("Table!" &amp; $AJ$86 &amp; $AG16),0)),"",INDIRECT(CONCATENATE("Table!",ADDRESS($AC16,MATCH(B$1,INDIRECT("Table!A" &amp; $AG16):INDIRECT("Table!" &amp; $AJ$86 &amp; $AG16),0)))))</f>
        <v>0.74320284827036731</v>
      </c>
      <c r="C16" s="596">
        <f ca="1">IF(ISERROR(MATCH(C$1,INDIRECT("Table!A"&amp;$AG16):INDIRECT("Table!" &amp; $AJ$86 &amp; $AG16),0)),"",INDIRECT(CONCATENATE("Table!",ADDRESS($AC16,MATCH(C$1,INDIRECT("Table!A" &amp; $AG16):INDIRECT("Table!" &amp; $AJ$86 &amp; $AG16),0)))))</f>
        <v>0.65836058723051982</v>
      </c>
      <c r="D16" s="596">
        <f ca="1">IF(ISERROR(MATCH(D$1,INDIRECT("Table!A"&amp;$AG16):INDIRECT("Table!" &amp; $AJ$86 &amp; $AG16),0)),"",INDIRECT(CONCATENATE("Table!",ADDRESS($AC16,MATCH(D$1,INDIRECT("Table!A" &amp; $AG16):INDIRECT("Table!" &amp; $AJ$86 &amp; $AG16),0)))))</f>
        <v>0.66418480474259656</v>
      </c>
      <c r="E16" s="596">
        <f ca="1">IF(ISERROR(MATCH(E$1,INDIRECT("Table!A"&amp;$AG16):INDIRECT("Table!" &amp; $AJ$86 &amp; $AG16),0)),"",INDIRECT(CONCATENATE("Table!",ADDRESS($AC16,MATCH(E$1,INDIRECT("Table!A" &amp; $AG16):INDIRECT("Table!" &amp; $AJ$86 &amp; $AG16),0)))))</f>
        <v>1.4264978670189035</v>
      </c>
      <c r="F16" s="596">
        <f ca="1">IF(ISERROR(MATCH(F$1,INDIRECT("Table!A"&amp;$AG16):INDIRECT("Table!" &amp; $AJ$86 &amp; $AG16),0)),"",INDIRECT(CONCATENATE("Table!",ADDRESS($AC16,MATCH(F$1,INDIRECT("Table!A" &amp; $AG16):INDIRECT("Table!" &amp; $AJ$86 &amp; $AG16),0)))))</f>
        <v>0.7123122214064791</v>
      </c>
      <c r="G16" s="596">
        <f ca="1">IF(ISERROR(MATCH(G$1,INDIRECT("Table!A"&amp;$AG16):INDIRECT("Table!" &amp; $AJ$86 &amp; $AG16),0)),"",INDIRECT(CONCATENATE("Table!",ADDRESS($AC16,MATCH(G$1,INDIRECT("Table!A" &amp; $AG16):INDIRECT("Table!" &amp; $AJ$86 &amp; $AG16),0)))))</f>
        <v>1.1788246774752569</v>
      </c>
      <c r="H16" s="596">
        <f ca="1">IF(ISERROR(MATCH(H$1,INDIRECT("Table!A"&amp;$AG16):INDIRECT("Table!" &amp; $AJ$86 &amp; $AG16),0)),"",INDIRECT(CONCATENATE("Table!",ADDRESS($AC16,MATCH(H$1,INDIRECT("Table!A" &amp; $AG16):INDIRECT("Table!" &amp; $AJ$86 &amp; $AG16),0)))))</f>
        <v>1.3941613020459309</v>
      </c>
      <c r="I16" s="596">
        <f ca="1">IF(ISERROR(MATCH(I$1,INDIRECT("Table!A"&amp;$AG16):INDIRECT("Table!" &amp; $AJ$64 &amp; $AG16),0)),"",INDIRECT(CONCATENATE("Table!",ADDRESS($AC16,MATCH(I$1,INDIRECT("Table!A" &amp; $AG16):INDIRECT("Table!" &amp; $AJ$64 &amp; $AG16),0)))))</f>
        <v>0.27813628423769809</v>
      </c>
      <c r="J16" s="596">
        <f ca="1">IF(ISERROR(MATCH(J$1,INDIRECT("Table!A"&amp;$AG16):INDIRECT("Table!" &amp; $AJ$64 &amp; $AG16),0)),"",INDIRECT(CONCATENATE("Table!",ADDRESS($AC16,MATCH(J$1,INDIRECT("Table!A" &amp; $AG16):INDIRECT("Table!" &amp; $AJ$64 &amp; $AG16),0)))))</f>
        <v>1.0233156478996801</v>
      </c>
      <c r="K16" s="596">
        <f ca="1">IF(ISERROR(MATCH(K$1,INDIRECT("Table!A"&amp;$AG16):INDIRECT("Table!" &amp; $AJ$64 &amp; $AG16),0)),"",INDIRECT(CONCATENATE("Table!",ADDRESS($AC16,MATCH(K$1,INDIRECT("Table!A" &amp; $AG16):INDIRECT("Table!" &amp; $AJ$64 &amp; $AG16),0)))))</f>
        <v>0.73341267418570522</v>
      </c>
      <c r="L16" s="596">
        <f ca="1">IF(ISERROR(MATCH(L$1,INDIRECT("Table!A"&amp;$AG16):INDIRECT("Table!" &amp; $AJ$86 &amp; $AG16),0)),"",INDIRECT(CONCATENATE("Table!",ADDRESS($AC16,MATCH(L$1,INDIRECT("Table!A" &amp; $AG16):INDIRECT("Table!" &amp; $AJ$86 &amp; $AG16),0)))))</f>
        <v>1.3303106733647931</v>
      </c>
      <c r="M16" s="596">
        <f ca="1">IF(ISERROR(MATCH(M$1,INDIRECT("Table!A"&amp;$AG16):INDIRECT("Table!" &amp; $AJ$86 &amp; $AG16),0)),"",INDIRECT(CONCATENATE("Table!",ADDRESS($AC16,MATCH(M$1,INDIRECT("Table!A" &amp; $AG16):INDIRECT("Table!" &amp; $AJ$86 &amp; $AG16),0)))))</f>
        <v>0.83696227852728733</v>
      </c>
      <c r="N16" s="596">
        <f ca="1">IF(ISERROR(MATCH(N$1,INDIRECT("Table!A"&amp;$AG16):INDIRECT("Table!" &amp; $AJ$86 &amp; $AG16),0)),"",INDIRECT(CONCATENATE("Table!",ADDRESS($AC16,MATCH(N$1,INDIRECT("Table!A" &amp; $AG16):INDIRECT("Table!" &amp; $AJ$86 &amp; $AG16),0)))))</f>
        <v>1.4792004580991054</v>
      </c>
      <c r="O16" s="596">
        <f ca="1">IF(ISERROR(MATCH(O$1,INDIRECT("Table!A"&amp;$AG16):INDIRECT("Table!" &amp; $AJ$64 &amp; $AG16),0)),"",INDIRECT(CONCATENATE("Table!",ADDRESS($AC16,MATCH(O$1,INDIRECT("Table!A" &amp; $AG16):INDIRECT("Table!" &amp; $AJ$64 &amp; $AG16),0)))))</f>
        <v>0.72787000996630558</v>
      </c>
      <c r="P16" s="596">
        <f ca="1">IF(ISERROR(MATCH(P$1,INDIRECT("Table!A"&amp;$AG16):INDIRECT("Table!" &amp; $AJ$64 &amp; $AG16),0)),"",INDIRECT(CONCATENATE("Table!",ADDRESS($AC16,MATCH(P$1,INDIRECT("Table!A" &amp; $AG16):INDIRECT("Table!" &amp; $AJ$64 &amp; $AG16),0)))))</f>
        <v>0.73817909218341304</v>
      </c>
      <c r="Q16" s="596">
        <f ca="1">IF(ISERROR(MATCH(Q$1,INDIRECT("Table!A"&amp;$AG16):INDIRECT("Table!" &amp; $AJ$64 &amp; $AG16),0)),"",INDIRECT(CONCATENATE("Table!",ADDRESS($AC16,MATCH(Q$1,INDIRECT("Table!A" &amp; $AG16):INDIRECT("Table!" &amp; $AJ$64 &amp; $AG16),0)))))</f>
        <v>0.7210811185993814</v>
      </c>
      <c r="R16" s="596">
        <f ca="1">IF(ISERROR(MATCH(R$1,INDIRECT("Table!A"&amp;$AG16):INDIRECT("Table!" &amp; $AJ$64 &amp; $AG16),0)),"",INDIRECT(CONCATENATE("Table!",ADDRESS($AC16,MATCH(R$1,INDIRECT("Table!A" &amp; $AG16):INDIRECT("Table!" &amp; $AJ$64 &amp; $AG16),0)))))</f>
        <v>1.3052157439242524</v>
      </c>
      <c r="S16" s="596">
        <f ca="1">IF(ISERROR(MATCH(S$1,INDIRECT("Table!A"&amp;$AG16):INDIRECT("Table!" &amp; $AJ$43 &amp; $AG16),0)),"",INDIRECT(CONCATENATE("Table!",ADDRESS($AC16,MATCH(S$1,INDIRECT("Table!A" &amp; $AG16):INDIRECT("Table!" &amp; $AJ$43 &amp; $AG16),0)))))</f>
        <v>1.0325835070986926</v>
      </c>
      <c r="T16" s="596">
        <f ca="1">IF(ISERROR(MATCH(T$1,INDIRECT("Table!A"&amp;$AG16):INDIRECT("Table!" &amp; $AJ$43 &amp; $AG16),0)),"",INDIRECT(CONCATENATE("Table!",ADDRESS($AC16,MATCH(T$1,INDIRECT("Table!A" &amp; $AG16):INDIRECT("Table!" &amp; $AJ$43 &amp; $AG16),0)))))</f>
        <v>1.107580090962663</v>
      </c>
      <c r="U16" s="596">
        <f ca="1">IF(ISERROR(MATCH(U$1,INDIRECT("Table!A"&amp;$AG16):INDIRECT("Table!" &amp; $AJ$43 &amp; $AG16),0)),"",INDIRECT(CONCATENATE("Table!",ADDRESS($AC16,MATCH(U$1,INDIRECT("Table!A" &amp; $AG16):INDIRECT("Table!" &amp; $AJ$43 &amp; $AG16),0)))))</f>
        <v>0.38337080036987564</v>
      </c>
      <c r="V16" s="596">
        <f ca="1">IF(ISERROR(MATCH(V$1,INDIRECT("Table!A"&amp;$AG16):INDIRECT("Table!" &amp; $AJ$43 &amp; $AG16),0)),"",INDIRECT(CONCATENATE("Table!",ADDRESS($AC16,MATCH(V$1,INDIRECT("Table!A" &amp; $AG16):INDIRECT("Table!" &amp; $AJ$43 &amp; $AG16),0)))))</f>
        <v>0.18701579262660711</v>
      </c>
      <c r="W16" s="596" t="str">
        <f ca="1">IF(ISERROR(MATCH(W$1,INDIRECT("Table!A"&amp;$AG16):INDIRECT("Table!" &amp; $AJ$43 &amp; $AG16),0)),"",INDIRECT(CONCATENATE("Table!",ADDRESS($AC16,MATCH(W$1,INDIRECT("Table!A" &amp; $AG16):INDIRECT("Table!" &amp; $AJ$43 &amp; $AG16),0)))))</f>
        <v/>
      </c>
      <c r="X16" s="596"/>
      <c r="Y16" s="596"/>
      <c r="Z16" s="596"/>
      <c r="AA16" s="596"/>
      <c r="AB16" s="596"/>
      <c r="AC16" s="595">
        <f>MATCH($A16,Table!$A:$A,0)+$AE$2-1</f>
        <v>194</v>
      </c>
      <c r="AD16" s="742"/>
      <c r="AE16" s="742"/>
      <c r="AF16" s="742"/>
      <c r="AG16" s="595">
        <f>MATCH($A16,Table!$A:$A,0)+$AI$2-1</f>
        <v>185</v>
      </c>
      <c r="AH16" s="742"/>
      <c r="AI16" s="742"/>
      <c r="AJ16" s="904" t="s">
        <v>285</v>
      </c>
    </row>
    <row r="17" spans="1:36" s="743" customFormat="1" ht="19.5" customHeight="1" x14ac:dyDescent="0.25">
      <c r="A17" s="592">
        <v>41709</v>
      </c>
      <c r="B17" s="596">
        <f ca="1">IF(ISERROR(MATCH(B$1,INDIRECT("Table!A"&amp;$AG17):INDIRECT("Table!" &amp; $AJ$86 &amp; $AG17),0)),"",INDIRECT(CONCATENATE("Table!",ADDRESS($AC17,MATCH(B$1,INDIRECT("Table!A" &amp; $AG17):INDIRECT("Table!" &amp; $AJ$86 &amp; $AG17),0)))))</f>
        <v>0.74724859050373893</v>
      </c>
      <c r="C17" s="596">
        <f ca="1">IF(ISERROR(MATCH(C$1,INDIRECT("Table!A"&amp;$AG17):INDIRECT("Table!" &amp; $AJ$86 &amp; $AG17),0)),"",INDIRECT(CONCATENATE("Table!",ADDRESS($AC17,MATCH(C$1,INDIRECT("Table!A" &amp; $AG17):INDIRECT("Table!" &amp; $AJ$86 &amp; $AG17),0)))))</f>
        <v>0.65836058723051982</v>
      </c>
      <c r="D17" s="596">
        <f ca="1">IF(ISERROR(MATCH(D$1,INDIRECT("Table!A"&amp;$AG17):INDIRECT("Table!" &amp; $AJ$86 &amp; $AG17),0)),"",INDIRECT(CONCATENATE("Table!",ADDRESS($AC17,MATCH(D$1,INDIRECT("Table!A" &amp; $AG17):INDIRECT("Table!" &amp; $AJ$86 &amp; $AG17),0)))))</f>
        <v>0.66418480474259656</v>
      </c>
      <c r="E17" s="596">
        <f ca="1">IF(ISERROR(MATCH(E$1,INDIRECT("Table!A"&amp;$AG17):INDIRECT("Table!" &amp; $AJ$86 &amp; $AG17),0)),"",INDIRECT(CONCATENATE("Table!",ADDRESS($AC17,MATCH(E$1,INDIRECT("Table!A" &amp; $AG17):INDIRECT("Table!" &amp; $AJ$86 &amp; $AG17),0)))))</f>
        <v>1.4353903212548655</v>
      </c>
      <c r="F17" s="596">
        <f ca="1">IF(ISERROR(MATCH(F$1,INDIRECT("Table!A"&amp;$AG17):INDIRECT("Table!" &amp; $AJ$86 &amp; $AG17),0)),"",INDIRECT(CONCATENATE("Table!",ADDRESS($AC17,MATCH(F$1,INDIRECT("Table!A" &amp; $AG17):INDIRECT("Table!" &amp; $AJ$86 &amp; $AG17),0)))))</f>
        <v>0.71800746475296151</v>
      </c>
      <c r="G17" s="596">
        <f ca="1">IF(ISERROR(MATCH(G$1,INDIRECT("Table!A"&amp;$AG17):INDIRECT("Table!" &amp; $AJ$86 &amp; $AG17),0)),"",INDIRECT(CONCATENATE("Table!",ADDRESS($AC17,MATCH(G$1,INDIRECT("Table!A" &amp; $AG17):INDIRECT("Table!" &amp; $AJ$86 &amp; $AG17),0)))))</f>
        <v>1.1788246774752569</v>
      </c>
      <c r="H17" s="596">
        <f ca="1">IF(ISERROR(MATCH(H$1,INDIRECT("Table!A"&amp;$AG17):INDIRECT("Table!" &amp; $AJ$86 &amp; $AG17),0)),"",INDIRECT(CONCATENATE("Table!",ADDRESS($AC17,MATCH(H$1,INDIRECT("Table!A" &amp; $AG17):INDIRECT("Table!" &amp; $AJ$86 &amp; $AG17),0)))))</f>
        <v>1.3914165040950601</v>
      </c>
      <c r="I17" s="596">
        <f ca="1">IF(ISERROR(MATCH(I$1,INDIRECT("Table!A"&amp;$AG17):INDIRECT("Table!" &amp; $AJ$64 &amp; $AG17),0)),"",INDIRECT(CONCATENATE("Table!",ADDRESS($AC17,MATCH(I$1,INDIRECT("Table!A" &amp; $AG17):INDIRECT("Table!" &amp; $AJ$64 &amp; $AG17),0)))))</f>
        <v>0.26697022903107515</v>
      </c>
      <c r="J17" s="596">
        <f ca="1">IF(ISERROR(MATCH(J$1,INDIRECT("Table!A"&amp;$AG17):INDIRECT("Table!" &amp; $AJ$64 &amp; $AG17),0)),"",INDIRECT(CONCATENATE("Table!",ADDRESS($AC17,MATCH(J$1,INDIRECT("Table!A" &amp; $AG17):INDIRECT("Table!" &amp; $AJ$64 &amp; $AG17),0)))))</f>
        <v>1.0159751796496026</v>
      </c>
      <c r="K17" s="596">
        <f ca="1">IF(ISERROR(MATCH(K$1,INDIRECT("Table!A"&amp;$AG17):INDIRECT("Table!" &amp; $AJ$64 &amp; $AG17),0)),"",INDIRECT(CONCATENATE("Table!",ADDRESS($AC17,MATCH(K$1,INDIRECT("Table!A" &amp; $AG17):INDIRECT("Table!" &amp; $AJ$64 &amp; $AG17),0)))))</f>
        <v>0.72498610263166341</v>
      </c>
      <c r="L17" s="596">
        <f ca="1">IF(ISERROR(MATCH(L$1,INDIRECT("Table!A"&amp;$AG17):INDIRECT("Table!" &amp; $AJ$86 &amp; $AG17),0)),"",INDIRECT(CONCATENATE("Table!",ADDRESS($AC17,MATCH(L$1,INDIRECT("Table!A" &amp; $AG17):INDIRECT("Table!" &amp; $AJ$86 &amp; $AG17),0)))))</f>
        <v>1.3303106733647931</v>
      </c>
      <c r="M17" s="596">
        <f ca="1">IF(ISERROR(MATCH(M$1,INDIRECT("Table!A"&amp;$AG17):INDIRECT("Table!" &amp; $AJ$86 &amp; $AG17),0)),"",INDIRECT(CONCATENATE("Table!",ADDRESS($AC17,MATCH(M$1,INDIRECT("Table!A" &amp; $AG17):INDIRECT("Table!" &amp; $AJ$86 &amp; $AG17),0)))))</f>
        <v>0.83650063358601467</v>
      </c>
      <c r="N17" s="596">
        <f ca="1">IF(ISERROR(MATCH(N$1,INDIRECT("Table!A"&amp;$AG17):INDIRECT("Table!" &amp; $AJ$86 &amp; $AG17),0)),"",INDIRECT(CONCATENATE("Table!",ADDRESS($AC17,MATCH(N$1,INDIRECT("Table!A" &amp; $AG17):INDIRECT("Table!" &amp; $AJ$86 &amp; $AG17),0)))))</f>
        <v>1.4930057876558909</v>
      </c>
      <c r="O17" s="596">
        <f ca="1">IF(ISERROR(MATCH(O$1,INDIRECT("Table!A"&amp;$AG17):INDIRECT("Table!" &amp; $AJ$64 &amp; $AG17),0)),"",INDIRECT(CONCATENATE("Table!",ADDRESS($AC17,MATCH(O$1,INDIRECT("Table!A" &amp; $AG17):INDIRECT("Table!" &amp; $AJ$64 &amp; $AG17),0)))))</f>
        <v>0.72616053502258326</v>
      </c>
      <c r="P17" s="596">
        <f ca="1">IF(ISERROR(MATCH(P$1,INDIRECT("Table!A"&amp;$AG17):INDIRECT("Table!" &amp; $AJ$64 &amp; $AG17),0)),"",INDIRECT(CONCATENATE("Table!",ADDRESS($AC17,MATCH(P$1,INDIRECT("Table!A" &amp; $AG17):INDIRECT("Table!" &amp; $AJ$64 &amp; $AG17),0)))))</f>
        <v>0.71584694142978933</v>
      </c>
      <c r="Q17" s="596">
        <f ca="1">IF(ISERROR(MATCH(Q$1,INDIRECT("Table!A"&amp;$AG17):INDIRECT("Table!" &amp; $AJ$64 &amp; $AG17),0)),"",INDIRECT(CONCATENATE("Table!",ADDRESS($AC17,MATCH(Q$1,INDIRECT("Table!A" &amp; $AG17):INDIRECT("Table!" &amp; $AJ$64 &amp; $AG17),0)))))</f>
        <v>0.72072920004467211</v>
      </c>
      <c r="R17" s="596">
        <f ca="1">IF(ISERROR(MATCH(R$1,INDIRECT("Table!A"&amp;$AG17):INDIRECT("Table!" &amp; $AJ$64 &amp; $AG17),0)),"",INDIRECT(CONCATENATE("Table!",ADDRESS($AC17,MATCH(R$1,INDIRECT("Table!A" &amp; $AG17):INDIRECT("Table!" &amp; $AJ$64 &amp; $AG17),0)))))</f>
        <v>1.2916730396409712</v>
      </c>
      <c r="S17" s="596">
        <f ca="1">IF(ISERROR(MATCH(S$1,INDIRECT("Table!A"&amp;$AG17):INDIRECT("Table!" &amp; $AJ$43 &amp; $AG17),0)),"",INDIRECT(CONCATENATE("Table!",ADDRESS($AC17,MATCH(S$1,INDIRECT("Table!A" &amp; $AG17):INDIRECT("Table!" &amp; $AJ$43 &amp; $AG17),0)))))</f>
        <v>1.0325835070986926</v>
      </c>
      <c r="T17" s="596">
        <f ca="1">IF(ISERROR(MATCH(T$1,INDIRECT("Table!A"&amp;$AG17):INDIRECT("Table!" &amp; $AJ$43 &amp; $AG17),0)),"",INDIRECT(CONCATENATE("Table!",ADDRESS($AC17,MATCH(T$1,INDIRECT("Table!A" &amp; $AG17):INDIRECT("Table!" &amp; $AJ$43 &amp; $AG17),0)))))</f>
        <v>1.107580090962663</v>
      </c>
      <c r="U17" s="596">
        <f ca="1">IF(ISERROR(MATCH(U$1,INDIRECT("Table!A"&amp;$AG17):INDIRECT("Table!" &amp; $AJ$43 &amp; $AG17),0)),"",INDIRECT(CONCATENATE("Table!",ADDRESS($AC17,MATCH(U$1,INDIRECT("Table!A" &amp; $AG17):INDIRECT("Table!" &amp; $AJ$43 &amp; $AG17),0)))))</f>
        <v>0.24843219679734627</v>
      </c>
      <c r="V17" s="596">
        <f ca="1">IF(ISERROR(MATCH(V$1,INDIRECT("Table!A"&amp;$AG17):INDIRECT("Table!" &amp; $AJ$43 &amp; $AG17),0)),"",INDIRECT(CONCATENATE("Table!",ADDRESS($AC17,MATCH(V$1,INDIRECT("Table!A" &amp; $AG17):INDIRECT("Table!" &amp; $AJ$43 &amp; $AG17),0)))))</f>
        <v>0.12119009625459136</v>
      </c>
      <c r="W17" s="596" t="str">
        <f ca="1">IF(ISERROR(MATCH(W$1,INDIRECT("Table!A"&amp;$AG17):INDIRECT("Table!" &amp; $AJ$43 &amp; $AG17),0)),"",INDIRECT(CONCATENATE("Table!",ADDRESS($AC17,MATCH(W$1,INDIRECT("Table!A" &amp; $AG17):INDIRECT("Table!" &amp; $AJ$43 &amp; $AG17),0)))))</f>
        <v/>
      </c>
      <c r="X17" s="596"/>
      <c r="Y17" s="596"/>
      <c r="Z17" s="596"/>
      <c r="AA17" s="596"/>
      <c r="AB17" s="596"/>
      <c r="AC17" s="595">
        <f>MATCH($A17,Table!$A:$A,0)+$AE$2-1</f>
        <v>208</v>
      </c>
      <c r="AD17" s="737"/>
      <c r="AE17" s="737"/>
      <c r="AF17" s="737"/>
      <c r="AG17" s="595">
        <f>MATCH($A17,Table!$A:$A,0)+$AI$2-1</f>
        <v>199</v>
      </c>
      <c r="AH17" s="737"/>
      <c r="AI17" s="737"/>
      <c r="AJ17" s="904" t="s">
        <v>285</v>
      </c>
    </row>
    <row r="18" spans="1:36" s="591" customFormat="1" ht="19.5" customHeight="1" x14ac:dyDescent="0.25">
      <c r="A18" s="592">
        <v>41704</v>
      </c>
      <c r="B18" s="596">
        <f ca="1">IF(ISERROR(MATCH(B$1,INDIRECT("Table!A"&amp;$AG18):INDIRECT("Table!" &amp; $AJ$86 &amp; $AG18),0)),"",INDIRECT(CONCATENATE("Table!",ADDRESS($AC18,MATCH(B$1,INDIRECT("Table!A" &amp; $AG18):INDIRECT("Table!" &amp; $AJ$86 &amp; $AG18),0)))))</f>
        <v>0.75722808801272223</v>
      </c>
      <c r="C18" s="596">
        <f ca="1">IF(ISERROR(MATCH(C$1,INDIRECT("Table!A"&amp;$AG18):INDIRECT("Table!" &amp; $AJ$86 &amp; $AG18),0)),"",INDIRECT(CONCATENATE("Table!",ADDRESS($AC18,MATCH(C$1,INDIRECT("Table!A" &amp; $AG18):INDIRECT("Table!" &amp; $AJ$86 &amp; $AG18),0)))))</f>
        <v>0.65836058723051982</v>
      </c>
      <c r="D18" s="596">
        <f ca="1">IF(ISERROR(MATCH(D$1,INDIRECT("Table!A"&amp;$AG18):INDIRECT("Table!" &amp; $AJ$86 &amp; $AG18),0)),"",INDIRECT(CONCATENATE("Table!",ADDRESS($AC18,MATCH(D$1,INDIRECT("Table!A" &amp; $AG18):INDIRECT("Table!" &amp; $AJ$86 &amp; $AG18),0)))))</f>
        <v>0.66418480474259656</v>
      </c>
      <c r="E18" s="596">
        <f ca="1">IF(ISERROR(MATCH(E$1,INDIRECT("Table!A"&amp;$AG18):INDIRECT("Table!" &amp; $AJ$86 &amp; $AG18),0)),"",INDIRECT(CONCATENATE("Table!",ADDRESS($AC18,MATCH(E$1,INDIRECT("Table!A" &amp; $AG18):INDIRECT("Table!" &amp; $AJ$86 &amp; $AG18),0)))))</f>
        <v>1.4998606144655899</v>
      </c>
      <c r="F18" s="596">
        <f ca="1">IF(ISERROR(MATCH(F$1,INDIRECT("Table!A"&amp;$AG18):INDIRECT("Table!" &amp; $AJ$86 &amp; $AG18),0)),"",INDIRECT(CONCATENATE("Table!",ADDRESS($AC18,MATCH(F$1,INDIRECT("Table!A" &amp; $AG18):INDIRECT("Table!" &amp; $AJ$86 &amp; $AG18),0)))))</f>
        <v>0.72980475454210358</v>
      </c>
      <c r="G18" s="596">
        <f ca="1">IF(ISERROR(MATCH(G$1,INDIRECT("Table!A"&amp;$AG18):INDIRECT("Table!" &amp; $AJ$86 &amp; $AG18),0)),"",INDIRECT(CONCATENATE("Table!",ADDRESS($AC18,MATCH(G$1,INDIRECT("Table!A" &amp; $AG18):INDIRECT("Table!" &amp; $AJ$86 &amp; $AG18),0)))))</f>
        <v>1.1788246774752569</v>
      </c>
      <c r="H18" s="596">
        <f ca="1">IF(ISERROR(MATCH(H$1,INDIRECT("Table!A"&amp;$AG18):INDIRECT("Table!" &amp; $AJ$86 &amp; $AG18),0)),"",INDIRECT(CONCATENATE("Table!",ADDRESS($AC18,MATCH(H$1,INDIRECT("Table!A" &amp; $AG18):INDIRECT("Table!" &amp; $AJ$86 &amp; $AG18),0)))))</f>
        <v>1.3914165040950601</v>
      </c>
      <c r="I18" s="596">
        <f ca="1">IF(ISERROR(MATCH(I$1,INDIRECT("Table!A"&amp;$AG18):INDIRECT("Table!" &amp; $AJ$64 &amp; $AG18),0)),"",INDIRECT(CONCATENATE("Table!",ADDRESS($AC18,MATCH(I$1,INDIRECT("Table!A" &amp; $AG18):INDIRECT("Table!" &amp; $AJ$64 &amp; $AG18),0)))))</f>
        <v>0.26169173020612613</v>
      </c>
      <c r="J18" s="596">
        <f ca="1">IF(ISERROR(MATCH(J$1,INDIRECT("Table!A"&amp;$AG18):INDIRECT("Table!" &amp; $AJ$64 &amp; $AG18),0)),"",INDIRECT(CONCATENATE("Table!",ADDRESS($AC18,MATCH(J$1,INDIRECT("Table!A" &amp; $AG18):INDIRECT("Table!" &amp; $AJ$64 &amp; $AG18),0)))))</f>
        <v>1.011897141732893</v>
      </c>
      <c r="K18" s="596">
        <f ca="1">IF(ISERROR(MATCH(K$1,INDIRECT("Table!A"&amp;$AG18):INDIRECT("Table!" &amp; $AJ$64 &amp; $AG18),0)),"",INDIRECT(CONCATENATE("Table!",ADDRESS($AC18,MATCH(K$1,INDIRECT("Table!A" &amp; $AG18):INDIRECT("Table!" &amp; $AJ$64 &amp; $AG18),0)))))</f>
        <v>0.71174434733245506</v>
      </c>
      <c r="L18" s="596">
        <f ca="1">IF(ISERROR(MATCH(L$1,INDIRECT("Table!A"&amp;$AG18):INDIRECT("Table!" &amp; $AJ$86 &amp; $AG18),0)),"",INDIRECT(CONCATENATE("Table!",ADDRESS($AC18,MATCH(L$1,INDIRECT("Table!A" &amp; $AG18):INDIRECT("Table!" &amp; $AJ$86 &amp; $AG18),0)))))</f>
        <v>1.4110096664181719</v>
      </c>
      <c r="M18" s="596">
        <f ca="1">IF(ISERROR(MATCH(M$1,INDIRECT("Table!A"&amp;$AG18):INDIRECT("Table!" &amp; $AJ$86 &amp; $AG18),0)),"",INDIRECT(CONCATENATE("Table!",ADDRESS($AC18,MATCH(M$1,INDIRECT("Table!A" &amp; $AG18):INDIRECT("Table!" &amp; $AJ$86 &amp; $AG18),0)))))</f>
        <v>0.83650063358601467</v>
      </c>
      <c r="N18" s="596">
        <f ca="1">IF(ISERROR(MATCH(N$1,INDIRECT("Table!A"&amp;$AG18):INDIRECT("Table!" &amp; $AJ$86 &amp; $AG18),0)),"",INDIRECT(CONCATENATE("Table!",ADDRESS($AC18,MATCH(N$1,INDIRECT("Table!A" &amp; $AG18):INDIRECT("Table!" &amp; $AJ$86 &amp; $AG18),0)))))</f>
        <v>1.5084352736311217</v>
      </c>
      <c r="O18" s="596">
        <f ca="1">IF(ISERROR(MATCH(O$1,INDIRECT("Table!A"&amp;$AG18):INDIRECT("Table!" &amp; $AJ$64 &amp; $AG18),0)),"",INDIRECT(CONCATENATE("Table!",ADDRESS($AC18,MATCH(O$1,INDIRECT("Table!A" &amp; $AG18):INDIRECT("Table!" &amp; $AJ$64 &amp; $AG18),0)))))</f>
        <v>0.72616053502258326</v>
      </c>
      <c r="P18" s="596">
        <f ca="1">IF(ISERROR(MATCH(P$1,INDIRECT("Table!A"&amp;$AG18):INDIRECT("Table!" &amp; $AJ$64 &amp; $AG18),0)),"",INDIRECT(CONCATENATE("Table!",ADDRESS($AC18,MATCH(P$1,INDIRECT("Table!A" &amp; $AG18):INDIRECT("Table!" &amp; $AJ$64 &amp; $AG18),0)))))</f>
        <v>0.7052899247098946</v>
      </c>
      <c r="Q18" s="596">
        <f ca="1">IF(ISERROR(MATCH(Q$1,INDIRECT("Table!A"&amp;$AG18):INDIRECT("Table!" &amp; $AJ$64 &amp; $AG18),0)),"",INDIRECT(CONCATENATE("Table!",ADDRESS($AC18,MATCH(Q$1,INDIRECT("Table!A" &amp; $AG18):INDIRECT("Table!" &amp; $AJ$64 &amp; $AG18),0)))))</f>
        <v>0.7180898108843522</v>
      </c>
      <c r="R18" s="596">
        <f ca="1">IF(ISERROR(MATCH(R$1,INDIRECT("Table!A"&amp;$AG18):INDIRECT("Table!" &amp; $AJ$64 &amp; $AG18),0)),"",INDIRECT(CONCATENATE("Table!",ADDRESS($AC18,MATCH(R$1,INDIRECT("Table!A" &amp; $AG18):INDIRECT("Table!" &amp; $AJ$64 &amp; $AG18),0)))))</f>
        <v>1.1625659254736886</v>
      </c>
      <c r="S18" s="596">
        <f ca="1">IF(ISERROR(MATCH(S$1,INDIRECT("Table!A"&amp;$AG18):INDIRECT("Table!" &amp; $AJ$43 &amp; $AG18),0)),"",INDIRECT(CONCATENATE("Table!",ADDRESS($AC18,MATCH(S$1,INDIRECT("Table!A" &amp; $AG18):INDIRECT("Table!" &amp; $AJ$43 &amp; $AG18),0)))))</f>
        <v>1.0325835070986926</v>
      </c>
      <c r="T18" s="596">
        <f ca="1">IF(ISERROR(MATCH(T$1,INDIRECT("Table!A"&amp;$AG18):INDIRECT("Table!" &amp; $AJ$43 &amp; $AG18),0)),"",INDIRECT(CONCATENATE("Table!",ADDRESS($AC18,MATCH(T$1,INDIRECT("Table!A" &amp; $AG18):INDIRECT("Table!" &amp; $AJ$43 &amp; $AG18),0)))))</f>
        <v>1.107580090962663</v>
      </c>
      <c r="U18" s="596">
        <f ca="1">IF(ISERROR(MATCH(U$1,INDIRECT("Table!A"&amp;$AG18):INDIRECT("Table!" &amp; $AJ$43 &amp; $AG18),0)),"",INDIRECT(CONCATENATE("Table!",ADDRESS($AC18,MATCH(U$1,INDIRECT("Table!A" &amp; $AG18):INDIRECT("Table!" &amp; $AJ$43 &amp; $AG18),0)))))</f>
        <v>0.21445010347712495</v>
      </c>
      <c r="V18" s="596">
        <f ca="1">IF(ISERROR(MATCH(V$1,INDIRECT("Table!A"&amp;$AG18):INDIRECT("Table!" &amp; $AJ$43 &amp; $AG18),0)),"",INDIRECT(CONCATENATE("Table!",ADDRESS($AC18,MATCH(V$1,INDIRECT("Table!A" &amp; $AG18):INDIRECT("Table!" &amp; $AJ$43 &amp; $AG18),0)))))</f>
        <v>0.10461296489440157</v>
      </c>
      <c r="W18" s="596" t="str">
        <f ca="1">IF(ISERROR(MATCH(W$1,INDIRECT("Table!A"&amp;$AG18):INDIRECT("Table!" &amp; $AJ$43 &amp; $AG18),0)),"",INDIRECT(CONCATENATE("Table!",ADDRESS($AC18,MATCH(W$1,INDIRECT("Table!A" &amp; $AG18):INDIRECT("Table!" &amp; $AJ$43 &amp; $AG18),0)))))</f>
        <v/>
      </c>
      <c r="X18" s="596"/>
      <c r="Y18" s="596"/>
      <c r="Z18" s="596"/>
      <c r="AA18" s="596"/>
      <c r="AB18" s="596"/>
      <c r="AC18" s="595">
        <f>MATCH($A18,Table!$A:$A,0)+$AE$2-1</f>
        <v>222</v>
      </c>
      <c r="AD18" s="732"/>
      <c r="AE18" s="732"/>
      <c r="AF18" s="732"/>
      <c r="AG18" s="595">
        <f>MATCH($A18,Table!$A:$A,0)+$AI$2-1</f>
        <v>213</v>
      </c>
      <c r="AH18" s="732"/>
      <c r="AI18" s="732"/>
      <c r="AJ18" s="904" t="s">
        <v>285</v>
      </c>
    </row>
    <row r="19" spans="1:36" s="591" customFormat="1" ht="19.5" customHeight="1" x14ac:dyDescent="0.25">
      <c r="A19" s="592">
        <v>41703</v>
      </c>
      <c r="B19" s="596">
        <f ca="1">IF(ISERROR(MATCH(B$1,INDIRECT("Table!A"&amp;$AG19):INDIRECT("Table!" &amp; $AJ$86 &amp; $AG19),0)),"",INDIRECT(CONCATENATE("Table!",ADDRESS($AC19,MATCH(B$1,INDIRECT("Table!A" &amp; $AG19):INDIRECT("Table!" &amp; $AJ$86 &amp; $AG19),0)))))</f>
        <v>0.75722808801272223</v>
      </c>
      <c r="C19" s="596">
        <f ca="1">IF(ISERROR(MATCH(C$1,INDIRECT("Table!A"&amp;$AG19):INDIRECT("Table!" &amp; $AJ$86 &amp; $AG19),0)),"",INDIRECT(CONCATENATE("Table!",ADDRESS($AC19,MATCH(C$1,INDIRECT("Table!A" &amp; $AG19):INDIRECT("Table!" &amp; $AJ$86 &amp; $AG19),0)))))</f>
        <v>0.65836058723051982</v>
      </c>
      <c r="D19" s="596">
        <f ca="1">IF(ISERROR(MATCH(D$1,INDIRECT("Table!A"&amp;$AG19):INDIRECT("Table!" &amp; $AJ$86 &amp; $AG19),0)),"",INDIRECT(CONCATENATE("Table!",ADDRESS($AC19,MATCH(D$1,INDIRECT("Table!A" &amp; $AG19):INDIRECT("Table!" &amp; $AJ$86 &amp; $AG19),0)))))</f>
        <v>0.66418480474259656</v>
      </c>
      <c r="E19" s="596">
        <f ca="1">IF(ISERROR(MATCH(E$1,INDIRECT("Table!A"&amp;$AG19):INDIRECT("Table!" &amp; $AJ$86 &amp; $AG19),0)),"",INDIRECT(CONCATENATE("Table!",ADDRESS($AC19,MATCH(E$1,INDIRECT("Table!A" &amp; $AG19):INDIRECT("Table!" &amp; $AJ$86 &amp; $AG19),0)))))</f>
        <v>1.4998606144655899</v>
      </c>
      <c r="F19" s="596">
        <f ca="1">IF(ISERROR(MATCH(F$1,INDIRECT("Table!A"&amp;$AG19):INDIRECT("Table!" &amp; $AJ$86 &amp; $AG19),0)),"",INDIRECT(CONCATENATE("Table!",ADDRESS($AC19,MATCH(F$1,INDIRECT("Table!A" &amp; $AG19):INDIRECT("Table!" &amp; $AJ$86 &amp; $AG19),0)))))</f>
        <v>0.72980475454210358</v>
      </c>
      <c r="G19" s="596">
        <f ca="1">IF(ISERROR(MATCH(G$1,INDIRECT("Table!A"&amp;$AG19):INDIRECT("Table!" &amp; $AJ$86 &amp; $AG19),0)),"",INDIRECT(CONCATENATE("Table!",ADDRESS($AC19,MATCH(G$1,INDIRECT("Table!A" &amp; $AG19):INDIRECT("Table!" &amp; $AJ$86 &amp; $AG19),0)))))</f>
        <v>1.1788246774752569</v>
      </c>
      <c r="H19" s="596">
        <f ca="1">IF(ISERROR(MATCH(H$1,INDIRECT("Table!A"&amp;$AG19):INDIRECT("Table!" &amp; $AJ$86 &amp; $AG19),0)),"",INDIRECT(CONCATENATE("Table!",ADDRESS($AC19,MATCH(H$1,INDIRECT("Table!A" &amp; $AG19):INDIRECT("Table!" &amp; $AJ$86 &amp; $AG19),0)))))</f>
        <v>1.3884756491476984</v>
      </c>
      <c r="I19" s="596">
        <f ca="1">IF(ISERROR(MATCH(I$1,INDIRECT("Table!A"&amp;$AG19):INDIRECT("Table!" &amp; $AJ$64 &amp; $AG19),0)),"",INDIRECT(CONCATENATE("Table!",ADDRESS($AC19,MATCH(I$1,INDIRECT("Table!A" &amp; $AG19):INDIRECT("Table!" &amp; $AJ$64 &amp; $AG19),0)))))</f>
        <v>0.26169173020612613</v>
      </c>
      <c r="J19" s="596">
        <f ca="1">IF(ISERROR(MATCH(J$1,INDIRECT("Table!A"&amp;$AG19):INDIRECT("Table!" &amp; $AJ$64 &amp; $AG19),0)),"",INDIRECT(CONCATENATE("Table!",ADDRESS($AC19,MATCH(J$1,INDIRECT("Table!A" &amp; $AG19):INDIRECT("Table!" &amp; $AJ$64 &amp; $AG19),0)))))</f>
        <v>1.0110815341495512</v>
      </c>
      <c r="K19" s="596">
        <f ca="1">IF(ISERROR(MATCH(K$1,INDIRECT("Table!A"&amp;$AG19):INDIRECT("Table!" &amp; $AJ$64 &amp; $AG19),0)),"",INDIRECT(CONCATENATE("Table!",ADDRESS($AC19,MATCH(K$1,INDIRECT("Table!A" &amp; $AG19):INDIRECT("Table!" &amp; $AJ$64 &amp; $AG19),0)))))</f>
        <v>0.612581657080428</v>
      </c>
      <c r="L19" s="596">
        <f ca="1">IF(ISERROR(MATCH(L$1,INDIRECT("Table!A"&amp;$AG19):INDIRECT("Table!" &amp; $AJ$86 &amp; $AG19),0)),"",INDIRECT(CONCATENATE("Table!",ADDRESS($AC19,MATCH(L$1,INDIRECT("Table!A" &amp; $AG19):INDIRECT("Table!" &amp; $AJ$86 &amp; $AG19),0)))))</f>
        <v>1.4110096664181719</v>
      </c>
      <c r="M19" s="596">
        <f ca="1">IF(ISERROR(MATCH(M$1,INDIRECT("Table!A"&amp;$AG19):INDIRECT("Table!" &amp; $AJ$86 &amp; $AG19),0)),"",INDIRECT(CONCATENATE("Table!",ADDRESS($AC19,MATCH(M$1,INDIRECT("Table!A" &amp; $AG19):INDIRECT("Table!" &amp; $AJ$86 &amp; $AG19),0)))))</f>
        <v>0.83650063358601467</v>
      </c>
      <c r="N19" s="596">
        <f ca="1">IF(ISERROR(MATCH(N$1,INDIRECT("Table!A"&amp;$AG19):INDIRECT("Table!" &amp; $AJ$86 &amp; $AG19),0)),"",INDIRECT(CONCATENATE("Table!",ADDRESS($AC19,MATCH(N$1,INDIRECT("Table!A" &amp; $AG19):INDIRECT("Table!" &amp; $AJ$86 &amp; $AG19),0)))))</f>
        <v>1.5084352736311217</v>
      </c>
      <c r="O19" s="596">
        <f ca="1">IF(ISERROR(MATCH(O$1,INDIRECT("Table!A"&amp;$AG19):INDIRECT("Table!" &amp; $AJ$64 &amp; $AG19),0)),"",INDIRECT(CONCATENATE("Table!",ADDRESS($AC19,MATCH(O$1,INDIRECT("Table!A" &amp; $AG19):INDIRECT("Table!" &amp; $AJ$64 &amp; $AG19),0)))))</f>
        <v>0.72432895472573822</v>
      </c>
      <c r="P19" s="596">
        <f ca="1">IF(ISERROR(MATCH(P$1,INDIRECT("Table!A"&amp;$AG19):INDIRECT("Table!" &amp; $AJ$64 &amp; $AG19),0)),"",INDIRECT(CONCATENATE("Table!",ADDRESS($AC19,MATCH(P$1,INDIRECT("Table!A" &amp; $AG19):INDIRECT("Table!" &amp; $AJ$64 &amp; $AG19),0)))))</f>
        <v>0.7052899247098946</v>
      </c>
      <c r="Q19" s="596">
        <f ca="1">IF(ISERROR(MATCH(Q$1,INDIRECT("Table!A"&amp;$AG19):INDIRECT("Table!" &amp; $AJ$64 &amp; $AG19),0)),"",INDIRECT(CONCATENATE("Table!",ADDRESS($AC19,MATCH(Q$1,INDIRECT("Table!A" &amp; $AG19):INDIRECT("Table!" &amp; $AJ$64 &amp; $AG19),0)))))</f>
        <v>0.71756193305228833</v>
      </c>
      <c r="R19" s="596">
        <f ca="1">IF(ISERROR(MATCH(R$1,INDIRECT("Table!A"&amp;$AG19):INDIRECT("Table!" &amp; $AJ$64 &amp; $AG19),0)),"",INDIRECT(CONCATENATE("Table!",ADDRESS($AC19,MATCH(R$1,INDIRECT("Table!A" &amp; $AG19):INDIRECT("Table!" &amp; $AJ$64 &amp; $AG19),0)))))</f>
        <v>1.1618135530135063</v>
      </c>
      <c r="S19" s="596">
        <f ca="1">IF(ISERROR(MATCH(S$1,INDIRECT("Table!A"&amp;$AG19):INDIRECT("Table!" &amp; $AJ$43 &amp; $AG19),0)),"",INDIRECT(CONCATENATE("Table!",ADDRESS($AC19,MATCH(S$1,INDIRECT("Table!A" &amp; $AG19):INDIRECT("Table!" &amp; $AJ$43 &amp; $AG19),0)))))</f>
        <v>1.0325835070986926</v>
      </c>
      <c r="T19" s="596">
        <f ca="1">IF(ISERROR(MATCH(T$1,INDIRECT("Table!A"&amp;$AG19):INDIRECT("Table!" &amp; $AJ$43 &amp; $AG19),0)),"",INDIRECT(CONCATENATE("Table!",ADDRESS($AC19,MATCH(T$1,INDIRECT("Table!A" &amp; $AG19):INDIRECT("Table!" &amp; $AJ$43 &amp; $AG19),0)))))</f>
        <v>1.107580090962663</v>
      </c>
      <c r="U19" s="596">
        <f ca="1">IF(ISERROR(MATCH(U$1,INDIRECT("Table!A"&amp;$AG19):INDIRECT("Table!" &amp; $AJ$43 &amp; $AG19),0)),"",INDIRECT(CONCATENATE("Table!",ADDRESS($AC19,MATCH(U$1,INDIRECT("Table!A" &amp; $AG19):INDIRECT("Table!" &amp; $AJ$43 &amp; $AG19),0)))))</f>
        <v>0.21115087111593839</v>
      </c>
      <c r="V19" s="596">
        <f ca="1">IF(ISERROR(MATCH(V$1,INDIRECT("Table!A"&amp;$AG19):INDIRECT("Table!" &amp; $AJ$43 &amp; $AG19),0)),"",INDIRECT(CONCATENATE("Table!",ADDRESS($AC19,MATCH(V$1,INDIRECT("Table!A" &amp; $AG19):INDIRECT("Table!" &amp; $AJ$43 &amp; $AG19),0)))))</f>
        <v>0.10300353466525693</v>
      </c>
      <c r="W19" s="596" t="str">
        <f ca="1">IF(ISERROR(MATCH(W$1,INDIRECT("Table!A"&amp;$AG19):INDIRECT("Table!" &amp; $AJ$43 &amp; $AG19),0)),"",INDIRECT(CONCATENATE("Table!",ADDRESS($AC19,MATCH(W$1,INDIRECT("Table!A" &amp; $AG19):INDIRECT("Table!" &amp; $AJ$43 &amp; $AG19),0)))))</f>
        <v/>
      </c>
      <c r="X19" s="596"/>
      <c r="Y19" s="596"/>
      <c r="Z19" s="596"/>
      <c r="AA19" s="596"/>
      <c r="AB19" s="596"/>
      <c r="AC19" s="595">
        <f>MATCH($A19,Table!$A:$A,0)+$AE$2-1</f>
        <v>236</v>
      </c>
      <c r="AD19" s="723"/>
      <c r="AE19" s="723"/>
      <c r="AF19" s="723"/>
      <c r="AG19" s="595">
        <f>MATCH($A19,Table!$A:$A,0)+$AI$2-1</f>
        <v>227</v>
      </c>
      <c r="AH19" s="723"/>
      <c r="AI19" s="723"/>
      <c r="AJ19" s="904" t="s">
        <v>285</v>
      </c>
    </row>
    <row r="20" spans="1:36" s="591" customFormat="1" ht="19.5" customHeight="1" x14ac:dyDescent="0.25">
      <c r="A20" s="592">
        <v>41702</v>
      </c>
      <c r="B20" s="596">
        <f ca="1">IF(ISERROR(MATCH(B$1,INDIRECT("Table!A"&amp;$AG20):INDIRECT("Table!" &amp; $AJ$86 &amp; $AG20),0)),"",INDIRECT(CONCATENATE("Table!",ADDRESS($AC20,MATCH(B$1,INDIRECT("Table!A" &amp; $AG20):INDIRECT("Table!" &amp; $AJ$86 &amp; $AG20),0)))))</f>
        <v>0.75722808801272223</v>
      </c>
      <c r="C20" s="596">
        <f ca="1">IF(ISERROR(MATCH(C$1,INDIRECT("Table!A"&amp;$AG20):INDIRECT("Table!" &amp; $AJ$86 &amp; $AG20),0)),"",INDIRECT(CONCATENATE("Table!",ADDRESS($AC20,MATCH(C$1,INDIRECT("Table!A" &amp; $AG20):INDIRECT("Table!" &amp; $AJ$86 &amp; $AG20),0)))))</f>
        <v>0.58667791015880633</v>
      </c>
      <c r="D20" s="596">
        <f ca="1">IF(ISERROR(MATCH(D$1,INDIRECT("Table!A"&amp;$AG20):INDIRECT("Table!" &amp; $AJ$86 &amp; $AG20),0)),"",INDIRECT(CONCATENATE("Table!",ADDRESS($AC20,MATCH(D$1,INDIRECT("Table!A" &amp; $AG20):INDIRECT("Table!" &amp; $AJ$86 &amp; $AG20),0)))))</f>
        <v>0.59250212767088295</v>
      </c>
      <c r="E20" s="596">
        <f ca="1">IF(ISERROR(MATCH(E$1,INDIRECT("Table!A"&amp;$AG20):INDIRECT("Table!" &amp; $AJ$86 &amp; $AG20),0)),"",INDIRECT(CONCATENATE("Table!",ADDRESS($AC20,MATCH(E$1,INDIRECT("Table!A" &amp; $AG20):INDIRECT("Table!" &amp; $AJ$86 &amp; $AG20),0)))))</f>
        <v>1.4998606144655899</v>
      </c>
      <c r="F20" s="596">
        <f ca="1">IF(ISERROR(MATCH(F$1,INDIRECT("Table!A"&amp;$AG20):INDIRECT("Table!" &amp; $AJ$86 &amp; $AG20),0)),"",INDIRECT(CONCATENATE("Table!",ADDRESS($AC20,MATCH(F$1,INDIRECT("Table!A" &amp; $AG20):INDIRECT("Table!" &amp; $AJ$86 &amp; $AG20),0)))))</f>
        <v>0.73118184867651626</v>
      </c>
      <c r="G20" s="596">
        <f ca="1">IF(ISERROR(MATCH(G$1,INDIRECT("Table!A"&amp;$AG20):INDIRECT("Table!" &amp; $AJ$86 &amp; $AG20),0)),"",INDIRECT(CONCATENATE("Table!",ADDRESS($AC20,MATCH(G$1,INDIRECT("Table!A" &amp; $AG20):INDIRECT("Table!" &amp; $AJ$86 &amp; $AG20),0)))))</f>
        <v>1.1788246774752569</v>
      </c>
      <c r="H20" s="596">
        <f ca="1">IF(ISERROR(MATCH(H$1,INDIRECT("Table!A"&amp;$AG20):INDIRECT("Table!" &amp; $AJ$86 &amp; $AG20),0)),"",INDIRECT(CONCATENATE("Table!",ADDRESS($AC20,MATCH(H$1,INDIRECT("Table!A" &amp; $AG20):INDIRECT("Table!" &amp; $AJ$86 &amp; $AG20),0)))))</f>
        <v>1.3177682568612015</v>
      </c>
      <c r="I20" s="596">
        <f ca="1">IF(ISERROR(MATCH(I$1,INDIRECT("Table!A"&amp;$AG20):INDIRECT("Table!" &amp; $AJ$64 &amp; $AG20),0)),"",INDIRECT(CONCATENATE("Table!",ADDRESS($AC20,MATCH(I$1,INDIRECT("Table!A" &amp; $AG20):INDIRECT("Table!" &amp; $AJ$64 &amp; $AG20),0)))))</f>
        <v>0.26267932077592798</v>
      </c>
      <c r="J20" s="596">
        <f ca="1">IF(ISERROR(MATCH(J$1,INDIRECT("Table!A"&amp;$AG20):INDIRECT("Table!" &amp; $AJ$64 &amp; $AG20),0)),"",INDIRECT(CONCATENATE("Table!",ADDRESS($AC20,MATCH(J$1,INDIRECT("Table!A" &amp; $AG20):INDIRECT("Table!" &amp; $AJ$64 &amp; $AG20),0)))))</f>
        <v>1.033043640521788</v>
      </c>
      <c r="K20" s="596">
        <f ca="1">IF(ISERROR(MATCH(K$1,INDIRECT("Table!A"&amp;$AG20):INDIRECT("Table!" &amp; $AJ$64 &amp; $AG20),0)),"",INDIRECT(CONCATENATE("Table!",ADDRESS($AC20,MATCH(K$1,INDIRECT("Table!A" &amp; $AG20):INDIRECT("Table!" &amp; $AJ$64 &amp; $AG20),0)))))</f>
        <v>0.62085775414243327</v>
      </c>
      <c r="L20" s="596">
        <f ca="1">IF(ISERROR(MATCH(L$1,INDIRECT("Table!A"&amp;$AG20):INDIRECT("Table!" &amp; $AJ$86 &amp; $AG20),0)),"",INDIRECT(CONCATENATE("Table!",ADDRESS($AC20,MATCH(L$1,INDIRECT("Table!A" &amp; $AG20):INDIRECT("Table!" &amp; $AJ$86 &amp; $AG20),0)))))</f>
        <v>1.4443722371393741</v>
      </c>
      <c r="M20" s="596">
        <f ca="1">IF(ISERROR(MATCH(M$1,INDIRECT("Table!A"&amp;$AG20):INDIRECT("Table!" &amp; $AJ$86 &amp; $AG20),0)),"",INDIRECT(CONCATENATE("Table!",ADDRESS($AC20,MATCH(M$1,INDIRECT("Table!A" &amp; $AG20):INDIRECT("Table!" &amp; $AJ$86 &amp; $AG20),0)))))</f>
        <v>0.83650063358601467</v>
      </c>
      <c r="N20" s="596">
        <f ca="1">IF(ISERROR(MATCH(N$1,INDIRECT("Table!A"&amp;$AG20):INDIRECT("Table!" &amp; $AJ$86 &amp; $AG20),0)),"",INDIRECT(CONCATENATE("Table!",ADDRESS($AC20,MATCH(N$1,INDIRECT("Table!A" &amp; $AG20):INDIRECT("Table!" &amp; $AJ$86 &amp; $AG20),0)))))</f>
        <v>1.514127922578711</v>
      </c>
      <c r="O20" s="596">
        <f ca="1">IF(ISERROR(MATCH(O$1,INDIRECT("Table!A"&amp;$AG20):INDIRECT("Table!" &amp; $AJ$64 &amp; $AG20),0)),"",INDIRECT(CONCATENATE("Table!",ADDRESS($AC20,MATCH(O$1,INDIRECT("Table!A" &amp; $AG20):INDIRECT("Table!" &amp; $AJ$64 &amp; $AG20),0)))))</f>
        <v>0.67640638973001377</v>
      </c>
      <c r="P20" s="596">
        <f ca="1">IF(ISERROR(MATCH(P$1,INDIRECT("Table!A"&amp;$AG20):INDIRECT("Table!" &amp; $AJ$64 &amp; $AG20),0)),"",INDIRECT(CONCATENATE("Table!",ADDRESS($AC20,MATCH(P$1,INDIRECT("Table!A" &amp; $AG20):INDIRECT("Table!" &amp; $AJ$64 &amp; $AG20),0)))))</f>
        <v>0.70795160202401641</v>
      </c>
      <c r="Q20" s="596">
        <f ca="1">IF(ISERROR(MATCH(Q$1,INDIRECT("Table!A"&amp;$AG20):INDIRECT("Table!" &amp; $AJ$64 &amp; $AG20),0)),"",INDIRECT(CONCATENATE("Table!",ADDRESS($AC20,MATCH(Q$1,INDIRECT("Table!A" &amp; $AG20):INDIRECT("Table!" &amp; $AJ$64 &amp; $AG20),0)))))</f>
        <v>0.72757308648037688</v>
      </c>
      <c r="R20" s="596">
        <f ca="1">IF(ISERROR(MATCH(R$1,INDIRECT("Table!A"&amp;$AG20):INDIRECT("Table!" &amp; $AJ$64 &amp; $AG20),0)),"",INDIRECT(CONCATENATE("Table!",ADDRESS($AC20,MATCH(R$1,INDIRECT("Table!A" &amp; $AG20):INDIRECT("Table!" &amp; $AJ$64 &amp; $AG20),0)))))</f>
        <v>1.1618135530135063</v>
      </c>
      <c r="S20" s="596">
        <f ca="1">IF(ISERROR(MATCH(S$1,INDIRECT("Table!A"&amp;$AG20):INDIRECT("Table!" &amp; $AJ$43 &amp; $AG20),0)),"",INDIRECT(CONCATENATE("Table!",ADDRESS($AC20,MATCH(S$1,INDIRECT("Table!A" &amp; $AG20):INDIRECT("Table!" &amp; $AJ$43 &amp; $AG20),0)))))</f>
        <v>1.0325835070986926</v>
      </c>
      <c r="T20" s="596">
        <f ca="1">IF(ISERROR(MATCH(T$1,INDIRECT("Table!A"&amp;$AG20):INDIRECT("Table!" &amp; $AJ$43 &amp; $AG20),0)),"",INDIRECT(CONCATENATE("Table!",ADDRESS($AC20,MATCH(T$1,INDIRECT("Table!A" &amp; $AG20):INDIRECT("Table!" &amp; $AJ$43 &amp; $AG20),0)))))</f>
        <v>1.107580090962663</v>
      </c>
      <c r="U20" s="596">
        <f ca="1">IF(ISERROR(MATCH(U$1,INDIRECT("Table!A"&amp;$AG20):INDIRECT("Table!" &amp; $AJ$43 &amp; $AG20),0)),"",INDIRECT(CONCATENATE("Table!",ADDRESS($AC20,MATCH(U$1,INDIRECT("Table!A" &amp; $AG20):INDIRECT("Table!" &amp; $AJ$43 &amp; $AG20),0)))))</f>
        <v>0.21508975828557186</v>
      </c>
      <c r="V20" s="596">
        <f ca="1">IF(ISERROR(MATCH(V$1,INDIRECT("Table!A"&amp;$AG20):INDIRECT("Table!" &amp; $AJ$43 &amp; $AG20),0)),"",INDIRECT(CONCATENATE("Table!",ADDRESS($AC20,MATCH(V$1,INDIRECT("Table!A" &amp; $AG20):INDIRECT("Table!" &amp; $AJ$43 &amp; $AG20),0)))))</f>
        <v>0.10393199277543647</v>
      </c>
      <c r="W20" s="596" t="str">
        <f ca="1">IF(ISERROR(MATCH(W$1,INDIRECT("Table!A"&amp;$AG20):INDIRECT("Table!" &amp; $AJ$43 &amp; $AG20),0)),"",INDIRECT(CONCATENATE("Table!",ADDRESS($AC20,MATCH(W$1,INDIRECT("Table!A" &amp; $AG20):INDIRECT("Table!" &amp; $AJ$43 &amp; $AG20),0)))))</f>
        <v/>
      </c>
      <c r="X20" s="596"/>
      <c r="Y20" s="596"/>
      <c r="Z20" s="596"/>
      <c r="AA20" s="596"/>
      <c r="AB20" s="596"/>
      <c r="AC20" s="595">
        <f>MATCH($A20,Table!$A:$A,0)+$AE$2-1</f>
        <v>250</v>
      </c>
      <c r="AD20" s="702"/>
      <c r="AE20" s="702"/>
      <c r="AF20" s="702"/>
      <c r="AG20" s="595">
        <f>MATCH($A20,Table!$A:$A,0)+$AI$2-1</f>
        <v>241</v>
      </c>
      <c r="AH20" s="702"/>
      <c r="AI20" s="702"/>
      <c r="AJ20" s="904" t="s">
        <v>285</v>
      </c>
    </row>
    <row r="21" spans="1:36" s="591" customFormat="1" ht="19.5" customHeight="1" x14ac:dyDescent="0.25">
      <c r="A21" s="592">
        <v>41695</v>
      </c>
      <c r="B21" s="596">
        <f ca="1">IF(ISERROR(MATCH(B$1,INDIRECT("Table!A"&amp;$AG21):INDIRECT("Table!" &amp; $AJ$86 &amp; $AG21),0)),"",INDIRECT(CONCATENATE("Table!",ADDRESS($AC21,MATCH(B$1,INDIRECT("Table!A" &amp; $AG21):INDIRECT("Table!" &amp; $AJ$86 &amp; $AG21),0)))))</f>
        <v>1.3202942612261406</v>
      </c>
      <c r="C21" s="596">
        <f ca="1">IF(ISERROR(MATCH(C$1,INDIRECT("Table!A"&amp;$AG21):INDIRECT("Table!" &amp; $AJ$86 &amp; $AG21),0)),"",INDIRECT(CONCATENATE("Table!",ADDRESS($AC21,MATCH(C$1,INDIRECT("Table!A" &amp; $AG21):INDIRECT("Table!" &amp; $AJ$86 &amp; $AG21),0)))))</f>
        <v>0.58667791015880633</v>
      </c>
      <c r="D21" s="596">
        <f ca="1">IF(ISERROR(MATCH(D$1,INDIRECT("Table!A"&amp;$AG21):INDIRECT("Table!" &amp; $AJ$86 &amp; $AG21),0)),"",INDIRECT(CONCATENATE("Table!",ADDRESS($AC21,MATCH(D$1,INDIRECT("Table!A" &amp; $AG21):INDIRECT("Table!" &amp; $AJ$86 &amp; $AG21),0)))))</f>
        <v>0.59250212767088295</v>
      </c>
      <c r="E21" s="596">
        <f ca="1">IF(ISERROR(MATCH(E$1,INDIRECT("Table!A"&amp;$AG21):INDIRECT("Table!" &amp; $AJ$86 &amp; $AG21),0)),"",INDIRECT(CONCATENATE("Table!",ADDRESS($AC21,MATCH(E$1,INDIRECT("Table!A" &amp; $AG21):INDIRECT("Table!" &amp; $AJ$86 &amp; $AG21),0)))))</f>
        <v>1.4998606144655899</v>
      </c>
      <c r="F21" s="596">
        <f ca="1">IF(ISERROR(MATCH(F$1,INDIRECT("Table!A"&amp;$AG21):INDIRECT("Table!" &amp; $AJ$86 &amp; $AG21),0)),"",INDIRECT(CONCATENATE("Table!",ADDRESS($AC21,MATCH(F$1,INDIRECT("Table!A" &amp; $AG21):INDIRECT("Table!" &amp; $AJ$86 &amp; $AG21),0)))))</f>
        <v>0.73403484362675908</v>
      </c>
      <c r="G21" s="596">
        <f ca="1">IF(ISERROR(MATCH(G$1,INDIRECT("Table!A"&amp;$AG21):INDIRECT("Table!" &amp; $AJ$86 &amp; $AG21),0)),"",INDIRECT(CONCATENATE("Table!",ADDRESS($AC21,MATCH(G$1,INDIRECT("Table!A" &amp; $AG21):INDIRECT("Table!" &amp; $AJ$86 &amp; $AG21),0)))))</f>
        <v>3.4749718351750398</v>
      </c>
      <c r="H21" s="596">
        <f ca="1">IF(ISERROR(MATCH(H$1,INDIRECT("Table!A"&amp;$AG21):INDIRECT("Table!" &amp; $AJ$86 &amp; $AG21),0)),"",INDIRECT(CONCATENATE("Table!",ADDRESS($AC21,MATCH(H$1,INDIRECT("Table!A" &amp; $AG21):INDIRECT("Table!" &amp; $AJ$86 &amp; $AG21),0)))))</f>
        <v>1.314612870433518</v>
      </c>
      <c r="I21" s="596">
        <f ca="1">IF(ISERROR(MATCH(I$1,INDIRECT("Table!A"&amp;$AG21):INDIRECT("Table!" &amp; $AJ$64 &amp; $AG21),0)),"",INDIRECT(CONCATENATE("Table!",ADDRESS($AC21,MATCH(I$1,INDIRECT("Table!A" &amp; $AG21):INDIRECT("Table!" &amp; $AJ$64 &amp; $AG21),0)))))</f>
        <v>0.26104903794721779</v>
      </c>
      <c r="J21" s="596">
        <f ca="1">IF(ISERROR(MATCH(J$1,INDIRECT("Table!A"&amp;$AG21):INDIRECT("Table!" &amp; $AJ$64 &amp; $AG21),0)),"",INDIRECT(CONCATENATE("Table!",ADDRESS($AC21,MATCH(J$1,INDIRECT("Table!A" &amp; $AG21):INDIRECT("Table!" &amp; $AJ$64 &amp; $AG21),0)))))</f>
        <v>1.0149882932150076</v>
      </c>
      <c r="K21" s="596">
        <f ca="1">IF(ISERROR(MATCH(K$1,INDIRECT("Table!A"&amp;$AG21):INDIRECT("Table!" &amp; $AJ$64 &amp; $AG21),0)),"",INDIRECT(CONCATENATE("Table!",ADDRESS($AC21,MATCH(K$1,INDIRECT("Table!A" &amp; $AG21):INDIRECT("Table!" &amp; $AJ$64 &amp; $AG21),0)))))</f>
        <v>1.5590790794280018</v>
      </c>
      <c r="L21" s="596">
        <f ca="1">IF(ISERROR(MATCH(L$1,INDIRECT("Table!A"&amp;$AG21):INDIRECT("Table!" &amp; $AJ$86 &amp; $AG21),0)),"",INDIRECT(CONCATENATE("Table!",ADDRESS($AC21,MATCH(L$1,INDIRECT("Table!A" &amp; $AG21):INDIRECT("Table!" &amp; $AJ$86 &amp; $AG21),0)))))</f>
        <v>1.4122323784341324</v>
      </c>
      <c r="M21" s="596">
        <f ca="1">IF(ISERROR(MATCH(M$1,INDIRECT("Table!A"&amp;$AG21):INDIRECT("Table!" &amp; $AJ$86 &amp; $AG21),0)),"",INDIRECT(CONCATENATE("Table!",ADDRESS($AC21,MATCH(M$1,INDIRECT("Table!A" &amp; $AG21):INDIRECT("Table!" &amp; $AJ$86 &amp; $AG21),0)))))</f>
        <v>2.7742615503027634</v>
      </c>
      <c r="N21" s="596">
        <f ca="1">IF(ISERROR(MATCH(N$1,INDIRECT("Table!A"&amp;$AG21):INDIRECT("Table!" &amp; $AJ$86 &amp; $AG21),0)),"",INDIRECT(CONCATENATE("Table!",ADDRESS($AC21,MATCH(N$1,INDIRECT("Table!A" &amp; $AG21):INDIRECT("Table!" &amp; $AJ$86 &amp; $AG21),0)))))</f>
        <v>1.514127922578711</v>
      </c>
      <c r="O21" s="596">
        <f ca="1">IF(ISERROR(MATCH(O$1,INDIRECT("Table!A"&amp;$AG21):INDIRECT("Table!" &amp; $AJ$64 &amp; $AG21),0)),"",INDIRECT(CONCATENATE("Table!",ADDRESS($AC21,MATCH(O$1,INDIRECT("Table!A" &amp; $AG21):INDIRECT("Table!" &amp; $AJ$64 &amp; $AG21),0)))))</f>
        <v>0.674694587586807</v>
      </c>
      <c r="P21" s="596">
        <f ca="1">IF(ISERROR(MATCH(P$1,INDIRECT("Table!A"&amp;$AG21):INDIRECT("Table!" &amp; $AJ$64 &amp; $AG21),0)),"",INDIRECT(CONCATENATE("Table!",ADDRESS($AC21,MATCH(P$1,INDIRECT("Table!A" &amp; $AG21):INDIRECT("Table!" &amp; $AJ$64 &amp; $AG21),0)))))</f>
        <v>0.7046910304545333</v>
      </c>
      <c r="Q21" s="596">
        <f ca="1">IF(ISERROR(MATCH(Q$1,INDIRECT("Table!A"&amp;$AG21):INDIRECT("Table!" &amp; $AJ$64 &amp; $AG21),0)),"",INDIRECT(CONCATENATE("Table!",ADDRESS($AC21,MATCH(Q$1,INDIRECT("Table!A" &amp; $AG21):INDIRECT("Table!" &amp; $AJ$64 &amp; $AG21),0)))))</f>
        <v>0.71597616381700646</v>
      </c>
      <c r="R21" s="596">
        <f ca="1">IF(ISERROR(MATCH(R$1,INDIRECT("Table!A"&amp;$AG21):INDIRECT("Table!" &amp; $AJ$64 &amp; $AG21),0)),"",INDIRECT(CONCATENATE("Table!",ADDRESS($AC21,MATCH(R$1,INDIRECT("Table!A" &amp; $AG21):INDIRECT("Table!" &amp; $AJ$64 &amp; $AG21),0)))))</f>
        <v>3.0683097765400058</v>
      </c>
      <c r="S21" s="596">
        <f ca="1">IF(ISERROR(MATCH(S$1,INDIRECT("Table!A"&amp;$AG21):INDIRECT("Table!" &amp; $AJ$43 &amp; $AG21),0)),"",INDIRECT(CONCATENATE("Table!",ADDRESS($AC21,MATCH(S$1,INDIRECT("Table!A" &amp; $AG21):INDIRECT("Table!" &amp; $AJ$43 &amp; $AG21),0)))))</f>
        <v>1.0325835070986926</v>
      </c>
      <c r="T21" s="596">
        <f ca="1">IF(ISERROR(MATCH(T$1,INDIRECT("Table!A"&amp;$AG21):INDIRECT("Table!" &amp; $AJ$43 &amp; $AG21),0)),"",INDIRECT(CONCATENATE("Table!",ADDRESS($AC21,MATCH(T$1,INDIRECT("Table!A" &amp; $AG21):INDIRECT("Table!" &amp; $AJ$43 &amp; $AG21),0)))))</f>
        <v>1.107580090962663</v>
      </c>
      <c r="U21" s="596">
        <f ca="1">IF(ISERROR(MATCH(U$1,INDIRECT("Table!A"&amp;$AG21):INDIRECT("Table!" &amp; $AJ$43 &amp; $AG21),0)),"",INDIRECT(CONCATENATE("Table!",ADDRESS($AC21,MATCH(U$1,INDIRECT("Table!A" &amp; $AG21):INDIRECT("Table!" &amp; $AJ$43 &amp; $AG21),0)))))</f>
        <v>2.6886219785696483E-2</v>
      </c>
      <c r="V21" s="596">
        <f ca="1">IF(ISERROR(MATCH(V$1,INDIRECT("Table!A"&amp;$AG21):INDIRECT("Table!" &amp; $AJ$43 &amp; $AG21),0)),"",INDIRECT(CONCATENATE("Table!",ADDRESS($AC21,MATCH(V$1,INDIRECT("Table!A" &amp; $AG21):INDIRECT("Table!" &amp; $AJ$43 &amp; $AG21),0)))))</f>
        <v>0.10393199277543647</v>
      </c>
      <c r="W21" s="596" t="str">
        <f ca="1">IF(ISERROR(MATCH(W$1,INDIRECT("Table!A"&amp;$AG21):INDIRECT("Table!" &amp; $AJ$43 &amp; $AG21),0)),"",INDIRECT(CONCATENATE("Table!",ADDRESS($AC21,MATCH(W$1,INDIRECT("Table!A" &amp; $AG21):INDIRECT("Table!" &amp; $AJ$43 &amp; $AG21),0)))))</f>
        <v/>
      </c>
      <c r="X21" s="596"/>
      <c r="Y21" s="596"/>
      <c r="Z21" s="596"/>
      <c r="AA21" s="596"/>
      <c r="AB21" s="596"/>
      <c r="AC21" s="595">
        <f>MATCH($A21,Table!$A:$A,0)+$AE$2-1</f>
        <v>264</v>
      </c>
      <c r="AD21" s="697"/>
      <c r="AE21" s="697"/>
      <c r="AF21" s="697"/>
      <c r="AG21" s="595">
        <f>MATCH($A21,Table!$A:$A,0)+$AI$2-1</f>
        <v>255</v>
      </c>
      <c r="AH21" s="697"/>
      <c r="AI21" s="697"/>
      <c r="AJ21" s="904" t="s">
        <v>285</v>
      </c>
    </row>
    <row r="22" spans="1:36" s="591" customFormat="1" ht="19.5" customHeight="1" x14ac:dyDescent="0.25">
      <c r="A22" s="592">
        <v>41690</v>
      </c>
      <c r="B22" s="596">
        <f ca="1">IF(ISERROR(MATCH(B$1,INDIRECT("Table!A"&amp;$AG22):INDIRECT("Table!" &amp; $AJ$86 &amp; $AG22),0)),"",INDIRECT(CONCATENATE("Table!",ADDRESS($AC22,MATCH(B$1,INDIRECT("Table!A" &amp; $AG22):INDIRECT("Table!" &amp; $AJ$86 &amp; $AG22),0)))))</f>
        <v>1.311123918182896</v>
      </c>
      <c r="C22" s="596">
        <f ca="1">IF(ISERROR(MATCH(C$1,INDIRECT("Table!A"&amp;$AG22):INDIRECT("Table!" &amp; $AJ$86 &amp; $AG22),0)),"",INDIRECT(CONCATENATE("Table!",ADDRESS($AC22,MATCH(C$1,INDIRECT("Table!A" &amp; $AG22):INDIRECT("Table!" &amp; $AJ$86 &amp; $AG22),0)))))</f>
        <v>0.57122133291521793</v>
      </c>
      <c r="D22" s="596">
        <f ca="1">IF(ISERROR(MATCH(D$1,INDIRECT("Table!A"&amp;$AG22):INDIRECT("Table!" &amp; $AJ$86 &amp; $AG22),0)),"",INDIRECT(CONCATENATE("Table!",ADDRESS($AC22,MATCH(D$1,INDIRECT("Table!A" &amp; $AG22):INDIRECT("Table!" &amp; $AJ$86 &amp; $AG22),0)))))</f>
        <v>0.57794158389069117</v>
      </c>
      <c r="E22" s="596">
        <f ca="1">IF(ISERROR(MATCH(E$1,INDIRECT("Table!A"&amp;$AG22):INDIRECT("Table!" &amp; $AJ$86 &amp; $AG22),0)),"",INDIRECT(CONCATENATE("Table!",ADDRESS($AC22,MATCH(E$1,INDIRECT("Table!A" &amp; $AG22):INDIRECT("Table!" &amp; $AJ$86 &amp; $AG22),0)))))</f>
        <v>1.5363567287256841</v>
      </c>
      <c r="F22" s="596">
        <f ca="1">IF(ISERROR(MATCH(F$1,INDIRECT("Table!A"&amp;$AG22):INDIRECT("Table!" &amp; $AJ$86 &amp; $AG22),0)),"",INDIRECT(CONCATENATE("Table!",ADDRESS($AC22,MATCH(F$1,INDIRECT("Table!A" &amp; $AG22):INDIRECT("Table!" &amp; $AJ$86 &amp; $AG22),0)))))</f>
        <v>0.73729540928417958</v>
      </c>
      <c r="G22" s="596">
        <f ca="1">IF(ISERROR(MATCH(G$1,INDIRECT("Table!A"&amp;$AG22):INDIRECT("Table!" &amp; $AJ$86 &amp; $AG22),0)),"",INDIRECT(CONCATENATE("Table!",ADDRESS($AC22,MATCH(G$1,INDIRECT("Table!A" &amp; $AG22):INDIRECT("Table!" &amp; $AJ$86 &amp; $AG22),0)))))</f>
        <v>3.4861995309268168</v>
      </c>
      <c r="H22" s="596">
        <f ca="1">IF(ISERROR(MATCH(H$1,INDIRECT("Table!A"&amp;$AG22):INDIRECT("Table!" &amp; $AJ$86 &amp; $AG22),0)),"",INDIRECT(CONCATENATE("Table!",ADDRESS($AC22,MATCH(H$1,INDIRECT("Table!A" &amp; $AG22):INDIRECT("Table!" &amp; $AJ$86 &amp; $AG22),0)))))</f>
        <v>0.91447042907294085</v>
      </c>
      <c r="I22" s="596">
        <f ca="1">IF(ISERROR(MATCH(I$1,INDIRECT("Table!A"&amp;$AG22):INDIRECT("Table!" &amp; $AJ$64 &amp; $AG22),0)),"",INDIRECT(CONCATENATE("Table!",ADDRESS($AC22,MATCH(I$1,INDIRECT("Table!A" &amp; $AG22):INDIRECT("Table!" &amp; $AJ$64 &amp; $AG22),0)))))</f>
        <v>0.25310140915725565</v>
      </c>
      <c r="J22" s="596">
        <f ca="1">IF(ISERROR(MATCH(J$1,INDIRECT("Table!A"&amp;$AG22):INDIRECT("Table!" &amp; $AJ$64 &amp; $AG22),0)),"",INDIRECT(CONCATENATE("Table!",ADDRESS($AC22,MATCH(J$1,INDIRECT("Table!A" &amp; $AG22):INDIRECT("Table!" &amp; $AJ$64 &amp; $AG22),0)))))</f>
        <v>1.0022106628132863</v>
      </c>
      <c r="K22" s="596">
        <f ca="1">IF(ISERROR(MATCH(K$1,INDIRECT("Table!A"&amp;$AG22):INDIRECT("Table!" &amp; $AJ$64 &amp; $AG22),0)),"",INDIRECT(CONCATENATE("Table!",ADDRESS($AC22,MATCH(K$1,INDIRECT("Table!A" &amp; $AG22):INDIRECT("Table!" &amp; $AJ$64 &amp; $AG22),0)))))</f>
        <v>1.2133825744235605</v>
      </c>
      <c r="L22" s="596">
        <f ca="1">IF(ISERROR(MATCH(L$1,INDIRECT("Table!A"&amp;$AG22):INDIRECT("Table!" &amp; $AJ$86 &amp; $AG22),0)),"",INDIRECT(CONCATENATE("Table!",ADDRESS($AC22,MATCH(L$1,INDIRECT("Table!A" &amp; $AG22):INDIRECT("Table!" &amp; $AJ$86 &amp; $AG22),0)))))</f>
        <v>1.4457696223004717</v>
      </c>
      <c r="M22" s="596">
        <f ca="1">IF(ISERROR(MATCH(M$1,INDIRECT("Table!A"&amp;$AG22):INDIRECT("Table!" &amp; $AJ$86 &amp; $AG22),0)),"",INDIRECT(CONCATENATE("Table!",ADDRESS($AC22,MATCH(M$1,INDIRECT("Table!A" &amp; $AG22):INDIRECT("Table!" &amp; $AJ$86 &amp; $AG22),0)))))</f>
        <v>2.7742615503027634</v>
      </c>
      <c r="N22" s="596">
        <f ca="1">IF(ISERROR(MATCH(N$1,INDIRECT("Table!A"&amp;$AG22):INDIRECT("Table!" &amp; $AJ$86 &amp; $AG22),0)),"",INDIRECT(CONCATENATE("Table!",ADDRESS($AC22,MATCH(N$1,INDIRECT("Table!A" &amp; $AG22):INDIRECT("Table!" &amp; $AJ$86 &amp; $AG22),0)))))</f>
        <v>1.5169809227020086</v>
      </c>
      <c r="O22" s="596">
        <f ca="1">IF(ISERROR(MATCH(O$1,INDIRECT("Table!A"&amp;$AG22):INDIRECT("Table!" &amp; $AJ$64 &amp; $AG22),0)),"",INDIRECT(CONCATENATE("Table!",ADDRESS($AC22,MATCH(O$1,INDIRECT("Table!A" &amp; $AG22):INDIRECT("Table!" &amp; $AJ$64 &amp; $AG22),0)))))</f>
        <v>0.674694587586807</v>
      </c>
      <c r="P22" s="596">
        <f ca="1">IF(ISERROR(MATCH(P$1,INDIRECT("Table!A"&amp;$AG22):INDIRECT("Table!" &amp; $AJ$64 &amp; $AG22),0)),"",INDIRECT(CONCATENATE("Table!",ADDRESS($AC22,MATCH(P$1,INDIRECT("Table!A" &amp; $AG22):INDIRECT("Table!" &amp; $AJ$64 &amp; $AG22),0)))))</f>
        <v>0.6932790299613425</v>
      </c>
      <c r="Q22" s="596">
        <f ca="1">IF(ISERROR(MATCH(Q$1,INDIRECT("Table!A"&amp;$AG22):INDIRECT("Table!" &amp; $AJ$64 &amp; $AG22),0)),"",INDIRECT(CONCATENATE("Table!",ADDRESS($AC22,MATCH(Q$1,INDIRECT("Table!A" &amp; $AG22):INDIRECT("Table!" &amp; $AJ$64 &amp; $AG22),0)))))</f>
        <v>0.71597616381700646</v>
      </c>
      <c r="R22" s="596">
        <f ca="1">IF(ISERROR(MATCH(R$1,INDIRECT("Table!A"&amp;$AG22):INDIRECT("Table!" &amp; $AJ$64 &amp; $AG22),0)),"",INDIRECT(CONCATENATE("Table!",ADDRESS($AC22,MATCH(R$1,INDIRECT("Table!A" &amp; $AG22):INDIRECT("Table!" &amp; $AJ$64 &amp; $AG22),0)))))</f>
        <v>2.7712458396487332</v>
      </c>
      <c r="S22" s="596">
        <f ca="1">IF(ISERROR(MATCH(S$1,INDIRECT("Table!A"&amp;$AG22):INDIRECT("Table!" &amp; $AJ$43 &amp; $AG22),0)),"",INDIRECT(CONCATENATE("Table!",ADDRESS($AC22,MATCH(S$1,INDIRECT("Table!A" &amp; $AG22):INDIRECT("Table!" &amp; $AJ$43 &amp; $AG22),0)))))</f>
        <v>1.0325835070986926</v>
      </c>
      <c r="T22" s="596">
        <f ca="1">IF(ISERROR(MATCH(T$1,INDIRECT("Table!A"&amp;$AG22):INDIRECT("Table!" &amp; $AJ$43 &amp; $AG22),0)),"",INDIRECT(CONCATENATE("Table!",ADDRESS($AC22,MATCH(T$1,INDIRECT("Table!A" &amp; $AG22):INDIRECT("Table!" &amp; $AJ$43 &amp; $AG22),0)))))</f>
        <v>1.107580090962663</v>
      </c>
      <c r="U22" s="596">
        <f ca="1">IF(ISERROR(MATCH(U$1,INDIRECT("Table!A"&amp;$AG22):INDIRECT("Table!" &amp; $AJ$43 &amp; $AG22),0)),"",INDIRECT(CONCATENATE("Table!",ADDRESS($AC22,MATCH(U$1,INDIRECT("Table!A" &amp; $AG22):INDIRECT("Table!" &amp; $AJ$43 &amp; $AG22),0)))))</f>
        <v>2.2181131323199602E-2</v>
      </c>
      <c r="V22" s="596" t="str">
        <f ca="1">IF(ISERROR(MATCH(V$1,INDIRECT("Table!A"&amp;$AG22):INDIRECT("Table!" &amp; $AJ$43 &amp; $AG22),0)),"",INDIRECT(CONCATENATE("Table!",ADDRESS($AC22,MATCH(V$1,INDIRECT("Table!A" &amp; $AG22):INDIRECT("Table!" &amp; $AJ$43 &amp; $AG22),0)))))</f>
        <v/>
      </c>
      <c r="W22" s="596"/>
      <c r="X22" s="596"/>
      <c r="Y22" s="596"/>
      <c r="Z22" s="596"/>
      <c r="AA22" s="596"/>
      <c r="AB22" s="596"/>
      <c r="AC22" s="595">
        <f>MATCH($A22,Table!$A:$A,0)+$AE$2-1</f>
        <v>278</v>
      </c>
      <c r="AD22" s="697"/>
      <c r="AE22" s="697"/>
      <c r="AF22" s="697"/>
      <c r="AG22" s="595">
        <f>MATCH($A22,Table!$A:$A,0)+$AI$2-1</f>
        <v>269</v>
      </c>
      <c r="AH22" s="697"/>
      <c r="AI22" s="697"/>
      <c r="AJ22" s="904" t="s">
        <v>285</v>
      </c>
    </row>
    <row r="23" spans="1:36" s="591" customFormat="1" ht="19.5" customHeight="1" x14ac:dyDescent="0.25">
      <c r="A23" s="592">
        <v>41684</v>
      </c>
      <c r="B23" s="596">
        <f ca="1">IF(ISERROR(MATCH(B$1,INDIRECT("Table!A"&amp;$AG23):INDIRECT("Table!" &amp; $AJ$86 &amp; $AG23),0)),"",INDIRECT(CONCATENATE("Table!",ADDRESS($AC23,MATCH(B$1,INDIRECT("Table!A" &amp; $AG23):INDIRECT("Table!" &amp; $AJ$86 &amp; $AG23),0)))))</f>
        <v>1.311123918182896</v>
      </c>
      <c r="C23" s="596">
        <f ca="1">IF(ISERROR(MATCH(C$1,INDIRECT("Table!A"&amp;$AG23):INDIRECT("Table!" &amp; $AJ$86 &amp; $AG23),0)),"",INDIRECT(CONCATENATE("Table!",ADDRESS($AC23,MATCH(C$1,INDIRECT("Table!A" &amp; $AG23):INDIRECT("Table!" &amp; $AJ$86 &amp; $AG23),0)))))</f>
        <v>0.57122133291521793</v>
      </c>
      <c r="D23" s="596">
        <f ca="1">IF(ISERROR(MATCH(D$1,INDIRECT("Table!A"&amp;$AG23):INDIRECT("Table!" &amp; $AJ$86 &amp; $AG23),0)),"",INDIRECT(CONCATENATE("Table!",ADDRESS($AC23,MATCH(D$1,INDIRECT("Table!A" &amp; $AG23):INDIRECT("Table!" &amp; $AJ$86 &amp; $AG23),0)))))</f>
        <v>0.57794158389069117</v>
      </c>
      <c r="E23" s="596">
        <f ca="1">IF(ISERROR(MATCH(E$1,INDIRECT("Table!A"&amp;$AG23):INDIRECT("Table!" &amp; $AJ$86 &amp; $AG23),0)),"",INDIRECT(CONCATENATE("Table!",ADDRESS($AC23,MATCH(E$1,INDIRECT("Table!A" &amp; $AG23):INDIRECT("Table!" &amp; $AJ$86 &amp; $AG23),0)))))</f>
        <v>1.5363567287256841</v>
      </c>
      <c r="F23" s="596">
        <f ca="1">IF(ISERROR(MATCH(F$1,INDIRECT("Table!A"&amp;$AG23):INDIRECT("Table!" &amp; $AJ$86 &amp; $AG23),0)),"",INDIRECT(CONCATENATE("Table!",ADDRESS($AC23,MATCH(F$1,INDIRECT("Table!A" &amp; $AG23):INDIRECT("Table!" &amp; $AJ$86 &amp; $AG23),0)))))</f>
        <v>0.73729540928417958</v>
      </c>
      <c r="G23" s="596">
        <f ca="1">IF(ISERROR(MATCH(G$1,INDIRECT("Table!A"&amp;$AG23):INDIRECT("Table!" &amp; $AJ$86 &amp; $AG23),0)),"",INDIRECT(CONCATENATE("Table!",ADDRESS($AC23,MATCH(G$1,INDIRECT("Table!A" &amp; $AG23):INDIRECT("Table!" &amp; $AJ$86 &amp; $AG23),0)))))</f>
        <v>3.4861995309268168</v>
      </c>
      <c r="H23" s="596">
        <f ca="1">IF(ISERROR(MATCH(H$1,INDIRECT("Table!A"&amp;$AG23):INDIRECT("Table!" &amp; $AJ$86 &amp; $AG23),0)),"",INDIRECT(CONCATENATE("Table!",ADDRESS($AC23,MATCH(H$1,INDIRECT("Table!A" &amp; $AG23):INDIRECT("Table!" &amp; $AJ$86 &amp; $AG23),0)))))</f>
        <v>0.91447042907294085</v>
      </c>
      <c r="I23" s="596">
        <f ca="1">IF(ISERROR(MATCH(I$1,INDIRECT("Table!A"&amp;$AG23):INDIRECT("Table!" &amp; $AJ$64 &amp; $AG23),0)),"",INDIRECT(CONCATENATE("Table!",ADDRESS($AC23,MATCH(I$1,INDIRECT("Table!A" &amp; $AG23):INDIRECT("Table!" &amp; $AJ$64 &amp; $AG23),0)))))</f>
        <v>0.25310140915725565</v>
      </c>
      <c r="J23" s="596">
        <f ca="1">IF(ISERROR(MATCH(J$1,INDIRECT("Table!A"&amp;$AG23):INDIRECT("Table!" &amp; $AJ$64 &amp; $AG23),0)),"",INDIRECT(CONCATENATE("Table!",ADDRESS($AC23,MATCH(J$1,INDIRECT("Table!A" &amp; $AG23):INDIRECT("Table!" &amp; $AJ$64 &amp; $AG23),0)))))</f>
        <v>1.0022106628132863</v>
      </c>
      <c r="K23" s="596">
        <f ca="1">IF(ISERROR(MATCH(K$1,INDIRECT("Table!A"&amp;$AG23):INDIRECT("Table!" &amp; $AJ$64 &amp; $AG23),0)),"",INDIRECT(CONCATENATE("Table!",ADDRESS($AC23,MATCH(K$1,INDIRECT("Table!A" &amp; $AG23):INDIRECT("Table!" &amp; $AJ$64 &amp; $AG23),0)))))</f>
        <v>1.2133825744235605</v>
      </c>
      <c r="L23" s="596">
        <f ca="1">IF(ISERROR(MATCH(L$1,INDIRECT("Table!A"&amp;$AG23):INDIRECT("Table!" &amp; $AJ$86 &amp; $AG23),0)),"",INDIRECT(CONCATENATE("Table!",ADDRESS($AC23,MATCH(L$1,INDIRECT("Table!A" &amp; $AG23):INDIRECT("Table!" &amp; $AJ$86 &amp; $AG23),0)))))</f>
        <v>1.4480403731872551</v>
      </c>
      <c r="M23" s="596">
        <f ca="1">IF(ISERROR(MATCH(M$1,INDIRECT("Table!A"&amp;$AG23):INDIRECT("Table!" &amp; $AJ$86 &amp; $AG23),0)),"",INDIRECT(CONCATENATE("Table!",ADDRESS($AC23,MATCH(M$1,INDIRECT("Table!A" &amp; $AG23):INDIRECT("Table!" &amp; $AJ$86 &amp; $AG23),0)))))</f>
        <v>2.7742615503027634</v>
      </c>
      <c r="N23" s="596">
        <f ca="1">IF(ISERROR(MATCH(N$1,INDIRECT("Table!A"&amp;$AG23):INDIRECT("Table!" &amp; $AJ$86 &amp; $AG23),0)),"",INDIRECT(CONCATENATE("Table!",ADDRESS($AC23,MATCH(N$1,INDIRECT("Table!A" &amp; $AG23):INDIRECT("Table!" &amp; $AJ$86 &amp; $AG23),0)))))</f>
        <v>1.5169809227020086</v>
      </c>
      <c r="O23" s="596">
        <f ca="1">IF(ISERROR(MATCH(O$1,INDIRECT("Table!A"&amp;$AG23):INDIRECT("Table!" &amp; $AJ$64 &amp; $AG23),0)),"",INDIRECT(CONCATENATE("Table!",ADDRESS($AC23,MATCH(O$1,INDIRECT("Table!A" &amp; $AG23):INDIRECT("Table!" &amp; $AJ$64 &amp; $AG23),0)))))</f>
        <v>0.67090416855542057</v>
      </c>
      <c r="P23" s="596">
        <f ca="1">IF(ISERROR(MATCH(P$1,INDIRECT("Table!A"&amp;$AG23):INDIRECT("Table!" &amp; $AJ$64 &amp; $AG23),0)),"",INDIRECT(CONCATENATE("Table!",ADDRESS($AC23,MATCH(P$1,INDIRECT("Table!A" &amp; $AG23):INDIRECT("Table!" &amp; $AJ$64 &amp; $AG23),0)))))</f>
        <v>0.68879574405330324</v>
      </c>
      <c r="Q23" s="596">
        <f ca="1">IF(ISERROR(MATCH(Q$1,INDIRECT("Table!A"&amp;$AG23):INDIRECT("Table!" &amp; $AJ$64 &amp; $AG23),0)),"",INDIRECT(CONCATENATE("Table!",ADDRESS($AC23,MATCH(Q$1,INDIRECT("Table!A" &amp; $AG23):INDIRECT("Table!" &amp; $AJ$64 &amp; $AG23),0)))))</f>
        <v>0.70776911085523675</v>
      </c>
      <c r="R23" s="596">
        <f ca="1">IF(ISERROR(MATCH(R$1,INDIRECT("Table!A"&amp;$AG23):INDIRECT("Table!" &amp; $AJ$64 &amp; $AG23),0)),"",INDIRECT(CONCATENATE("Table!",ADDRESS($AC23,MATCH(R$1,INDIRECT("Table!A" &amp; $AG23):INDIRECT("Table!" &amp; $AJ$64 &amp; $AG23),0)))))</f>
        <v>2.7141025721157597</v>
      </c>
      <c r="S23" s="596">
        <f ca="1">IF(ISERROR(MATCH(S$1,INDIRECT("Table!A"&amp;$AG23):INDIRECT("Table!" &amp; $AJ$43 &amp; $AG23),0)),"",INDIRECT(CONCATENATE("Table!",ADDRESS($AC23,MATCH(S$1,INDIRECT("Table!A" &amp; $AG23):INDIRECT("Table!" &amp; $AJ$43 &amp; $AG23),0)))))</f>
        <v>1.0325835070986926</v>
      </c>
      <c r="T23" s="596">
        <f ca="1">IF(ISERROR(MATCH(T$1,INDIRECT("Table!A"&amp;$AG23):INDIRECT("Table!" &amp; $AJ$43 &amp; $AG23),0)),"",INDIRECT(CONCATENATE("Table!",ADDRESS($AC23,MATCH(T$1,INDIRECT("Table!A" &amp; $AG23):INDIRECT("Table!" &amp; $AJ$43 &amp; $AG23),0)))))</f>
        <v>1.107580090962663</v>
      </c>
      <c r="U23" s="596" t="str">
        <f ca="1">IF(ISERROR(MATCH(U$1,INDIRECT("Table!A"&amp;$AG23):INDIRECT("Table!" &amp; $AJ$43 &amp; $AG23),0)),"",INDIRECT(CONCATENATE("Table!",ADDRESS($AC23,MATCH(U$1,INDIRECT("Table!A" &amp; $AG23):INDIRECT("Table!" &amp; $AJ$43 &amp; $AG23),0)))))</f>
        <v/>
      </c>
      <c r="V23" s="596" t="str">
        <f ca="1">IF(ISERROR(MATCH(V$1,INDIRECT("Table!A"&amp;$AG23):INDIRECT("Table!" &amp; $AJ$43 &amp; $AG23),0)),"",INDIRECT(CONCATENATE("Table!",ADDRESS($AC23,MATCH(V$1,INDIRECT("Table!A" &amp; $AG23):INDIRECT("Table!" &amp; $AJ$43 &amp; $AG23),0)))))</f>
        <v/>
      </c>
      <c r="W23" s="596"/>
      <c r="X23" s="596"/>
      <c r="Y23" s="596"/>
      <c r="Z23" s="596"/>
      <c r="AA23" s="596"/>
      <c r="AB23" s="596"/>
      <c r="AC23" s="595">
        <f>MATCH($A23,Table!$A:$A,0)+$AE$2-1</f>
        <v>292</v>
      </c>
      <c r="AD23" s="697"/>
      <c r="AE23" s="697"/>
      <c r="AF23" s="697"/>
      <c r="AG23" s="595">
        <f>MATCH($A23,Table!$A:$A,0)+$AI$2-1</f>
        <v>283</v>
      </c>
      <c r="AH23" s="697"/>
      <c r="AI23" s="697"/>
      <c r="AJ23" s="904" t="s">
        <v>285</v>
      </c>
    </row>
    <row r="24" spans="1:36" s="591" customFormat="1" ht="19.5" customHeight="1" x14ac:dyDescent="0.25">
      <c r="A24" s="592">
        <v>41676</v>
      </c>
      <c r="B24" s="596">
        <f ca="1">IF(ISERROR(MATCH(B$1,INDIRECT("Table!A"&amp;$AG24):INDIRECT("Table!" &amp; $AJ$86 &amp; $AG24),0)),"",INDIRECT(CONCATENATE("Table!",ADDRESS($AC24,MATCH(B$1,INDIRECT("Table!A" &amp; $AG24):INDIRECT("Table!" &amp; $AJ$86 &amp; $AG24),0)))))</f>
        <v>1.311123918182896</v>
      </c>
      <c r="C24" s="596">
        <f ca="1">IF(ISERROR(MATCH(C$1,INDIRECT("Table!A"&amp;$AG24):INDIRECT("Table!" &amp; $AJ$86 &amp; $AG24),0)),"",INDIRECT(CONCATENATE("Table!",ADDRESS($AC24,MATCH(C$1,INDIRECT("Table!A" &amp; $AG24):INDIRECT("Table!" &amp; $AJ$86 &amp; $AG24),0)))))</f>
        <v>0.64290400998693154</v>
      </c>
      <c r="D24" s="596">
        <f ca="1">IF(ISERROR(MATCH(D$1,INDIRECT("Table!A"&amp;$AG24):INDIRECT("Table!" &amp; $AJ$86 &amp; $AG24),0)),"",INDIRECT(CONCATENATE("Table!",ADDRESS($AC24,MATCH(D$1,INDIRECT("Table!A" &amp; $AG24):INDIRECT("Table!" &amp; $AJ$86 &amp; $AG24),0)))))</f>
        <v>0.64962426096240478</v>
      </c>
      <c r="E24" s="596">
        <f ca="1">IF(ISERROR(MATCH(E$1,INDIRECT("Table!A"&amp;$AG24):INDIRECT("Table!" &amp; $AJ$86 &amp; $AG24),0)),"",INDIRECT(CONCATENATE("Table!",ADDRESS($AC24,MATCH(E$1,INDIRECT("Table!A" &amp; $AG24):INDIRECT("Table!" &amp; $AJ$86 &amp; $AG24),0)))))</f>
        <v>1.5363567287256841</v>
      </c>
      <c r="F24" s="596">
        <f ca="1">IF(ISERROR(MATCH(F$1,INDIRECT("Table!A"&amp;$AG24):INDIRECT("Table!" &amp; $AJ$86 &amp; $AG24),0)),"",INDIRECT(CONCATENATE("Table!",ADDRESS($AC24,MATCH(F$1,INDIRECT("Table!A" &amp; $AG24):INDIRECT("Table!" &amp; $AJ$86 &amp; $AG24),0)))))</f>
        <v>0.73729540928417958</v>
      </c>
      <c r="G24" s="596">
        <f ca="1">IF(ISERROR(MATCH(G$1,INDIRECT("Table!A"&amp;$AG24):INDIRECT("Table!" &amp; $AJ$86 &amp; $AG24),0)),"",INDIRECT(CONCATENATE("Table!",ADDRESS($AC24,MATCH(G$1,INDIRECT("Table!A" &amp; $AG24):INDIRECT("Table!" &amp; $AJ$86 &amp; $AG24),0)))))</f>
        <v>3.4861995309268168</v>
      </c>
      <c r="H24" s="596">
        <f ca="1">IF(ISERROR(MATCH(H$1,INDIRECT("Table!A"&amp;$AG24):INDIRECT("Table!" &amp; $AJ$86 &amp; $AG24),0)),"",INDIRECT(CONCATENATE("Table!",ADDRESS($AC24,MATCH(H$1,INDIRECT("Table!A" &amp; $AG24):INDIRECT("Table!" &amp; $AJ$86 &amp; $AG24),0)))))</f>
        <v>0.91269552420736899</v>
      </c>
      <c r="I24" s="596">
        <f ca="1">IF(ISERROR(MATCH(I$1,INDIRECT("Table!A"&amp;$AG24):INDIRECT("Table!" &amp; $AJ$64 &amp; $AG24),0)),"",INDIRECT(CONCATENATE("Table!",ADDRESS($AC24,MATCH(I$1,INDIRECT("Table!A" &amp; $AG24):INDIRECT("Table!" &amp; $AJ$64 &amp; $AG24),0)))))</f>
        <v>0.25310140915725565</v>
      </c>
      <c r="J24" s="596">
        <f ca="1">IF(ISERROR(MATCH(J$1,INDIRECT("Table!A"&amp;$AG24):INDIRECT("Table!" &amp; $AJ$64 &amp; $AG24),0)),"",INDIRECT(CONCATENATE("Table!",ADDRESS($AC24,MATCH(J$1,INDIRECT("Table!A" &amp; $AG24):INDIRECT("Table!" &amp; $AJ$64 &amp; $AG24),0)))))</f>
        <v>0.9938774255947721</v>
      </c>
      <c r="K24" s="596">
        <f ca="1">IF(ISERROR(MATCH(K$1,INDIRECT("Table!A"&amp;$AG24):INDIRECT("Table!" &amp; $AJ$64 &amp; $AG24),0)),"",INDIRECT(CONCATENATE("Table!",ADDRESS($AC24,MATCH(K$1,INDIRECT("Table!A" &amp; $AG24):INDIRECT("Table!" &amp; $AJ$64 &amp; $AG24),0)))))</f>
        <v>1.1886610189660332</v>
      </c>
      <c r="L24" s="596">
        <f ca="1">IF(ISERROR(MATCH(L$1,INDIRECT("Table!A"&amp;$AG24):INDIRECT("Table!" &amp; $AJ$86 &amp; $AG24),0)),"",INDIRECT(CONCATENATE("Table!",ADDRESS($AC24,MATCH(L$1,INDIRECT("Table!A" &amp; $AG24):INDIRECT("Table!" &amp; $AJ$86 &amp; $AG24),0)))))</f>
        <v>1.4480403731872551</v>
      </c>
      <c r="M24" s="596">
        <f ca="1">IF(ISERROR(MATCH(M$1,INDIRECT("Table!A"&amp;$AG24):INDIRECT("Table!" &amp; $AJ$86 &amp; $AG24),0)),"",INDIRECT(CONCATENATE("Table!",ADDRESS($AC24,MATCH(M$1,INDIRECT("Table!A" &amp; $AG24):INDIRECT("Table!" &amp; $AJ$86 &amp; $AG24),0)))))</f>
        <v>2.7742615503027634</v>
      </c>
      <c r="N24" s="596">
        <f ca="1">IF(ISERROR(MATCH(N$1,INDIRECT("Table!A"&amp;$AG24):INDIRECT("Table!" &amp; $AJ$86 &amp; $AG24),0)),"",INDIRECT(CONCATENATE("Table!",ADDRESS($AC24,MATCH(N$1,INDIRECT("Table!A" &amp; $AG24):INDIRECT("Table!" &amp; $AJ$86 &amp; $AG24),0)))))</f>
        <v>1.5169809227020086</v>
      </c>
      <c r="O24" s="596">
        <f ca="1">IF(ISERROR(MATCH(O$1,INDIRECT("Table!A"&amp;$AG24):INDIRECT("Table!" &amp; $AJ$64 &amp; $AG24),0)),"",INDIRECT(CONCATENATE("Table!",ADDRESS($AC24,MATCH(O$1,INDIRECT("Table!A" &amp; $AG24):INDIRECT("Table!" &amp; $AJ$64 &amp; $AG24),0)))))</f>
        <v>0.66980372432050173</v>
      </c>
      <c r="P24" s="596">
        <f ca="1">IF(ISERROR(MATCH(P$1,INDIRECT("Table!A"&amp;$AG24):INDIRECT("Table!" &amp; $AJ$64 &amp; $AG24),0)),"",INDIRECT(CONCATENATE("Table!",ADDRESS($AC24,MATCH(P$1,INDIRECT("Table!A" &amp; $AG24):INDIRECT("Table!" &amp; $AJ$64 &amp; $AG24),0)))))</f>
        <v>0.68879574405330324</v>
      </c>
      <c r="Q24" s="596">
        <f ca="1">IF(ISERROR(MATCH(Q$1,INDIRECT("Table!A"&amp;$AG24):INDIRECT("Table!" &amp; $AJ$64 &amp; $AG24),0)),"",INDIRECT(CONCATENATE("Table!",ADDRESS($AC24,MATCH(Q$1,INDIRECT("Table!A" &amp; $AG24):INDIRECT("Table!" &amp; $AJ$64 &amp; $AG24),0)))))</f>
        <v>0.70241668501060417</v>
      </c>
      <c r="R24" s="596">
        <f ca="1">IF(ISERROR(MATCH(R$1,INDIRECT("Table!A"&amp;$AG24):INDIRECT("Table!" &amp; $AJ$64 &amp; $AG24),0)),"",INDIRECT(CONCATENATE("Table!",ADDRESS($AC24,MATCH(R$1,INDIRECT("Table!A" &amp; $AG24):INDIRECT("Table!" &amp; $AJ$64 &amp; $AG24),0)))))</f>
        <v>2.671549075016737</v>
      </c>
      <c r="S24" s="596">
        <f ca="1">IF(ISERROR(MATCH(S$1,INDIRECT("Table!A"&amp;$AG24):INDIRECT("Table!" &amp; $AJ$43 &amp; $AG24),0)),"",INDIRECT(CONCATENATE("Table!",ADDRESS($AC24,MATCH(S$1,INDIRECT("Table!A" &amp; $AG24):INDIRECT("Table!" &amp; $AJ$43 &amp; $AG24),0)))))</f>
        <v>1.0325835070986926</v>
      </c>
      <c r="T24" s="596">
        <f ca="1">IF(ISERROR(MATCH(T$1,INDIRECT("Table!A"&amp;$AG24):INDIRECT("Table!" &amp; $AJ$43 &amp; $AG24),0)),"",INDIRECT(CONCATENATE("Table!",ADDRESS($AC24,MATCH(T$1,INDIRECT("Table!A" &amp; $AG24):INDIRECT("Table!" &amp; $AJ$43 &amp; $AG24),0)))))</f>
        <v>1.107580090962663</v>
      </c>
      <c r="U24" s="596" t="str">
        <f ca="1">IF(ISERROR(MATCH(U$1,INDIRECT("Table!A"&amp;$AG24):INDIRECT("Table!" &amp; $AJ$43 &amp; $AG24),0)),"",INDIRECT(CONCATENATE("Table!",ADDRESS($AC24,MATCH(U$1,INDIRECT("Table!A" &amp; $AG24):INDIRECT("Table!" &amp; $AJ$43 &amp; $AG24),0)))))</f>
        <v/>
      </c>
      <c r="V24" s="596"/>
      <c r="W24" s="596"/>
      <c r="X24" s="596"/>
      <c r="Y24" s="596"/>
      <c r="Z24" s="596"/>
      <c r="AA24" s="596"/>
      <c r="AB24" s="596"/>
      <c r="AC24" s="595">
        <f>MATCH($A24,Table!$A:$A,0)+$AE$2-1</f>
        <v>306</v>
      </c>
      <c r="AD24" s="697"/>
      <c r="AE24" s="697"/>
      <c r="AF24" s="697"/>
      <c r="AG24" s="595">
        <f>MATCH($A24,Table!$A:$A,0)+$AI$2-1</f>
        <v>297</v>
      </c>
      <c r="AH24" s="697"/>
      <c r="AI24" s="697"/>
      <c r="AJ24" s="904" t="s">
        <v>285</v>
      </c>
    </row>
    <row r="25" spans="1:36" s="591" customFormat="1" ht="19.5" customHeight="1" x14ac:dyDescent="0.25">
      <c r="A25" s="592">
        <v>41642</v>
      </c>
      <c r="B25" s="596">
        <f ca="1">IF(ISERROR(MATCH(B$1,INDIRECT("Table!A"&amp;$AG25):INDIRECT("Table!" &amp; $AJ$86 &amp; $AG25),0)),"",INDIRECT(CONCATENATE("Table!",ADDRESS($AC25,MATCH(B$1,INDIRECT("Table!A" &amp; $AG25):INDIRECT("Table!" &amp; $AJ$86 &amp; $AG25),0)))))</f>
        <v>1.3012481641363247</v>
      </c>
      <c r="C25" s="596">
        <f ca="1">IF(ISERROR(MATCH(C$1,INDIRECT("Table!A"&amp;$AG25):INDIRECT("Table!" &amp; $AJ$86 &amp; $AG25),0)),"",INDIRECT(CONCATENATE("Table!",ADDRESS($AC25,MATCH(C$1,INDIRECT("Table!A" &amp; $AG25):INDIRECT("Table!" &amp; $AJ$86 &amp; $AG25),0)))))</f>
        <v>0.64178396815768612</v>
      </c>
      <c r="D25" s="596">
        <f ca="1">IF(ISERROR(MATCH(D$1,INDIRECT("Table!A"&amp;$AG25):INDIRECT("Table!" &amp; $AJ$86 &amp; $AG25),0)),"",INDIRECT(CONCATENATE("Table!",ADDRESS($AC25,MATCH(D$1,INDIRECT("Table!A" &amp; $AG25):INDIRECT("Table!" &amp; $AJ$86 &amp; $AG25),0)))))</f>
        <v>0.64850421913315925</v>
      </c>
      <c r="E25" s="596">
        <f ca="1">IF(ISERROR(MATCH(E$1,INDIRECT("Table!A"&amp;$AG25):INDIRECT("Table!" &amp; $AJ$86 &amp; $AG25),0)),"",INDIRECT(CONCATENATE("Table!",ADDRESS($AC25,MATCH(E$1,INDIRECT("Table!A" &amp; $AG25):INDIRECT("Table!" &amp; $AJ$86 &amp; $AG25),0)))))</f>
        <v>1.542655550476157</v>
      </c>
      <c r="F25" s="596">
        <f ca="1">IF(ISERROR(MATCH(F$1,INDIRECT("Table!A"&amp;$AG25):INDIRECT("Table!" &amp; $AJ$86 &amp; $AG25),0)),"",INDIRECT(CONCATENATE("Table!",ADDRESS($AC25,MATCH(F$1,INDIRECT("Table!A" &amp; $AG25):INDIRECT("Table!" &amp; $AJ$86 &amp; $AG25),0)))))</f>
        <v>0.73729540928417958</v>
      </c>
      <c r="G25" s="596">
        <f ca="1">IF(ISERROR(MATCH(G$1,INDIRECT("Table!A"&amp;$AG25):INDIRECT("Table!" &amp; $AJ$86 &amp; $AG25),0)),"",INDIRECT(CONCATENATE("Table!",ADDRESS($AC25,MATCH(G$1,INDIRECT("Table!A" &amp; $AG25):INDIRECT("Table!" &amp; $AJ$86 &amp; $AG25),0)))))</f>
        <v>3.4861995309268168</v>
      </c>
      <c r="H25" s="596">
        <f ca="1">IF(ISERROR(MATCH(H$1,INDIRECT("Table!A"&amp;$AG25):INDIRECT("Table!" &amp; $AJ$86 &amp; $AG25),0)),"",INDIRECT(CONCATENATE("Table!",ADDRESS($AC25,MATCH(H$1,INDIRECT("Table!A" &amp; $AG25):INDIRECT("Table!" &amp; $AJ$86 &amp; $AG25),0)))))</f>
        <v>0.96890084495047613</v>
      </c>
      <c r="I25" s="596">
        <f ca="1">IF(ISERROR(MATCH(I$1,INDIRECT("Table!A"&amp;$AG25):INDIRECT("Table!" &amp; $AJ$64 &amp; $AG25),0)),"",INDIRECT(CONCATENATE("Table!",ADDRESS($AC25,MATCH(I$1,INDIRECT("Table!A" &amp; $AG25):INDIRECT("Table!" &amp; $AJ$64 &amp; $AG25),0)))))</f>
        <v>0.16588127782126094</v>
      </c>
      <c r="J25" s="596">
        <f ca="1">IF(ISERROR(MATCH(J$1,INDIRECT("Table!A"&amp;$AG25):INDIRECT("Table!" &amp; $AJ$64 &amp; $AG25),0)),"",INDIRECT(CONCATENATE("Table!",ADDRESS($AC25,MATCH(J$1,INDIRECT("Table!A" &amp; $AG25):INDIRECT("Table!" &amp; $AJ$64 &amp; $AG25),0)))))</f>
        <v>1.1007729440892702</v>
      </c>
      <c r="K25" s="596">
        <f ca="1">IF(ISERROR(MATCH(K$1,INDIRECT("Table!A"&amp;$AG25):INDIRECT("Table!" &amp; $AJ$64 &amp; $AG25),0)),"",INDIRECT(CONCATENATE("Table!",ADDRESS($AC25,MATCH(K$1,INDIRECT("Table!A" &amp; $AG25):INDIRECT("Table!" &amp; $AJ$64 &amp; $AG25),0)))))</f>
        <v>0.89281289627758975</v>
      </c>
      <c r="L25" s="596">
        <f ca="1">IF(ISERROR(MATCH(L$1,INDIRECT("Table!A"&amp;$AG25):INDIRECT("Table!" &amp; $AJ$86 &amp; $AG25),0)),"",INDIRECT(CONCATENATE("Table!",ADDRESS($AC25,MATCH(L$1,INDIRECT("Table!A" &amp; $AG25):INDIRECT("Table!" &amp; $AJ$86 &amp; $AG25),0)))))</f>
        <v>1.4581714156052119</v>
      </c>
      <c r="M25" s="596">
        <f ca="1">IF(ISERROR(MATCH(M$1,INDIRECT("Table!A"&amp;$AG25):INDIRECT("Table!" &amp; $AJ$86 &amp; $AG25),0)),"",INDIRECT(CONCATENATE("Table!",ADDRESS($AC25,MATCH(M$1,INDIRECT("Table!A" &amp; $AG25):INDIRECT("Table!" &amp; $AJ$86 &amp; $AG25),0)))))</f>
        <v>2.7911030939304289</v>
      </c>
      <c r="N25" s="596">
        <f ca="1">IF(ISERROR(MATCH(N$1,INDIRECT("Table!A"&amp;$AG25):INDIRECT("Table!" &amp; $AJ$86 &amp; $AG25),0)),"",INDIRECT(CONCATENATE("Table!",ADDRESS($AC25,MATCH(N$1,INDIRECT("Table!A" &amp; $AG25):INDIRECT("Table!" &amp; $AJ$86 &amp; $AG25),0)))))</f>
        <v>1.5345064948879801</v>
      </c>
      <c r="O25" s="596">
        <f ca="1">IF(ISERROR(MATCH(O$1,INDIRECT("Table!A"&amp;$AG25):INDIRECT("Table!" &amp; $AJ$64 &amp; $AG25),0)),"",INDIRECT(CONCATENATE("Table!",ADDRESS($AC25,MATCH(O$1,INDIRECT("Table!A" &amp; $AG25):INDIRECT("Table!" &amp; $AJ$64 &amp; $AG25),0)))))</f>
        <v>0.70465112509292671</v>
      </c>
      <c r="P25" s="596">
        <f ca="1">IF(ISERROR(MATCH(P$1,INDIRECT("Table!A"&amp;$AG25):INDIRECT("Table!" &amp; $AJ$64 &amp; $AG25),0)),"",INDIRECT(CONCATENATE("Table!",ADDRESS($AC25,MATCH(P$1,INDIRECT("Table!A" &amp; $AG25):INDIRECT("Table!" &amp; $AJ$64 &amp; $AG25),0)))))</f>
        <v>0.5143551650859578</v>
      </c>
      <c r="Q25" s="596">
        <f ca="1">IF(ISERROR(MATCH(Q$1,INDIRECT("Table!A"&amp;$AG25):INDIRECT("Table!" &amp; $AJ$64 &amp; $AG25),0)),"",INDIRECT(CONCATENATE("Table!",ADDRESS($AC25,MATCH(Q$1,INDIRECT("Table!A" &amp; $AG25):INDIRECT("Table!" &amp; $AJ$64 &amp; $AG25),0)))))</f>
        <v>0.55879325817963232</v>
      </c>
      <c r="R25" s="596">
        <f ca="1">IF(ISERROR(MATCH(R$1,INDIRECT("Table!A"&amp;$AG25):INDIRECT("Table!" &amp; $AJ$64 &amp; $AG25),0)),"",INDIRECT(CONCATENATE("Table!",ADDRESS($AC25,MATCH(R$1,INDIRECT("Table!A" &amp; $AG25):INDIRECT("Table!" &amp; $AJ$64 &amp; $AG25),0)))))</f>
        <v>2.2926203151349638</v>
      </c>
      <c r="S25" s="596">
        <f ca="1">IF(ISERROR(MATCH(S$1,INDIRECT("Table!A"&amp;$AG25):INDIRECT("Table!" &amp; $AJ$43 &amp; $AG25),0)),"",INDIRECT(CONCATENATE("Table!",ADDRESS($AC25,MATCH(S$1,INDIRECT("Table!A" &amp; $AG25):INDIRECT("Table!" &amp; $AJ$43 &amp; $AG25),0)))))</f>
        <v>0.99101116933509814</v>
      </c>
      <c r="T25" s="596">
        <f ca="1">IF(ISERROR(MATCH(T$1,INDIRECT("Table!A"&amp;$AG25):INDIRECT("Table!" &amp; $AJ$43 &amp; $AG25),0)),"",INDIRECT(CONCATENATE("Table!",ADDRESS($AC25,MATCH(T$1,INDIRECT("Table!A" &amp; $AG25):INDIRECT("Table!" &amp; $AJ$43 &amp; $AG25),0)))))</f>
        <v>1.034216920264124</v>
      </c>
      <c r="U25" s="596" t="str">
        <f ca="1">IF(ISERROR(MATCH(U$1,INDIRECT("Table!A"&amp;$AG25):INDIRECT("Table!" &amp; $AJ$43 &amp; $AG25),0)),"",INDIRECT(CONCATENATE("Table!",ADDRESS($AC25,MATCH(U$1,INDIRECT("Table!A" &amp; $AG25):INDIRECT("Table!" &amp; $AJ$43 &amp; $AG25),0)))))</f>
        <v/>
      </c>
      <c r="V25" s="596"/>
      <c r="W25" s="596"/>
      <c r="X25" s="596"/>
      <c r="Y25" s="596"/>
      <c r="Z25" s="596"/>
      <c r="AA25" s="596"/>
      <c r="AB25" s="596"/>
      <c r="AC25" s="595">
        <f>MATCH($A25,Table!$A:$A,0)+$AE$2-1</f>
        <v>348</v>
      </c>
      <c r="AD25" s="697"/>
      <c r="AE25" s="697"/>
      <c r="AF25" s="697"/>
      <c r="AG25" s="595">
        <f>MATCH($A25,Table!$A:$A,0)+$AI$2-1</f>
        <v>339</v>
      </c>
      <c r="AH25" s="697"/>
      <c r="AI25" s="697"/>
      <c r="AJ25" s="904" t="s">
        <v>285</v>
      </c>
    </row>
    <row r="26" spans="1:36" s="591" customFormat="1" ht="19.5" customHeight="1" x14ac:dyDescent="0.25">
      <c r="A26" s="592">
        <v>41626</v>
      </c>
      <c r="B26" s="596">
        <f ca="1">IF(ISERROR(MATCH(B$1,INDIRECT("Table!A"&amp;$AG26):INDIRECT("Table!" &amp; $AJ$86 &amp; $AG26),0)),"",INDIRECT(CONCATENATE("Table!",ADDRESS($AC26,MATCH(B$1,INDIRECT("Table!A" &amp; $AG26):INDIRECT("Table!" &amp; $AJ$86 &amp; $AG26),0)))))</f>
        <v>1.3012481641363247</v>
      </c>
      <c r="C26" s="596">
        <f ca="1">IF(ISERROR(MATCH(C$1,INDIRECT("Table!A"&amp;$AG26):INDIRECT("Table!" &amp; $AJ$86 &amp; $AG26),0)),"",INDIRECT(CONCATENATE("Table!",ADDRESS($AC26,MATCH(C$1,INDIRECT("Table!A" &amp; $AG26):INDIRECT("Table!" &amp; $AJ$86 &amp; $AG26),0)))))</f>
        <v>0.64178396815768612</v>
      </c>
      <c r="D26" s="596">
        <f ca="1">IF(ISERROR(MATCH(D$1,INDIRECT("Table!A"&amp;$AG26):INDIRECT("Table!" &amp; $AJ$86 &amp; $AG26),0)),"",INDIRECT(CONCATENATE("Table!",ADDRESS($AC26,MATCH(D$1,INDIRECT("Table!A" &amp; $AG26):INDIRECT("Table!" &amp; $AJ$86 &amp; $AG26),0)))))</f>
        <v>0.64850421913315925</v>
      </c>
      <c r="E26" s="596">
        <f ca="1">IF(ISERROR(MATCH(E$1,INDIRECT("Table!A"&amp;$AG26):INDIRECT("Table!" &amp; $AJ$86 &amp; $AG26),0)),"",INDIRECT(CONCATENATE("Table!",ADDRESS($AC26,MATCH(E$1,INDIRECT("Table!A" &amp; $AG26):INDIRECT("Table!" &amp; $AJ$86 &amp; $AG26),0)))))</f>
        <v>1.542655550476157</v>
      </c>
      <c r="F26" s="596">
        <f ca="1">IF(ISERROR(MATCH(F$1,INDIRECT("Table!A"&amp;$AG26):INDIRECT("Table!" &amp; $AJ$86 &amp; $AG26),0)),"",INDIRECT(CONCATENATE("Table!",ADDRESS($AC26,MATCH(F$1,INDIRECT("Table!A" &amp; $AG26):INDIRECT("Table!" &amp; $AJ$86 &amp; $AG26),0)))))</f>
        <v>0.73729540928417958</v>
      </c>
      <c r="G26" s="596">
        <f ca="1">IF(ISERROR(MATCH(G$1,INDIRECT("Table!A"&amp;$AG26):INDIRECT("Table!" &amp; $AJ$86 &amp; $AG26),0)),"",INDIRECT(CONCATENATE("Table!",ADDRESS($AC26,MATCH(G$1,INDIRECT("Table!A" &amp; $AG26):INDIRECT("Table!" &amp; $AJ$86 &amp; $AG26),0)))))</f>
        <v>3.4861995309268168</v>
      </c>
      <c r="H26" s="596">
        <f ca="1">IF(ISERROR(MATCH(H$1,INDIRECT("Table!A"&amp;$AG26):INDIRECT("Table!" &amp; $AJ$86 &amp; $AG26),0)),"",INDIRECT(CONCATENATE("Table!",ADDRESS($AC26,MATCH(H$1,INDIRECT("Table!A" &amp; $AG26):INDIRECT("Table!" &amp; $AJ$86 &amp; $AG26),0)))))</f>
        <v>0.96890084495047613</v>
      </c>
      <c r="I26" s="596">
        <f ca="1">IF(ISERROR(MATCH(I$1,INDIRECT("Table!A"&amp;$AG26):INDIRECT("Table!" &amp; $AJ$64 &amp; $AG26),0)),"",INDIRECT(CONCATENATE("Table!",ADDRESS($AC26,MATCH(I$1,INDIRECT("Table!A" &amp; $AG26):INDIRECT("Table!" &amp; $AJ$64 &amp; $AG26),0)))))</f>
        <v>0.15834121973847637</v>
      </c>
      <c r="J26" s="596">
        <f ca="1">IF(ISERROR(MATCH(J$1,INDIRECT("Table!A"&amp;$AG26):INDIRECT("Table!" &amp; $AJ$64 &amp; $AG26),0)),"",INDIRECT(CONCATENATE("Table!",ADDRESS($AC26,MATCH(J$1,INDIRECT("Table!A" &amp; $AG26):INDIRECT("Table!" &amp; $AJ$64 &amp; $AG26),0)))))</f>
        <v>1.1007729440892702</v>
      </c>
      <c r="K26" s="596">
        <f ca="1">IF(ISERROR(MATCH(K$1,INDIRECT("Table!A"&amp;$AG26):INDIRECT("Table!" &amp; $AJ$64 &amp; $AG26),0)),"",INDIRECT(CONCATENATE("Table!",ADDRESS($AC26,MATCH(K$1,INDIRECT("Table!A" &amp; $AG26):INDIRECT("Table!" &amp; $AJ$64 &amp; $AG26),0)))))</f>
        <v>0.89281289627758975</v>
      </c>
      <c r="L26" s="596">
        <f ca="1">IF(ISERROR(MATCH(L$1,INDIRECT("Table!A"&amp;$AG26):INDIRECT("Table!" &amp; $AJ$86 &amp; $AG26),0)),"",INDIRECT(CONCATENATE("Table!",ADDRESS($AC26,MATCH(L$1,INDIRECT("Table!A" &amp; $AG26):INDIRECT("Table!" &amp; $AJ$86 &amp; $AG26),0)))))</f>
        <v>1.4581714156052119</v>
      </c>
      <c r="M26" s="596">
        <f ca="1">IF(ISERROR(MATCH(M$1,INDIRECT("Table!A"&amp;$AG26):INDIRECT("Table!" &amp; $AJ$86 &amp; $AG26),0)),"",INDIRECT(CONCATENATE("Table!",ADDRESS($AC26,MATCH(M$1,INDIRECT("Table!A" &amp; $AG26):INDIRECT("Table!" &amp; $AJ$86 &amp; $AG26),0)))))</f>
        <v>2.7908479190269797</v>
      </c>
      <c r="N26" s="596">
        <f ca="1">IF(ISERROR(MATCH(N$1,INDIRECT("Table!A"&amp;$AG26):INDIRECT("Table!" &amp; $AJ$86 &amp; $AG26),0)),"",INDIRECT(CONCATENATE("Table!",ADDRESS($AC26,MATCH(N$1,INDIRECT("Table!A" &amp; $AG26):INDIRECT("Table!" &amp; $AJ$86 &amp; $AG26),0)))))</f>
        <v>1.5345064948879801</v>
      </c>
      <c r="O26" s="596">
        <f ca="1">IF(ISERROR(MATCH(O$1,INDIRECT("Table!A"&amp;$AG26):INDIRECT("Table!" &amp; $AJ$64 &amp; $AG26),0)),"",INDIRECT(CONCATENATE("Table!",ADDRESS($AC26,MATCH(O$1,INDIRECT("Table!A" &amp; $AG26):INDIRECT("Table!" &amp; $AJ$64 &amp; $AG26),0)))))</f>
        <v>0.70465112509292671</v>
      </c>
      <c r="P26" s="596">
        <f ca="1">IF(ISERROR(MATCH(P$1,INDIRECT("Table!A"&amp;$AG26):INDIRECT("Table!" &amp; $AJ$64 &amp; $AG26),0)),"",INDIRECT(CONCATENATE("Table!",ADDRESS($AC26,MATCH(P$1,INDIRECT("Table!A" &amp; $AG26):INDIRECT("Table!" &amp; $AJ$64 &amp; $AG26),0)))))</f>
        <v>0.49927502157709847</v>
      </c>
      <c r="Q26" s="596">
        <f ca="1">IF(ISERROR(MATCH(Q$1,INDIRECT("Table!A"&amp;$AG26):INDIRECT("Table!" &amp; $AJ$64 &amp; $AG26),0)),"",INDIRECT(CONCATENATE("Table!",ADDRESS($AC26,MATCH(Q$1,INDIRECT("Table!A" &amp; $AG26):INDIRECT("Table!" &amp; $AJ$64 &amp; $AG26),0)))))</f>
        <v>0.55879325817963232</v>
      </c>
      <c r="R26" s="596">
        <f ca="1">IF(ISERROR(MATCH(R$1,INDIRECT("Table!A"&amp;$AG26):INDIRECT("Table!" &amp; $AJ$64 &amp; $AG26),0)),"",INDIRECT(CONCATENATE("Table!",ADDRESS($AC26,MATCH(R$1,INDIRECT("Table!A" &amp; $AG26):INDIRECT("Table!" &amp; $AJ$64 &amp; $AG26),0)))))</f>
        <v>2.2926203151349638</v>
      </c>
      <c r="S26" s="596">
        <f ca="1">IF(ISERROR(MATCH(S$1,INDIRECT("Table!A"&amp;$AG26):INDIRECT("Table!" &amp; $AJ$43 &amp; $AG26),0)),"",INDIRECT(CONCATENATE("Table!",ADDRESS($AC26,MATCH(S$1,INDIRECT("Table!A" &amp; $AG26):INDIRECT("Table!" &amp; $AJ$43 &amp; $AG26),0)))))</f>
        <v>0.99101116933509814</v>
      </c>
      <c r="T26" s="596">
        <f ca="1">IF(ISERROR(MATCH(T$1,INDIRECT("Table!A"&amp;$AG26):INDIRECT("Table!" &amp; $AJ$43 &amp; $AG26),0)),"",INDIRECT(CONCATENATE("Table!",ADDRESS($AC26,MATCH(T$1,INDIRECT("Table!A" &amp; $AG26):INDIRECT("Table!" &amp; $AJ$43 &amp; $AG26),0)))))</f>
        <v>1.034216920264124</v>
      </c>
      <c r="U26" s="596" t="str">
        <f ca="1">IF(ISERROR(MATCH(U$1,INDIRECT("Table!A"&amp;$AG26):INDIRECT("Table!" &amp; $AJ$43 &amp; $AG26),0)),"",INDIRECT(CONCATENATE("Table!",ADDRESS($AC26,MATCH(U$1,INDIRECT("Table!A" &amp; $AG26):INDIRECT("Table!" &amp; $AJ$43 &amp; $AG26),0)))))</f>
        <v/>
      </c>
      <c r="V26" s="596"/>
      <c r="W26" s="596"/>
      <c r="X26" s="596"/>
      <c r="Y26" s="596"/>
      <c r="Z26" s="596"/>
      <c r="AA26" s="596"/>
      <c r="AB26" s="596"/>
      <c r="AC26" s="595">
        <f>MATCH($A26,Table!$A:$A,0)+$AE$2-1</f>
        <v>362</v>
      </c>
      <c r="AD26" s="607"/>
      <c r="AE26" s="607"/>
      <c r="AF26" s="607"/>
      <c r="AG26" s="595">
        <f>MATCH($A26,Table!$A:$A,0)+$AI$2-1</f>
        <v>353</v>
      </c>
      <c r="AH26" s="607"/>
      <c r="AI26" s="607"/>
      <c r="AJ26" s="904" t="s">
        <v>285</v>
      </c>
    </row>
    <row r="27" spans="1:36" s="591" customFormat="1" ht="19.5" customHeight="1" x14ac:dyDescent="0.25">
      <c r="A27" s="592">
        <v>41617</v>
      </c>
      <c r="B27" s="596">
        <f ca="1">IF(ISERROR(MATCH(B$1,INDIRECT("Table!A"&amp;$AG27):INDIRECT("Table!" &amp; $AJ$86 &amp; $AG27),0)),"",INDIRECT(CONCATENATE("Table!",ADDRESS($AC27,MATCH(B$1,INDIRECT("Table!A" &amp; $AG27):INDIRECT("Table!" &amp; $AJ$86 &amp; $AG27),0)))))</f>
        <v>1.3012481641363247</v>
      </c>
      <c r="C27" s="596">
        <f ca="1">IF(ISERROR(MATCH(C$1,INDIRECT("Table!A"&amp;$AG27):INDIRECT("Table!" &amp; $AJ$86 &amp; $AG27),0)),"",INDIRECT(CONCATENATE("Table!",ADDRESS($AC27,MATCH(C$1,INDIRECT("Table!A" &amp; $AG27):INDIRECT("Table!" &amp; $AJ$86 &amp; $AG27),0)))))</f>
        <v>0.64178396815768612</v>
      </c>
      <c r="D27" s="596">
        <f ca="1">IF(ISERROR(MATCH(D$1,INDIRECT("Table!A"&amp;$AG27):INDIRECT("Table!" &amp; $AJ$86 &amp; $AG27),0)),"",INDIRECT(CONCATENATE("Table!",ADDRESS($AC27,MATCH(D$1,INDIRECT("Table!A" &amp; $AG27):INDIRECT("Table!" &amp; $AJ$86 &amp; $AG27),0)))))</f>
        <v>0.64850421913315925</v>
      </c>
      <c r="E27" s="596">
        <f ca="1">IF(ISERROR(MATCH(E$1,INDIRECT("Table!A"&amp;$AG27):INDIRECT("Table!" &amp; $AJ$86 &amp; $AG27),0)),"",INDIRECT(CONCATENATE("Table!",ADDRESS($AC27,MATCH(E$1,INDIRECT("Table!A" &amp; $AG27):INDIRECT("Table!" &amp; $AJ$86 &amp; $AG27),0)))))</f>
        <v>1.542655550476157</v>
      </c>
      <c r="F27" s="596">
        <f ca="1">IF(ISERROR(MATCH(F$1,INDIRECT("Table!A"&amp;$AG27):INDIRECT("Table!" &amp; $AJ$86 &amp; $AG27),0)),"",INDIRECT(CONCATENATE("Table!",ADDRESS($AC27,MATCH(F$1,INDIRECT("Table!A" &amp; $AG27):INDIRECT("Table!" &amp; $AJ$86 &amp; $AG27),0)))))</f>
        <v>1.5561049600038681</v>
      </c>
      <c r="G27" s="596">
        <f ca="1">IF(ISERROR(MATCH(G$1,INDIRECT("Table!A"&amp;$AG27):INDIRECT("Table!" &amp; $AJ$86 &amp; $AG27),0)),"",INDIRECT(CONCATENATE("Table!",ADDRESS($AC27,MATCH(G$1,INDIRECT("Table!A" &amp; $AG27):INDIRECT("Table!" &amp; $AJ$86 &amp; $AG27),0)))))</f>
        <v>3.4861995309268168</v>
      </c>
      <c r="H27" s="596">
        <f ca="1">IF(ISERROR(MATCH(H$1,INDIRECT("Table!A"&amp;$AG27):INDIRECT("Table!" &amp; $AJ$86 &amp; $AG27),0)),"",INDIRECT(CONCATENATE("Table!",ADDRESS($AC27,MATCH(H$1,INDIRECT("Table!A" &amp; $AG27):INDIRECT("Table!" &amp; $AJ$86 &amp; $AG27),0)))))</f>
        <v>0.96811199834355544</v>
      </c>
      <c r="I27" s="596">
        <f ca="1">IF(ISERROR(MATCH(I$1,INDIRECT("Table!A"&amp;$AG27):INDIRECT("Table!" &amp; $AJ$64 &amp; $AG27),0)),"",INDIRECT(CONCATENATE("Table!",ADDRESS($AC27,MATCH(I$1,INDIRECT("Table!A" &amp; $AG27):INDIRECT("Table!" &amp; $AJ$64 &amp; $AG27),0)))))</f>
        <v>0.13225669447911345</v>
      </c>
      <c r="J27" s="596">
        <f ca="1">IF(ISERROR(MATCH(J$1,INDIRECT("Table!A"&amp;$AG27):INDIRECT("Table!" &amp; $AJ$64 &amp; $AG27),0)),"",INDIRECT(CONCATENATE("Table!",ADDRESS($AC27,MATCH(J$1,INDIRECT("Table!A" &amp; $AG27):INDIRECT("Table!" &amp; $AJ$64 &amp; $AG27),0)))))</f>
        <v>1.0953000921962177</v>
      </c>
      <c r="K27" s="596">
        <f ca="1">IF(ISERROR(MATCH(K$1,INDIRECT("Table!A"&amp;$AG27):INDIRECT("Table!" &amp; $AJ$64 &amp; $AG27),0)),"",INDIRECT(CONCATENATE("Table!",ADDRESS($AC27,MATCH(K$1,INDIRECT("Table!A" &amp; $AG27):INDIRECT("Table!" &amp; $AJ$64 &amp; $AG27),0)))))</f>
        <v>0.33174045195141838</v>
      </c>
      <c r="L27" s="596">
        <f ca="1">IF(ISERROR(MATCH(L$1,INDIRECT("Table!A"&amp;$AG27):INDIRECT("Table!" &amp; $AJ$86 &amp; $AG27),0)),"",INDIRECT(CONCATENATE("Table!",ADDRESS($AC27,MATCH(L$1,INDIRECT("Table!A" &amp; $AG27):INDIRECT("Table!" &amp; $AJ$86 &amp; $AG27),0)))))</f>
        <v>1.4564246841538397</v>
      </c>
      <c r="M27" s="596">
        <f ca="1">IF(ISERROR(MATCH(M$1,INDIRECT("Table!A"&amp;$AG27):INDIRECT("Table!" &amp; $AJ$86 &amp; $AG27),0)),"",INDIRECT(CONCATENATE("Table!",ADDRESS($AC27,MATCH(M$1,INDIRECT("Table!A" &amp; $AG27):INDIRECT("Table!" &amp; $AJ$86 &amp; $AG27),0)))))</f>
        <v>0.86883801229030222</v>
      </c>
      <c r="N27" s="596">
        <f ca="1">IF(ISERROR(MATCH(N$1,INDIRECT("Table!A"&amp;$AG27):INDIRECT("Table!" &amp; $AJ$86 &amp; $AG27),0)),"",INDIRECT(CONCATENATE("Table!",ADDRESS($AC27,MATCH(N$1,INDIRECT("Table!A" &amp; $AG27):INDIRECT("Table!" &amp; $AJ$86 &amp; $AG27),0)))))</f>
        <v>1.6160207841250576</v>
      </c>
      <c r="O27" s="596">
        <f ca="1">IF(ISERROR(MATCH(O$1,INDIRECT("Table!A"&amp;$AG27):INDIRECT("Table!" &amp; $AJ$64 &amp; $AG27),0)),"",INDIRECT(CONCATENATE("Table!",ADDRESS($AC27,MATCH(O$1,INDIRECT("Table!A" &amp; $AG27):INDIRECT("Table!" &amp; $AJ$64 &amp; $AG27),0)))))</f>
        <v>1.0237799532193432</v>
      </c>
      <c r="P27" s="596">
        <f ca="1">IF(ISERROR(MATCH(P$1,INDIRECT("Table!A"&amp;$AG27):INDIRECT("Table!" &amp; $AJ$64 &amp; $AG27),0)),"",INDIRECT(CONCATENATE("Table!",ADDRESS($AC27,MATCH(P$1,INDIRECT("Table!A" &amp; $AG27):INDIRECT("Table!" &amp; $AJ$64 &amp; $AG27),0)))))</f>
        <v>0.44710587646536903</v>
      </c>
      <c r="Q27" s="596">
        <f ca="1">IF(ISERROR(MATCH(Q$1,INDIRECT("Table!A"&amp;$AG27):INDIRECT("Table!" &amp; $AJ$64 &amp; $AG27),0)),"",INDIRECT(CONCATENATE("Table!",ADDRESS($AC27,MATCH(Q$1,INDIRECT("Table!A" &amp; $AG27):INDIRECT("Table!" &amp; $AJ$64 &amp; $AG27),0)))))</f>
        <v>0.55611704525731598</v>
      </c>
      <c r="R27" s="596">
        <f ca="1">IF(ISERROR(MATCH(R$1,INDIRECT("Table!A"&amp;$AG27):INDIRECT("Table!" &amp; $AJ$64 &amp; $AG27),0)),"",INDIRECT(CONCATENATE("Table!",ADDRESS($AC27,MATCH(R$1,INDIRECT("Table!A" &amp; $AG27):INDIRECT("Table!" &amp; $AJ$64 &amp; $AG27),0)))))</f>
        <v>0.34693347548271558</v>
      </c>
      <c r="S27" s="596">
        <f ca="1">IF(ISERROR(MATCH(S$1,INDIRECT("Table!A"&amp;$AG27):INDIRECT("Table!" &amp; $AJ$43 &amp; $AG27),0)),"",INDIRECT(CONCATENATE("Table!",ADDRESS($AC27,MATCH(S$1,INDIRECT("Table!A" &amp; $AG27):INDIRECT("Table!" &amp; $AJ$43 &amp; $AG27),0)))))</f>
        <v>0.99101116933509814</v>
      </c>
      <c r="T27" s="596">
        <f ca="1">IF(ISERROR(MATCH(T$1,INDIRECT("Table!A"&amp;$AG27):INDIRECT("Table!" &amp; $AJ$43 &amp; $AG27),0)),"",INDIRECT(CONCATENATE("Table!",ADDRESS($AC27,MATCH(T$1,INDIRECT("Table!A" &amp; $AG27):INDIRECT("Table!" &amp; $AJ$43 &amp; $AG27),0)))))</f>
        <v>1.034216920264124</v>
      </c>
      <c r="U27" s="596" t="str">
        <f ca="1">IF(ISERROR(MATCH(U$1,INDIRECT("Table!A"&amp;$AG27):INDIRECT("Table!" &amp; $AJ$43 &amp; $AG27),0)),"",INDIRECT(CONCATENATE("Table!",ADDRESS($AC27,MATCH(U$1,INDIRECT("Table!A" &amp; $AG27):INDIRECT("Table!" &amp; $AJ$43 &amp; $AG27),0)))))</f>
        <v/>
      </c>
      <c r="V27" s="596"/>
      <c r="W27" s="596"/>
      <c r="X27" s="596"/>
      <c r="Y27" s="596"/>
      <c r="Z27" s="596"/>
      <c r="AA27" s="596"/>
      <c r="AB27" s="596"/>
      <c r="AC27" s="595">
        <f>MATCH($A27,Table!$A:$A,0)+$AE$2-1</f>
        <v>374</v>
      </c>
      <c r="AD27" s="593"/>
      <c r="AE27" s="593"/>
      <c r="AF27" s="593"/>
      <c r="AG27" s="595">
        <f>MATCH($A27,Table!$A:$A,0)+$AI$2-1</f>
        <v>365</v>
      </c>
      <c r="AH27" s="593"/>
      <c r="AI27" s="593"/>
      <c r="AJ27" s="904" t="s">
        <v>285</v>
      </c>
    </row>
    <row r="28" spans="1:36" s="591" customFormat="1" ht="19.5" customHeight="1" x14ac:dyDescent="0.25">
      <c r="A28" s="592">
        <v>41610</v>
      </c>
      <c r="B28" s="596">
        <f ca="1">IF(ISERROR(MATCH(B$1,INDIRECT("Table!A"&amp;$AG28):INDIRECT("Table!" &amp; $AJ$86 &amp; $AG28),0)),"",INDIRECT(CONCATENATE("Table!",ADDRESS($AC28,MATCH(B$1,INDIRECT("Table!A" &amp; $AG28):INDIRECT("Table!" &amp; $AJ$86 &amp; $AG28),0)))))</f>
        <v>1.3186483022183788</v>
      </c>
      <c r="C28" s="596">
        <f ca="1">IF(ISERROR(MATCH(C$1,INDIRECT("Table!A"&amp;$AG28):INDIRECT("Table!" &amp; $AJ$86 &amp; $AG28),0)),"",INDIRECT(CONCATENATE("Table!",ADDRESS($AC28,MATCH(C$1,INDIRECT("Table!A" &amp; $AG28):INDIRECT("Table!" &amp; $AJ$86 &amp; $AG28),0)))))</f>
        <v>0.64178396815768612</v>
      </c>
      <c r="D28" s="596">
        <f ca="1">IF(ISERROR(MATCH(D$1,INDIRECT("Table!A"&amp;$AG28):INDIRECT("Table!" &amp; $AJ$86 &amp; $AG28),0)),"",INDIRECT(CONCATENATE("Table!",ADDRESS($AC28,MATCH(D$1,INDIRECT("Table!A" &amp; $AG28):INDIRECT("Table!" &amp; $AJ$86 &amp; $AG28),0)))))</f>
        <v>0.64850421913315925</v>
      </c>
      <c r="E28" s="596">
        <f ca="1">IF(ISERROR(MATCH(E$1,INDIRECT("Table!A"&amp;$AG28):INDIRECT("Table!" &amp; $AJ$86 &amp; $AG28),0)),"",INDIRECT(CONCATENATE("Table!",ADDRESS($AC28,MATCH(E$1,INDIRECT("Table!A" &amp; $AG28):INDIRECT("Table!" &amp; $AJ$86 &amp; $AG28),0)))))</f>
        <v>1.542655550476157</v>
      </c>
      <c r="F28" s="596">
        <f ca="1">IF(ISERROR(MATCH(F$1,INDIRECT("Table!A"&amp;$AG28):INDIRECT("Table!" &amp; $AJ$86 &amp; $AG28),0)),"",INDIRECT(CONCATENATE("Table!",ADDRESS($AC28,MATCH(F$1,INDIRECT("Table!A" &amp; $AG28):INDIRECT("Table!" &amp; $AJ$86 &amp; $AG28),0)))))</f>
        <v>1.5561049600038681</v>
      </c>
      <c r="G28" s="596">
        <f ca="1">IF(ISERROR(MATCH(G$1,INDIRECT("Table!A"&amp;$AG28):INDIRECT("Table!" &amp; $AJ$86 &amp; $AG28),0)),"",INDIRECT(CONCATENATE("Table!",ADDRESS($AC28,MATCH(G$1,INDIRECT("Table!A" &amp; $AG28):INDIRECT("Table!" &amp; $AJ$86 &amp; $AG28),0)))))</f>
        <v>3.4861995309268168</v>
      </c>
      <c r="H28" s="596">
        <f ca="1">IF(ISERROR(MATCH(H$1,INDIRECT("Table!A"&amp;$AG28):INDIRECT("Table!" &amp; $AJ$86 &amp; $AG28),0)),"",INDIRECT(CONCATENATE("Table!",ADDRESS($AC28,MATCH(H$1,INDIRECT("Table!A" &amp; $AG28):INDIRECT("Table!" &amp; $AJ$86 &amp; $AG28),0)))))</f>
        <v>0.96811199834355544</v>
      </c>
      <c r="I28" s="596">
        <f ca="1">IF(ISERROR(MATCH(I$1,INDIRECT("Table!A"&amp;$AG28):INDIRECT("Table!" &amp; $AJ$64 &amp; $AG28),0)),"",INDIRECT(CONCATENATE("Table!",ADDRESS($AC28,MATCH(I$1,INDIRECT("Table!A" &amp; $AG28):INDIRECT("Table!" &amp; $AJ$64 &amp; $AG28),0)))))</f>
        <v>0.13225669447911345</v>
      </c>
      <c r="J28" s="596">
        <f ca="1">IF(ISERROR(MATCH(J$1,INDIRECT("Table!A"&amp;$AG28):INDIRECT("Table!" &amp; $AJ$64 &amp; $AG28),0)),"",INDIRECT(CONCATENATE("Table!",ADDRESS($AC28,MATCH(J$1,INDIRECT("Table!A" &amp; $AG28):INDIRECT("Table!" &amp; $AJ$64 &amp; $AG28),0)))))</f>
        <v>1.0953000921962177</v>
      </c>
      <c r="K28" s="596">
        <f ca="1">IF(ISERROR(MATCH(K$1,INDIRECT("Table!A"&amp;$AG28):INDIRECT("Table!" &amp; $AJ$64 &amp; $AG28),0)),"",INDIRECT(CONCATENATE("Table!",ADDRESS($AC28,MATCH(K$1,INDIRECT("Table!A" &amp; $AG28):INDIRECT("Table!" &amp; $AJ$64 &amp; $AG28),0)))))</f>
        <v>0.32202944722007371</v>
      </c>
      <c r="L28" s="596">
        <f ca="1">IF(ISERROR(MATCH(L$1,INDIRECT("Table!A"&amp;$AG28):INDIRECT("Table!" &amp; $AJ$86 &amp; $AG28),0)),"",INDIRECT(CONCATENATE("Table!",ADDRESS($AC28,MATCH(L$1,INDIRECT("Table!A" &amp; $AG28):INDIRECT("Table!" &amp; $AJ$86 &amp; $AG28),0)))))</f>
        <v>1.4581714156052119</v>
      </c>
      <c r="M28" s="596">
        <f ca="1">IF(ISERROR(MATCH(M$1,INDIRECT("Table!A"&amp;$AG28):INDIRECT("Table!" &amp; $AJ$86 &amp; $AG28),0)),"",INDIRECT(CONCATENATE("Table!",ADDRESS($AC28,MATCH(M$1,INDIRECT("Table!A" &amp; $AG28):INDIRECT("Table!" &amp; $AJ$86 &amp; $AG28),0)))))</f>
        <v>0.86883801229030222</v>
      </c>
      <c r="N28" s="596">
        <f ca="1">IF(ISERROR(MATCH(N$1,INDIRECT("Table!A"&amp;$AG28):INDIRECT("Table!" &amp; $AJ$86 &amp; $AG28),0)),"",INDIRECT(CONCATENATE("Table!",ADDRESS($AC28,MATCH(N$1,INDIRECT("Table!A" &amp; $AG28):INDIRECT("Table!" &amp; $AJ$86 &amp; $AG28),0)))))</f>
        <v>1.6160207841250576</v>
      </c>
      <c r="O28" s="596">
        <f ca="1">IF(ISERROR(MATCH(O$1,INDIRECT("Table!A"&amp;$AG28):INDIRECT("Table!" &amp; $AJ$64 &amp; $AG28),0)),"",INDIRECT(CONCATENATE("Table!",ADDRESS($AC28,MATCH(O$1,INDIRECT("Table!A" &amp; $AG28):INDIRECT("Table!" &amp; $AJ$64 &amp; $AG28),0)))))</f>
        <v>1.0237799532193432</v>
      </c>
      <c r="P28" s="596">
        <f ca="1">IF(ISERROR(MATCH(P$1,INDIRECT("Table!A"&amp;$AG28):INDIRECT("Table!" &amp; $AJ$64 &amp; $AG28),0)),"",INDIRECT(CONCATENATE("Table!",ADDRESS($AC28,MATCH(P$1,INDIRECT("Table!A" &amp; $AG28):INDIRECT("Table!" &amp; $AJ$64 &amp; $AG28),0)))))</f>
        <v>0.44710587646536903</v>
      </c>
      <c r="Q28" s="596">
        <f ca="1">IF(ISERROR(MATCH(Q$1,INDIRECT("Table!A"&amp;$AG28):INDIRECT("Table!" &amp; $AJ$64 &amp; $AG28),0)),"",INDIRECT(CONCATENATE("Table!",ADDRESS($AC28,MATCH(Q$1,INDIRECT("Table!A" &amp; $AG28):INDIRECT("Table!" &amp; $AJ$64 &amp; $AG28),0)))))</f>
        <v>0.54059501030788182</v>
      </c>
      <c r="R28" s="596">
        <f ca="1">IF(ISERROR(MATCH(R$1,INDIRECT("Table!A"&amp;$AG28):INDIRECT("Table!" &amp; $AJ$64 &amp; $AG28),0)),"",INDIRECT(CONCATENATE("Table!",ADDRESS($AC28,MATCH(R$1,INDIRECT("Table!A" &amp; $AG28):INDIRECT("Table!" &amp; $AJ$64 &amp; $AG28),0)))))</f>
        <v>0.31075215140302831</v>
      </c>
      <c r="S28" s="596">
        <f ca="1">IF(ISERROR(MATCH(S$1,INDIRECT("Table!A"&amp;$AG28):INDIRECT("Table!" &amp; $AJ$43 &amp; $AG28),0)),"",INDIRECT(CONCATENATE("Table!",ADDRESS($AC28,MATCH(S$1,INDIRECT("Table!A" &amp; $AG28):INDIRECT("Table!" &amp; $AJ$43 &amp; $AG28),0)))))</f>
        <v>0.93476624177258794</v>
      </c>
      <c r="T28" s="596">
        <f ca="1">IF(ISERROR(MATCH(T$1,INDIRECT("Table!A"&amp;$AG28):INDIRECT("Table!" &amp; $AJ$43 &amp; $AG28),0)),"",INDIRECT(CONCATENATE("Table!",ADDRESS($AC28,MATCH(T$1,INDIRECT("Table!A" &amp; $AG28):INDIRECT("Table!" &amp; $AJ$43 &amp; $AG28),0)))))</f>
        <v>0.99244067028301175</v>
      </c>
      <c r="U28" s="596" t="str">
        <f ca="1">IF(ISERROR(MATCH(U$1,INDIRECT("Table!A"&amp;$AG28):INDIRECT("Table!" &amp; $AJ$43 &amp; $AG28),0)),"",INDIRECT(CONCATENATE("Table!",ADDRESS($AC28,MATCH(U$1,INDIRECT("Table!A" &amp; $AG28):INDIRECT("Table!" &amp; $AJ$43 &amp; $AG28),0)))))</f>
        <v/>
      </c>
      <c r="V28" s="596"/>
      <c r="W28" s="596"/>
      <c r="X28" s="596"/>
      <c r="Y28" s="596"/>
      <c r="Z28" s="596"/>
      <c r="AA28" s="596"/>
      <c r="AB28" s="596"/>
      <c r="AC28" s="595">
        <f>MATCH($A28,Table!$A:$A,0)+$AE$2-1</f>
        <v>386</v>
      </c>
      <c r="AD28" s="593"/>
      <c r="AE28" s="593"/>
      <c r="AF28" s="593"/>
      <c r="AG28" s="595">
        <f>MATCH($A28,Table!$A:$A,0)+$AI$2-1</f>
        <v>377</v>
      </c>
      <c r="AH28" s="593"/>
      <c r="AI28" s="593"/>
      <c r="AJ28" s="904" t="s">
        <v>285</v>
      </c>
    </row>
    <row r="29" spans="1:36" s="591" customFormat="1" ht="19.5" customHeight="1" x14ac:dyDescent="0.25">
      <c r="A29" s="592">
        <v>41603</v>
      </c>
      <c r="B29" s="596">
        <f ca="1">IF(ISERROR(MATCH(B$1,INDIRECT("Table!A"&amp;$AG29):INDIRECT("Table!" &amp; $AJ$86 &amp; $AG29),0)),"",INDIRECT(CONCATENATE("Table!",ADDRESS($AC29,MATCH(B$1,INDIRECT("Table!A" &amp; $AG29):INDIRECT("Table!" &amp; $AJ$86 &amp; $AG29),0)))))</f>
        <v>1.3165320692083993</v>
      </c>
      <c r="C29" s="596">
        <f ca="1">IF(ISERROR(MATCH(C$1,INDIRECT("Table!A"&amp;$AG29):INDIRECT("Table!" &amp; $AJ$86 &amp; $AG29),0)),"",INDIRECT(CONCATENATE("Table!",ADDRESS($AC29,MATCH(C$1,INDIRECT("Table!A" &amp; $AG29):INDIRECT("Table!" &amp; $AJ$86 &amp; $AG29),0)))))</f>
        <v>0.64178396815768612</v>
      </c>
      <c r="D29" s="596">
        <f ca="1">IF(ISERROR(MATCH(D$1,INDIRECT("Table!A"&amp;$AG29):INDIRECT("Table!" &amp; $AJ$86 &amp; $AG29),0)),"",INDIRECT(CONCATENATE("Table!",ADDRESS($AC29,MATCH(D$1,INDIRECT("Table!A" &amp; $AG29):INDIRECT("Table!" &amp; $AJ$86 &amp; $AG29),0)))))</f>
        <v>0.64850421913315925</v>
      </c>
      <c r="E29" s="596">
        <f ca="1">IF(ISERROR(MATCH(E$1,INDIRECT("Table!A"&amp;$AG29):INDIRECT("Table!" &amp; $AJ$86 &amp; $AG29),0)),"",INDIRECT(CONCATENATE("Table!",ADDRESS($AC29,MATCH(E$1,INDIRECT("Table!A" &amp; $AG29):INDIRECT("Table!" &amp; $AJ$86 &amp; $AG29),0)))))</f>
        <v>1.542655550476157</v>
      </c>
      <c r="F29" s="596">
        <f ca="1">IF(ISERROR(MATCH(F$1,INDIRECT("Table!A"&amp;$AG29):INDIRECT("Table!" &amp; $AJ$86 &amp; $AG29),0)),"",INDIRECT(CONCATENATE("Table!",ADDRESS($AC29,MATCH(F$1,INDIRECT("Table!A" &amp; $AG29):INDIRECT("Table!" &amp; $AJ$86 &amp; $AG29),0)))))</f>
        <v>1.5561049600038681</v>
      </c>
      <c r="G29" s="596">
        <f ca="1">IF(ISERROR(MATCH(G$1,INDIRECT("Table!A"&amp;$AG29):INDIRECT("Table!" &amp; $AJ$86 &amp; $AG29),0)),"",INDIRECT(CONCATENATE("Table!",ADDRESS($AC29,MATCH(G$1,INDIRECT("Table!A" &amp; $AG29):INDIRECT("Table!" &amp; $AJ$86 &amp; $AG29),0)))))</f>
        <v>3.4861995309268168</v>
      </c>
      <c r="H29" s="596">
        <f ca="1">IF(ISERROR(MATCH(H$1,INDIRECT("Table!A"&amp;$AG29):INDIRECT("Table!" &amp; $AJ$86 &amp; $AG29),0)),"",INDIRECT(CONCATENATE("Table!",ADDRESS($AC29,MATCH(H$1,INDIRECT("Table!A" &amp; $AG29):INDIRECT("Table!" &amp; $AJ$86 &amp; $AG29),0)))))</f>
        <v>0.96811199834355544</v>
      </c>
      <c r="I29" s="596">
        <f ca="1">IF(ISERROR(MATCH(I$1,INDIRECT("Table!A"&amp;$AG29):INDIRECT("Table!" &amp; $AJ$64 &amp; $AG29),0)),"",INDIRECT(CONCATENATE("Table!",ADDRESS($AC29,MATCH(I$1,INDIRECT("Table!A" &amp; $AG29):INDIRECT("Table!" &amp; $AJ$64 &amp; $AG29),0)))))</f>
        <v>0.12043714397096465</v>
      </c>
      <c r="J29" s="596">
        <f ca="1">IF(ISERROR(MATCH(J$1,INDIRECT("Table!A"&amp;$AG29):INDIRECT("Table!" &amp; $AJ$64 &amp; $AG29),0)),"",INDIRECT(CONCATENATE("Table!",ADDRESS($AC29,MATCH(J$1,INDIRECT("Table!A" &amp; $AG29):INDIRECT("Table!" &amp; $AJ$64 &amp; $AG29),0)))))</f>
        <v>1.0923812378532562</v>
      </c>
      <c r="K29" s="596">
        <f ca="1">IF(ISERROR(MATCH(K$1,INDIRECT("Table!A"&amp;$AG29):INDIRECT("Table!" &amp; $AJ$64 &amp; $AG29),0)),"",INDIRECT(CONCATENATE("Table!",ADDRESS($AC29,MATCH(K$1,INDIRECT("Table!A" &amp; $AG29):INDIRECT("Table!" &amp; $AJ$64 &amp; $AG29),0)))))</f>
        <v>0.2747274564319111</v>
      </c>
      <c r="L29" s="596">
        <f ca="1">IF(ISERROR(MATCH(L$1,INDIRECT("Table!A"&amp;$AG29):INDIRECT("Table!" &amp; $AJ$86 &amp; $AG29),0)),"",INDIRECT(CONCATENATE("Table!",ADDRESS($AC29,MATCH(L$1,INDIRECT("Table!A" &amp; $AG29):INDIRECT("Table!" &amp; $AJ$86 &amp; $AG29),0)))))</f>
        <v>1.4581714156052119</v>
      </c>
      <c r="M29" s="596">
        <f ca="1">IF(ISERROR(MATCH(M$1,INDIRECT("Table!A"&amp;$AG29):INDIRECT("Table!" &amp; $AJ$86 &amp; $AG29),0)),"",INDIRECT(CONCATENATE("Table!",ADDRESS($AC29,MATCH(M$1,INDIRECT("Table!A" &amp; $AG29):INDIRECT("Table!" &amp; $AJ$86 &amp; $AG29),0)))))</f>
        <v>0.86883801229030222</v>
      </c>
      <c r="N29" s="596">
        <f ca="1">IF(ISERROR(MATCH(N$1,INDIRECT("Table!A"&amp;$AG29):INDIRECT("Table!" &amp; $AJ$86 &amp; $AG29),0)),"",INDIRECT(CONCATENATE("Table!",ADDRESS($AC29,MATCH(N$1,INDIRECT("Table!A" &amp; $AG29):INDIRECT("Table!" &amp; $AJ$86 &amp; $AG29),0)))))</f>
        <v>1.6160207841250576</v>
      </c>
      <c r="O29" s="596">
        <f ca="1">IF(ISERROR(MATCH(O$1,INDIRECT("Table!A"&amp;$AG29):INDIRECT("Table!" &amp; $AJ$64 &amp; $AG29),0)),"",INDIRECT(CONCATENATE("Table!",ADDRESS($AC29,MATCH(O$1,INDIRECT("Table!A" &amp; $AG29):INDIRECT("Table!" &amp; $AJ$64 &amp; $AG29),0)))))</f>
        <v>1.0237799532193432</v>
      </c>
      <c r="P29" s="596">
        <f ca="1">IF(ISERROR(MATCH(P$1,INDIRECT("Table!A"&amp;$AG29):INDIRECT("Table!" &amp; $AJ$64 &amp; $AG29),0)),"",INDIRECT(CONCATENATE("Table!",ADDRESS($AC29,MATCH(P$1,INDIRECT("Table!A" &amp; $AG29):INDIRECT("Table!" &amp; $AJ$64 &amp; $AG29),0)))))</f>
        <v>0.42346673258661655</v>
      </c>
      <c r="Q29" s="596">
        <f ca="1">IF(ISERROR(MATCH(Q$1,INDIRECT("Table!A"&amp;$AG29):INDIRECT("Table!" &amp; $AJ$64 &amp; $AG29),0)),"",INDIRECT(CONCATENATE("Table!",ADDRESS($AC29,MATCH(Q$1,INDIRECT("Table!A" &amp; $AG29):INDIRECT("Table!" &amp; $AJ$64 &amp; $AG29),0)))))</f>
        <v>0.53916769674931309</v>
      </c>
      <c r="R29" s="596">
        <f ca="1">IF(ISERROR(MATCH(R$1,INDIRECT("Table!A"&amp;$AG29):INDIRECT("Table!" &amp; $AJ$64 &amp; $AG29),0)),"",INDIRECT(CONCATENATE("Table!",ADDRESS($AC29,MATCH(R$1,INDIRECT("Table!A" &amp; $AG29):INDIRECT("Table!" &amp; $AJ$64 &amp; $AG29),0)))))</f>
        <v>9.7266676422016418E-2</v>
      </c>
      <c r="S29" s="596">
        <f ca="1">IF(ISERROR(MATCH(S$1,INDIRECT("Table!A"&amp;$AG29):INDIRECT("Table!" &amp; $AJ$43 &amp; $AG29),0)),"",INDIRECT(CONCATENATE("Table!",ADDRESS($AC29,MATCH(S$1,INDIRECT("Table!A" &amp; $AG29):INDIRECT("Table!" &amp; $AJ$43 &amp; $AG29),0)))))</f>
        <v>0.93476624177258794</v>
      </c>
      <c r="T29" s="596">
        <f ca="1">IF(ISERROR(MATCH(T$1,INDIRECT("Table!A"&amp;$AG29):INDIRECT("Table!" &amp; $AJ$43 &amp; $AG29),0)),"",INDIRECT(CONCATENATE("Table!",ADDRESS($AC29,MATCH(T$1,INDIRECT("Table!A" &amp; $AG29):INDIRECT("Table!" &amp; $AJ$43 &amp; $AG29),0)))))</f>
        <v>0.99244067028301175</v>
      </c>
      <c r="U29" s="596" t="str">
        <f ca="1">IF(ISERROR(MATCH(U$1,INDIRECT("Table!A"&amp;$AG29):INDIRECT("Table!" &amp; $AJ$43 &amp; $AG29),0)),"",INDIRECT(CONCATENATE("Table!",ADDRESS($AC29,MATCH(U$1,INDIRECT("Table!A" &amp; $AG29):INDIRECT("Table!" &amp; $AJ$43 &amp; $AG29),0)))))</f>
        <v/>
      </c>
      <c r="V29" s="596"/>
      <c r="W29" s="596"/>
      <c r="X29" s="596"/>
      <c r="Y29" s="596"/>
      <c r="Z29" s="596"/>
      <c r="AA29" s="596"/>
      <c r="AB29" s="596"/>
      <c r="AC29" s="595">
        <f>MATCH($A29,Table!$A:$A,0)+$AE$2-1</f>
        <v>398</v>
      </c>
      <c r="AD29" s="593"/>
      <c r="AE29" s="593"/>
      <c r="AF29" s="593"/>
      <c r="AG29" s="595">
        <f>MATCH($A29,Table!$A:$A,0)+$AI$2-1</f>
        <v>389</v>
      </c>
      <c r="AH29" s="593"/>
      <c r="AI29" s="593"/>
      <c r="AJ29" s="904" t="s">
        <v>285</v>
      </c>
    </row>
    <row r="30" spans="1:36" s="591" customFormat="1" ht="19.5" customHeight="1" x14ac:dyDescent="0.25">
      <c r="A30" s="592">
        <v>41596</v>
      </c>
      <c r="B30" s="596">
        <f ca="1">IF(ISERROR(MATCH(B$1,INDIRECT("Table!A"&amp;$AG30):INDIRECT("Table!" &amp; $AJ$86 &amp; $AG30),0)),"",INDIRECT(CONCATENATE("Table!",ADDRESS($AC30,MATCH(B$1,INDIRECT("Table!A" &amp; $AG30):INDIRECT("Table!" &amp; $AJ$86 &amp; $AG30),0)))))</f>
        <v>1.3165320692083993</v>
      </c>
      <c r="C30" s="596">
        <f ca="1">IF(ISERROR(MATCH(C$1,INDIRECT("Table!A"&amp;$AG30):INDIRECT("Table!" &amp; $AJ$86 &amp; $AG30),0)),"",INDIRECT(CONCATENATE("Table!",ADDRESS($AC30,MATCH(C$1,INDIRECT("Table!A" &amp; $AG30):INDIRECT("Table!" &amp; $AJ$86 &amp; $AG30),0)))))</f>
        <v>0.64178396815768612</v>
      </c>
      <c r="D30" s="596">
        <f ca="1">IF(ISERROR(MATCH(D$1,INDIRECT("Table!A"&amp;$AG30):INDIRECT("Table!" &amp; $AJ$86 &amp; $AG30),0)),"",INDIRECT(CONCATENATE("Table!",ADDRESS($AC30,MATCH(D$1,INDIRECT("Table!A" &amp; $AG30):INDIRECT("Table!" &amp; $AJ$86 &amp; $AG30),0)))))</f>
        <v>0.64850421913315925</v>
      </c>
      <c r="E30" s="596">
        <f ca="1">IF(ISERROR(MATCH(E$1,INDIRECT("Table!A"&amp;$AG30):INDIRECT("Table!" &amp; $AJ$86 &amp; $AG30),0)),"",INDIRECT(CONCATENATE("Table!",ADDRESS($AC30,MATCH(E$1,INDIRECT("Table!A" &amp; $AG30):INDIRECT("Table!" &amp; $AJ$86 &amp; $AG30),0)))))</f>
        <v>1.542655550476157</v>
      </c>
      <c r="F30" s="596">
        <f ca="1">IF(ISERROR(MATCH(F$1,INDIRECT("Table!A"&amp;$AG30):INDIRECT("Table!" &amp; $AJ$86 &amp; $AG30),0)),"",INDIRECT(CONCATENATE("Table!",ADDRESS($AC30,MATCH(F$1,INDIRECT("Table!A" &amp; $AG30):INDIRECT("Table!" &amp; $AJ$86 &amp; $AG30),0)))))</f>
        <v>1.5561049600038681</v>
      </c>
      <c r="G30" s="596">
        <f ca="1">IF(ISERROR(MATCH(G$1,INDIRECT("Table!A"&amp;$AG30):INDIRECT("Table!" &amp; $AJ$86 &amp; $AG30),0)),"",INDIRECT(CONCATENATE("Table!",ADDRESS($AC30,MATCH(G$1,INDIRECT("Table!A" &amp; $AG30):INDIRECT("Table!" &amp; $AJ$86 &amp; $AG30),0)))))</f>
        <v>3.4861995309268168</v>
      </c>
      <c r="H30" s="596">
        <f ca="1">IF(ISERROR(MATCH(H$1,INDIRECT("Table!A"&amp;$AG30):INDIRECT("Table!" &amp; $AJ$86 &amp; $AG30),0)),"",INDIRECT(CONCATENATE("Table!",ADDRESS($AC30,MATCH(H$1,INDIRECT("Table!A" &amp; $AG30):INDIRECT("Table!" &amp; $AJ$86 &amp; $AG30),0)))))</f>
        <v>0.95332112446379036</v>
      </c>
      <c r="I30" s="596">
        <f ca="1">IF(ISERROR(MATCH(I$1,INDIRECT("Table!A"&amp;$AG30):INDIRECT("Table!" &amp; $AJ$64 &amp; $AG30),0)),"",INDIRECT(CONCATENATE("Table!",ADDRESS($AC30,MATCH(I$1,INDIRECT("Table!A" &amp; $AG30):INDIRECT("Table!" &amp; $AJ$64 &amp; $AG30),0)))))</f>
        <v>0.11962200255660957</v>
      </c>
      <c r="J30" s="596">
        <f ca="1">IF(ISERROR(MATCH(J$1,INDIRECT("Table!A"&amp;$AG30):INDIRECT("Table!" &amp; $AJ$64 &amp; $AG30),0)),"",INDIRECT(CONCATENATE("Table!",ADDRESS($AC30,MATCH(J$1,INDIRECT("Table!A" &amp; $AG30):INDIRECT("Table!" &amp; $AJ$64 &amp; $AG30),0)))))</f>
        <v>1.0675709759380856</v>
      </c>
      <c r="K30" s="596">
        <f ca="1">IF(ISERROR(MATCH(K$1,INDIRECT("Table!A"&amp;$AG30):INDIRECT("Table!" &amp; $AJ$64 &amp; $AG30),0)),"",INDIRECT(CONCATENATE("Table!",ADDRESS($AC30,MATCH(K$1,INDIRECT("Table!A" &amp; $AG30):INDIRECT("Table!" &amp; $AJ$64 &amp; $AG30),0)))))</f>
        <v>0.24747399154071814</v>
      </c>
      <c r="L30" s="596">
        <f ca="1">IF(ISERROR(MATCH(L$1,INDIRECT("Table!A"&amp;$AG30):INDIRECT("Table!" &amp; $AJ$86 &amp; $AG30),0)),"",INDIRECT(CONCATENATE("Table!",ADDRESS($AC30,MATCH(L$1,INDIRECT("Table!A" &amp; $AG30):INDIRECT("Table!" &amp; $AJ$86 &amp; $AG30),0)))))</f>
        <v>1.4564246841538397</v>
      </c>
      <c r="M30" s="596">
        <f ca="1">IF(ISERROR(MATCH(M$1,INDIRECT("Table!A"&amp;$AG30):INDIRECT("Table!" &amp; $AJ$86 &amp; $AG30),0)),"",INDIRECT(CONCATENATE("Table!",ADDRESS($AC30,MATCH(M$1,INDIRECT("Table!A" &amp; $AG30):INDIRECT("Table!" &amp; $AJ$86 &amp; $AG30),0)))))</f>
        <v>0.86883801229030222</v>
      </c>
      <c r="N30" s="596">
        <f ca="1">IF(ISERROR(MATCH(N$1,INDIRECT("Table!A"&amp;$AG30):INDIRECT("Table!" &amp; $AJ$86 &amp; $AG30),0)),"",INDIRECT(CONCATENATE("Table!",ADDRESS($AC30,MATCH(N$1,INDIRECT("Table!A" &amp; $AG30):INDIRECT("Table!" &amp; $AJ$86 &amp; $AG30),0)))))</f>
        <v>1.6160207841250576</v>
      </c>
      <c r="O30" s="596">
        <f ca="1">IF(ISERROR(MATCH(O$1,INDIRECT("Table!A"&amp;$AG30):INDIRECT("Table!" &amp; $AJ$64 &amp; $AG30),0)),"",INDIRECT(CONCATENATE("Table!",ADDRESS($AC30,MATCH(O$1,INDIRECT("Table!A" &amp; $AG30):INDIRECT("Table!" &amp; $AJ$64 &amp; $AG30),0)))))</f>
        <v>1.0146095845950209</v>
      </c>
      <c r="P30" s="596">
        <f ca="1">IF(ISERROR(MATCH(P$1,INDIRECT("Table!A"&amp;$AG30):INDIRECT("Table!" &amp; $AJ$64 &amp; $AG30),0)),"",INDIRECT(CONCATENATE("Table!",ADDRESS($AC30,MATCH(P$1,INDIRECT("Table!A" &amp; $AG30):INDIRECT("Table!" &amp; $AJ$64 &amp; $AG30),0)))))</f>
        <v>0.4218364468018751</v>
      </c>
      <c r="Q30" s="596">
        <f ca="1">IF(ISERROR(MATCH(Q$1,INDIRECT("Table!A"&amp;$AG30):INDIRECT("Table!" &amp; $AJ$64 &amp; $AG30),0)),"",INDIRECT(CONCATENATE("Table!",ADDRESS($AC30,MATCH(Q$1,INDIRECT("Table!A" &amp; $AG30):INDIRECT("Table!" &amp; $AJ$64 &amp; $AG30),0)))))</f>
        <v>0.5198989637086362</v>
      </c>
      <c r="R30" s="596">
        <f ca="1">IF(ISERROR(MATCH(R$1,INDIRECT("Table!A"&amp;$AG30):INDIRECT("Table!" &amp; $AJ$64 &amp; $AG30),0)),"",INDIRECT(CONCATENATE("Table!",ADDRESS($AC30,MATCH(R$1,INDIRECT("Table!A" &amp; $AG30):INDIRECT("Table!" &amp; $AJ$64 &amp; $AG30),0)))))</f>
        <v>0.56715400213224076</v>
      </c>
      <c r="S30" s="596">
        <f ca="1">IF(ISERROR(MATCH(S$1,INDIRECT("Table!A"&amp;$AG30):INDIRECT("Table!" &amp; $AJ$43 &amp; $AG30),0)),"",INDIRECT(CONCATENATE("Table!",ADDRESS($AC30,MATCH(S$1,INDIRECT("Table!A" &amp; $AG30):INDIRECT("Table!" &amp; $AJ$43 &amp; $AG30),0)))))</f>
        <v>0.93476624177258794</v>
      </c>
      <c r="T30" s="596">
        <f ca="1">IF(ISERROR(MATCH(T$1,INDIRECT("Table!A"&amp;$AG30):INDIRECT("Table!" &amp; $AJ$43 &amp; $AG30),0)),"",INDIRECT(CONCATENATE("Table!",ADDRESS($AC30,MATCH(T$1,INDIRECT("Table!A" &amp; $AG30):INDIRECT("Table!" &amp; $AJ$43 &amp; $AG30),0)))))</f>
        <v>0.99244067028301175</v>
      </c>
      <c r="U30" s="596" t="str">
        <f ca="1">IF(ISERROR(MATCH(U$1,INDIRECT("Table!A"&amp;$AG30):INDIRECT("Table!" &amp; $AJ$43 &amp; $AG30),0)),"",INDIRECT(CONCATENATE("Table!",ADDRESS($AC30,MATCH(U$1,INDIRECT("Table!A" &amp; $AG30):INDIRECT("Table!" &amp; $AJ$43 &amp; $AG30),0)))))</f>
        <v/>
      </c>
      <c r="V30" s="596"/>
      <c r="W30" s="596"/>
      <c r="X30" s="596"/>
      <c r="Y30" s="596"/>
      <c r="Z30" s="596"/>
      <c r="AA30" s="596"/>
      <c r="AB30" s="596"/>
      <c r="AC30" s="595">
        <f>MATCH($A30,Table!$A:$A,0)+$AE$2-1</f>
        <v>410</v>
      </c>
      <c r="AD30" s="593"/>
      <c r="AE30" s="593"/>
      <c r="AF30" s="593"/>
      <c r="AG30" s="595">
        <f>MATCH($A30,Table!$A:$A,0)+$AI$2-1</f>
        <v>401</v>
      </c>
      <c r="AH30" s="593"/>
      <c r="AI30" s="593"/>
      <c r="AJ30" s="904" t="s">
        <v>285</v>
      </c>
    </row>
    <row r="31" spans="1:36" s="591" customFormat="1" ht="19.5" customHeight="1" x14ac:dyDescent="0.25">
      <c r="A31" s="592">
        <v>41589</v>
      </c>
      <c r="B31" s="596">
        <f ca="1">IF(ISERROR(MATCH(B$1,INDIRECT("Table!A"&amp;$AG31):INDIRECT("Table!" &amp; $AJ$86 &amp; $AG31),0)),"",INDIRECT(CONCATENATE("Table!",ADDRESS($AC31,MATCH(B$1,INDIRECT("Table!A" &amp; $AG31):INDIRECT("Table!" &amp; $AJ$86 &amp; $AG31),0)))))</f>
        <v>1.3165320692083993</v>
      </c>
      <c r="C31" s="596">
        <f ca="1">IF(ISERROR(MATCH(C$1,INDIRECT("Table!A"&amp;$AG31):INDIRECT("Table!" &amp; $AJ$86 &amp; $AG31),0)),"",INDIRECT(CONCATENATE("Table!",ADDRESS($AC31,MATCH(C$1,INDIRECT("Table!A" &amp; $AG31):INDIRECT("Table!" &amp; $AJ$86 &amp; $AG31),0)))))</f>
        <v>0.64178396815768612</v>
      </c>
      <c r="D31" s="596">
        <f ca="1">IF(ISERROR(MATCH(D$1,INDIRECT("Table!A"&amp;$AG31):INDIRECT("Table!" &amp; $AJ$86 &amp; $AG31),0)),"",INDIRECT(CONCATENATE("Table!",ADDRESS($AC31,MATCH(D$1,INDIRECT("Table!A" &amp; $AG31):INDIRECT("Table!" &amp; $AJ$86 &amp; $AG31),0)))))</f>
        <v>0.64850421913315925</v>
      </c>
      <c r="E31" s="596">
        <f ca="1">IF(ISERROR(MATCH(E$1,INDIRECT("Table!A"&amp;$AG31):INDIRECT("Table!" &amp; $AJ$86 &amp; $AG31),0)),"",INDIRECT(CONCATENATE("Table!",ADDRESS($AC31,MATCH(E$1,INDIRECT("Table!A" &amp; $AG31):INDIRECT("Table!" &amp; $AJ$86 &amp; $AG31),0)))))</f>
        <v>1.542655550476157</v>
      </c>
      <c r="F31" s="596">
        <f ca="1">IF(ISERROR(MATCH(F$1,INDIRECT("Table!A"&amp;$AG31):INDIRECT("Table!" &amp; $AJ$86 &amp; $AG31),0)),"",INDIRECT(CONCATENATE("Table!",ADDRESS($AC31,MATCH(F$1,INDIRECT("Table!A" &amp; $AG31):INDIRECT("Table!" &amp; $AJ$86 &amp; $AG31),0)))))</f>
        <v>1.5561049600038681</v>
      </c>
      <c r="G31" s="596">
        <f ca="1">IF(ISERROR(MATCH(G$1,INDIRECT("Table!A"&amp;$AG31):INDIRECT("Table!" &amp; $AJ$86 &amp; $AG31),0)),"",INDIRECT(CONCATENATE("Table!",ADDRESS($AC31,MATCH(G$1,INDIRECT("Table!A" &amp; $AG31):INDIRECT("Table!" &amp; $AJ$86 &amp; $AG31),0)))))</f>
        <v>3.4861995309268168</v>
      </c>
      <c r="H31" s="596">
        <f ca="1">IF(ISERROR(MATCH(H$1,INDIRECT("Table!A"&amp;$AG31):INDIRECT("Table!" &amp; $AJ$86 &amp; $AG31),0)),"",INDIRECT(CONCATENATE("Table!",ADDRESS($AC31,MATCH(H$1,INDIRECT("Table!A" &amp; $AG31):INDIRECT("Table!" &amp; $AJ$86 &amp; $AG31),0)))))</f>
        <v>0.93833303893229514</v>
      </c>
      <c r="I31" s="596">
        <f ca="1">IF(ISERROR(MATCH(I$1,INDIRECT("Table!A"&amp;$AG31):INDIRECT("Table!" &amp; $AJ$64 &amp; $AG31),0)),"",INDIRECT(CONCATENATE("Table!",ADDRESS($AC31,MATCH(I$1,INDIRECT("Table!A" &amp; $AG31):INDIRECT("Table!" &amp; $AJ$64 &amp; $AG31),0)))))</f>
        <v>0.11962200255660957</v>
      </c>
      <c r="J31" s="596">
        <f ca="1">IF(ISERROR(MATCH(J$1,INDIRECT("Table!A"&amp;$AG31):INDIRECT("Table!" &amp; $AJ$64 &amp; $AG31),0)),"",INDIRECT(CONCATENATE("Table!",ADDRESS($AC31,MATCH(J$1,INDIRECT("Table!A" &amp; $AG31):INDIRECT("Table!" &amp; $AJ$64 &amp; $AG31),0)))))</f>
        <v>1.0617332672521631</v>
      </c>
      <c r="K31" s="596">
        <f ca="1">IF(ISERROR(MATCH(K$1,INDIRECT("Table!A"&amp;$AG31):INDIRECT("Table!" &amp; $AJ$64 &amp; $AG31),0)),"",INDIRECT(CONCATENATE("Table!",ADDRESS($AC31,MATCH(K$1,INDIRECT("Table!A" &amp; $AG31):INDIRECT("Table!" &amp; $AJ$64 &amp; $AG31),0)))))</f>
        <v>0.24183534363219542</v>
      </c>
      <c r="L31" s="596">
        <f ca="1">IF(ISERROR(MATCH(L$1,INDIRECT("Table!A"&amp;$AG31):INDIRECT("Table!" &amp; $AJ$86 &amp; $AG31),0)),"",INDIRECT(CONCATENATE("Table!",ADDRESS($AC31,MATCH(L$1,INDIRECT("Table!A" &amp; $AG31):INDIRECT("Table!" &amp; $AJ$86 &amp; $AG31),0)))))</f>
        <v>1.4564246841538397</v>
      </c>
      <c r="M31" s="596">
        <f ca="1">IF(ISERROR(MATCH(M$1,INDIRECT("Table!A"&amp;$AG31):INDIRECT("Table!" &amp; $AJ$86 &amp; $AG31),0)),"",INDIRECT(CONCATENATE("Table!",ADDRESS($AC31,MATCH(M$1,INDIRECT("Table!A" &amp; $AG31):INDIRECT("Table!" &amp; $AJ$86 &amp; $AG31),0)))))</f>
        <v>0.86883801229030222</v>
      </c>
      <c r="N31" s="596">
        <f ca="1">IF(ISERROR(MATCH(N$1,INDIRECT("Table!A"&amp;$AG31):INDIRECT("Table!" &amp; $AJ$86 &amp; $AG31),0)),"",INDIRECT(CONCATENATE("Table!",ADDRESS($AC31,MATCH(N$1,INDIRECT("Table!A" &amp; $AG31):INDIRECT("Table!" &amp; $AJ$86 &amp; $AG31),0)))))</f>
        <v>1.6160207841250576</v>
      </c>
      <c r="O31" s="596">
        <f ca="1">IF(ISERROR(MATCH(O$1,INDIRECT("Table!A"&amp;$AG31):INDIRECT("Table!" &amp; $AJ$64 &amp; $AG31),0)),"",INDIRECT(CONCATENATE("Table!",ADDRESS($AC31,MATCH(O$1,INDIRECT("Table!A" &amp; $AG31):INDIRECT("Table!" &amp; $AJ$64 &amp; $AG31),0)))))</f>
        <v>1.0053169443890411</v>
      </c>
      <c r="P31" s="596">
        <f ca="1">IF(ISERROR(MATCH(P$1,INDIRECT("Table!A"&amp;$AG31):INDIRECT("Table!" &amp; $AJ$64 &amp; $AG31),0)),"",INDIRECT(CONCATENATE("Table!",ADDRESS($AC31,MATCH(P$1,INDIRECT("Table!A" &amp; $AG31):INDIRECT("Table!" &amp; $AJ$64 &amp; $AG31),0)))))</f>
        <v>0.4218364468018751</v>
      </c>
      <c r="Q31" s="596">
        <f ca="1">IF(ISERROR(MATCH(Q$1,INDIRECT("Table!A"&amp;$AG31):INDIRECT("Table!" &amp; $AJ$64 &amp; $AG31),0)),"",INDIRECT(CONCATENATE("Table!",ADDRESS($AC31,MATCH(Q$1,INDIRECT("Table!A" &amp; $AG31):INDIRECT("Table!" &amp; $AJ$64 &amp; $AG31),0)))))</f>
        <v>0.51704433659149884</v>
      </c>
      <c r="R31" s="596">
        <f ca="1">IF(ISERROR(MATCH(R$1,INDIRECT("Table!A"&amp;$AG31):INDIRECT("Table!" &amp; $AJ$64 &amp; $AG31),0)),"",INDIRECT(CONCATENATE("Table!",ADDRESS($AC31,MATCH(R$1,INDIRECT("Table!A" &amp; $AG31):INDIRECT("Table!" &amp; $AJ$64 &amp; $AG31),0)))))</f>
        <v>0.55979243402944723</v>
      </c>
      <c r="S31" s="596">
        <f ca="1">IF(ISERROR(MATCH(S$1,INDIRECT("Table!A"&amp;$AG31):INDIRECT("Table!" &amp; $AJ$43 &amp; $AG31),0)),"",INDIRECT(CONCATENATE("Table!",ADDRESS($AC31,MATCH(S$1,INDIRECT("Table!A" &amp; $AG31):INDIRECT("Table!" &amp; $AJ$43 &amp; $AG31),0)))))</f>
        <v>0.93476624177258794</v>
      </c>
      <c r="T31" s="596">
        <f ca="1">IF(ISERROR(MATCH(T$1,INDIRECT("Table!A"&amp;$AG31):INDIRECT("Table!" &amp; $AJ$43 &amp; $AG31),0)),"",INDIRECT(CONCATENATE("Table!",ADDRESS($AC31,MATCH(T$1,INDIRECT("Table!A" &amp; $AG31):INDIRECT("Table!" &amp; $AJ$43 &amp; $AG31),0)))))</f>
        <v>0.99244067028301175</v>
      </c>
      <c r="U31" s="596" t="str">
        <f ca="1">IF(ISERROR(MATCH(U$1,INDIRECT("Table!A"&amp;$AG31):INDIRECT("Table!" &amp; $AJ$43 &amp; $AG31),0)),"",INDIRECT(CONCATENATE("Table!",ADDRESS($AC31,MATCH(U$1,INDIRECT("Table!A" &amp; $AG31):INDIRECT("Table!" &amp; $AJ$43 &amp; $AG31),0)))))</f>
        <v/>
      </c>
      <c r="V31" s="596"/>
      <c r="W31" s="596"/>
      <c r="X31" s="596"/>
      <c r="Y31" s="596"/>
      <c r="Z31" s="596"/>
      <c r="AA31" s="596"/>
      <c r="AB31" s="596"/>
      <c r="AC31" s="595">
        <f>MATCH($A31,Table!$A:$A,0)+$AE$2-1</f>
        <v>422</v>
      </c>
      <c r="AD31" s="593"/>
      <c r="AE31" s="593"/>
      <c r="AF31" s="593"/>
      <c r="AG31" s="595">
        <f>MATCH($A31,Table!$A:$A,0)+$AI$2-1</f>
        <v>413</v>
      </c>
      <c r="AH31" s="593"/>
      <c r="AI31" s="593"/>
      <c r="AJ31" s="904" t="s">
        <v>285</v>
      </c>
    </row>
    <row r="32" spans="1:36" s="267" customFormat="1" ht="19.5" customHeight="1" x14ac:dyDescent="0.25">
      <c r="A32" s="268">
        <v>41561</v>
      </c>
      <c r="B32" s="596">
        <f ca="1">IF(ISERROR(MATCH(B$1,INDIRECT("Table!A"&amp;$AG32):INDIRECT("Table!" &amp; $AJ$86 &amp; $AG32),0)),"",INDIRECT(CONCATENATE("Table!",ADDRESS($AC32,MATCH(B$1,INDIRECT("Table!A" &amp; $AG32):INDIRECT("Table!" &amp; $AJ$86 &amp; $AG32),0)))))</f>
        <v>1.3108887811817871</v>
      </c>
      <c r="C32" s="273">
        <f ca="1">IF(ISERROR(MATCH(C$1,INDIRECT("Table!A"&amp;$AG32):INDIRECT("Table!" &amp; $AJ$86 &amp; $AG32),0)),"",INDIRECT(CONCATENATE("Table!",ADDRESS($AC32,MATCH(C$1,INDIRECT("Table!A" &amp; $AG32):INDIRECT("Table!" &amp; $AJ$86 &amp; $AG32),0)))))</f>
        <v>0.64178396815768612</v>
      </c>
      <c r="D32" s="273">
        <f ca="1">IF(ISERROR(MATCH(D$1,INDIRECT("Table!A"&amp;$AG32):INDIRECT("Table!" &amp; $AJ$86 &amp; $AG32),0)),"",INDIRECT(CONCATENATE("Table!",ADDRESS($AC32,MATCH(D$1,INDIRECT("Table!A" &amp; $AG32):INDIRECT("Table!" &amp; $AJ$86 &amp; $AG32),0)))))</f>
        <v>0.64850421913315925</v>
      </c>
      <c r="E32" s="273">
        <f ca="1">IF(ISERROR(MATCH(E$1,INDIRECT("Table!A"&amp;$AG32):INDIRECT("Table!" &amp; $AJ$86 &amp; $AG32),0)),"",INDIRECT(CONCATENATE("Table!",ADDRESS($AC32,MATCH(E$1,INDIRECT("Table!A" &amp; $AG32):INDIRECT("Table!" &amp; $AJ$86 &amp; $AG32),0)))))</f>
        <v>1.542655550476157</v>
      </c>
      <c r="F32" s="273">
        <f ca="1">IF(ISERROR(MATCH(F$1,INDIRECT("Table!A"&amp;$AG32):INDIRECT("Table!" &amp; $AJ$86 &amp; $AG32),0)),"",INDIRECT(CONCATENATE("Table!",ADDRESS($AC32,MATCH(F$1,INDIRECT("Table!A" &amp; $AG32):INDIRECT("Table!" &amp; $AJ$86 &amp; $AG32),0)))))</f>
        <v>1.5561049600038681</v>
      </c>
      <c r="G32" s="273">
        <f ca="1">IF(ISERROR(MATCH(G$1,INDIRECT("Table!A"&amp;$AG32):INDIRECT("Table!" &amp; $AJ$86 &amp; $AG32),0)),"",INDIRECT(CONCATENATE("Table!",ADDRESS($AC32,MATCH(G$1,INDIRECT("Table!A" &amp; $AG32):INDIRECT("Table!" &amp; $AJ$86 &amp; $AG32),0)))))</f>
        <v>3.4861995309268168</v>
      </c>
      <c r="H32" s="273">
        <f ca="1">IF(ISERROR(MATCH(H$1,INDIRECT("Table!A"&amp;$AG32):INDIRECT("Table!" &amp; $AJ$86 &amp; $AG32),0)),"",INDIRECT(CONCATENATE("Table!",ADDRESS($AC32,MATCH(H$1,INDIRECT("Table!A" &amp; $AG32):INDIRECT("Table!" &amp; $AJ$86 &amp; $AG32),0)))))</f>
        <v>0.86970338413018533</v>
      </c>
      <c r="I32" s="273">
        <f ca="1">IF(ISERROR(MATCH(I$1,INDIRECT("Table!A"&amp;$AG32):INDIRECT("Table!" &amp; $AJ$64 &amp; $AG32),0)),"",INDIRECT(CONCATENATE("Table!",ADDRESS($AC32,MATCH(I$1,INDIRECT("Table!A" &amp; $AG32):INDIRECT("Table!" &amp; $AJ$64 &amp; $AG32),0)))))</f>
        <v>0.11819550508148816</v>
      </c>
      <c r="J32" s="273">
        <f ca="1">IF(ISERROR(MATCH(J$1,INDIRECT("Table!A"&amp;$AG32):INDIRECT("Table!" &amp; $AJ$64 &amp; $AG32),0)),"",INDIRECT(CONCATENATE("Table!",ADDRESS($AC32,MATCH(J$1,INDIRECT("Table!A" &amp; $AG32):INDIRECT("Table!" &amp; $AJ$64 &amp; $AG32),0)))))</f>
        <v>1.0493281362945777</v>
      </c>
      <c r="K32" s="273">
        <f ca="1">IF(ISERROR(MATCH(K$1,INDIRECT("Table!A"&amp;$AG32):INDIRECT("Table!" &amp; $AJ$64 &amp; $AG32),0)),"",INDIRECT(CONCATENATE("Table!",ADDRESS($AC32,MATCH(K$1,INDIRECT("Table!A" &amp; $AG32):INDIRECT("Table!" &amp; $AJ$64 &amp; $AG32),0)))))</f>
        <v>0.16555696775856901</v>
      </c>
      <c r="L32" s="273">
        <f ca="1">IF(ISERROR(MATCH(L$1,INDIRECT("Table!A"&amp;$AG32):INDIRECT("Table!" &amp; $AJ$86 &amp; $AG32),0)),"",INDIRECT(CONCATENATE("Table!",ADDRESS($AC32,MATCH(L$1,INDIRECT("Table!A" &amp; $AG32):INDIRECT("Table!" &amp; $AJ$86 &amp; $AG32),0)))))</f>
        <v>1.4564246841538397</v>
      </c>
      <c r="M32" s="273">
        <f ca="1">IF(ISERROR(MATCH(M$1,INDIRECT("Table!A"&amp;$AG32):INDIRECT("Table!" &amp; $AJ$86 &amp; $AG32),0)),"",INDIRECT(CONCATENATE("Table!",ADDRESS($AC32,MATCH(M$1,INDIRECT("Table!A" &amp; $AG32):INDIRECT("Table!" &amp; $AJ$86 &amp; $AG32),0)))))</f>
        <v>0.85501540882147975</v>
      </c>
      <c r="N32" s="273">
        <f ca="1">IF(ISERROR(MATCH(N$1,INDIRECT("Table!A"&amp;$AG32):INDIRECT("Table!" &amp; $AJ$86 &amp; $AG32),0)),"",INDIRECT(CONCATENATE("Table!",ADDRESS($AC32,MATCH(N$1,INDIRECT("Table!A" &amp; $AG32):INDIRECT("Table!" &amp; $AJ$86 &amp; $AG32),0)))))</f>
        <v>1.6531097857279278</v>
      </c>
      <c r="O32" s="273">
        <f ca="1">IF(ISERROR(MATCH(O$1,INDIRECT("Table!A"&amp;$AG32):INDIRECT("Table!" &amp; $AJ$64 &amp; $AG32),0)),"",INDIRECT(CONCATENATE("Table!",ADDRESS($AC32,MATCH(O$1,INDIRECT("Table!A" &amp; $AG32):INDIRECT("Table!" &amp; $AJ$64 &amp; $AG32),0)))))</f>
        <v>0.9516397200413409</v>
      </c>
      <c r="P32" s="273">
        <f ca="1">IF(ISERROR(MATCH(P$1,INDIRECT("Table!A"&amp;$AG32):INDIRECT("Table!" &amp; $AJ$64 &amp; $AG32),0)),"",INDIRECT(CONCATENATE("Table!",ADDRESS($AC32,MATCH(P$1,INDIRECT("Table!A" &amp; $AG32):INDIRECT("Table!" &amp; $AJ$64 &amp; $AG32),0)))))</f>
        <v>0.41898344667857734</v>
      </c>
      <c r="Q32" s="273">
        <f ca="1">IF(ISERROR(MATCH(Q$1,INDIRECT("Table!A"&amp;$AG32):INDIRECT("Table!" &amp; $AJ$64 &amp; $AG32),0)),"",INDIRECT(CONCATENATE("Table!",ADDRESS($AC32,MATCH(Q$1,INDIRECT("Table!A" &amp; $AG32):INDIRECT("Table!" &amp; $AJ$64 &amp; $AG32),0)))))</f>
        <v>0.48385929635477737</v>
      </c>
      <c r="R32" s="273">
        <f ca="1">IF(ISERROR(MATCH(R$1,INDIRECT("Table!A"&amp;$AG32):INDIRECT("Table!" &amp; $AJ$64 &amp; $AG32),0)),"",INDIRECT(CONCATENATE("Table!",ADDRESS($AC32,MATCH(R$1,INDIRECT("Table!A" &amp; $AG32):INDIRECT("Table!" &amp; $AJ$64 &amp; $AG32),0)))))</f>
        <v>0.46550171067026219</v>
      </c>
      <c r="S32" s="273">
        <f ca="1">IF(ISERROR(MATCH(S$1,INDIRECT("Table!A"&amp;$AG32):INDIRECT("Table!" &amp; $AJ$43 &amp; $AG32),0)),"",INDIRECT(CONCATENATE("Table!",ADDRESS($AC32,MATCH(S$1,INDIRECT("Table!A" &amp; $AG32):INDIRECT("Table!" &amp; $AJ$43 &amp; $AG32),0)))))</f>
        <v>0.89869612518358688</v>
      </c>
      <c r="T32" s="273">
        <f ca="1">IF(ISERROR(MATCH(T$1,INDIRECT("Table!A"&amp;$AG32):INDIRECT("Table!" &amp; $AJ$43 &amp; $AG32),0)),"",INDIRECT(CONCATENATE("Table!",ADDRESS($AC32,MATCH(T$1,INDIRECT("Table!A" &amp; $AG32):INDIRECT("Table!" &amp; $AJ$43 &amp; $AG32),0)))))</f>
        <v>0.95881588371284809</v>
      </c>
      <c r="U32" s="596" t="str">
        <f ca="1">IF(ISERROR(MATCH(U$1,INDIRECT("Table!A"&amp;$AG32):INDIRECT("Table!" &amp; $AJ$43 &amp; $AG32),0)),"",INDIRECT(CONCATENATE("Table!",ADDRESS($AC32,MATCH(U$1,INDIRECT("Table!A" &amp; $AG32):INDIRECT("Table!" &amp; $AJ$43 &amp; $AG32),0)))))</f>
        <v/>
      </c>
      <c r="V32" s="596"/>
      <c r="W32" s="596"/>
      <c r="X32" s="596"/>
      <c r="Y32" s="596"/>
      <c r="Z32" s="596"/>
      <c r="AA32" s="596"/>
      <c r="AB32" s="596"/>
      <c r="AC32" s="272">
        <f>MATCH($A32,Table!$A:$A,0)+$AE$2-1</f>
        <v>434</v>
      </c>
      <c r="AD32" s="487"/>
      <c r="AE32" s="487"/>
      <c r="AF32" s="487"/>
      <c r="AG32" s="272">
        <f>MATCH($A32,Table!$A:$A,0)+$AI$2-1</f>
        <v>425</v>
      </c>
      <c r="AH32" s="487"/>
      <c r="AI32" s="487"/>
      <c r="AJ32" s="904" t="s">
        <v>285</v>
      </c>
    </row>
    <row r="33" spans="1:36" s="267" customFormat="1" ht="19.5" customHeight="1" x14ac:dyDescent="0.25">
      <c r="A33" s="268">
        <v>41548</v>
      </c>
      <c r="B33" s="596">
        <f ca="1">IF(ISERROR(MATCH(B$1,INDIRECT("Table!A"&amp;$AG33):INDIRECT("Table!" &amp; $AJ$86 &amp; $AG33),0)),"",INDIRECT(CONCATENATE("Table!",ADDRESS($AC33,MATCH(B$1,INDIRECT("Table!A" &amp; $AG33):INDIRECT("Table!" &amp; $AJ$86 &amp; $AG33),0)))))</f>
        <v>1.3108887811817871</v>
      </c>
      <c r="C33" s="273">
        <f ca="1">IF(ISERROR(MATCH(C$1,INDIRECT("Table!A"&amp;$AG33):INDIRECT("Table!" &amp; $AJ$86 &amp; $AG33),0)),"",INDIRECT(CONCATENATE("Table!",ADDRESS($AC33,MATCH(C$1,INDIRECT("Table!A" &amp; $AG33):INDIRECT("Table!" &amp; $AJ$86 &amp; $AG33),0)))))</f>
        <v>0.64178396815768612</v>
      </c>
      <c r="D33" s="273">
        <f ca="1">IF(ISERROR(MATCH(D$1,INDIRECT("Table!A"&amp;$AG33):INDIRECT("Table!" &amp; $AJ$86 &amp; $AG33),0)),"",INDIRECT(CONCATENATE("Table!",ADDRESS($AC33,MATCH(D$1,INDIRECT("Table!A" &amp; $AG33):INDIRECT("Table!" &amp; $AJ$86 &amp; $AG33),0)))))</f>
        <v>0.64850421913315925</v>
      </c>
      <c r="E33" s="273">
        <f ca="1">IF(ISERROR(MATCH(E$1,INDIRECT("Table!A"&amp;$AG33):INDIRECT("Table!" &amp; $AJ$86 &amp; $AG33),0)),"",INDIRECT(CONCATENATE("Table!",ADDRESS($AC33,MATCH(E$1,INDIRECT("Table!A" &amp; $AG33):INDIRECT("Table!" &amp; $AJ$86 &amp; $AG33),0)))))</f>
        <v>1.542655550476157</v>
      </c>
      <c r="F33" s="273">
        <f ca="1">IF(ISERROR(MATCH(F$1,INDIRECT("Table!A"&amp;$AG33):INDIRECT("Table!" &amp; $AJ$86 &amp; $AG33),0)),"",INDIRECT(CONCATENATE("Table!",ADDRESS($AC33,MATCH(F$1,INDIRECT("Table!A" &amp; $AG33):INDIRECT("Table!" &amp; $AJ$86 &amp; $AG33),0)))))</f>
        <v>1.5931938943570247</v>
      </c>
      <c r="G33" s="273">
        <f ca="1">IF(ISERROR(MATCH(G$1,INDIRECT("Table!A"&amp;$AG33):INDIRECT("Table!" &amp; $AJ$86 &amp; $AG33),0)),"",INDIRECT(CONCATENATE("Table!",ADDRESS($AC33,MATCH(G$1,INDIRECT("Table!A" &amp; $AG33):INDIRECT("Table!" &amp; $AJ$86 &amp; $AG33),0)))))</f>
        <v>3.4910478540923573</v>
      </c>
      <c r="H33" s="273">
        <f ca="1">IF(ISERROR(MATCH(H$1,INDIRECT("Table!A"&amp;$AG33):INDIRECT("Table!" &amp; $AJ$86 &amp; $AG33),0)),"",INDIRECT(CONCATENATE("Table!",ADDRESS($AC33,MATCH(H$1,INDIRECT("Table!A" &amp; $AG33):INDIRECT("Table!" &amp; $AJ$86 &amp; $AG33),0)))))</f>
        <v>0.86970338413018533</v>
      </c>
      <c r="I33" s="273">
        <f ca="1">IF(ISERROR(MATCH(I$1,INDIRECT("Table!A"&amp;$AG33):INDIRECT("Table!" &amp; $AJ$64 &amp; $AG33),0)),"",INDIRECT(CONCATENATE("Table!",ADDRESS($AC33,MATCH(I$1,INDIRECT("Table!A" &amp; $AG33):INDIRECT("Table!" &amp; $AJ$64 &amp; $AG33),0)))))</f>
        <v>0.11819550508148816</v>
      </c>
      <c r="J33" s="273">
        <f ca="1">IF(ISERROR(MATCH(J$1,INDIRECT("Table!A"&amp;$AG33):INDIRECT("Table!" &amp; $AJ$64 &amp; $AG33),0)),"",INDIRECT(CONCATENATE("Table!",ADDRESS($AC33,MATCH(J$1,INDIRECT("Table!A" &amp; $AG33):INDIRECT("Table!" &amp; $AJ$64 &amp; $AG33),0)))))</f>
        <v>1.022693590415056</v>
      </c>
      <c r="K33" s="273">
        <f ca="1">IF(ISERROR(MATCH(K$1,INDIRECT("Table!A"&amp;$AG33):INDIRECT("Table!" &amp; $AJ$64 &amp; $AG33),0)),"",INDIRECT(CONCATENATE("Table!",ADDRESS($AC33,MATCH(K$1,INDIRECT("Table!A" &amp; $AG33):INDIRECT("Table!" &amp; $AJ$64 &amp; $AG33),0)))))</f>
        <v>0.11872486429611667</v>
      </c>
      <c r="L33" s="273">
        <f ca="1">IF(ISERROR(MATCH(L$1,INDIRECT("Table!A"&amp;$AG33):INDIRECT("Table!" &amp; $AJ$86 &amp; $AG33),0)),"",INDIRECT(CONCATENATE("Table!",ADDRESS($AC33,MATCH(L$1,INDIRECT("Table!A" &amp; $AG33):INDIRECT("Table!" &amp; $AJ$86 &amp; $AG33),0)))))</f>
        <v>1.4564246841538397</v>
      </c>
      <c r="M33" s="273">
        <f ca="1">IF(ISERROR(MATCH(M$1,INDIRECT("Table!A"&amp;$AG33):INDIRECT("Table!" &amp; $AJ$86 &amp; $AG33),0)),"",INDIRECT(CONCATENATE("Table!",ADDRESS($AC33,MATCH(M$1,INDIRECT("Table!A" &amp; $AG33):INDIRECT("Table!" &amp; $AJ$86 &amp; $AG33),0)))))</f>
        <v>0.85501540882147975</v>
      </c>
      <c r="N33" s="273">
        <f ca="1">IF(ISERROR(MATCH(N$1,INDIRECT("Table!A"&amp;$AG33):INDIRECT("Table!" &amp; $AJ$86 &amp; $AG33),0)),"",INDIRECT(CONCATENATE("Table!",ADDRESS($AC33,MATCH(N$1,INDIRECT("Table!A" &amp; $AG33):INDIRECT("Table!" &amp; $AJ$86 &amp; $AG33),0)))))</f>
        <v>1.6531097857279278</v>
      </c>
      <c r="O33" s="273">
        <f ca="1">IF(ISERROR(MATCH(O$1,INDIRECT("Table!A"&amp;$AG33):INDIRECT("Table!" &amp; $AJ$64 &amp; $AG33),0)),"",INDIRECT(CONCATENATE("Table!",ADDRESS($AC33,MATCH(O$1,INDIRECT("Table!A" &amp; $AG33):INDIRECT("Table!" &amp; $AJ$64 &amp; $AG33),0)))))</f>
        <v>0.94381433881525267</v>
      </c>
      <c r="P33" s="273">
        <f ca="1">IF(ISERROR(MATCH(P$1,INDIRECT("Table!A"&amp;$AG33):INDIRECT("Table!" &amp; $AJ$64 &amp; $AG33),0)),"",INDIRECT(CONCATENATE("Table!",ADDRESS($AC33,MATCH(P$1,INDIRECT("Table!A" &amp; $AG33):INDIRECT("Table!" &amp; $AJ$64 &amp; $AG33),0)))))</f>
        <v>0.41898344667857734</v>
      </c>
      <c r="Q33" s="273">
        <f ca="1">IF(ISERROR(MATCH(Q$1,INDIRECT("Table!A"&amp;$AG33):INDIRECT("Table!" &amp; $AJ$64 &amp; $AG33),0)),"",INDIRECT(CONCATENATE("Table!",ADDRESS($AC33,MATCH(Q$1,INDIRECT("Table!A" &amp; $AG33):INDIRECT("Table!" &amp; $AJ$64 &amp; $AG33),0)))))</f>
        <v>0.45602668196268842</v>
      </c>
      <c r="R33" s="273">
        <f ca="1">IF(ISERROR(MATCH(R$1,INDIRECT("Table!A"&amp;$AG33):INDIRECT("Table!" &amp; $AJ$64 &amp; $AG33),0)),"",INDIRECT(CONCATENATE("Table!",ADDRESS($AC33,MATCH(R$1,INDIRECT("Table!A" &amp; $AG33):INDIRECT("Table!" &amp; $AJ$64 &amp; $AG33),0)))))</f>
        <v>0.48836956052149311</v>
      </c>
      <c r="S33" s="273">
        <f ca="1">IF(ISERROR(MATCH(S$1,INDIRECT("Table!A"&amp;$AG33):INDIRECT("Table!" &amp; $AJ$43 &amp; $AG33),0)),"",INDIRECT(CONCATENATE("Table!",ADDRESS($AC33,MATCH(S$1,INDIRECT("Table!A" &amp; $AG33):INDIRECT("Table!" &amp; $AJ$43 &amp; $AG33),0)))))</f>
        <v>0.89869612518358688</v>
      </c>
      <c r="T33" s="273">
        <f ca="1">IF(ISERROR(MATCH(T$1,INDIRECT("Table!A"&amp;$AG33):INDIRECT("Table!" &amp; $AJ$43 &amp; $AG33),0)),"",INDIRECT(CONCATENATE("Table!",ADDRESS($AC33,MATCH(T$1,INDIRECT("Table!A" &amp; $AG33):INDIRECT("Table!" &amp; $AJ$43 &amp; $AG33),0)))))</f>
        <v>0.95881588371284809</v>
      </c>
      <c r="U33" s="596" t="str">
        <f ca="1">IF(ISERROR(MATCH(U$1,INDIRECT("Table!A"&amp;$AG33):INDIRECT("Table!" &amp; $AJ$43 &amp; $AG33),0)),"",INDIRECT(CONCATENATE("Table!",ADDRESS($AC33,MATCH(U$1,INDIRECT("Table!A" &amp; $AG33):INDIRECT("Table!" &amp; $AJ$43 &amp; $AG33),0)))))</f>
        <v/>
      </c>
      <c r="V33" s="596"/>
      <c r="W33" s="596"/>
      <c r="X33" s="596"/>
      <c r="Y33" s="596"/>
      <c r="Z33" s="596"/>
      <c r="AA33" s="596"/>
      <c r="AB33" s="596"/>
      <c r="AC33" s="272">
        <f>MATCH($A33,Table!$A:$A,0)+$AE$2-1</f>
        <v>446</v>
      </c>
      <c r="AD33" s="482"/>
      <c r="AE33" s="482"/>
      <c r="AF33" s="482"/>
      <c r="AG33" s="272">
        <f>MATCH($A33,Table!$A:$A,0)+$AI$2-1</f>
        <v>437</v>
      </c>
      <c r="AH33" s="482"/>
      <c r="AI33" s="482"/>
      <c r="AJ33" s="904" t="s">
        <v>285</v>
      </c>
    </row>
    <row r="34" spans="1:36" s="267" customFormat="1" ht="19.5" customHeight="1" x14ac:dyDescent="0.25">
      <c r="A34" s="268">
        <v>41541</v>
      </c>
      <c r="B34" s="596">
        <f ca="1">IF(ISERROR(MATCH(B$1,INDIRECT("Table!A"&amp;$AG34):INDIRECT("Table!" &amp; $AJ$86 &amp; $AG34),0)),"",INDIRECT(CONCATENATE("Table!",ADDRESS($AC34,MATCH(B$1,INDIRECT("Table!A" &amp; $AG34):INDIRECT("Table!" &amp; $AJ$86 &amp; $AG34),0)))))</f>
        <v>1.3108887811817871</v>
      </c>
      <c r="C34" s="273">
        <f ca="1">IF(ISERROR(MATCH(C$1,INDIRECT("Table!A"&amp;$AG34):INDIRECT("Table!" &amp; $AJ$86 &amp; $AG34),0)),"",INDIRECT(CONCATENATE("Table!",ADDRESS($AC34,MATCH(C$1,INDIRECT("Table!A" &amp; $AG34):INDIRECT("Table!" &amp; $AJ$86 &amp; $AG34),0)))))</f>
        <v>0.64178396815768612</v>
      </c>
      <c r="D34" s="273">
        <f ca="1">IF(ISERROR(MATCH(D$1,INDIRECT("Table!A"&amp;$AG34):INDIRECT("Table!" &amp; $AJ$86 &amp; $AG34),0)),"",INDIRECT(CONCATENATE("Table!",ADDRESS($AC34,MATCH(D$1,INDIRECT("Table!A" &amp; $AG34):INDIRECT("Table!" &amp; $AJ$86 &amp; $AG34),0)))))</f>
        <v>0.64850421913315925</v>
      </c>
      <c r="E34" s="273">
        <f ca="1">IF(ISERROR(MATCH(E$1,INDIRECT("Table!A"&amp;$AG34):INDIRECT("Table!" &amp; $AJ$86 &amp; $AG34),0)),"",INDIRECT(CONCATENATE("Table!",ADDRESS($AC34,MATCH(E$1,INDIRECT("Table!A" &amp; $AG34):INDIRECT("Table!" &amp; $AJ$86 &amp; $AG34),0)))))</f>
        <v>1.542655550476157</v>
      </c>
      <c r="F34" s="273">
        <f ca="1">IF(ISERROR(MATCH(F$1,INDIRECT("Table!A"&amp;$AG34):INDIRECT("Table!" &amp; $AJ$86 &amp; $AG34),0)),"",INDIRECT(CONCATENATE("Table!",ADDRESS($AC34,MATCH(F$1,INDIRECT("Table!A" &amp; $AG34):INDIRECT("Table!" &amp; $AJ$86 &amp; $AG34),0)))))</f>
        <v>1.5931938943570247</v>
      </c>
      <c r="G34" s="273">
        <f ca="1">IF(ISERROR(MATCH(G$1,INDIRECT("Table!A"&amp;$AG34):INDIRECT("Table!" &amp; $AJ$86 &amp; $AG34),0)),"",INDIRECT(CONCATENATE("Table!",ADDRESS($AC34,MATCH(G$1,INDIRECT("Table!A" &amp; $AG34):INDIRECT("Table!" &amp; $AJ$86 &amp; $AG34),0)))))</f>
        <v>3.4910478540923573</v>
      </c>
      <c r="H34" s="273">
        <f ca="1">IF(ISERROR(MATCH(H$1,INDIRECT("Table!A"&amp;$AG34):INDIRECT("Table!" &amp; $AJ$86 &amp; $AG34),0)),"",INDIRECT(CONCATENATE("Table!",ADDRESS($AC34,MATCH(H$1,INDIRECT("Table!A" &amp; $AG34):INDIRECT("Table!" &amp; $AJ$86 &amp; $AG34),0)))))</f>
        <v>0.85057385391235585</v>
      </c>
      <c r="I34" s="273">
        <f ca="1">IF(ISERROR(MATCH(I$1,INDIRECT("Table!A"&amp;$AG34):INDIRECT("Table!" &amp; $AJ$64 &amp; $AG34),0)),"",INDIRECT(CONCATENATE("Table!",ADDRESS($AC34,MATCH(I$1,INDIRECT("Table!A" &amp; $AG34):INDIRECT("Table!" &amp; $AJ$64 &amp; $AG34),0)))))</f>
        <v>0.11819550508148816</v>
      </c>
      <c r="J34" s="273">
        <f ca="1">IF(ISERROR(MATCH(J$1,INDIRECT("Table!A"&amp;$AG34):INDIRECT("Table!" &amp; $AJ$64 &amp; $AG34),0)),"",INDIRECT(CONCATENATE("Table!",ADDRESS($AC34,MATCH(J$1,INDIRECT("Table!A" &amp; $AG34):INDIRECT("Table!" &amp; $AJ$64 &amp; $AG34),0)))))</f>
        <v>1.022693590415056</v>
      </c>
      <c r="K34" s="273">
        <f ca="1">IF(ISERROR(MATCH(K$1,INDIRECT("Table!A"&amp;$AG34):INDIRECT("Table!" &amp; $AJ$64 &amp; $AG34),0)),"",INDIRECT(CONCATENATE("Table!",ADDRESS($AC34,MATCH(K$1,INDIRECT("Table!A" &amp; $AG34):INDIRECT("Table!" &amp; $AJ$64 &amp; $AG34),0)))))</f>
        <v>0.30358984137505007</v>
      </c>
      <c r="L34" s="273">
        <f ca="1">IF(ISERROR(MATCH(L$1,INDIRECT("Table!A"&amp;$AG34):INDIRECT("Table!" &amp; $AJ$86 &amp; $AG34),0)),"",INDIRECT(CONCATENATE("Table!",ADDRESS($AC34,MATCH(L$1,INDIRECT("Table!A" &amp; $AG34):INDIRECT("Table!" &amp; $AJ$86 &amp; $AG34),0)))))</f>
        <v>1.4564246841538397</v>
      </c>
      <c r="M34" s="273">
        <f ca="1">IF(ISERROR(MATCH(M$1,INDIRECT("Table!A"&amp;$AG34):INDIRECT("Table!" &amp; $AJ$86 &amp; $AG34),0)),"",INDIRECT(CONCATENATE("Table!",ADDRESS($AC34,MATCH(M$1,INDIRECT("Table!A" &amp; $AG34):INDIRECT("Table!" &amp; $AJ$86 &amp; $AG34),0)))))</f>
        <v>2.7464474858267698</v>
      </c>
      <c r="N34" s="273">
        <f ca="1">IF(ISERROR(MATCH(N$1,INDIRECT("Table!A"&amp;$AG34):INDIRECT("Table!" &amp; $AJ$86 &amp; $AG34),0)),"",INDIRECT(CONCATENATE("Table!",ADDRESS($AC34,MATCH(N$1,INDIRECT("Table!A" &amp; $AG34):INDIRECT("Table!" &amp; $AJ$86 &amp; $AG34),0)))))</f>
        <v>1.6531097857279278</v>
      </c>
      <c r="O34" s="273">
        <f ca="1">IF(ISERROR(MATCH(O$1,INDIRECT("Table!A"&amp;$AG34):INDIRECT("Table!" &amp; $AJ$64 &amp; $AG34),0)),"",INDIRECT(CONCATENATE("Table!",ADDRESS($AC34,MATCH(O$1,INDIRECT("Table!A" &amp; $AG34):INDIRECT("Table!" &amp; $AJ$64 &amp; $AG34),0)))))</f>
        <v>0.93195399539446244</v>
      </c>
      <c r="P34" s="273">
        <f ca="1">IF(ISERROR(MATCH(P$1,INDIRECT("Table!A"&amp;$AG34):INDIRECT("Table!" &amp; $AJ$64 &amp; $AG34),0)),"",INDIRECT(CONCATENATE("Table!",ADDRESS($AC34,MATCH(P$1,INDIRECT("Table!A" &amp; $AG34):INDIRECT("Table!" &amp; $AJ$64 &amp; $AG34),0)))))</f>
        <v>0.41898344667857734</v>
      </c>
      <c r="Q34" s="273">
        <f ca="1">IF(ISERROR(MATCH(Q$1,INDIRECT("Table!A"&amp;$AG34):INDIRECT("Table!" &amp; $AJ$64 &amp; $AG34),0)),"",INDIRECT(CONCATENATE("Table!",ADDRESS($AC34,MATCH(Q$1,INDIRECT("Table!A" &amp; $AG34):INDIRECT("Table!" &amp; $AJ$64 &amp; $AG34),0)))))</f>
        <v>0.45602668196268842</v>
      </c>
      <c r="R34" s="273">
        <f ca="1">IF(ISERROR(MATCH(R$1,INDIRECT("Table!A"&amp;$AG34):INDIRECT("Table!" &amp; $AJ$64 &amp; $AG34),0)),"",INDIRECT(CONCATENATE("Table!",ADDRESS($AC34,MATCH(R$1,INDIRECT("Table!A" &amp; $AG34):INDIRECT("Table!" &amp; $AJ$64 &amp; $AG34),0)))))</f>
        <v>1.2620151425367294</v>
      </c>
      <c r="S34" s="273">
        <f ca="1">IF(ISERROR(MATCH(S$1,INDIRECT("Table!A"&amp;$AG34):INDIRECT("Table!" &amp; $AJ$43 &amp; $AG34),0)),"",INDIRECT(CONCATENATE("Table!",ADDRESS($AC34,MATCH(S$1,INDIRECT("Table!A" &amp; $AG34):INDIRECT("Table!" &amp; $AJ$43 &amp; $AG34),0)))))</f>
        <v>0.89869612518358688</v>
      </c>
      <c r="T34" s="273">
        <f ca="1">IF(ISERROR(MATCH(T$1,INDIRECT("Table!A"&amp;$AG34):INDIRECT("Table!" &amp; $AJ$43 &amp; $AG34),0)),"",INDIRECT(CONCATENATE("Table!",ADDRESS($AC34,MATCH(T$1,INDIRECT("Table!A" &amp; $AG34):INDIRECT("Table!" &amp; $AJ$43 &amp; $AG34),0)))))</f>
        <v>0.95881588371284809</v>
      </c>
      <c r="U34" s="596" t="str">
        <f ca="1">IF(ISERROR(MATCH(U$1,INDIRECT("Table!A"&amp;$AG34):INDIRECT("Table!" &amp; $AJ$43 &amp; $AG34),0)),"",INDIRECT(CONCATENATE("Table!",ADDRESS($AC34,MATCH(U$1,INDIRECT("Table!A" &amp; $AG34):INDIRECT("Table!" &amp; $AJ$43 &amp; $AG34),0)))))</f>
        <v/>
      </c>
      <c r="V34" s="596"/>
      <c r="W34" s="596"/>
      <c r="X34" s="596"/>
      <c r="Y34" s="596"/>
      <c r="Z34" s="596"/>
      <c r="AA34" s="596"/>
      <c r="AB34" s="596"/>
      <c r="AC34" s="272">
        <f>MATCH($A34,Table!$A:$A,0)+$AE$2-1</f>
        <v>458</v>
      </c>
      <c r="AD34" s="482"/>
      <c r="AE34" s="482"/>
      <c r="AF34" s="482"/>
      <c r="AG34" s="272">
        <f>MATCH($A34,Table!$A:$A,0)+$AI$2-1</f>
        <v>449</v>
      </c>
      <c r="AH34" s="482"/>
      <c r="AI34" s="482"/>
      <c r="AJ34" s="904" t="s">
        <v>285</v>
      </c>
    </row>
    <row r="35" spans="1:36" s="267" customFormat="1" ht="19.5" customHeight="1" x14ac:dyDescent="0.25">
      <c r="A35" s="268">
        <v>41534</v>
      </c>
      <c r="B35" s="596">
        <f ca="1">IF(ISERROR(MATCH(B$1,INDIRECT("Table!A"&amp;$AG35):INDIRECT("Table!" &amp; $AJ$86 &amp; $AG35),0)),"",INDIRECT(CONCATENATE("Table!",ADDRESS($AC35,MATCH(B$1,INDIRECT("Table!A" &amp; $AG35):INDIRECT("Table!" &amp; $AJ$86 &amp; $AG35),0)))))</f>
        <v>1.3092428221740251</v>
      </c>
      <c r="C35" s="273">
        <f ca="1">IF(ISERROR(MATCH(C$1,INDIRECT("Table!A"&amp;$AG35):INDIRECT("Table!" &amp; $AJ$86 &amp; $AG35),0)),"",INDIRECT(CONCATENATE("Table!",ADDRESS($AC35,MATCH(C$1,INDIRECT("Table!A" &amp; $AG35):INDIRECT("Table!" &amp; $AJ$86 &amp; $AG35),0)))))</f>
        <v>0.64178396815768612</v>
      </c>
      <c r="D35" s="273">
        <f ca="1">IF(ISERROR(MATCH(D$1,INDIRECT("Table!A"&amp;$AG35):INDIRECT("Table!" &amp; $AJ$86 &amp; $AG35),0)),"",INDIRECT(CONCATENATE("Table!",ADDRESS($AC35,MATCH(D$1,INDIRECT("Table!A" &amp; $AG35):INDIRECT("Table!" &amp; $AJ$86 &amp; $AG35),0)))))</f>
        <v>0.64850421913315925</v>
      </c>
      <c r="E35" s="273">
        <f ca="1">IF(ISERROR(MATCH(E$1,INDIRECT("Table!A"&amp;$AG35):INDIRECT("Table!" &amp; $AJ$86 &amp; $AG35),0)),"",INDIRECT(CONCATENATE("Table!",ADDRESS($AC35,MATCH(E$1,INDIRECT("Table!A" &amp; $AG35):INDIRECT("Table!" &amp; $AJ$86 &amp; $AG35),0)))))</f>
        <v>1.542655550476157</v>
      </c>
      <c r="F35" s="273">
        <f ca="1">IF(ISERROR(MATCH(F$1,INDIRECT("Table!A"&amp;$AG35):INDIRECT("Table!" &amp; $AJ$86 &amp; $AG35),0)),"",INDIRECT(CONCATENATE("Table!",ADDRESS($AC35,MATCH(F$1,INDIRECT("Table!A" &amp; $AG35):INDIRECT("Table!" &amp; $AJ$86 &amp; $AG35),0)))))</f>
        <v>1.5931938943570247</v>
      </c>
      <c r="G35" s="273">
        <f ca="1">IF(ISERROR(MATCH(G$1,INDIRECT("Table!A"&amp;$AG35):INDIRECT("Table!" &amp; $AJ$86 &amp; $AG35),0)),"",INDIRECT(CONCATENATE("Table!",ADDRESS($AC35,MATCH(G$1,INDIRECT("Table!A" &amp; $AG35):INDIRECT("Table!" &amp; $AJ$86 &amp; $AG35),0)))))</f>
        <v>3.4910478540923573</v>
      </c>
      <c r="H35" s="273">
        <f ca="1">IF(ISERROR(MATCH(H$1,INDIRECT("Table!A"&amp;$AG35):INDIRECT("Table!" &amp; $AJ$86 &amp; $AG35),0)),"",INDIRECT(CONCATENATE("Table!",ADDRESS($AC35,MATCH(H$1,INDIRECT("Table!A" &amp; $AG35):INDIRECT("Table!" &amp; $AJ$86 &amp; $AG35),0)))))</f>
        <v>0.85057385391235585</v>
      </c>
      <c r="I35" s="273">
        <f ca="1">IF(ISERROR(MATCH(I$1,INDIRECT("Table!A"&amp;$AG35):INDIRECT("Table!" &amp; $AJ$64 &amp; $AG35),0)),"",INDIRECT(CONCATENATE("Table!",ADDRESS($AC35,MATCH(I$1,INDIRECT("Table!A" &amp; $AG35):INDIRECT("Table!" &amp; $AJ$64 &amp; $AG35),0)))))</f>
        <v>0.11819550508148816</v>
      </c>
      <c r="J35" s="273">
        <f ca="1">IF(ISERROR(MATCH(J$1,INDIRECT("Table!A"&amp;$AG35):INDIRECT("Table!" &amp; $AJ$64 &amp; $AG35),0)),"",INDIRECT(CONCATENATE("Table!",ADDRESS($AC35,MATCH(J$1,INDIRECT("Table!A" &amp; $AG35):INDIRECT("Table!" &amp; $AJ$64 &amp; $AG35),0)))))</f>
        <v>1.022693590415056</v>
      </c>
      <c r="K35" s="273">
        <f ca="1">IF(ISERROR(MATCH(K$1,INDIRECT("Table!A"&amp;$AG35):INDIRECT("Table!" &amp; $AJ$64 &amp; $AG35),0)),"",INDIRECT(CONCATENATE("Table!",ADDRESS($AC35,MATCH(K$1,INDIRECT("Table!A" &amp; $AG35):INDIRECT("Table!" &amp; $AJ$64 &amp; $AG35),0)))))</f>
        <v>0.23087617165463886</v>
      </c>
      <c r="L35" s="273">
        <f ca="1">IF(ISERROR(MATCH(L$1,INDIRECT("Table!A"&amp;$AG35):INDIRECT("Table!" &amp; $AJ$86 &amp; $AG35),0)),"",INDIRECT(CONCATENATE("Table!",ADDRESS($AC35,MATCH(L$1,INDIRECT("Table!A" &amp; $AG35):INDIRECT("Table!" &amp; $AJ$86 &amp; $AG35),0)))))</f>
        <v>1.4214900551264031</v>
      </c>
      <c r="M35" s="273">
        <f ca="1">IF(ISERROR(MATCH(M$1,INDIRECT("Table!A"&amp;$AG35):INDIRECT("Table!" &amp; $AJ$86 &amp; $AG35),0)),"",INDIRECT(CONCATENATE("Table!",ADDRESS($AC35,MATCH(M$1,INDIRECT("Table!A" &amp; $AG35):INDIRECT("Table!" &amp; $AJ$86 &amp; $AG35),0)))))</f>
        <v>2.7464474858267698</v>
      </c>
      <c r="N35" s="273">
        <f ca="1">IF(ISERROR(MATCH(N$1,INDIRECT("Table!A"&amp;$AG35):INDIRECT("Table!" &amp; $AJ$86 &amp; $AG35),0)),"",INDIRECT(CONCATENATE("Table!",ADDRESS($AC35,MATCH(N$1,INDIRECT("Table!A" &amp; $AG35):INDIRECT("Table!" &amp; $AJ$86 &amp; $AG35),0)))))</f>
        <v>1.6531097857279278</v>
      </c>
      <c r="O35" s="273">
        <f ca="1">IF(ISERROR(MATCH(O$1,INDIRECT("Table!A"&amp;$AG35):INDIRECT("Table!" &amp; $AJ$64 &amp; $AG35),0)),"",INDIRECT(CONCATENATE("Table!",ADDRESS($AC35,MATCH(O$1,INDIRECT("Table!A" &amp; $AG35):INDIRECT("Table!" &amp; $AJ$64 &amp; $AG35),0)))))</f>
        <v>0.93195399539446244</v>
      </c>
      <c r="P35" s="273">
        <f ca="1">IF(ISERROR(MATCH(P$1,INDIRECT("Table!A"&amp;$AG35):INDIRECT("Table!" &amp; $AJ$64 &amp; $AG35),0)),"",INDIRECT(CONCATENATE("Table!",ADDRESS($AC35,MATCH(P$1,INDIRECT("Table!A" &amp; $AG35):INDIRECT("Table!" &amp; $AJ$64 &amp; $AG35),0)))))</f>
        <v>0.41898344667857734</v>
      </c>
      <c r="Q35" s="273">
        <f ca="1">IF(ISERROR(MATCH(Q$1,INDIRECT("Table!A"&amp;$AG35):INDIRECT("Table!" &amp; $AJ$64 &amp; $AG35),0)),"",INDIRECT(CONCATENATE("Table!",ADDRESS($AC35,MATCH(Q$1,INDIRECT("Table!A" &amp; $AG35):INDIRECT("Table!" &amp; $AJ$64 &amp; $AG35),0)))))</f>
        <v>0.45602668196268842</v>
      </c>
      <c r="R35" s="273">
        <f ca="1">IF(ISERROR(MATCH(R$1,INDIRECT("Table!A"&amp;$AG35):INDIRECT("Table!" &amp; $AJ$64 &amp; $AG35),0)),"",INDIRECT(CONCATENATE("Table!",ADDRESS($AC35,MATCH(R$1,INDIRECT("Table!A" &amp; $AG35):INDIRECT("Table!" &amp; $AJ$64 &amp; $AG35),0)))))</f>
        <v>1.2445884722961771</v>
      </c>
      <c r="S35" s="273">
        <f ca="1">IF(ISERROR(MATCH(S$1,INDIRECT("Table!A"&amp;$AG35):INDIRECT("Table!" &amp; $AJ$43 &amp; $AG35),0)),"",INDIRECT(CONCATENATE("Table!",ADDRESS($AC35,MATCH(S$1,INDIRECT("Table!A" &amp; $AG35):INDIRECT("Table!" &amp; $AJ$43 &amp; $AG35),0)))))</f>
        <v>0.89869612518358688</v>
      </c>
      <c r="T35" s="273">
        <f ca="1">IF(ISERROR(MATCH(T$1,INDIRECT("Table!A"&amp;$AG35):INDIRECT("Table!" &amp; $AJ$43 &amp; $AG35),0)),"",INDIRECT(CONCATENATE("Table!",ADDRESS($AC35,MATCH(T$1,INDIRECT("Table!A" &amp; $AG35):INDIRECT("Table!" &amp; $AJ$43 &amp; $AG35),0)))))</f>
        <v>0.95881588371284809</v>
      </c>
      <c r="U35" s="596" t="str">
        <f ca="1">IF(ISERROR(MATCH(U$1,INDIRECT("Table!A"&amp;$AG35):INDIRECT("Table!" &amp; $AJ$43 &amp; $AG35),0)),"",INDIRECT(CONCATENATE("Table!",ADDRESS($AC35,MATCH(U$1,INDIRECT("Table!A" &amp; $AG35):INDIRECT("Table!" &amp; $AJ$43 &amp; $AG35),0)))))</f>
        <v/>
      </c>
      <c r="V35" s="596"/>
      <c r="W35" s="596"/>
      <c r="X35" s="596"/>
      <c r="Y35" s="596"/>
      <c r="Z35" s="596"/>
      <c r="AA35" s="596"/>
      <c r="AB35" s="596"/>
      <c r="AC35" s="272">
        <f>MATCH($A35,Table!$A:$A,0)+$AE$2-1</f>
        <v>470</v>
      </c>
      <c r="AD35" s="473"/>
      <c r="AE35" s="473"/>
      <c r="AF35" s="473"/>
      <c r="AG35" s="272">
        <f>MATCH($A35,Table!$A:$A,0)+$AI$2-1</f>
        <v>461</v>
      </c>
      <c r="AH35" s="473"/>
      <c r="AI35" s="473"/>
      <c r="AJ35" s="904" t="s">
        <v>285</v>
      </c>
    </row>
    <row r="36" spans="1:36" s="267" customFormat="1" ht="19.5" customHeight="1" x14ac:dyDescent="0.25">
      <c r="A36" s="268">
        <v>41519</v>
      </c>
      <c r="B36" s="596">
        <f ca="1">IF(ISERROR(MATCH(B$1,INDIRECT("Table!A"&amp;$AG36):INDIRECT("Table!" &amp; $AJ$86 &amp; $AG36),0)),"",INDIRECT(CONCATENATE("Table!",ADDRESS($AC36,MATCH(B$1,INDIRECT("Table!A" &amp; $AG36):INDIRECT("Table!" &amp; $AJ$86 &amp; $AG36),0)))))</f>
        <v>1.2951346021074948</v>
      </c>
      <c r="C36" s="273">
        <f ca="1">IF(ISERROR(MATCH(C$1,INDIRECT("Table!A"&amp;$AG36):INDIRECT("Table!" &amp; $AJ$86 &amp; $AG36),0)),"",INDIRECT(CONCATENATE("Table!",ADDRESS($AC36,MATCH(C$1,INDIRECT("Table!A" &amp; $AG36):INDIRECT("Table!" &amp; $AJ$86 &amp; $AG36),0)))))</f>
        <v>0.62744743274334336</v>
      </c>
      <c r="D36" s="273">
        <f ca="1">IF(ISERROR(MATCH(D$1,INDIRECT("Table!A"&amp;$AG36):INDIRECT("Table!" &amp; $AJ$86 &amp; $AG36),0)),"",INDIRECT(CONCATENATE("Table!",ADDRESS($AC36,MATCH(D$1,INDIRECT("Table!A" &amp; $AG36):INDIRECT("Table!" &amp; $AJ$86 &amp; $AG36),0)))))</f>
        <v>0.63416768371881649</v>
      </c>
      <c r="E36" s="273">
        <f ca="1">IF(ISERROR(MATCH(E$1,INDIRECT("Table!A"&amp;$AG36):INDIRECT("Table!" &amp; $AJ$86 &amp; $AG36),0)),"",INDIRECT(CONCATENATE("Table!",ADDRESS($AC36,MATCH(E$1,INDIRECT("Table!A" &amp; $AG36):INDIRECT("Table!" &amp; $AJ$86 &amp; $AG36),0)))))</f>
        <v>1.542655550476157</v>
      </c>
      <c r="F36" s="273">
        <f ca="1">IF(ISERROR(MATCH(F$1,INDIRECT("Table!A"&amp;$AG36):INDIRECT("Table!" &amp; $AJ$86 &amp; $AG36),0)),"",INDIRECT(CONCATENATE("Table!",ADDRESS($AC36,MATCH(F$1,INDIRECT("Table!A" &amp; $AG36):INDIRECT("Table!" &amp; $AJ$86 &amp; $AG36),0)))))</f>
        <v>1.5931938943570247</v>
      </c>
      <c r="G36" s="273">
        <f ca="1">IF(ISERROR(MATCH(G$1,INDIRECT("Table!A"&amp;$AG36):INDIRECT("Table!" &amp; $AJ$86 &amp; $AG36),0)),"",INDIRECT(CONCATENATE("Table!",ADDRESS($AC36,MATCH(G$1,INDIRECT("Table!A" &amp; $AG36):INDIRECT("Table!" &amp; $AJ$86 &amp; $AG36),0)))))</f>
        <v>3.4905375042854581</v>
      </c>
      <c r="H36" s="273">
        <f ca="1">IF(ISERROR(MATCH(H$1,INDIRECT("Table!A"&amp;$AG36):INDIRECT("Table!" &amp; $AJ$86 &amp; $AG36),0)),"",INDIRECT(CONCATENATE("Table!",ADDRESS($AC36,MATCH(H$1,INDIRECT("Table!A" &amp; $AG36):INDIRECT("Table!" &amp; $AJ$86 &amp; $AG36),0)))))</f>
        <v>0.84465750436044973</v>
      </c>
      <c r="I36" s="273">
        <f ca="1">IF(ISERROR(MATCH(I$1,INDIRECT("Table!A"&amp;$AG36):INDIRECT("Table!" &amp; $AJ$64 &amp; $AG36),0)),"",INDIRECT(CONCATENATE("Table!",ADDRESS($AC36,MATCH(I$1,INDIRECT("Table!A" &amp; $AG36):INDIRECT("Table!" &amp; $AJ$64 &amp; $AG36),0)))))</f>
        <v>0.11819550508148816</v>
      </c>
      <c r="J36" s="273">
        <f ca="1">IF(ISERROR(MATCH(J$1,INDIRECT("Table!A"&amp;$AG36):INDIRECT("Table!" &amp; $AJ$64 &amp; $AG36),0)),"",INDIRECT(CONCATENATE("Table!",ADDRESS($AC36,MATCH(J$1,INDIRECT("Table!A" &amp; $AG36):INDIRECT("Table!" &amp; $AJ$64 &amp; $AG36),0)))))</f>
        <v>0.95774908128416769</v>
      </c>
      <c r="K36" s="273">
        <f ca="1">IF(ISERROR(MATCH(K$1,INDIRECT("Table!A"&amp;$AG36):INDIRECT("Table!" &amp; $AJ$64 &amp; $AG36),0)),"",INDIRECT(CONCATENATE("Table!",ADDRESS($AC36,MATCH(K$1,INDIRECT("Table!A" &amp; $AG36):INDIRECT("Table!" &amp; $AJ$64 &amp; $AG36),0)))))</f>
        <v>7.0483098856533644E-2</v>
      </c>
      <c r="L36" s="273">
        <f ca="1">IF(ISERROR(MATCH(L$1,INDIRECT("Table!A"&amp;$AG36):INDIRECT("Table!" &amp; $AJ$86 &amp; $AG36),0)),"",INDIRECT(CONCATENATE("Table!",ADDRESS($AC36,MATCH(L$1,INDIRECT("Table!A" &amp; $AG36):INDIRECT("Table!" &amp; $AJ$86 &amp; $AG36),0)))))</f>
        <v>1.4272542689159304</v>
      </c>
      <c r="M36" s="273">
        <f ca="1">IF(ISERROR(MATCH(M$1,INDIRECT("Table!A"&amp;$AG36):INDIRECT("Table!" &amp; $AJ$86 &amp; $AG36),0)),"",INDIRECT(CONCATENATE("Table!",ADDRESS($AC36,MATCH(M$1,INDIRECT("Table!A" &amp; $AG36):INDIRECT("Table!" &amp; $AJ$86 &amp; $AG36),0)))))</f>
        <v>2.7464474858267698</v>
      </c>
      <c r="N36" s="273">
        <f ca="1">IF(ISERROR(MATCH(N$1,INDIRECT("Table!A"&amp;$AG36):INDIRECT("Table!" &amp; $AJ$86 &amp; $AG36),0)),"",INDIRECT(CONCATENATE("Table!",ADDRESS($AC36,MATCH(N$1,INDIRECT("Table!A" &amp; $AG36):INDIRECT("Table!" &amp; $AJ$86 &amp; $AG36),0)))))</f>
        <v>1.6531097857279278</v>
      </c>
      <c r="O36" s="273">
        <f ca="1">IF(ISERROR(MATCH(O$1,INDIRECT("Table!A"&amp;$AG36):INDIRECT("Table!" &amp; $AJ$64 &amp; $AG36),0)),"",INDIRECT(CONCATENATE("Table!",ADDRESS($AC36,MATCH(O$1,INDIRECT("Table!A" &amp; $AG36):INDIRECT("Table!" &amp; $AJ$64 &amp; $AG36),0)))))</f>
        <v>0.92828584794473346</v>
      </c>
      <c r="P36" s="273">
        <f ca="1">IF(ISERROR(MATCH(P$1,INDIRECT("Table!A"&amp;$AG36):INDIRECT("Table!" &amp; $AJ$64 &amp; $AG36),0)),"",INDIRECT(CONCATENATE("Table!",ADDRESS($AC36,MATCH(P$1,INDIRECT("Table!A" &amp; $AG36):INDIRECT("Table!" &amp; $AJ$64 &amp; $AG36),0)))))</f>
        <v>0.41898344667857734</v>
      </c>
      <c r="Q36" s="273">
        <f ca="1">IF(ISERROR(MATCH(Q$1,INDIRECT("Table!A"&amp;$AG36):INDIRECT("Table!" &amp; $AJ$64 &amp; $AG36),0)),"",INDIRECT(CONCATENATE("Table!",ADDRESS($AC36,MATCH(Q$1,INDIRECT("Table!A" &amp; $AG36):INDIRECT("Table!" &amp; $AJ$64 &amp; $AG36),0)))))</f>
        <v>0.42212798494668258</v>
      </c>
      <c r="R36" s="273">
        <f ca="1">IF(ISERROR(MATCH(R$1,INDIRECT("Table!A"&amp;$AG36):INDIRECT("Table!" &amp; $AJ$64 &amp; $AG36),0)),"",INDIRECT(CONCATENATE("Table!",ADDRESS($AC36,MATCH(R$1,INDIRECT("Table!A" &amp; $AG36):INDIRECT("Table!" &amp; $AJ$64 &amp; $AG36),0)))))</f>
        <v>0.46691137264739285</v>
      </c>
      <c r="S36" s="273">
        <f ca="1">IF(ISERROR(MATCH(S$1,INDIRECT("Table!A"&amp;$AG36):INDIRECT("Table!" &amp; $AJ$43 &amp; $AG36),0)),"",INDIRECT(CONCATENATE("Table!",ADDRESS($AC36,MATCH(S$1,INDIRECT("Table!A" &amp; $AG36):INDIRECT("Table!" &amp; $AJ$43 &amp; $AG36),0)))))</f>
        <v>0.85712378741999229</v>
      </c>
      <c r="T36" s="273">
        <f ca="1">IF(ISERROR(MATCH(T$1,INDIRECT("Table!A"&amp;$AG36):INDIRECT("Table!" &amp; $AJ$43 &amp; $AG36),0)),"",INDIRECT(CONCATENATE("Table!",ADDRESS($AC36,MATCH(T$1,INDIRECT("Table!A" &amp; $AG36):INDIRECT("Table!" &amp; $AJ$43 &amp; $AG36),0)))))</f>
        <v>0.92417216421631587</v>
      </c>
      <c r="U36" s="596" t="str">
        <f ca="1">IF(ISERROR(MATCH(U$1,INDIRECT("Table!A"&amp;$AG36):INDIRECT("Table!" &amp; $AJ$43 &amp; $AG36),0)),"",INDIRECT(CONCATENATE("Table!",ADDRESS($AC36,MATCH(U$1,INDIRECT("Table!A" &amp; $AG36):INDIRECT("Table!" &amp; $AJ$43 &amp; $AG36),0)))))</f>
        <v/>
      </c>
      <c r="V36" s="596"/>
      <c r="W36" s="596"/>
      <c r="X36" s="596"/>
      <c r="Y36" s="596"/>
      <c r="Z36" s="596"/>
      <c r="AA36" s="596"/>
      <c r="AB36" s="596"/>
      <c r="AC36" s="272">
        <f>MATCH($A36,Table!$A:$A,0)+$AE$2-1</f>
        <v>482</v>
      </c>
      <c r="AD36" s="468"/>
      <c r="AE36" s="468"/>
      <c r="AF36" s="468"/>
      <c r="AG36" s="272">
        <f>MATCH($A36,Table!$A:$A,0)+$AI$2-1</f>
        <v>473</v>
      </c>
      <c r="AH36" s="468"/>
      <c r="AI36" s="468"/>
      <c r="AJ36" s="904" t="s">
        <v>285</v>
      </c>
    </row>
    <row r="37" spans="1:36" s="267" customFormat="1" ht="19.5" customHeight="1" x14ac:dyDescent="0.25">
      <c r="A37" s="268">
        <v>41513</v>
      </c>
      <c r="B37" s="596">
        <f ca="1">IF(ISERROR(MATCH(B$1,INDIRECT("Table!A"&amp;$AG37):INDIRECT("Table!" &amp; $AJ$86 &amp; $AG37),0)),"",INDIRECT(CONCATENATE("Table!",ADDRESS($AC37,MATCH(B$1,INDIRECT("Table!A" &amp; $AG37):INDIRECT("Table!" &amp; $AJ$86 &amp; $AG37),0)))))</f>
        <v>1.2894913140808826</v>
      </c>
      <c r="C37" s="273">
        <f ca="1">IF(ISERROR(MATCH(C$1,INDIRECT("Table!A"&amp;$AG37):INDIRECT("Table!" &amp; $AJ$86 &amp; $AG37),0)),"",INDIRECT(CONCATENATE("Table!",ADDRESS($AC37,MATCH(C$1,INDIRECT("Table!A" &amp; $AG37):INDIRECT("Table!" &amp; $AJ$86 &amp; $AG37),0)))))</f>
        <v>0.62475933235315417</v>
      </c>
      <c r="D37" s="273">
        <f ca="1">IF(ISERROR(MATCH(D$1,INDIRECT("Table!A"&amp;$AG37):INDIRECT("Table!" &amp; $AJ$86 &amp; $AG37),0)),"",INDIRECT(CONCATENATE("Table!",ADDRESS($AC37,MATCH(D$1,INDIRECT("Table!A" &amp; $AG37):INDIRECT("Table!" &amp; $AJ$86 &amp; $AG37),0)))))</f>
        <v>0.62767144110919249</v>
      </c>
      <c r="E37" s="273">
        <f ca="1">IF(ISERROR(MATCH(E$1,INDIRECT("Table!A"&amp;$AG37):INDIRECT("Table!" &amp; $AJ$86 &amp; $AG37),0)),"",INDIRECT(CONCATENATE("Table!",ADDRESS($AC37,MATCH(E$1,INDIRECT("Table!A" &amp; $AG37):INDIRECT("Table!" &amp; $AJ$86 &amp; $AG37),0)))))</f>
        <v>1.542655550476157</v>
      </c>
      <c r="F37" s="273">
        <f ca="1">IF(ISERROR(MATCH(F$1,INDIRECT("Table!A"&amp;$AG37):INDIRECT("Table!" &amp; $AJ$86 &amp; $AG37),0)),"",INDIRECT(CONCATENATE("Table!",ADDRESS($AC37,MATCH(F$1,INDIRECT("Table!A" &amp; $AG37):INDIRECT("Table!" &amp; $AJ$86 &amp; $AG37),0)))))</f>
        <v>1.5891181872852491</v>
      </c>
      <c r="G37" s="273">
        <f ca="1">IF(ISERROR(MATCH(G$1,INDIRECT("Table!A"&amp;$AG37):INDIRECT("Table!" &amp; $AJ$86 &amp; $AG37),0)),"",INDIRECT(CONCATENATE("Table!",ADDRESS($AC37,MATCH(G$1,INDIRECT("Table!A" &amp; $AG37):INDIRECT("Table!" &amp; $AJ$86 &amp; $AG37),0)))))</f>
        <v>3.4887512799613116</v>
      </c>
      <c r="H37" s="273">
        <f ca="1">IF(ISERROR(MATCH(H$1,INDIRECT("Table!A"&amp;$AG37):INDIRECT("Table!" &amp; $AJ$86 &amp; $AG37),0)),"",INDIRECT(CONCATENATE("Table!",ADDRESS($AC37,MATCH(H$1,INDIRECT("Table!A" &amp; $AG37):INDIRECT("Table!" &amp; $AJ$86 &amp; $AG37),0)))))</f>
        <v>0.84327702279833838</v>
      </c>
      <c r="I37" s="273">
        <f ca="1">IF(ISERROR(MATCH(I$1,INDIRECT("Table!A"&amp;$AG37):INDIRECT("Table!" &amp; $AJ$64 &amp; $AG37),0)),"",INDIRECT(CONCATENATE("Table!",ADDRESS($AC37,MATCH(I$1,INDIRECT("Table!A" &amp; $AG37):INDIRECT("Table!" &amp; $AJ$64 &amp; $AG37),0)))))</f>
        <v>0.11493493942406778</v>
      </c>
      <c r="J37" s="273">
        <f ca="1">IF(ISERROR(MATCH(J$1,INDIRECT("Table!A"&amp;$AG37):INDIRECT("Table!" &amp; $AJ$64 &amp; $AG37),0)),"",INDIRECT(CONCATENATE("Table!",ADDRESS($AC37,MATCH(J$1,INDIRECT("Table!A" &amp; $AG37):INDIRECT("Table!" &amp; $AJ$64 &amp; $AG37),0)))))</f>
        <v>0.95774908128416769</v>
      </c>
      <c r="K37" s="273">
        <f ca="1">IF(ISERROR(MATCH(K$1,INDIRECT("Table!A"&amp;$AG37):INDIRECT("Table!" &amp; $AJ$64 &amp; $AG37),0)),"",INDIRECT(CONCATENATE("Table!",ADDRESS($AC37,MATCH(K$1,INDIRECT("Table!A" &amp; $AG37):INDIRECT("Table!" &amp; $AJ$64 &amp; $AG37),0)))))</f>
        <v>7.0483098856533644E-2</v>
      </c>
      <c r="L37" s="273">
        <f ca="1">IF(ISERROR(MATCH(L$1,INDIRECT("Table!A"&amp;$AG37):INDIRECT("Table!" &amp; $AJ$86 &amp; $AG37),0)),"",INDIRECT(CONCATENATE("Table!",ADDRESS($AC37,MATCH(L$1,INDIRECT("Table!A" &amp; $AG37):INDIRECT("Table!" &amp; $AJ$86 &amp; $AG37),0)))))</f>
        <v>1.42603155689997</v>
      </c>
      <c r="M37" s="273">
        <f ca="1">IF(ISERROR(MATCH(M$1,INDIRECT("Table!A"&amp;$AG37):INDIRECT("Table!" &amp; $AJ$86 &amp; $AG37),0)),"",INDIRECT(CONCATENATE("Table!",ADDRESS($AC37,MATCH(M$1,INDIRECT("Table!A" &amp; $AG37):INDIRECT("Table!" &amp; $AJ$86 &amp; $AG37),0)))))</f>
        <v>2.7464474858267698</v>
      </c>
      <c r="N37" s="273">
        <f ca="1">IF(ISERROR(MATCH(N$1,INDIRECT("Table!A"&amp;$AG37):INDIRECT("Table!" &amp; $AJ$86 &amp; $AG37),0)),"",INDIRECT(CONCATENATE("Table!",ADDRESS($AC37,MATCH(N$1,INDIRECT("Table!A" &amp; $AG37):INDIRECT("Table!" &amp; $AJ$86 &amp; $AG37),0)))))</f>
        <v>1.6490340712660738</v>
      </c>
      <c r="O37" s="273">
        <f ca="1">IF(ISERROR(MATCH(O$1,INDIRECT("Table!A"&amp;$AG37):INDIRECT("Table!" &amp; $AJ$64 &amp; $AG37),0)),"",INDIRECT(CONCATENATE("Table!",ADDRESS($AC37,MATCH(O$1,INDIRECT("Table!A" &amp; $AG37):INDIRECT("Table!" &amp; $AJ$64 &amp; $AG37),0)))))</f>
        <v>0.92742994687313007</v>
      </c>
      <c r="P37" s="273">
        <f ca="1">IF(ISERROR(MATCH(P$1,INDIRECT("Table!A"&amp;$AG37):INDIRECT("Table!" &amp; $AJ$64 &amp; $AG37),0)),"",INDIRECT(CONCATENATE("Table!",ADDRESS($AC37,MATCH(P$1,INDIRECT("Table!A" &amp; $AG37):INDIRECT("Table!" &amp; $AJ$64 &amp; $AG37),0)))))</f>
        <v>0.41246230353961116</v>
      </c>
      <c r="Q37" s="273">
        <f ca="1">IF(ISERROR(MATCH(Q$1,INDIRECT("Table!A"&amp;$AG37):INDIRECT("Table!" &amp; $AJ$64 &amp; $AG37),0)),"",INDIRECT(CONCATENATE("Table!",ADDRESS($AC37,MATCH(Q$1,INDIRECT("Table!A" &amp; $AG37):INDIRECT("Table!" &amp; $AJ$64 &amp; $AG37),0)))))</f>
        <v>0.42212798494668258</v>
      </c>
      <c r="R37" s="273">
        <f ca="1">IF(ISERROR(MATCH(R$1,INDIRECT("Table!A"&amp;$AG37):INDIRECT("Table!" &amp; $AJ$64 &amp; $AG37),0)),"",INDIRECT(CONCATENATE("Table!",ADDRESS($AC37,MATCH(R$1,INDIRECT("Table!A" &amp; $AG37):INDIRECT("Table!" &amp; $AJ$64 &amp; $AG37),0)))))</f>
        <v>0.46691137264739285</v>
      </c>
      <c r="S37" s="273">
        <f ca="1">IF(ISERROR(MATCH(S$1,INDIRECT("Table!A"&amp;$AG37):INDIRECT("Table!" &amp; $AJ$43 &amp; $AG37),0)),"",INDIRECT(CONCATENATE("Table!",ADDRESS($AC37,MATCH(S$1,INDIRECT("Table!A" &amp; $AG37):INDIRECT("Table!" &amp; $AJ$43 &amp; $AG37),0)))))</f>
        <v>0.85712378741999229</v>
      </c>
      <c r="T37" s="273">
        <f ca="1">IF(ISERROR(MATCH(T$1,INDIRECT("Table!A"&amp;$AG37):INDIRECT("Table!" &amp; $AJ$43 &amp; $AG37),0)),"",INDIRECT(CONCATENATE("Table!",ADDRESS($AC37,MATCH(T$1,INDIRECT("Table!A" &amp; $AG37):INDIRECT("Table!" &amp; $AJ$43 &amp; $AG37),0)))))</f>
        <v>0.92417216421631587</v>
      </c>
      <c r="U37" s="596" t="str">
        <f ca="1">IF(ISERROR(MATCH(U$1,INDIRECT("Table!A"&amp;$AG37):INDIRECT("Table!" &amp; $AJ$43 &amp; $AG37),0)),"",INDIRECT(CONCATENATE("Table!",ADDRESS($AC37,MATCH(U$1,INDIRECT("Table!A" &amp; $AG37):INDIRECT("Table!" &amp; $AJ$43 &amp; $AG37),0)))))</f>
        <v/>
      </c>
      <c r="V37" s="596"/>
      <c r="W37" s="596"/>
      <c r="X37" s="596"/>
      <c r="Y37" s="596"/>
      <c r="Z37" s="596"/>
      <c r="AA37" s="596"/>
      <c r="AB37" s="596"/>
      <c r="AC37" s="272">
        <f>MATCH($A37,Table!$A:$A,0)+$AE$2-1</f>
        <v>494</v>
      </c>
      <c r="AD37" s="463"/>
      <c r="AE37" s="463"/>
      <c r="AF37" s="463"/>
      <c r="AG37" s="272">
        <f>MATCH($A37,Table!$A:$A,0)+$AI$2-1</f>
        <v>485</v>
      </c>
      <c r="AH37" s="463"/>
      <c r="AI37" s="463"/>
      <c r="AJ37" s="904" t="s">
        <v>285</v>
      </c>
    </row>
    <row r="38" spans="1:36" s="267" customFormat="1" ht="19.5" customHeight="1" x14ac:dyDescent="0.25">
      <c r="A38" s="268">
        <v>41498</v>
      </c>
      <c r="B38" s="596">
        <f ca="1">IF(ISERROR(MATCH(B$1,INDIRECT("Table!A"&amp;$AG38):INDIRECT("Table!" &amp; $AJ$86 &amp; $AG38),0)),"",INDIRECT(CONCATENATE("Table!",ADDRESS($AC38,MATCH(B$1,INDIRECT("Table!A" &amp; $AG38):INDIRECT("Table!" &amp; $AJ$86 &amp; $AG38),0)))))</f>
        <v>1.2859642590642499</v>
      </c>
      <c r="C38" s="273">
        <f ca="1">IF(ISERROR(MATCH(C$1,INDIRECT("Table!A"&amp;$AG38):INDIRECT("Table!" &amp; $AJ$86 &amp; $AG38),0)),"",INDIRECT(CONCATENATE("Table!",ADDRESS($AC38,MATCH(C$1,INDIRECT("Table!A" &amp; $AG38):INDIRECT("Table!" &amp; $AJ$86 &amp; $AG38),0)))))</f>
        <v>0.62072718176787023</v>
      </c>
      <c r="D38" s="273">
        <f ca="1">IF(ISERROR(MATCH(D$1,INDIRECT("Table!A"&amp;$AG38):INDIRECT("Table!" &amp; $AJ$86 &amp; $AG38),0)),"",INDIRECT(CONCATENATE("Table!",ADDRESS($AC38,MATCH(D$1,INDIRECT("Table!A" &amp; $AG38):INDIRECT("Table!" &amp; $AJ$86 &amp; $AG38),0)))))</f>
        <v>0.62767144110919249</v>
      </c>
      <c r="E38" s="273">
        <f ca="1">IF(ISERROR(MATCH(E$1,INDIRECT("Table!A"&amp;$AG38):INDIRECT("Table!" &amp; $AJ$86 &amp; $AG38),0)),"",INDIRECT(CONCATENATE("Table!",ADDRESS($AC38,MATCH(E$1,INDIRECT("Table!A" &amp; $AG38):INDIRECT("Table!" &amp; $AJ$86 &amp; $AG38),0)))))</f>
        <v>1.532095761070952</v>
      </c>
      <c r="F38" s="273">
        <f ca="1">IF(ISERROR(MATCH(F$1,INDIRECT("Table!A"&amp;$AG38):INDIRECT("Table!" &amp; $AJ$86 &amp; $AG38),0)),"",INDIRECT(CONCATENATE("Table!",ADDRESS($AC38,MATCH(F$1,INDIRECT("Table!A" &amp; $AG38):INDIRECT("Table!" &amp; $AJ$86 &amp; $AG38),0)))))</f>
        <v>1.5891181872852491</v>
      </c>
      <c r="G38" s="273">
        <f ca="1">IF(ISERROR(MATCH(G$1,INDIRECT("Table!A"&amp;$AG38):INDIRECT("Table!" &amp; $AJ$86 &amp; $AG38),0)),"",INDIRECT(CONCATENATE("Table!",ADDRESS($AC38,MATCH(G$1,INDIRECT("Table!A" &amp; $AG38):INDIRECT("Table!" &amp; $AJ$86 &amp; $AG38),0)))))</f>
        <v>3.4675717629750045</v>
      </c>
      <c r="H38" s="273">
        <f ca="1">IF(ISERROR(MATCH(H$1,INDIRECT("Table!A"&amp;$AG38):INDIRECT("Table!" &amp; $AJ$86 &amp; $AG38),0)),"",INDIRECT(CONCATENATE("Table!",ADDRESS($AC38,MATCH(H$1,INDIRECT("Table!A" &amp; $AG38):INDIRECT("Table!" &amp; $AJ$86 &amp; $AG38),0)))))</f>
        <v>0.83736067324643226</v>
      </c>
      <c r="I38" s="273">
        <f ca="1">IF(ISERROR(MATCH(I$1,INDIRECT("Table!A"&amp;$AG38):INDIRECT("Table!" &amp; $AJ$64 &amp; $AG38),0)),"",INDIRECT(CONCATENATE("Table!",ADDRESS($AC38,MATCH(I$1,INDIRECT("Table!A" &amp; $AG38):INDIRECT("Table!" &amp; $AJ$64 &amp; $AG38),0)))))</f>
        <v>0.11167437376664743</v>
      </c>
      <c r="J38" s="273">
        <f ca="1">IF(ISERROR(MATCH(J$1,INDIRECT("Table!A"&amp;$AG38):INDIRECT("Table!" &amp; $AJ$64 &amp; $AG38),0)),"",INDIRECT(CONCATENATE("Table!",ADDRESS($AC38,MATCH(J$1,INDIRECT("Table!A" &amp; $AG38):INDIRECT("Table!" &amp; $AJ$64 &amp; $AG38),0)))))</f>
        <v>0.6592962247163775</v>
      </c>
      <c r="K38" s="273">
        <f ca="1">IF(ISERROR(MATCH(K$1,INDIRECT("Table!A"&amp;$AG38):INDIRECT("Table!" &amp; $AJ$64 &amp; $AG38),0)),"",INDIRECT(CONCATENATE("Table!",ADDRESS($AC38,MATCH(K$1,INDIRECT("Table!A" &amp; $AG38):INDIRECT("Table!" &amp; $AJ$64 &amp; $AG38),0)))))</f>
        <v>5.388041334810572E-2</v>
      </c>
      <c r="L38" s="273">
        <f ca="1">IF(ISERROR(MATCH(L$1,INDIRECT("Table!A"&amp;$AG38):INDIRECT("Table!" &amp; $AJ$86 &amp; $AG38),0)),"",INDIRECT(CONCATENATE("Table!",ADDRESS($AC38,MATCH(L$1,INDIRECT("Table!A" &amp; $AG38):INDIRECT("Table!" &amp; $AJ$86 &amp; $AG38),0)))))</f>
        <v>1.42603155689997</v>
      </c>
      <c r="M38" s="273">
        <f ca="1">IF(ISERROR(MATCH(M$1,INDIRECT("Table!A"&amp;$AG38):INDIRECT("Table!" &amp; $AJ$86 &amp; $AG38),0)),"",INDIRECT(CONCATENATE("Table!",ADDRESS($AC38,MATCH(M$1,INDIRECT("Table!A" &amp; $AG38):INDIRECT("Table!" &amp; $AJ$86 &amp; $AG38),0)))))</f>
        <v>2.7367508394956896</v>
      </c>
      <c r="N38" s="273">
        <f ca="1">IF(ISERROR(MATCH(N$1,INDIRECT("Table!A"&amp;$AG38):INDIRECT("Table!" &amp; $AJ$86 &amp; $AG38),0)),"",INDIRECT(CONCATENATE("Table!",ADDRESS($AC38,MATCH(N$1,INDIRECT("Table!A" &amp; $AG38):INDIRECT("Table!" &amp; $AJ$86 &amp; $AG38),0)))))</f>
        <v>1.6490340712660738</v>
      </c>
      <c r="O38" s="273">
        <f ca="1">IF(ISERROR(MATCH(O$1,INDIRECT("Table!A"&amp;$AG38):INDIRECT("Table!" &amp; $AJ$64 &amp; $AG38),0)),"",INDIRECT(CONCATENATE("Table!",ADDRESS($AC38,MATCH(O$1,INDIRECT("Table!A" &amp; $AG38):INDIRECT("Table!" &amp; $AJ$64 &amp; $AG38),0)))))</f>
        <v>0.9237617994234012</v>
      </c>
      <c r="P38" s="273">
        <f ca="1">IF(ISERROR(MATCH(P$1,INDIRECT("Table!A"&amp;$AG38):INDIRECT("Table!" &amp; $AJ$64 &amp; $AG38),0)),"",INDIRECT(CONCATENATE("Table!",ADDRESS($AC38,MATCH(P$1,INDIRECT("Table!A" &amp; $AG38):INDIRECT("Table!" &amp; $AJ$64 &amp; $AG38),0)))))</f>
        <v>0.40594116040064498</v>
      </c>
      <c r="Q38" s="273">
        <f ca="1">IF(ISERROR(MATCH(Q$1,INDIRECT("Table!A"&amp;$AG38):INDIRECT("Table!" &amp; $AJ$64 &amp; $AG38),0)),"",INDIRECT(CONCATENATE("Table!",ADDRESS($AC38,MATCH(Q$1,INDIRECT("Table!A" &amp; $AG38):INDIRECT("Table!" &amp; $AJ$64 &amp; $AG38),0)))))</f>
        <v>0.34291208244612176</v>
      </c>
      <c r="R38" s="273">
        <f ca="1">IF(ISERROR(MATCH(R$1,INDIRECT("Table!A"&amp;$AG38):INDIRECT("Table!" &amp; $AJ$64 &amp; $AG38),0)),"",INDIRECT(CONCATENATE("Table!",ADDRESS($AC38,MATCH(R$1,INDIRECT("Table!A" &amp; $AG38):INDIRECT("Table!" &amp; $AJ$64 &amp; $AG38),0)))))</f>
        <v>0.44451341012187212</v>
      </c>
      <c r="S38" s="273">
        <f ca="1">IF(ISERROR(MATCH(S$1,INDIRECT("Table!A"&amp;$AG38):INDIRECT("Table!" &amp; $AJ$43 &amp; $AG38),0)),"",INDIRECT(CONCATENATE("Table!",ADDRESS($AC38,MATCH(S$1,INDIRECT("Table!A" &amp; $AG38):INDIRECT("Table!" &amp; $AJ$43 &amp; $AG38),0)))))</f>
        <v>0.68105270983300392</v>
      </c>
      <c r="T38" s="273">
        <f ca="1">IF(ISERROR(MATCH(T$1,INDIRECT("Table!A"&amp;$AG38):INDIRECT("Table!" &amp; $AJ$43 &amp; $AG38),0)),"",INDIRECT(CONCATENATE("Table!",ADDRESS($AC38,MATCH(T$1,INDIRECT("Table!A" &amp; $AG38):INDIRECT("Table!" &amp; $AJ$43 &amp; $AG38),0)))))</f>
        <v>0.53290192049077523</v>
      </c>
      <c r="U38" s="596" t="str">
        <f ca="1">IF(ISERROR(MATCH(U$1,INDIRECT("Table!A"&amp;$AG38):INDIRECT("Table!" &amp; $AJ$43 &amp; $AG38),0)),"",INDIRECT(CONCATENATE("Table!",ADDRESS($AC38,MATCH(U$1,INDIRECT("Table!A" &amp; $AG38):INDIRECT("Table!" &amp; $AJ$43 &amp; $AG38),0)))))</f>
        <v/>
      </c>
      <c r="V38" s="596"/>
      <c r="W38" s="596"/>
      <c r="X38" s="596"/>
      <c r="Y38" s="596"/>
      <c r="Z38" s="596"/>
      <c r="AA38" s="596"/>
      <c r="AB38" s="596"/>
      <c r="AC38" s="272">
        <f>MATCH($A38,Table!$A:$A,0)+$AE$2-1</f>
        <v>506</v>
      </c>
      <c r="AD38" s="458"/>
      <c r="AE38" s="458"/>
      <c r="AF38" s="458"/>
      <c r="AG38" s="272">
        <f>MATCH($A38,Table!$A:$A,0)+$AI$2-1</f>
        <v>497</v>
      </c>
      <c r="AH38" s="458"/>
      <c r="AI38" s="458"/>
      <c r="AJ38" s="904" t="s">
        <v>285</v>
      </c>
    </row>
    <row r="39" spans="1:36" s="267" customFormat="1" ht="19.5" customHeight="1" x14ac:dyDescent="0.25">
      <c r="A39" s="268">
        <v>41491</v>
      </c>
      <c r="B39" s="596">
        <f ca="1">IF(ISERROR(MATCH(B$1,INDIRECT("Table!A"&amp;$AG39):INDIRECT("Table!" &amp; $AJ$86 &amp; $AG39),0)),"",INDIRECT(CONCATENATE("Table!",ADDRESS($AC39,MATCH(B$1,INDIRECT("Table!A" &amp; $AG39):INDIRECT("Table!" &amp; $AJ$86 &amp; $AG39),0)))))</f>
        <v>1.2859642590642499</v>
      </c>
      <c r="C39" s="273">
        <f ca="1">IF(ISERROR(MATCH(C$1,INDIRECT("Table!A"&amp;$AG39):INDIRECT("Table!" &amp; $AJ$86 &amp; $AG39),0)),"",INDIRECT(CONCATENATE("Table!",ADDRESS($AC39,MATCH(C$1,INDIRECT("Table!A" &amp; $AG39):INDIRECT("Table!" &amp; $AJ$86 &amp; $AG39),0)))))</f>
        <v>0.62610338254824871</v>
      </c>
      <c r="D39" s="273">
        <f ca="1">IF(ISERROR(MATCH(D$1,INDIRECT("Table!A"&amp;$AG39):INDIRECT("Table!" &amp; $AJ$86 &amp; $AG39),0)),"",INDIRECT(CONCATENATE("Table!",ADDRESS($AC39,MATCH(D$1,INDIRECT("Table!A" &amp; $AG39):INDIRECT("Table!" &amp; $AJ$86 &amp; $AG39),0)))))</f>
        <v>0.63304764188957097</v>
      </c>
      <c r="E39" s="273">
        <f ca="1">IF(ISERROR(MATCH(E$1,INDIRECT("Table!A"&amp;$AG39):INDIRECT("Table!" &amp; $AJ$86 &amp; $AG39),0)),"",INDIRECT(CONCATENATE("Table!",ADDRESS($AC39,MATCH(E$1,INDIRECT("Table!A" &amp; $AG39):INDIRECT("Table!" &amp; $AJ$86 &amp; $AG39),0)))))</f>
        <v>1.5293168691222139</v>
      </c>
      <c r="F39" s="273">
        <f ca="1">IF(ISERROR(MATCH(F$1,INDIRECT("Table!A"&amp;$AG39):INDIRECT("Table!" &amp; $AJ$86 &amp; $AG39),0)),"",INDIRECT(CONCATENATE("Table!",ADDRESS($AC39,MATCH(F$1,INDIRECT("Table!A" &amp; $AG39):INDIRECT("Table!" &amp; $AJ$86 &amp; $AG39),0)))))</f>
        <v>1.5891181872852491</v>
      </c>
      <c r="G39" s="273">
        <f ca="1">IF(ISERROR(MATCH(G$1,INDIRECT("Table!A"&amp;$AG39):INDIRECT("Table!" &amp; $AJ$86 &amp; $AG39),0)),"",INDIRECT(CONCATENATE("Table!",ADDRESS($AC39,MATCH(G$1,INDIRECT("Table!A" &amp; $AG39):INDIRECT("Table!" &amp; $AJ$86 &amp; $AG39),0)))))</f>
        <v>3.4675717629750045</v>
      </c>
      <c r="H39" s="273">
        <f ca="1">IF(ISERROR(MATCH(H$1,INDIRECT("Table!A"&amp;$AG39):INDIRECT("Table!" &amp; $AJ$86 &amp; $AG39),0)),"",INDIRECT(CONCATENATE("Table!",ADDRESS($AC39,MATCH(H$1,INDIRECT("Table!A" &amp; $AG39):INDIRECT("Table!" &amp; $AJ$86 &amp; $AG39),0)))))</f>
        <v>0.82828893726684305</v>
      </c>
      <c r="I39" s="273">
        <f ca="1">IF(ISERROR(MATCH(I$1,INDIRECT("Table!A"&amp;$AG39):INDIRECT("Table!" &amp; $AJ$64 &amp; $AG39),0)),"",INDIRECT(CONCATENATE("Table!",ADDRESS($AC39,MATCH(I$1,INDIRECT("Table!A" &amp; $AG39):INDIRECT("Table!" &amp; $AJ$64 &amp; $AG39),0)))))</f>
        <v>0.11167437376664743</v>
      </c>
      <c r="J39" s="273">
        <f ca="1">IF(ISERROR(MATCH(J$1,INDIRECT("Table!A"&amp;$AG39):INDIRECT("Table!" &amp; $AJ$64 &amp; $AG39),0)),"",INDIRECT(CONCATENATE("Table!",ADDRESS($AC39,MATCH(J$1,INDIRECT("Table!A" &amp; $AG39):INDIRECT("Table!" &amp; $AJ$64 &amp; $AG39),0)))))</f>
        <v>0.56808202649883777</v>
      </c>
      <c r="K39" s="273">
        <f ca="1">IF(ISERROR(MATCH(K$1,INDIRECT("Table!A"&amp;$AG39):INDIRECT("Table!" &amp; $AJ$64 &amp; $AG39),0)),"",INDIRECT(CONCATENATE("Table!",ADDRESS($AC39,MATCH(K$1,INDIRECT("Table!A" &amp; $AG39):INDIRECT("Table!" &amp; $AJ$64 &amp; $AG39),0)))))</f>
        <v>5.419367156524587E-2</v>
      </c>
      <c r="L39" s="273">
        <f ca="1">IF(ISERROR(MATCH(L$1,INDIRECT("Table!A"&amp;$AG39):INDIRECT("Table!" &amp; $AJ$86 &amp; $AG39),0)),"",INDIRECT(CONCATENATE("Table!",ADDRESS($AC39,MATCH(L$1,INDIRECT("Table!A" &amp; $AG39):INDIRECT("Table!" &amp; $AJ$86 &amp; $AG39),0)))))</f>
        <v>1.42603155689997</v>
      </c>
      <c r="M39" s="273">
        <f ca="1">IF(ISERROR(MATCH(M$1,INDIRECT("Table!A"&amp;$AG39):INDIRECT("Table!" &amp; $AJ$86 &amp; $AG39),0)),"",INDIRECT(CONCATENATE("Table!",ADDRESS($AC39,MATCH(M$1,INDIRECT("Table!A" &amp; $AG39):INDIRECT("Table!" &amp; $AJ$86 &amp; $AG39),0)))))</f>
        <v>2.7160816723162813</v>
      </c>
      <c r="N39" s="273">
        <f ca="1">IF(ISERROR(MATCH(N$1,INDIRECT("Table!A"&amp;$AG39):INDIRECT("Table!" &amp; $AJ$86 &amp; $AG39),0)),"",INDIRECT(CONCATENATE("Table!",ADDRESS($AC39,MATCH(N$1,INDIRECT("Table!A" &amp; $AG39):INDIRECT("Table!" &amp; $AJ$86 &amp; $AG39),0)))))</f>
        <v>1.6490340712660738</v>
      </c>
      <c r="O39" s="273">
        <f ca="1">IF(ISERROR(MATCH(O$1,INDIRECT("Table!A"&amp;$AG39):INDIRECT("Table!" &amp; $AJ$64 &amp; $AG39),0)),"",INDIRECT(CONCATENATE("Table!",ADDRESS($AC39,MATCH(O$1,INDIRECT("Table!A" &amp; $AG39):INDIRECT("Table!" &amp; $AJ$64 &amp; $AG39),0)))))</f>
        <v>0.9181373066671501</v>
      </c>
      <c r="P39" s="273">
        <f ca="1">IF(ISERROR(MATCH(P$1,INDIRECT("Table!A"&amp;$AG39):INDIRECT("Table!" &amp; $AJ$64 &amp; $AG39),0)),"",INDIRECT(CONCATENATE("Table!",ADDRESS($AC39,MATCH(P$1,INDIRECT("Table!A" &amp; $AG39):INDIRECT("Table!" &amp; $AJ$64 &amp; $AG39),0)))))</f>
        <v>0.40594116040064498</v>
      </c>
      <c r="Q39" s="273">
        <f ca="1">IF(ISERROR(MATCH(Q$1,INDIRECT("Table!A"&amp;$AG39):INDIRECT("Table!" &amp; $AJ$64 &amp; $AG39),0)),"",INDIRECT(CONCATENATE("Table!",ADDRESS($AC39,MATCH(Q$1,INDIRECT("Table!A" &amp; $AG39):INDIRECT("Table!" &amp; $AJ$64 &amp; $AG39),0)))))</f>
        <v>0.29937901890977742</v>
      </c>
      <c r="R39" s="273">
        <f ca="1">IF(ISERROR(MATCH(R$1,INDIRECT("Table!A"&amp;$AG39):INDIRECT("Table!" &amp; $AJ$64 &amp; $AG39),0)),"",INDIRECT(CONCATENATE("Table!",ADDRESS($AC39,MATCH(R$1,INDIRECT("Table!A" &amp; $AG39):INDIRECT("Table!" &amp; $AJ$64 &amp; $AG39),0)))))</f>
        <v>0.39313906251088765</v>
      </c>
      <c r="S39" s="273">
        <f ca="1">IF(ISERROR(MATCH(S$1,INDIRECT("Table!A"&amp;$AG39):INDIRECT("Table!" &amp; $AJ$43 &amp; $AG39),0)),"",INDIRECT(CONCATENATE("Table!",ADDRESS($AC39,MATCH(S$1,INDIRECT("Table!A" &amp; $AG39):INDIRECT("Table!" &amp; $AJ$43 &amp; $AG39),0)))))</f>
        <v>0.68105270983300392</v>
      </c>
      <c r="T39" s="273">
        <f ca="1">IF(ISERROR(MATCH(T$1,INDIRECT("Table!A"&amp;$AG39):INDIRECT("Table!" &amp; $AJ$43 &amp; $AG39),0)),"",INDIRECT(CONCATENATE("Table!",ADDRESS($AC39,MATCH(T$1,INDIRECT("Table!A" &amp; $AG39):INDIRECT("Table!" &amp; $AJ$43 &amp; $AG39),0)))))</f>
        <v>0.53290192049077523</v>
      </c>
      <c r="U39" s="596" t="str">
        <f ca="1">IF(ISERROR(MATCH(U$1,INDIRECT("Table!A"&amp;$AG39):INDIRECT("Table!" &amp; $AJ$43 &amp; $AG39),0)),"",INDIRECT(CONCATENATE("Table!",ADDRESS($AC39,MATCH(U$1,INDIRECT("Table!A" &amp; $AG39):INDIRECT("Table!" &amp; $AJ$43 &amp; $AG39),0)))))</f>
        <v/>
      </c>
      <c r="V39" s="596"/>
      <c r="W39" s="596"/>
      <c r="X39" s="596"/>
      <c r="Y39" s="596"/>
      <c r="Z39" s="596"/>
      <c r="AA39" s="596"/>
      <c r="AB39" s="596"/>
      <c r="AC39" s="272">
        <f>MATCH($A39,Table!$A:$A,0)+$AE$2-1</f>
        <v>518</v>
      </c>
      <c r="AD39" s="453"/>
      <c r="AE39" s="453"/>
      <c r="AF39" s="453"/>
      <c r="AG39" s="272">
        <f>MATCH($A39,Table!$A:$A,0)+$AI$2-1</f>
        <v>509</v>
      </c>
      <c r="AH39" s="453"/>
      <c r="AI39" s="453"/>
      <c r="AJ39" s="904" t="s">
        <v>285</v>
      </c>
    </row>
    <row r="40" spans="1:36" s="267" customFormat="1" ht="19.5" customHeight="1" x14ac:dyDescent="0.25">
      <c r="A40" s="268">
        <v>41485</v>
      </c>
      <c r="B40" s="596">
        <f ca="1">IF(ISERROR(MATCH(B$1,INDIRECT("Table!A"&amp;$AG40):INDIRECT("Table!" &amp; $AJ$86 &amp; $AG40),0)),"",INDIRECT(CONCATENATE("Table!",ADDRESS($AC40,MATCH(B$1,INDIRECT("Table!A" &amp; $AG40):INDIRECT("Table!" &amp; $AJ$86 &amp; $AG40),0)))))</f>
        <v>1.2859642590642499</v>
      </c>
      <c r="C40" s="273">
        <f ca="1">IF(ISERROR(MATCH(C$1,INDIRECT("Table!A"&amp;$AG40):INDIRECT("Table!" &amp; $AJ$86 &amp; $AG40),0)),"",INDIRECT(CONCATENATE("Table!",ADDRESS($AC40,MATCH(C$1,INDIRECT("Table!A" &amp; $AG40):INDIRECT("Table!" &amp; $AJ$86 &amp; $AG40),0)))))</f>
        <v>0.62475933235315417</v>
      </c>
      <c r="D40" s="273">
        <f ca="1">IF(ISERROR(MATCH(D$1,INDIRECT("Table!A"&amp;$AG40):INDIRECT("Table!" &amp; $AJ$86 &amp; $AG40),0)),"",INDIRECT(CONCATENATE("Table!",ADDRESS($AC40,MATCH(D$1,INDIRECT("Table!A" &amp; $AG40):INDIRECT("Table!" &amp; $AJ$86 &amp; $AG40),0)))))</f>
        <v>0.63170359169447643</v>
      </c>
      <c r="E40" s="273">
        <f ca="1">IF(ISERROR(MATCH(E$1,INDIRECT("Table!A"&amp;$AG40):INDIRECT("Table!" &amp; $AJ$86 &amp; $AG40),0)),"",INDIRECT(CONCATENATE("Table!",ADDRESS($AC40,MATCH(E$1,INDIRECT("Table!A" &amp; $AG40):INDIRECT("Table!" &amp; $AJ$86 &amp; $AG40),0)))))</f>
        <v>1.5293168691222139</v>
      </c>
      <c r="F40" s="273">
        <f ca="1">IF(ISERROR(MATCH(F$1,INDIRECT("Table!A"&amp;$AG40):INDIRECT("Table!" &amp; $AJ$86 &amp; $AG40),0)),"",INDIRECT(CONCATENATE("Table!",ADDRESS($AC40,MATCH(F$1,INDIRECT("Table!A" &amp; $AG40):INDIRECT("Table!" &amp; $AJ$86 &amp; $AG40),0)))))</f>
        <v>1.5874879044565391</v>
      </c>
      <c r="G40" s="273">
        <f ca="1">IF(ISERROR(MATCH(G$1,INDIRECT("Table!A"&amp;$AG40):INDIRECT("Table!" &amp; $AJ$86 &amp; $AG40),0)),"",INDIRECT(CONCATENATE("Table!",ADDRESS($AC40,MATCH(G$1,INDIRECT("Table!A" &amp; $AG40):INDIRECT("Table!" &amp; $AJ$86 &amp; $AG40),0)))))</f>
        <v>3.4703786869129494</v>
      </c>
      <c r="H40" s="273">
        <f ca="1">IF(ISERROR(MATCH(H$1,INDIRECT("Table!A"&amp;$AG40):INDIRECT("Table!" &amp; $AJ$86 &amp; $AG40),0)),"",INDIRECT(CONCATENATE("Table!",ADDRESS($AC40,MATCH(H$1,INDIRECT("Table!A" &amp; $AG40):INDIRECT("Table!" &amp; $AJ$86 &amp; $AG40),0)))))</f>
        <v>0.82828893726684305</v>
      </c>
      <c r="I40" s="273">
        <f ca="1">IF(ISERROR(MATCH(I$1,INDIRECT("Table!A"&amp;$AG40):INDIRECT("Table!" &amp; $AJ$64 &amp; $AG40),0)),"",INDIRECT(CONCATENATE("Table!",ADDRESS($AC40,MATCH(I$1,INDIRECT("Table!A" &amp; $AG40):INDIRECT("Table!" &amp; $AJ$64 &amp; $AG40),0)))))</f>
        <v>0.11167437376664743</v>
      </c>
      <c r="J40" s="273">
        <f ca="1">IF(ISERROR(MATCH(J$1,INDIRECT("Table!A"&amp;$AG40):INDIRECT("Table!" &amp; $AJ$64 &amp; $AG40),0)),"",INDIRECT(CONCATENATE("Table!",ADDRESS($AC40,MATCH(J$1,INDIRECT("Table!A" &amp; $AG40):INDIRECT("Table!" &amp; $AJ$64 &amp; $AG40),0)))))</f>
        <v>0.45169270957325702</v>
      </c>
      <c r="K40" s="273">
        <f ca="1">IF(ISERROR(MATCH(K$1,INDIRECT("Table!A"&amp;$AG40):INDIRECT("Table!" &amp; $AJ$64 &amp; $AG40),0)),"",INDIRECT(CONCATENATE("Table!",ADDRESS($AC40,MATCH(K$1,INDIRECT("Table!A" &amp; $AG40):INDIRECT("Table!" &amp; $AJ$64 &amp; $AG40),0)))))</f>
        <v>4.6988732571022429E-2</v>
      </c>
      <c r="L40" s="273">
        <f ca="1">IF(ISERROR(MATCH(L$1,INDIRECT("Table!A"&amp;$AG40):INDIRECT("Table!" &amp; $AJ$86 &amp; $AG40),0)),"",INDIRECT(CONCATENATE("Table!",ADDRESS($AC40,MATCH(L$1,INDIRECT("Table!A" &amp; $AG40):INDIRECT("Table!" &amp; $AJ$86 &amp; $AG40),0)))))</f>
        <v>1.4269049226256558</v>
      </c>
      <c r="M40" s="273">
        <f ca="1">IF(ISERROR(MATCH(M$1,INDIRECT("Table!A"&amp;$AG40):INDIRECT("Table!" &amp; $AJ$86 &amp; $AG40),0)),"",INDIRECT(CONCATENATE("Table!",ADDRESS($AC40,MATCH(M$1,INDIRECT("Table!A" &amp; $AG40):INDIRECT("Table!" &amp; $AJ$86 &amp; $AG40),0)))))</f>
        <v>2.8441794738479214</v>
      </c>
      <c r="N40" s="273">
        <f ca="1">IF(ISERROR(MATCH(N$1,INDIRECT("Table!A"&amp;$AG40):INDIRECT("Table!" &amp; $AJ$86 &amp; $AG40),0)),"",INDIRECT(CONCATENATE("Table!",ADDRESS($AC40,MATCH(N$1,INDIRECT("Table!A" &amp; $AG40):INDIRECT("Table!" &amp; $AJ$86 &amp; $AG40),0)))))</f>
        <v>1.6474037854813324</v>
      </c>
      <c r="O40" s="273">
        <f ca="1">IF(ISERROR(MATCH(O$1,INDIRECT("Table!A"&amp;$AG40):INDIRECT("Table!" &amp; $AJ$64 &amp; $AG40),0)),"",INDIRECT(CONCATENATE("Table!",ADDRESS($AC40,MATCH(O$1,INDIRECT("Table!A" &amp; $AG40):INDIRECT("Table!" &amp; $AJ$64 &amp; $AG40),0)))))</f>
        <v>0.9181373066671501</v>
      </c>
      <c r="P40" s="273">
        <f ca="1">IF(ISERROR(MATCH(P$1,INDIRECT("Table!A"&amp;$AG40):INDIRECT("Table!" &amp; $AJ$64 &amp; $AG40),0)),"",INDIRECT(CONCATENATE("Table!",ADDRESS($AC40,MATCH(P$1,INDIRECT("Table!A" &amp; $AG40):INDIRECT("Table!" &amp; $AJ$64 &amp; $AG40),0)))))</f>
        <v>0.40594116040064498</v>
      </c>
      <c r="Q40" s="273">
        <f ca="1">IF(ISERROR(MATCH(Q$1,INDIRECT("Table!A"&amp;$AG40):INDIRECT("Table!" &amp; $AJ$64 &amp; $AG40),0)),"",INDIRECT(CONCATENATE("Table!",ADDRESS($AC40,MATCH(Q$1,INDIRECT("Table!A" &amp; $AG40):INDIRECT("Table!" &amp; $AJ$64 &amp; $AG40),0)))))</f>
        <v>0.23390100941043995</v>
      </c>
      <c r="R40" s="273">
        <f ca="1">IF(ISERROR(MATCH(R$1,INDIRECT("Table!A"&amp;$AG40):INDIRECT("Table!" &amp; $AJ$64 &amp; $AG40),0)),"",INDIRECT(CONCATENATE("Table!",ADDRESS($AC40,MATCH(R$1,INDIRECT("Table!A" &amp; $AG40):INDIRECT("Table!" &amp; $AJ$64 &amp; $AG40),0)))))</f>
        <v>0.37825929719673052</v>
      </c>
      <c r="S40" s="273">
        <f ca="1">IF(ISERROR(MATCH(S$1,INDIRECT("Table!A"&amp;$AG40):INDIRECT("Table!" &amp; $AJ$43 &amp; $AG40),0)),"",INDIRECT(CONCATENATE("Table!",ADDRESS($AC40,MATCH(S$1,INDIRECT("Table!A" &amp; $AG40):INDIRECT("Table!" &amp; $AJ$43 &amp; $AG40),0)))))</f>
        <v>0.68105270983300392</v>
      </c>
      <c r="T40" s="273">
        <f ca="1">IF(ISERROR(MATCH(T$1,INDIRECT("Table!A"&amp;$AG40):INDIRECT("Table!" &amp; $AJ$43 &amp; $AG40),0)),"",INDIRECT(CONCATENATE("Table!",ADDRESS($AC40,MATCH(T$1,INDIRECT("Table!A" &amp; $AG40):INDIRECT("Table!" &amp; $AJ$43 &amp; $AG40),0)))))</f>
        <v>0.53290192049077523</v>
      </c>
      <c r="U40" s="596" t="str">
        <f ca="1">IF(ISERROR(MATCH(U$1,INDIRECT("Table!A"&amp;$AG40):INDIRECT("Table!" &amp; $AJ$43 &amp; $AG40),0)),"",INDIRECT(CONCATENATE("Table!",ADDRESS($AC40,MATCH(U$1,INDIRECT("Table!A" &amp; $AG40):INDIRECT("Table!" &amp; $AJ$43 &amp; $AG40),0)))))</f>
        <v/>
      </c>
      <c r="V40" s="596"/>
      <c r="W40" s="596"/>
      <c r="X40" s="596"/>
      <c r="Y40" s="596"/>
      <c r="Z40" s="596"/>
      <c r="AA40" s="596"/>
      <c r="AB40" s="596"/>
      <c r="AC40" s="272">
        <f>MATCH($A40,Table!$A:$A,0)+$AE$2-1</f>
        <v>530</v>
      </c>
      <c r="AD40" s="448"/>
      <c r="AE40" s="448"/>
      <c r="AF40" s="448"/>
      <c r="AG40" s="272">
        <f>MATCH($A40,Table!$A:$A,0)+$AI$2-1</f>
        <v>521</v>
      </c>
      <c r="AH40" s="448"/>
      <c r="AI40" s="448"/>
      <c r="AJ40" s="904" t="s">
        <v>285</v>
      </c>
    </row>
    <row r="41" spans="1:36" s="267" customFormat="1" ht="19.5" customHeight="1" x14ac:dyDescent="0.25">
      <c r="A41" s="268">
        <v>41478</v>
      </c>
      <c r="B41" s="596">
        <f ca="1">IF(ISERROR(MATCH(B$1,INDIRECT("Table!A"&amp;$AG41):INDIRECT("Table!" &amp; $AJ$86 &amp; $AG41),0)),"",INDIRECT(CONCATENATE("Table!",ADDRESS($AC41,MATCH(B$1,INDIRECT("Table!A" &amp; $AG41):INDIRECT("Table!" &amp; $AJ$86 &amp; $AG41),0)))))</f>
        <v>1.2859642590642499</v>
      </c>
      <c r="C41" s="273">
        <f ca="1">IF(ISERROR(MATCH(C$1,INDIRECT("Table!A"&amp;$AG41):INDIRECT("Table!" &amp; $AJ$86 &amp; $AG41),0)),"",INDIRECT(CONCATENATE("Table!",ADDRESS($AC41,MATCH(C$1,INDIRECT("Table!A" &amp; $AG41):INDIRECT("Table!" &amp; $AJ$86 &amp; $AG41),0)))))</f>
        <v>0.6231912737922104</v>
      </c>
      <c r="D41" s="273">
        <f ca="1">IF(ISERROR(MATCH(D$1,INDIRECT("Table!A"&amp;$AG41):INDIRECT("Table!" &amp; $AJ$86 &amp; $AG41),0)),"",INDIRECT(CONCATENATE("Table!",ADDRESS($AC41,MATCH(D$1,INDIRECT("Table!A" &amp; $AG41):INDIRECT("Table!" &amp; $AJ$86 &amp; $AG41),0)))))</f>
        <v>0.63013553313353265</v>
      </c>
      <c r="E41" s="273">
        <f ca="1">IF(ISERROR(MATCH(E$1,INDIRECT("Table!A"&amp;$AG41):INDIRECT("Table!" &amp; $AJ$86 &amp; $AG41),0)),"",INDIRECT(CONCATENATE("Table!",ADDRESS($AC41,MATCH(E$1,INDIRECT("Table!A" &amp; $AG41):INDIRECT("Table!" &amp; $AJ$86 &amp; $AG41),0)))))</f>
        <v>1.5293168691222139</v>
      </c>
      <c r="F41" s="273">
        <f ca="1">IF(ISERROR(MATCH(F$1,INDIRECT("Table!A"&amp;$AG41):INDIRECT("Table!" &amp; $AJ$86 &amp; $AG41),0)),"",INDIRECT(CONCATENATE("Table!",ADDRESS($AC41,MATCH(F$1,INDIRECT("Table!A" &amp; $AG41):INDIRECT("Table!" &amp; $AJ$86 &amp; $AG41),0)))))</f>
        <v>1.5874879044565391</v>
      </c>
      <c r="G41" s="273">
        <f ca="1">IF(ISERROR(MATCH(G$1,INDIRECT("Table!A"&amp;$AG41):INDIRECT("Table!" &amp; $AJ$86 &amp; $AG41),0)),"",INDIRECT(CONCATENATE("Table!",ADDRESS($AC41,MATCH(G$1,INDIRECT("Table!A" &amp; $AG41):INDIRECT("Table!" &amp; $AJ$86 &amp; $AG41),0)))))</f>
        <v>3.4703786869129494</v>
      </c>
      <c r="H41" s="273">
        <f ca="1">IF(ISERROR(MATCH(H$1,INDIRECT("Table!A"&amp;$AG41):INDIRECT("Table!" &amp; $AJ$86 &amp; $AG41),0)),"",INDIRECT(CONCATENATE("Table!",ADDRESS($AC41,MATCH(H$1,INDIRECT("Table!A" &amp; $AG41):INDIRECT("Table!" &amp; $AJ$86 &amp; $AG41),0)))))</f>
        <v>0.82828893726684305</v>
      </c>
      <c r="I41" s="273">
        <f ca="1">IF(ISERROR(MATCH(I$1,INDIRECT("Table!A"&amp;$AG41):INDIRECT("Table!" &amp; $AJ$64 &amp; $AG41),0)),"",INDIRECT(CONCATENATE("Table!",ADDRESS($AC41,MATCH(I$1,INDIRECT("Table!A" &amp; $AG41):INDIRECT("Table!" &amp; $AJ$64 &amp; $AG41),0)))))</f>
        <v>0.11167437376664743</v>
      </c>
      <c r="J41" s="273">
        <f ca="1">IF(ISERROR(MATCH(J$1,INDIRECT("Table!A"&amp;$AG41):INDIRECT("Table!" &amp; $AJ$64 &amp; $AG41),0)),"",INDIRECT(CONCATENATE("Table!",ADDRESS($AC41,MATCH(J$1,INDIRECT("Table!A" &amp; $AG41):INDIRECT("Table!" &amp; $AJ$64 &amp; $AG41),0)))))</f>
        <v>0.35938394097710669</v>
      </c>
      <c r="K41" s="273">
        <f ca="1">IF(ISERROR(MATCH(K$1,INDIRECT("Table!A"&amp;$AG41):INDIRECT("Table!" &amp; $AJ$64 &amp; $AG41),0)),"",INDIRECT(CONCATENATE("Table!",ADDRESS($AC41,MATCH(K$1,INDIRECT("Table!A" &amp; $AG41):INDIRECT("Table!" &amp; $AJ$64 &amp; $AG41),0)))))</f>
        <v>4.6988732571022429E-2</v>
      </c>
      <c r="L41" s="273">
        <f ca="1">IF(ISERROR(MATCH(L$1,INDIRECT("Table!A"&amp;$AG41):INDIRECT("Table!" &amp; $AJ$86 &amp; $AG41),0)),"",INDIRECT(CONCATENATE("Table!",ADDRESS($AC41,MATCH(L$1,INDIRECT("Table!A" &amp; $AG41):INDIRECT("Table!" &amp; $AJ$86 &amp; $AG41),0)))))</f>
        <v>1.42603155689997</v>
      </c>
      <c r="M41" s="273">
        <f ca="1">IF(ISERROR(MATCH(M$1,INDIRECT("Table!A"&amp;$AG41):INDIRECT("Table!" &amp; $AJ$86 &amp; $AG41),0)),"",INDIRECT(CONCATENATE("Table!",ADDRESS($AC41,MATCH(M$1,INDIRECT("Table!A" &amp; $AG41):INDIRECT("Table!" &amp; $AJ$86 &amp; $AG41),0)))))</f>
        <v>2.8441794738479214</v>
      </c>
      <c r="N41" s="273">
        <f ca="1">IF(ISERROR(MATCH(N$1,INDIRECT("Table!A"&amp;$AG41):INDIRECT("Table!" &amp; $AJ$86 &amp; $AG41),0)),"",INDIRECT(CONCATENATE("Table!",ADDRESS($AC41,MATCH(N$1,INDIRECT("Table!A" &amp; $AG41):INDIRECT("Table!" &amp; $AJ$86 &amp; $AG41),0)))))</f>
        <v>1.6474037854813324</v>
      </c>
      <c r="O41" s="273">
        <f ca="1">IF(ISERROR(MATCH(O$1,INDIRECT("Table!A"&amp;$AG41):INDIRECT("Table!" &amp; $AJ$64 &amp; $AG41),0)),"",INDIRECT(CONCATENATE("Table!",ADDRESS($AC41,MATCH(O$1,INDIRECT("Table!A" &amp; $AG41):INDIRECT("Table!" &amp; $AJ$64 &amp; $AG41),0)))))</f>
        <v>0.9181373066671501</v>
      </c>
      <c r="P41" s="273">
        <f ca="1">IF(ISERROR(MATCH(P$1,INDIRECT("Table!A"&amp;$AG41):INDIRECT("Table!" &amp; $AJ$64 &amp; $AG41),0)),"",INDIRECT(CONCATENATE("Table!",ADDRESS($AC41,MATCH(P$1,INDIRECT("Table!A" &amp; $AG41):INDIRECT("Table!" &amp; $AJ$64 &amp; $AG41),0)))))</f>
        <v>0.40594116040064498</v>
      </c>
      <c r="Q41" s="273">
        <f ca="1">IF(ISERROR(MATCH(Q$1,INDIRECT("Table!A"&amp;$AG41):INDIRECT("Table!" &amp; $AJ$64 &amp; $AG41),0)),"",INDIRECT(CONCATENATE("Table!",ADDRESS($AC41,MATCH(Q$1,INDIRECT("Table!A" &amp; $AG41):INDIRECT("Table!" &amp; $AJ$64 &amp; $AG41),0)))))</f>
        <v>0.1983965846410444</v>
      </c>
      <c r="R41" s="273">
        <f ca="1">IF(ISERROR(MATCH(R$1,INDIRECT("Table!A"&amp;$AG41):INDIRECT("Table!" &amp; $AJ$64 &amp; $AG41),0)),"",INDIRECT(CONCATENATE("Table!",ADDRESS($AC41,MATCH(R$1,INDIRECT("Table!A" &amp; $AG41):INDIRECT("Table!" &amp; $AJ$64 &amp; $AG41),0)))))</f>
        <v>0.37825929719673052</v>
      </c>
      <c r="S41" s="273">
        <f ca="1">IF(ISERROR(MATCH(S$1,INDIRECT("Table!A"&amp;$AG41):INDIRECT("Table!" &amp; $AJ$43 &amp; $AG41),0)),"",INDIRECT(CONCATENATE("Table!",ADDRESS($AC41,MATCH(S$1,INDIRECT("Table!A" &amp; $AG41):INDIRECT("Table!" &amp; $AJ$43 &amp; $AG41),0)))))</f>
        <v>0.68044135192471578</v>
      </c>
      <c r="T41" s="273">
        <f ca="1">IF(ISERROR(MATCH(T$1,INDIRECT("Table!A"&amp;$AG41):INDIRECT("Table!" &amp; $AJ$43 &amp; $AG41),0)),"",INDIRECT(CONCATENATE("Table!",ADDRESS($AC41,MATCH(T$1,INDIRECT("Table!A" &amp; $AG41):INDIRECT("Table!" &amp; $AJ$43 &amp; $AG41),0)))))</f>
        <v>0.53290192049077523</v>
      </c>
      <c r="U41" s="596" t="str">
        <f ca="1">IF(ISERROR(MATCH(U$1,INDIRECT("Table!A"&amp;$AG41):INDIRECT("Table!" &amp; $AJ$43 &amp; $AG41),0)),"",INDIRECT(CONCATENATE("Table!",ADDRESS($AC41,MATCH(U$1,INDIRECT("Table!A" &amp; $AG41):INDIRECT("Table!" &amp; $AJ$43 &amp; $AG41),0)))))</f>
        <v/>
      </c>
      <c r="V41" s="596"/>
      <c r="W41" s="596"/>
      <c r="X41" s="596"/>
      <c r="Y41" s="596"/>
      <c r="Z41" s="596"/>
      <c r="AA41" s="596"/>
      <c r="AB41" s="596"/>
      <c r="AC41" s="272">
        <f>MATCH($A41,Table!$A:$A,0)+$AE$2-1</f>
        <v>542</v>
      </c>
      <c r="AD41" s="443"/>
      <c r="AE41" s="443"/>
      <c r="AF41" s="443"/>
      <c r="AG41" s="272">
        <f>MATCH($A41,Table!$A:$A,0)+$AI$2-1</f>
        <v>533</v>
      </c>
      <c r="AH41" s="443"/>
      <c r="AI41" s="443"/>
      <c r="AJ41" s="904" t="s">
        <v>285</v>
      </c>
    </row>
    <row r="42" spans="1:36" s="267" customFormat="1" ht="19.5" customHeight="1" x14ac:dyDescent="0.25">
      <c r="A42" s="268">
        <v>41470</v>
      </c>
      <c r="B42" s="596">
        <f ca="1">IF(ISERROR(MATCH(B$1,INDIRECT("Table!A"&amp;$AG42):INDIRECT("Table!" &amp; $AJ$86 &amp; $AG42),0)),"",INDIRECT(CONCATENATE("Table!",ADDRESS($AC42,MATCH(B$1,INDIRECT("Table!A" &amp; $AG42):INDIRECT("Table!" &amp; $AJ$86 &amp; $AG42),0)))))</f>
        <v>1.2859642590642499</v>
      </c>
      <c r="C42" s="273">
        <f ca="1">IF(ISERROR(MATCH(C$1,INDIRECT("Table!A"&amp;$AG42):INDIRECT("Table!" &amp; $AJ$86 &amp; $AG42),0)),"",INDIRECT(CONCATENATE("Table!",ADDRESS($AC42,MATCH(C$1,INDIRECT("Table!A" &amp; $AG42):INDIRECT("Table!" &amp; $AJ$86 &amp; $AG42),0)))))</f>
        <v>0.6231912737922104</v>
      </c>
      <c r="D42" s="273">
        <f ca="1">IF(ISERROR(MATCH(D$1,INDIRECT("Table!A"&amp;$AG42):INDIRECT("Table!" &amp; $AJ$86 &amp; $AG42),0)),"",INDIRECT(CONCATENATE("Table!",ADDRESS($AC42,MATCH(D$1,INDIRECT("Table!A" &amp; $AG42):INDIRECT("Table!" &amp; $AJ$86 &amp; $AG42),0)))))</f>
        <v>0.63013553313353265</v>
      </c>
      <c r="E42" s="273">
        <f ca="1">IF(ISERROR(MATCH(E$1,INDIRECT("Table!A"&amp;$AG42):INDIRECT("Table!" &amp; $AJ$86 &amp; $AG42),0)),"",INDIRECT(CONCATENATE("Table!",ADDRESS($AC42,MATCH(E$1,INDIRECT("Table!A" &amp; $AG42):INDIRECT("Table!" &amp; $AJ$86 &amp; $AG42),0)))))</f>
        <v>1.5306136853649586</v>
      </c>
      <c r="F42" s="273">
        <f ca="1">IF(ISERROR(MATCH(F$1,INDIRECT("Table!A"&amp;$AG42):INDIRECT("Table!" &amp; $AJ$86 &amp; $AG42),0)),"",INDIRECT(CONCATENATE("Table!",ADDRESS($AC42,MATCH(F$1,INDIRECT("Table!A" &amp; $AG42):INDIRECT("Table!" &amp; $AJ$86 &amp; $AG42),0)))))</f>
        <v>1.5813743438488759</v>
      </c>
      <c r="G42" s="273">
        <f ca="1">IF(ISERROR(MATCH(G$1,INDIRECT("Table!A"&amp;$AG42):INDIRECT("Table!" &amp; $AJ$86 &amp; $AG42),0)),"",INDIRECT(CONCATENATE("Table!",ADDRESS($AC42,MATCH(G$1,INDIRECT("Table!A" &amp; $AG42):INDIRECT("Table!" &amp; $AJ$86 &amp; $AG42),0)))))</f>
        <v>3.4703786869129494</v>
      </c>
      <c r="H42" s="273">
        <f ca="1">IF(ISERROR(MATCH(H$1,INDIRECT("Table!A"&amp;$AG42):INDIRECT("Table!" &amp; $AJ$86 &amp; $AG42),0)),"",INDIRECT(CONCATENATE("Table!",ADDRESS($AC42,MATCH(H$1,INDIRECT("Table!A" &amp; $AG42):INDIRECT("Table!" &amp; $AJ$86 &amp; $AG42),0)))))</f>
        <v>0.82828893726684305</v>
      </c>
      <c r="I42" s="273">
        <f ca="1">IF(ISERROR(MATCH(I$1,INDIRECT("Table!A"&amp;$AG42):INDIRECT("Table!" &amp; $AJ$64 &amp; $AG42),0)),"",INDIRECT(CONCATENATE("Table!",ADDRESS($AC42,MATCH(I$1,INDIRECT("Table!A" &amp; $AG42):INDIRECT("Table!" &amp; $AJ$64 &amp; $AG42),0)))))</f>
        <v>0.10556081315898425</v>
      </c>
      <c r="J42" s="273">
        <f ca="1">IF(ISERROR(MATCH(J$1,INDIRECT("Table!A"&amp;$AG42):INDIRECT("Table!" &amp; $AJ$64 &amp; $AG42),0)),"",INDIRECT(CONCATENATE("Table!",ADDRESS($AC42,MATCH(J$1,INDIRECT("Table!A" &amp; $AG42):INDIRECT("Table!" &amp; $AJ$64 &amp; $AG42),0)))))</f>
        <v>0.21818436213635517</v>
      </c>
      <c r="K42" s="273">
        <f ca="1">IF(ISERROR(MATCH(K$1,INDIRECT("Table!A"&amp;$AG42):INDIRECT("Table!" &amp; $AJ$64 &amp; $AG42),0)),"",INDIRECT(CONCATENATE("Table!",ADDRESS($AC42,MATCH(K$1,INDIRECT("Table!A" &amp; $AG42):INDIRECT("Table!" &amp; $AJ$64 &amp; $AG42),0)))))</f>
        <v>3.273548369114563E-2</v>
      </c>
      <c r="L42" s="273">
        <f ca="1">IF(ISERROR(MATCH(L$1,INDIRECT("Table!A"&amp;$AG42):INDIRECT("Table!" &amp; $AJ$86 &amp; $AG42),0)),"",INDIRECT(CONCATENATE("Table!",ADDRESS($AC42,MATCH(L$1,INDIRECT("Table!A" &amp; $AG42):INDIRECT("Table!" &amp; $AJ$86 &amp; $AG42),0)))))</f>
        <v>1.4270795957707931</v>
      </c>
      <c r="M42" s="273">
        <f ca="1">IF(ISERROR(MATCH(M$1,INDIRECT("Table!A"&amp;$AG42):INDIRECT("Table!" &amp; $AJ$86 &amp; $AG42),0)),"",INDIRECT(CONCATENATE("Table!",ADDRESS($AC42,MATCH(M$1,INDIRECT("Table!A" &amp; $AG42):INDIRECT("Table!" &amp; $AJ$86 &amp; $AG42),0)))))</f>
        <v>2.8441794738479214</v>
      </c>
      <c r="N42" s="273">
        <f ca="1">IF(ISERROR(MATCH(N$1,INDIRECT("Table!A"&amp;$AG42):INDIRECT("Table!" &amp; $AJ$86 &amp; $AG42),0)),"",INDIRECT(CONCATENATE("Table!",ADDRESS($AC42,MATCH(N$1,INDIRECT("Table!A" &amp; $AG42):INDIRECT("Table!" &amp; $AJ$86 &amp; $AG42),0)))))</f>
        <v>1.6412902137885514</v>
      </c>
      <c r="O42" s="273">
        <f ca="1">IF(ISERROR(MATCH(O$1,INDIRECT("Table!A"&amp;$AG42):INDIRECT("Table!" &amp; $AJ$64 &amp; $AG42),0)),"",INDIRECT(CONCATENATE("Table!",ADDRESS($AC42,MATCH(O$1,INDIRECT("Table!A" &amp; $AG42):INDIRECT("Table!" &amp; $AJ$64 &amp; $AG42),0)))))</f>
        <v>0.9181373066671501</v>
      </c>
      <c r="P42" s="273">
        <f ca="1">IF(ISERROR(MATCH(P$1,INDIRECT("Table!A"&amp;$AG42):INDIRECT("Table!" &amp; $AJ$64 &amp; $AG42),0)),"",INDIRECT(CONCATENATE("Table!",ADDRESS($AC42,MATCH(P$1,INDIRECT("Table!A" &amp; $AG42):INDIRECT("Table!" &amp; $AJ$64 &amp; $AG42),0)))))</f>
        <v>0.39126858833797107</v>
      </c>
      <c r="Q42" s="273">
        <f ca="1">IF(ISERROR(MATCH(Q$1,INDIRECT("Table!A"&amp;$AG42):INDIRECT("Table!" &amp; $AJ$64 &amp; $AG42),0)),"",INDIRECT(CONCATENATE("Table!",ADDRESS($AC42,MATCH(Q$1,INDIRECT("Table!A" &amp; $AG42):INDIRECT("Table!" &amp; $AJ$64 &amp; $AG42),0)))))</f>
        <v>0.12257055184208408</v>
      </c>
      <c r="R42" s="273">
        <f ca="1">IF(ISERROR(MATCH(R$1,INDIRECT("Table!A"&amp;$AG42):INDIRECT("Table!" &amp; $AJ$64 &amp; $AG42),0)),"",INDIRECT(CONCATENATE("Table!",ADDRESS($AC42,MATCH(R$1,INDIRECT("Table!A" &amp; $AG42):INDIRECT("Table!" &amp; $AJ$64 &amp; $AG42),0)))))</f>
        <v>0.22852186940373906</v>
      </c>
      <c r="S42" s="273">
        <f ca="1">IF(ISERROR(MATCH(S$1,INDIRECT("Table!A"&amp;$AG42):INDIRECT("Table!" &amp; $AJ$43 &amp; $AG42),0)),"",INDIRECT(CONCATENATE("Table!",ADDRESS($AC42,MATCH(S$1,INDIRECT("Table!A" &amp; $AG42):INDIRECT("Table!" &amp; $AJ$43 &amp; $AG42),0)))))</f>
        <v>0.68044135192471578</v>
      </c>
      <c r="T42" s="273">
        <f ca="1">IF(ISERROR(MATCH(T$1,INDIRECT("Table!A"&amp;$AG42):INDIRECT("Table!" &amp; $AJ$43 &amp; $AG42),0)),"",INDIRECT(CONCATENATE("Table!",ADDRESS($AC42,MATCH(T$1,INDIRECT("Table!A" &amp; $AG42):INDIRECT("Table!" &amp; $AJ$43 &amp; $AG42),0)))))</f>
        <v>0.50742859733156043</v>
      </c>
      <c r="U42" s="596" t="str">
        <f ca="1">IF(ISERROR(MATCH(U$1,INDIRECT("Table!A"&amp;$AG42):INDIRECT("Table!" &amp; $AJ$43 &amp; $AG42),0)),"",INDIRECT(CONCATENATE("Table!",ADDRESS($AC42,MATCH(U$1,INDIRECT("Table!A" &amp; $AG42):INDIRECT("Table!" &amp; $AJ$43 &amp; $AG42),0)))))</f>
        <v/>
      </c>
      <c r="V42" s="596"/>
      <c r="W42" s="596"/>
      <c r="X42" s="596"/>
      <c r="Y42" s="596"/>
      <c r="Z42" s="596"/>
      <c r="AA42" s="596"/>
      <c r="AB42" s="596"/>
      <c r="AC42" s="272">
        <f>MATCH($A42,Table!$A:$A,0)+$AE$2-1</f>
        <v>554</v>
      </c>
      <c r="AD42" s="443"/>
      <c r="AE42" s="443"/>
      <c r="AF42" s="443"/>
      <c r="AG42" s="272">
        <f>MATCH($A42,Table!$A:$A,0)+$AI$2-1</f>
        <v>545</v>
      </c>
      <c r="AH42" s="443"/>
      <c r="AI42" s="443"/>
      <c r="AJ42" s="904" t="s">
        <v>285</v>
      </c>
    </row>
    <row r="43" spans="1:36" s="267" customFormat="1" ht="19.5" customHeight="1" x14ac:dyDescent="0.25">
      <c r="A43" s="268">
        <v>41464</v>
      </c>
      <c r="B43" s="596">
        <f ca="1">IF(ISERROR(MATCH(B$1,INDIRECT("Table!A"&amp;$AG43):INDIRECT("Table!" &amp; $AJ$86 &amp; $AG43),0)),"",INDIRECT(CONCATENATE("Table!",ADDRESS($AC43,MATCH(B$1,INDIRECT("Table!A" &amp; $AG43):INDIRECT("Table!" &amp; $AJ$86 &amp; $AG43),0)))))</f>
        <v>1.2782047380276582</v>
      </c>
      <c r="C43" s="273">
        <f ca="1">IF(ISERROR(MATCH(C$1,INDIRECT("Table!A"&amp;$AG43):INDIRECT("Table!" &amp; $AJ$86 &amp; $AG43),0)),"",INDIRECT(CONCATENATE("Table!",ADDRESS($AC43,MATCH(C$1,INDIRECT("Table!A" &amp; $AG43):INDIRECT("Table!" &amp; $AJ$86 &amp; $AG43),0)))))</f>
        <v>0.61691903954843541</v>
      </c>
      <c r="D43" s="273">
        <f ca="1">IF(ISERROR(MATCH(D$1,INDIRECT("Table!A"&amp;$AG43):INDIRECT("Table!" &amp; $AJ$86 &amp; $AG43),0)),"",INDIRECT(CONCATENATE("Table!",ADDRESS($AC43,MATCH(D$1,INDIRECT("Table!A" &amp; $AG43):INDIRECT("Table!" &amp; $AJ$86 &amp; $AG43),0)))))</f>
        <v>0.62386329888975767</v>
      </c>
      <c r="E43" s="273">
        <f ca="1">IF(ISERROR(MATCH(E$1,INDIRECT("Table!A"&amp;$AG43):INDIRECT("Table!" &amp; $AJ$86 &amp; $AG43),0)),"",INDIRECT(CONCATENATE("Table!",ADDRESS($AC43,MATCH(E$1,INDIRECT("Table!A" &amp; $AG43):INDIRECT("Table!" &amp; $AJ$86 &amp; $AG43),0)))))</f>
        <v>1.5217295923357315</v>
      </c>
      <c r="F43" s="273">
        <f ca="1">IF(ISERROR(MATCH(F$1,INDIRECT("Table!A"&amp;$AG43):INDIRECT("Table!" &amp; $AJ$86 &amp; $AG43),0)),"",INDIRECT(CONCATENATE("Table!",ADDRESS($AC43,MATCH(F$1,INDIRECT("Table!A" &amp; $AG43):INDIRECT("Table!" &amp; $AJ$86 &amp; $AG43),0)))))</f>
        <v>1.5805687553829648</v>
      </c>
      <c r="G43" s="273">
        <f ca="1">IF(ISERROR(MATCH(G$1,INDIRECT("Table!A"&amp;$AG43):INDIRECT("Table!" &amp; $AJ$86 &amp; $AG43),0)),"",INDIRECT(CONCATENATE("Table!",ADDRESS($AC43,MATCH(G$1,INDIRECT("Table!A" &amp; $AG43):INDIRECT("Table!" &amp; $AJ$86 &amp; $AG43),0)))))</f>
        <v>3.5022755498441343</v>
      </c>
      <c r="H43" s="273">
        <f ca="1">IF(ISERROR(MATCH(H$1,INDIRECT("Table!A"&amp;$AG43):INDIRECT("Table!" &amp; $AJ$86 &amp; $AG43),0)),"",INDIRECT(CONCATENATE("Table!",ADDRESS($AC43,MATCH(H$1,INDIRECT("Table!A" &amp; $AG43):INDIRECT("Table!" &amp; $AJ$86 &amp; $AG43),0)))))</f>
        <v>0.8261196090978109</v>
      </c>
      <c r="I43" s="273">
        <f ca="1">IF(ISERROR(MATCH(I$1,INDIRECT("Table!A"&amp;$AG43):INDIRECT("Table!" &amp; $AJ$64 &amp; $AG43),0)),"",INDIRECT(CONCATENATE("Table!",ADDRESS($AC43,MATCH(I$1,INDIRECT("Table!A" &amp; $AG43):INDIRECT("Table!" &amp; $AJ$64 &amp; $AG43),0)))))</f>
        <v>0.10556081315898425</v>
      </c>
      <c r="J43" s="273">
        <f ca="1">IF(ISERROR(MATCH(J$1,INDIRECT("Table!A"&amp;$AG43):INDIRECT("Table!" &amp; $AJ$64 &amp; $AG43),0)),"",INDIRECT(CONCATENATE("Table!",ADDRESS($AC43,MATCH(J$1,INDIRECT("Table!A" &amp; $AG43):INDIRECT("Table!" &amp; $AJ$64 &amp; $AG43),0)))))</f>
        <v>0.18498239398517069</v>
      </c>
      <c r="K43" s="273">
        <f ca="1">IF(ISERROR(MATCH(K$1,INDIRECT("Table!A"&amp;$AG43):INDIRECT("Table!" &amp; $AJ$64 &amp; $AG43),0)),"",INDIRECT(CONCATENATE("Table!",ADDRESS($AC43,MATCH(K$1,INDIRECT("Table!A" &amp; $AG43):INDIRECT("Table!" &amp; $AJ$64 &amp; $AG43),0)))))</f>
        <v>2.2210789732717496E-2</v>
      </c>
      <c r="L43" s="273">
        <f ca="1">IF(ISERROR(MATCH(L$1,INDIRECT("Table!A"&amp;$AG43):INDIRECT("Table!" &amp; $AJ$86 &amp; $AG43),0)),"",INDIRECT(CONCATENATE("Table!",ADDRESS($AC43,MATCH(L$1,INDIRECT("Table!A" &amp; $AG43):INDIRECT("Table!" &amp; $AJ$86 &amp; $AG43),0)))))</f>
        <v>1.4590447813308975</v>
      </c>
      <c r="M43" s="273">
        <f ca="1">IF(ISERROR(MATCH(M$1,INDIRECT("Table!A"&amp;$AG43):INDIRECT("Table!" &amp; $AJ$86 &amp; $AG43),0)),"",INDIRECT(CONCATENATE("Table!",ADDRESS($AC43,MATCH(M$1,INDIRECT("Table!A" &amp; $AG43):INDIRECT("Table!" &amp; $AJ$86 &amp; $AG43),0)))))</f>
        <v>2.8403518502961789</v>
      </c>
      <c r="N43" s="273">
        <f ca="1">IF(ISERROR(MATCH(N$1,INDIRECT("Table!A"&amp;$AG43):INDIRECT("Table!" &amp; $AJ$86 &amp; $AG43),0)),"",INDIRECT(CONCATENATE("Table!",ADDRESS($AC43,MATCH(N$1,INDIRECT("Table!A" &amp; $AG43):INDIRECT("Table!" &amp; $AJ$86 &amp; $AG43),0)))))</f>
        <v>1.6404750708961806</v>
      </c>
      <c r="O43" s="273">
        <f ca="1">IF(ISERROR(MATCH(O$1,INDIRECT("Table!A"&amp;$AG43):INDIRECT("Table!" &amp; $AJ$64 &amp; $AG43),0)),"",INDIRECT(CONCATENATE("Table!",ADDRESS($AC43,MATCH(O$1,INDIRECT("Table!A" &amp; $AG43):INDIRECT("Table!" &amp; $AJ$64 &amp; $AG43),0)))))</f>
        <v>0.91593641819731275</v>
      </c>
      <c r="P43" s="273">
        <f ca="1">IF(ISERROR(MATCH(P$1,INDIRECT("Table!A"&amp;$AG43):INDIRECT("Table!" &amp; $AJ$64 &amp; $AG43),0)),"",INDIRECT(CONCATENATE("Table!",ADDRESS($AC43,MATCH(P$1,INDIRECT("Table!A" &amp; $AG43):INDIRECT("Table!" &amp; $AJ$64 &amp; $AG43),0)))))</f>
        <v>0.39126858833797107</v>
      </c>
      <c r="Q43" s="273">
        <f ca="1">IF(ISERROR(MATCH(Q$1,INDIRECT("Table!A"&amp;$AG43):INDIRECT("Table!" &amp; $AJ$64 &amp; $AG43),0)),"",INDIRECT(CONCATENATE("Table!",ADDRESS($AC43,MATCH(Q$1,INDIRECT("Table!A" &amp; $AG43):INDIRECT("Table!" &amp; $AJ$64 &amp; $AG43),0)))))</f>
        <v>0.1066916885030077</v>
      </c>
      <c r="R43" s="273">
        <f ca="1">IF(ISERROR(MATCH(R$1,INDIRECT("Table!A"&amp;$AG43):INDIRECT("Table!" &amp; $AJ$64 &amp; $AG43),0)),"",INDIRECT(CONCATENATE("Table!",ADDRESS($AC43,MATCH(R$1,INDIRECT("Table!A" &amp; $AG43):INDIRECT("Table!" &amp; $AJ$64 &amp; $AG43),0)))))</f>
        <v>5.1059286741879303E-2</v>
      </c>
      <c r="S43" s="273">
        <f ca="1">IF(ISERROR(MATCH(S$1,INDIRECT("Table!A"&amp;$AG43):INDIRECT("Table!" &amp; $AJ$43 &amp; $AG43),0)),"",INDIRECT(CONCATENATE("Table!",ADDRESS($AC43,MATCH(S$1,INDIRECT("Table!A" &amp; $AG43):INDIRECT("Table!" &amp; $AJ$43 &amp; $AG43),0)))))</f>
        <v>0.66576876212580016</v>
      </c>
      <c r="T43" s="273">
        <f ca="1">IF(ISERROR(MATCH(T$1,INDIRECT("Table!A"&amp;$AG43):INDIRECT("Table!" &amp; $AJ$43 &amp; $AG43),0)),"",INDIRECT(CONCATENATE("Table!",ADDRESS($AC43,MATCH(T$1,INDIRECT("Table!A" &amp; $AG43):INDIRECT("Table!" &amp; $AJ$43 &amp; $AG43),0)))))</f>
        <v>0.50742859733156043</v>
      </c>
      <c r="U43" s="596" t="str">
        <f ca="1">IF(ISERROR(MATCH(U$1,INDIRECT("Table!A"&amp;$AG43):INDIRECT("Table!" &amp; $AJ$43 &amp; $AG43),0)),"",INDIRECT(CONCATENATE("Table!",ADDRESS($AC43,MATCH(U$1,INDIRECT("Table!A" &amp; $AG43):INDIRECT("Table!" &amp; $AJ$43 &amp; $AG43),0)))))</f>
        <v/>
      </c>
      <c r="V43" s="596"/>
      <c r="W43" s="596"/>
      <c r="X43" s="596"/>
      <c r="Y43" s="596"/>
      <c r="Z43" s="596"/>
      <c r="AA43" s="596"/>
      <c r="AB43" s="596"/>
      <c r="AC43" s="272">
        <f>MATCH($A43,Table!$A:$A,0)+$AE$2-1</f>
        <v>566</v>
      </c>
      <c r="AD43" s="369"/>
      <c r="AE43" s="369"/>
      <c r="AF43" s="369"/>
      <c r="AG43" s="272">
        <f>MATCH($A43,Table!$A:$A,0)+$AI$2-1</f>
        <v>557</v>
      </c>
      <c r="AH43" s="369"/>
      <c r="AI43" s="369"/>
      <c r="AJ43" s="904" t="s">
        <v>285</v>
      </c>
    </row>
    <row r="44" spans="1:36" s="267" customFormat="1" ht="19.5" customHeight="1" x14ac:dyDescent="0.25">
      <c r="A44" s="268">
        <v>41449</v>
      </c>
      <c r="B44" s="596">
        <f ca="1">IF(ISERROR(MATCH(B$1,INDIRECT("Table!A"&amp;$AG44):INDIRECT("Table!" &amp; $AJ$86 &amp; $AG44),0)),"",INDIRECT(CONCATENATE("Table!",ADDRESS($AC44,MATCH(B$1,INDIRECT("Table!A" &amp; $AG44):INDIRECT("Table!" &amp; $AJ$86 &amp; $AG44),0)))))</f>
        <v>1.2782047380276582</v>
      </c>
      <c r="C44" s="273">
        <f ca="1">IF(ISERROR(MATCH(C$1,INDIRECT("Table!A"&amp;$AG44):INDIRECT("Table!" &amp; $AJ$86 &amp; $AG44),0)),"",INDIRECT(CONCATENATE("Table!",ADDRESS($AC44,MATCH(C$1,INDIRECT("Table!A" &amp; $AG44):INDIRECT("Table!" &amp; $AJ$86 &amp; $AG44),0)))))</f>
        <v>0.61691903954843541</v>
      </c>
      <c r="D44" s="273">
        <f ca="1">IF(ISERROR(MATCH(D$1,INDIRECT("Table!A"&amp;$AG44):INDIRECT("Table!" &amp; $AJ$86 &amp; $AG44),0)),"",INDIRECT(CONCATENATE("Table!",ADDRESS($AC44,MATCH(D$1,INDIRECT("Table!A" &amp; $AG44):INDIRECT("Table!" &amp; $AJ$86 &amp; $AG44),0)))))</f>
        <v>0.62386329888975767</v>
      </c>
      <c r="E44" s="273">
        <f ca="1">IF(ISERROR(MATCH(E$1,INDIRECT("Table!A"&amp;$AG44):INDIRECT("Table!" &amp; $AJ$86 &amp; $AG44),0)),"",INDIRECT(CONCATENATE("Table!",ADDRESS($AC44,MATCH(E$1,INDIRECT("Table!A" &amp; $AG44):INDIRECT("Table!" &amp; $AJ$86 &amp; $AG44),0)))))</f>
        <v>1.5217295923357315</v>
      </c>
      <c r="F44" s="273">
        <f ca="1">IF(ISERROR(MATCH(F$1,INDIRECT("Table!A"&amp;$AG44):INDIRECT("Table!" &amp; $AJ$86 &amp; $AG44),0)),"",INDIRECT(CONCATENATE("Table!",ADDRESS($AC44,MATCH(F$1,INDIRECT("Table!A" &amp; $AG44):INDIRECT("Table!" &amp; $AJ$86 &amp; $AG44),0)))))</f>
        <v>1.5805687553829648</v>
      </c>
      <c r="G44" s="273">
        <f ca="1">IF(ISERROR(MATCH(G$1,INDIRECT("Table!A"&amp;$AG44):INDIRECT("Table!" &amp; $AJ$86 &amp; $AG44),0)),"",INDIRECT(CONCATENATE("Table!",ADDRESS($AC44,MATCH(G$1,INDIRECT("Table!A" &amp; $AG44):INDIRECT("Table!" &amp; $AJ$86 &amp; $AG44),0)))))</f>
        <v>3.5022755498441343</v>
      </c>
      <c r="H44" s="273">
        <f ca="1">IF(ISERROR(MATCH(H$1,INDIRECT("Table!A"&amp;$AG44):INDIRECT("Table!" &amp; $AJ$86 &amp; $AG44),0)),"",INDIRECT(CONCATENATE("Table!",ADDRESS($AC44,MATCH(H$1,INDIRECT("Table!A" &amp; $AG44):INDIRECT("Table!" &amp; $AJ$86 &amp; $AG44),0)))))</f>
        <v>0.8261196090978109</v>
      </c>
      <c r="I44" s="273">
        <f ca="1">IF(ISERROR(MATCH(I$1,INDIRECT("Table!A"&amp;$AG44):INDIRECT("Table!" &amp; $AJ$64 &amp; $AG44),0)),"",INDIRECT(CONCATENATE("Table!",ADDRESS($AC44,MATCH(I$1,INDIRECT("Table!A" &amp; $AG44):INDIRECT("Table!" &amp; $AJ$64 &amp; $AG44),0)))))</f>
        <v>0.10556081315898425</v>
      </c>
      <c r="J44" s="273">
        <f ca="1">IF(ISERROR(MATCH(J$1,INDIRECT("Table!A"&amp;$AG44):INDIRECT("Table!" &amp; $AJ$64 &amp; $AG44),0)),"",INDIRECT(CONCATENATE("Table!",ADDRESS($AC44,MATCH(J$1,INDIRECT("Table!A" &amp; $AG44):INDIRECT("Table!" &amp; $AJ$64 &amp; $AG44),0)))))</f>
        <v>0.18498239398517069</v>
      </c>
      <c r="K44" s="273">
        <f ca="1">IF(ISERROR(MATCH(K$1,INDIRECT("Table!A"&amp;$AG44):INDIRECT("Table!" &amp; $AJ$64 &amp; $AG44),0)),"",INDIRECT(CONCATENATE("Table!",ADDRESS($AC44,MATCH(K$1,INDIRECT("Table!A" &amp; $AG44):INDIRECT("Table!" &amp; $AJ$64 &amp; $AG44),0)))))</f>
        <v>2.2210789732717496E-2</v>
      </c>
      <c r="L44" s="273">
        <f ca="1">IF(ISERROR(MATCH(L$1,INDIRECT("Table!A"&amp;$AG44):INDIRECT("Table!" &amp; $AJ$86 &amp; $AG44),0)),"",INDIRECT(CONCATENATE("Table!",ADDRESS($AC44,MATCH(L$1,INDIRECT("Table!A" &amp; $AG44):INDIRECT("Table!" &amp; $AJ$86 &amp; $AG44),0)))))</f>
        <v>1.4590447813308975</v>
      </c>
      <c r="M44" s="273">
        <f ca="1">IF(ISERROR(MATCH(M$1,INDIRECT("Table!A"&amp;$AG44):INDIRECT("Table!" &amp; $AJ$86 &amp; $AG44),0)),"",INDIRECT(CONCATENATE("Table!",ADDRESS($AC44,MATCH(M$1,INDIRECT("Table!A" &amp; $AG44):INDIRECT("Table!" &amp; $AJ$86 &amp; $AG44),0)))))</f>
        <v>2.8403518502961789</v>
      </c>
      <c r="N44" s="273">
        <f ca="1">IF(ISERROR(MATCH(N$1,INDIRECT("Table!A"&amp;$AG44):INDIRECT("Table!" &amp; $AJ$86 &amp; $AG44),0)),"",INDIRECT(CONCATENATE("Table!",ADDRESS($AC44,MATCH(N$1,INDIRECT("Table!A" &amp; $AG44):INDIRECT("Table!" &amp; $AJ$86 &amp; $AG44),0)))))</f>
        <v>1.6404750708961806</v>
      </c>
      <c r="O44" s="273">
        <f ca="1">IF(ISERROR(MATCH(O$1,INDIRECT("Table!A"&amp;$AG44):INDIRECT("Table!" &amp; $AJ$64 &amp; $AG44),0)),"",INDIRECT(CONCATENATE("Table!",ADDRESS($AC44,MATCH(O$1,INDIRECT("Table!A" &amp; $AG44):INDIRECT("Table!" &amp; $AJ$64 &amp; $AG44),0)))))</f>
        <v>0.91593641819731275</v>
      </c>
      <c r="P44" s="273">
        <f ca="1">IF(ISERROR(MATCH(P$1,INDIRECT("Table!A"&amp;$AG44):INDIRECT("Table!" &amp; $AJ$64 &amp; $AG44),0)),"",INDIRECT(CONCATENATE("Table!",ADDRESS($AC44,MATCH(P$1,INDIRECT("Table!A" &amp; $AG44):INDIRECT("Table!" &amp; $AJ$64 &amp; $AG44),0)))))</f>
        <v>0.39126858833797107</v>
      </c>
      <c r="Q44" s="273">
        <f ca="1">IF(ISERROR(MATCH(Q$1,INDIRECT("Table!A"&amp;$AG44):INDIRECT("Table!" &amp; $AJ$64 &amp; $AG44),0)),"",INDIRECT(CONCATENATE("Table!",ADDRESS($AC44,MATCH(Q$1,INDIRECT("Table!A" &amp; $AG44):INDIRECT("Table!" &amp; $AJ$64 &amp; $AG44),0)))))</f>
        <v>0.1066916885030077</v>
      </c>
      <c r="R44" s="273">
        <f ca="1">IF(ISERROR(MATCH(R$1,INDIRECT("Table!A"&amp;$AG44):INDIRECT("Table!" &amp; $AJ$64 &amp; $AG44),0)),"",INDIRECT(CONCATENATE("Table!",ADDRESS($AC44,MATCH(R$1,INDIRECT("Table!A" &amp; $AG44):INDIRECT("Table!" &amp; $AJ$64 &amp; $AG44),0)))))</f>
        <v>5.1059286741879303E-2</v>
      </c>
      <c r="S44" s="273">
        <f ca="1">IF(ISERROR(MATCH(S$1,INDIRECT("Table!A"&amp;$AG44):INDIRECT("Table!" &amp; $AJ$43 &amp; $AG44),0)),"",INDIRECT(CONCATENATE("Table!",ADDRESS($AC44,MATCH(S$1,INDIRECT("Table!A" &amp; $AG44):INDIRECT("Table!" &amp; $AJ$43 &amp; $AG44),0)))))</f>
        <v>0.66576876212580016</v>
      </c>
      <c r="T44" s="273">
        <f ca="1">IF(ISERROR(MATCH(T$1,INDIRECT("Table!A"&amp;$AG44):INDIRECT("Table!" &amp; $AJ$43 &amp; $AG44),0)),"",INDIRECT(CONCATENATE("Table!",ADDRESS($AC44,MATCH(T$1,INDIRECT("Table!A" &amp; $AG44):INDIRECT("Table!" &amp; $AJ$43 &amp; $AG44),0)))))</f>
        <v>0.50742859733156043</v>
      </c>
      <c r="U44" s="596" t="str">
        <f ca="1">IF(ISERROR(MATCH(U$1,INDIRECT("Table!A"&amp;$AG44):INDIRECT("Table!" &amp; $AJ$43 &amp; $AG44),0)),"",INDIRECT(CONCATENATE("Table!",ADDRESS($AC44,MATCH(U$1,INDIRECT("Table!A" &amp; $AG44):INDIRECT("Table!" &amp; $AJ$43 &amp; $AG44),0)))))</f>
        <v/>
      </c>
      <c r="V44" s="596"/>
      <c r="W44" s="596"/>
      <c r="X44" s="596"/>
      <c r="Y44" s="596"/>
      <c r="Z44" s="596"/>
      <c r="AA44" s="596"/>
      <c r="AB44" s="596"/>
      <c r="AC44" s="272">
        <f>MATCH($A44,Table!$A:$A,0)+$AE$2-1</f>
        <v>578</v>
      </c>
      <c r="AD44" s="412"/>
      <c r="AE44" s="412"/>
      <c r="AF44" s="412"/>
      <c r="AG44" s="272">
        <f>MATCH($A44,Table!$A:$A,0)+$AI$2-1</f>
        <v>569</v>
      </c>
      <c r="AH44" s="412"/>
      <c r="AI44" s="412"/>
      <c r="AJ44" s="904" t="s">
        <v>285</v>
      </c>
    </row>
    <row r="45" spans="1:36" s="267" customFormat="1" ht="19.5" customHeight="1" x14ac:dyDescent="0.25">
      <c r="A45" s="268">
        <v>41445</v>
      </c>
      <c r="B45" s="596">
        <f ca="1">IF(ISERROR(MATCH(B$1,INDIRECT("Table!A"&amp;$AG45):INDIRECT("Table!" &amp; $AJ$86 &amp; $AG45),0)),"",INDIRECT(CONCATENATE("Table!",ADDRESS($AC45,MATCH(B$1,INDIRECT("Table!A" &amp; $AG45):INDIRECT("Table!" &amp; $AJ$86 &amp; $AG45),0)))))</f>
        <v>1.2711506279943929</v>
      </c>
      <c r="C45" s="273">
        <f ca="1">IF(ISERROR(MATCH(C$1,INDIRECT("Table!A"&amp;$AG45):INDIRECT("Table!" &amp; $AJ$86 &amp; $AG45),0)),"",INDIRECT(CONCATENATE("Table!",ADDRESS($AC45,MATCH(C$1,INDIRECT("Table!A" &amp; $AG45):INDIRECT("Table!" &amp; $AJ$86 &amp; $AG45),0)))))</f>
        <v>0.60504659615843281</v>
      </c>
      <c r="D45" s="273">
        <f ca="1">IF(ISERROR(MATCH(D$1,INDIRECT("Table!A"&amp;$AG45):INDIRECT("Table!" &amp; $AJ$86 &amp; $AG45),0)),"",INDIRECT(CONCATENATE("Table!",ADDRESS($AC45,MATCH(D$1,INDIRECT("Table!A" &amp; $AG45):INDIRECT("Table!" &amp; $AJ$86 &amp; $AG45),0)))))</f>
        <v>0.61199085549975507</v>
      </c>
      <c r="E45" s="273">
        <f ca="1">IF(ISERROR(MATCH(E$1,INDIRECT("Table!A"&amp;$AG45):INDIRECT("Table!" &amp; $AJ$86 &amp; $AG45),0)),"",INDIRECT(CONCATENATE("Table!",ADDRESS($AC45,MATCH(E$1,INDIRECT("Table!A" &amp; $AG45):INDIRECT("Table!" &amp; $AJ$86 &amp; $AG45),0)))))</f>
        <v>1.5217295923357315</v>
      </c>
      <c r="F45" s="273">
        <f ca="1">IF(ISERROR(MATCH(F$1,INDIRECT("Table!A"&amp;$AG45):INDIRECT("Table!" &amp; $AJ$86 &amp; $AG45),0)),"",INDIRECT(CONCATENATE("Table!",ADDRESS($AC45,MATCH(F$1,INDIRECT("Table!A" &amp; $AG45):INDIRECT("Table!" &amp; $AJ$86 &amp; $AG45),0)))))</f>
        <v>1.5805687553829648</v>
      </c>
      <c r="G45" s="273">
        <f ca="1">IF(ISERROR(MATCH(G$1,INDIRECT("Table!A"&amp;$AG45):INDIRECT("Table!" &amp; $AJ$86 &amp; $AG45),0)),"",INDIRECT(CONCATENATE("Table!",ADDRESS($AC45,MATCH(G$1,INDIRECT("Table!A" &amp; $AG45):INDIRECT("Table!" &amp; $AJ$86 &amp; $AG45),0)))))</f>
        <v>3.4849236564095691</v>
      </c>
      <c r="H45" s="273">
        <f ca="1">IF(ISERROR(MATCH(H$1,INDIRECT("Table!A"&amp;$AG45):INDIRECT("Table!" &amp; $AJ$86 &amp; $AG45),0)),"",INDIRECT(CONCATENATE("Table!",ADDRESS($AC45,MATCH(H$1,INDIRECT("Table!A" &amp; $AG45):INDIRECT("Table!" &amp; $AJ$86 &amp; $AG45),0)))))</f>
        <v>0.8245419158839693</v>
      </c>
      <c r="I45" s="273">
        <f ca="1">IF(ISERROR(MATCH(I$1,INDIRECT("Table!A"&amp;$AG45):INDIRECT("Table!" &amp; $AJ$64 &amp; $AG45),0)),"",INDIRECT(CONCATENATE("Table!",ADDRESS($AC45,MATCH(I$1,INDIRECT("Table!A" &amp; $AG45):INDIRECT("Table!" &amp; $AJ$64 &amp; $AG45),0)))))</f>
        <v>0.10556081315898425</v>
      </c>
      <c r="J45" s="273">
        <f ca="1">IF(ISERROR(MATCH(J$1,INDIRECT("Table!A"&amp;$AG45):INDIRECT("Table!" &amp; $AJ$64 &amp; $AG45),0)),"",INDIRECT(CONCATENATE("Table!",ADDRESS($AC45,MATCH(J$1,INDIRECT("Table!A" &amp; $AG45):INDIRECT("Table!" &amp; $AJ$64 &amp; $AG45),0)))))</f>
        <v>0.13390244298334839</v>
      </c>
      <c r="K45" s="273">
        <f ca="1">IF(ISERROR(MATCH(K$1,INDIRECT("Table!A"&amp;$AG45):INDIRECT("Table!" &amp; $AJ$64 &amp; $AG45),0)),"",INDIRECT(CONCATENATE("Table!",ADDRESS($AC45,MATCH(K$1,INDIRECT("Table!A" &amp; $AG45):INDIRECT("Table!" &amp; $AJ$64 &amp; $AG45),0)))))</f>
        <v>2.2210789732717496E-2</v>
      </c>
      <c r="L45" s="273">
        <f ca="1">IF(ISERROR(MATCH(L$1,INDIRECT("Table!A"&amp;$AG45):INDIRECT("Table!" &amp; $AJ$86 &amp; $AG45),0)),"",INDIRECT(CONCATENATE("Table!",ADDRESS($AC45,MATCH(L$1,INDIRECT("Table!A" &amp; $AG45):INDIRECT("Table!" &amp; $AJ$86 &amp; $AG45),0)))))</f>
        <v>1.4590447813308975</v>
      </c>
      <c r="M45" s="273">
        <f ca="1">IF(ISERROR(MATCH(M$1,INDIRECT("Table!A"&amp;$AG45):INDIRECT("Table!" &amp; $AJ$86 &amp; $AG45),0)),"",INDIRECT(CONCATENATE("Table!",ADDRESS($AC45,MATCH(M$1,INDIRECT("Table!A" &amp; $AG45):INDIRECT("Table!" &amp; $AJ$86 &amp; $AG45),0)))))</f>
        <v>2.8403518502961789</v>
      </c>
      <c r="N45" s="273">
        <f ca="1">IF(ISERROR(MATCH(N$1,INDIRECT("Table!A"&amp;$AG45):INDIRECT("Table!" &amp; $AJ$86 &amp; $AG45),0)),"",INDIRECT(CONCATENATE("Table!",ADDRESS($AC45,MATCH(N$1,INDIRECT("Table!A" &amp; $AG45):INDIRECT("Table!" &amp; $AJ$86 &amp; $AG45),0)))))</f>
        <v>1.6404750708961806</v>
      </c>
      <c r="O45" s="273">
        <f ca="1">IF(ISERROR(MATCH(O$1,INDIRECT("Table!A"&amp;$AG45):INDIRECT("Table!" &amp; $AJ$64 &amp; $AG45),0)),"",INDIRECT(CONCATENATE("Table!",ADDRESS($AC45,MATCH(O$1,INDIRECT("Table!A" &amp; $AG45):INDIRECT("Table!" &amp; $AJ$64 &amp; $AG45),0)))))</f>
        <v>0.91581414661565519</v>
      </c>
      <c r="P45" s="273">
        <f ca="1">IF(ISERROR(MATCH(P$1,INDIRECT("Table!A"&amp;$AG45):INDIRECT("Table!" &amp; $AJ$64 &amp; $AG45),0)),"",INDIRECT(CONCATENATE("Table!",ADDRESS($AC45,MATCH(P$1,INDIRECT("Table!A" &amp; $AG45):INDIRECT("Table!" &amp; $AJ$64 &amp; $AG45),0)))))</f>
        <v>0.39126858833797107</v>
      </c>
      <c r="Q45" s="273">
        <f ca="1">IF(ISERROR(MATCH(Q$1,INDIRECT("Table!A"&amp;$AG45):INDIRECT("Table!" &amp; $AJ$64 &amp; $AG45),0)),"",INDIRECT(CONCATENATE("Table!",ADDRESS($AC45,MATCH(Q$1,INDIRECT("Table!A" &amp; $AG45):INDIRECT("Table!" &amp; $AJ$64 &amp; $AG45),0)))))</f>
        <v>6.7262151447548324E-2</v>
      </c>
      <c r="R45" s="273">
        <f ca="1">IF(ISERROR(MATCH(R$1,INDIRECT("Table!A"&amp;$AG45):INDIRECT("Table!" &amp; $AJ$64 &amp; $AG45),0)),"",INDIRECT(CONCATENATE("Table!",ADDRESS($AC45,MATCH(R$1,INDIRECT("Table!A" &amp; $AG45):INDIRECT("Table!" &amp; $AJ$64 &amp; $AG45),0)))))</f>
        <v>5.1059286741879303E-2</v>
      </c>
      <c r="S45" s="273">
        <f ca="1">IF(ISERROR(MATCH(S$1,INDIRECT("Table!A"&amp;$AG45):INDIRECT("Table!" &amp; $AJ$43 &amp; $AG45),0)),"",INDIRECT(CONCATENATE("Table!",ADDRESS($AC45,MATCH(S$1,INDIRECT("Table!A" &amp; $AG45):INDIRECT("Table!" &amp; $AJ$43 &amp; $AG45),0)))))</f>
        <v>0.66576876212580016</v>
      </c>
      <c r="T45" s="273">
        <f ca="1">IF(ISERROR(MATCH(T$1,INDIRECT("Table!A"&amp;$AG45):INDIRECT("Table!" &amp; $AJ$43 &amp; $AG45),0)),"",INDIRECT(CONCATENATE("Table!",ADDRESS($AC45,MATCH(T$1,INDIRECT("Table!A" &amp; $AG45):INDIRECT("Table!" &amp; $AJ$43 &amp; $AG45),0)))))</f>
        <v>0.50742859733156043</v>
      </c>
      <c r="U45" s="596" t="str">
        <f ca="1">IF(ISERROR(MATCH(U$1,INDIRECT("Table!A"&amp;$AG45):INDIRECT("Table!" &amp; $AJ$43 &amp; $AG45),0)),"",INDIRECT(CONCATENATE("Table!",ADDRESS($AC45,MATCH(U$1,INDIRECT("Table!A" &amp; $AG45):INDIRECT("Table!" &amp; $AJ$43 &amp; $AG45),0)))))</f>
        <v/>
      </c>
      <c r="V45" s="596"/>
      <c r="W45" s="596"/>
      <c r="X45" s="596"/>
      <c r="Y45" s="596"/>
      <c r="Z45" s="596"/>
      <c r="AA45" s="596"/>
      <c r="AB45" s="596"/>
      <c r="AC45" s="272">
        <f>MATCH($A45,Table!$A:$A,0)+$AE$2-1</f>
        <v>590</v>
      </c>
      <c r="AD45" s="407"/>
      <c r="AE45" s="407"/>
      <c r="AF45" s="407"/>
      <c r="AG45" s="272">
        <f>MATCH($A45,Table!$A:$A,0)+$AI$2-1</f>
        <v>581</v>
      </c>
      <c r="AH45" s="407"/>
      <c r="AI45" s="407"/>
      <c r="AJ45" s="904" t="s">
        <v>285</v>
      </c>
    </row>
    <row r="46" spans="1:36" s="267" customFormat="1" ht="19.5" customHeight="1" x14ac:dyDescent="0.25">
      <c r="A46" s="268">
        <v>41443</v>
      </c>
      <c r="B46" s="596">
        <f ca="1">IF(ISERROR(MATCH(B$1,INDIRECT("Table!A"&amp;$AG46):INDIRECT("Table!" &amp; $AJ$86 &amp; $AG46),0)),"",INDIRECT(CONCATENATE("Table!",ADDRESS($AC46,MATCH(B$1,INDIRECT("Table!A" &amp; $AG46):INDIRECT("Table!" &amp; $AJ$86 &amp; $AG46),0)))))</f>
        <v>1.2711506279943929</v>
      </c>
      <c r="C46" s="273">
        <f ca="1">IF(ISERROR(MATCH(C$1,INDIRECT("Table!A"&amp;$AG46):INDIRECT("Table!" &amp; $AJ$86 &amp; $AG46),0)),"",INDIRECT(CONCATENATE("Table!",ADDRESS($AC46,MATCH(C$1,INDIRECT("Table!A" &amp; $AG46):INDIRECT("Table!" &amp; $AJ$86 &amp; $AG46),0)))))</f>
        <v>0.60504659615843281</v>
      </c>
      <c r="D46" s="273">
        <f ca="1">IF(ISERROR(MATCH(D$1,INDIRECT("Table!A"&amp;$AG46):INDIRECT("Table!" &amp; $AJ$86 &amp; $AG46),0)),"",INDIRECT(CONCATENATE("Table!",ADDRESS($AC46,MATCH(D$1,INDIRECT("Table!A" &amp; $AG46):INDIRECT("Table!" &amp; $AJ$86 &amp; $AG46),0)))))</f>
        <v>0.61199085549975507</v>
      </c>
      <c r="E46" s="273">
        <f ca="1">IF(ISERROR(MATCH(E$1,INDIRECT("Table!A"&amp;$AG46):INDIRECT("Table!" &amp; $AJ$86 &amp; $AG46),0)),"",INDIRECT(CONCATENATE("Table!",ADDRESS($AC46,MATCH(E$1,INDIRECT("Table!A" &amp; $AG46):INDIRECT("Table!" &amp; $AJ$86 &amp; $AG46),0)))))</f>
        <v>1.5217295923357315</v>
      </c>
      <c r="F46" s="273">
        <f ca="1">IF(ISERROR(MATCH(F$1,INDIRECT("Table!A"&amp;$AG46):INDIRECT("Table!" &amp; $AJ$86 &amp; $AG46),0)),"",INDIRECT(CONCATENATE("Table!",ADDRESS($AC46,MATCH(F$1,INDIRECT("Table!A" &amp; $AG46):INDIRECT("Table!" &amp; $AJ$86 &amp; $AG46),0)))))</f>
        <v>1.5805687553829648</v>
      </c>
      <c r="G46" s="273">
        <f ca="1">IF(ISERROR(MATCH(G$1,INDIRECT("Table!A"&amp;$AG46):INDIRECT("Table!" &amp; $AJ$86 &amp; $AG46),0)),"",INDIRECT(CONCATENATE("Table!",ADDRESS($AC46,MATCH(G$1,INDIRECT("Table!A" &amp; $AG46):INDIRECT("Table!" &amp; $AJ$86 &amp; $AG46),0)))))</f>
        <v>3.4849236564095691</v>
      </c>
      <c r="H46" s="273">
        <f ca="1">IF(ISERROR(MATCH(H$1,INDIRECT("Table!A"&amp;$AG46):INDIRECT("Table!" &amp; $AJ$86 &amp; $AG46),0)),"",INDIRECT(CONCATENATE("Table!",ADDRESS($AC46,MATCH(H$1,INDIRECT("Table!A" &amp; $AG46):INDIRECT("Table!" &amp; $AJ$86 &amp; $AG46),0)))))</f>
        <v>0.81921720128725395</v>
      </c>
      <c r="I46" s="273">
        <f ca="1">IF(ISERROR(MATCH(I$1,INDIRECT("Table!A"&amp;$AG46):INDIRECT("Table!" &amp; $AJ$64 &amp; $AG46),0)),"",INDIRECT(CONCATENATE("Table!",ADDRESS($AC46,MATCH(I$1,INDIRECT("Table!A" &amp; $AG46):INDIRECT("Table!" &amp; $AJ$64 &amp; $AG46),0)))))</f>
        <v>8.7016345982405929E-2</v>
      </c>
      <c r="J46" s="273">
        <f ca="1">IF(ISERROR(MATCH(J$1,INDIRECT("Table!A"&amp;$AG46):INDIRECT("Table!" &amp; $AJ$64 &amp; $AG46),0)),"",INDIRECT(CONCATENATE("Table!",ADDRESS($AC46,MATCH(J$1,INDIRECT("Table!A" &amp; $AG46):INDIRECT("Table!" &amp; $AJ$64 &amp; $AG46),0)))))</f>
        <v>0.13390244298334839</v>
      </c>
      <c r="K46" s="273">
        <f ca="1">IF(ISERROR(MATCH(K$1,INDIRECT("Table!A"&amp;$AG46):INDIRECT("Table!" &amp; $AJ$64 &amp; $AG46),0)),"",INDIRECT(CONCATENATE("Table!",ADDRESS($AC46,MATCH(K$1,INDIRECT("Table!A" &amp; $AG46):INDIRECT("Table!" &amp; $AJ$64 &amp; $AG46),0)))))</f>
        <v>2.2210789732717496E-2</v>
      </c>
      <c r="L46" s="273">
        <f ca="1">IF(ISERROR(MATCH(L$1,INDIRECT("Table!A"&amp;$AG46):INDIRECT("Table!" &amp; $AJ$86 &amp; $AG46),0)),"",INDIRECT(CONCATENATE("Table!",ADDRESS($AC46,MATCH(L$1,INDIRECT("Table!A" &amp; $AG46):INDIRECT("Table!" &amp; $AJ$86 &amp; $AG46),0)))))</f>
        <v>1.4590447813308975</v>
      </c>
      <c r="M46" s="273">
        <f ca="1">IF(ISERROR(MATCH(M$1,INDIRECT("Table!A"&amp;$AG46):INDIRECT("Table!" &amp; $AJ$86 &amp; $AG46),0)),"",INDIRECT(CONCATENATE("Table!",ADDRESS($AC46,MATCH(M$1,INDIRECT("Table!A" &amp; $AG46):INDIRECT("Table!" &amp; $AJ$86 &amp; $AG46),0)))))</f>
        <v>2.8403518502961789</v>
      </c>
      <c r="N46" s="273">
        <f ca="1">IF(ISERROR(MATCH(N$1,INDIRECT("Table!A"&amp;$AG46):INDIRECT("Table!" &amp; $AJ$86 &amp; $AG46),0)),"",INDIRECT(CONCATENATE("Table!",ADDRESS($AC46,MATCH(N$1,INDIRECT("Table!A" &amp; $AG46):INDIRECT("Table!" &amp; $AJ$86 &amp; $AG46),0)))))</f>
        <v>1.6404750708961806</v>
      </c>
      <c r="O46" s="273">
        <f ca="1">IF(ISERROR(MATCH(O$1,INDIRECT("Table!A"&amp;$AG46):INDIRECT("Table!" &amp; $AJ$64 &amp; $AG46),0)),"",INDIRECT(CONCATENATE("Table!",ADDRESS($AC46,MATCH(O$1,INDIRECT("Table!A" &amp; $AG46):INDIRECT("Table!" &amp; $AJ$64 &amp; $AG46),0)))))</f>
        <v>0.90970056753277362</v>
      </c>
      <c r="P46" s="273">
        <f ca="1">IF(ISERROR(MATCH(P$1,INDIRECT("Table!A"&amp;$AG46):INDIRECT("Table!" &amp; $AJ$64 &amp; $AG46),0)),"",INDIRECT(CONCATENATE("Table!",ADDRESS($AC46,MATCH(P$1,INDIRECT("Table!A" &amp; $AG46):INDIRECT("Table!" &amp; $AJ$64 &amp; $AG46),0)))))</f>
        <v>0.35417958673510092</v>
      </c>
      <c r="Q46" s="273">
        <f ca="1">IF(ISERROR(MATCH(Q$1,INDIRECT("Table!A"&amp;$AG46):INDIRECT("Table!" &amp; $AJ$64 &amp; $AG46),0)),"",INDIRECT(CONCATENATE("Table!",ADDRESS($AC46,MATCH(Q$1,INDIRECT("Table!A" &amp; $AG46):INDIRECT("Table!" &amp; $AJ$64 &amp; $AG46),0)))))</f>
        <v>6.7262151447548324E-2</v>
      </c>
      <c r="R46" s="273">
        <f ca="1">IF(ISERROR(MATCH(R$1,INDIRECT("Table!A"&amp;$AG46):INDIRECT("Table!" &amp; $AJ$64 &amp; $AG46),0)),"",INDIRECT(CONCATENATE("Table!",ADDRESS($AC46,MATCH(R$1,INDIRECT("Table!A" &amp; $AG46):INDIRECT("Table!" &amp; $AJ$64 &amp; $AG46),0)))))</f>
        <v>5.1059286741879303E-2</v>
      </c>
      <c r="S46" s="273">
        <f ca="1">IF(ISERROR(MATCH(S$1,INDIRECT("Table!A"&amp;$AG46):INDIRECT("Table!" &amp; $AJ$43 &amp; $AG46),0)),"",INDIRECT(CONCATENATE("Table!",ADDRESS($AC46,MATCH(S$1,INDIRECT("Table!A" &amp; $AG46):INDIRECT("Table!" &amp; $AJ$43 &amp; $AG46),0)))))</f>
        <v>0.66210061467607118</v>
      </c>
      <c r="T46" s="273">
        <f ca="1">IF(ISERROR(MATCH(T$1,INDIRECT("Table!A"&amp;$AG46):INDIRECT("Table!" &amp; $AJ$43 &amp; $AG46),0)),"",INDIRECT(CONCATENATE("Table!",ADDRESS($AC46,MATCH(T$1,INDIRECT("Table!A" &amp; $AG46):INDIRECT("Table!" &amp; $AJ$43 &amp; $AG46),0)))))</f>
        <v>0.50742859733156043</v>
      </c>
      <c r="U46" s="596" t="str">
        <f ca="1">IF(ISERROR(MATCH(U$1,INDIRECT("Table!A"&amp;$AG46):INDIRECT("Table!" &amp; $AJ$43 &amp; $AG46),0)),"",INDIRECT(CONCATENATE("Table!",ADDRESS($AC46,MATCH(U$1,INDIRECT("Table!A" &amp; $AG46):INDIRECT("Table!" &amp; $AJ$43 &amp; $AG46),0)))))</f>
        <v/>
      </c>
      <c r="V46" s="596"/>
      <c r="W46" s="596"/>
      <c r="X46" s="596"/>
      <c r="Y46" s="596"/>
      <c r="Z46" s="596"/>
      <c r="AA46" s="596"/>
      <c r="AB46" s="596"/>
      <c r="AC46" s="272">
        <f>MATCH($A46,Table!$A:$A,0)+$AE$2-1</f>
        <v>602</v>
      </c>
      <c r="AD46" s="407"/>
      <c r="AE46" s="407"/>
      <c r="AF46" s="407"/>
      <c r="AG46" s="272">
        <f>MATCH($A46,Table!$A:$A,0)+$AI$2-1</f>
        <v>593</v>
      </c>
      <c r="AH46" s="407"/>
      <c r="AI46" s="407"/>
      <c r="AJ46" s="904" t="s">
        <v>285</v>
      </c>
    </row>
    <row r="47" spans="1:36" s="267" customFormat="1" ht="19.5" customHeight="1" x14ac:dyDescent="0.25">
      <c r="A47" s="268">
        <v>41437</v>
      </c>
      <c r="B47" s="596">
        <f ca="1">IF(ISERROR(MATCH(B$1,INDIRECT("Table!A"&amp;$AG47):INDIRECT("Table!" &amp; $AJ$86 &amp; $AG47),0)),"",INDIRECT(CONCATENATE("Table!",ADDRESS($AC47,MATCH(B$1,INDIRECT("Table!A" &amp; $AG47):INDIRECT("Table!" &amp; $AJ$86 &amp; $AG47),0)))))</f>
        <v>1.2553964489201006</v>
      </c>
      <c r="C47" s="273">
        <f ca="1">IF(ISERROR(MATCH(C$1,INDIRECT("Table!A"&amp;$AG47):INDIRECT("Table!" &amp; $AJ$86 &amp; $AG47),0)),"",INDIRECT(CONCATENATE("Table!",ADDRESS($AC47,MATCH(C$1,INDIRECT("Table!A" &amp; $AG47):INDIRECT("Table!" &amp; $AJ$86 &amp; $AG47),0)))))</f>
        <v>0.60191047903654538</v>
      </c>
      <c r="D47" s="273">
        <f ca="1">IF(ISERROR(MATCH(D$1,INDIRECT("Table!A"&amp;$AG47):INDIRECT("Table!" &amp; $AJ$86 &amp; $AG47),0)),"",INDIRECT(CONCATENATE("Table!",ADDRESS($AC47,MATCH(D$1,INDIRECT("Table!A" &amp; $AG47):INDIRECT("Table!" &amp; $AJ$86 &amp; $AG47),0)))))</f>
        <v>0.60885473837786763</v>
      </c>
      <c r="E47" s="273">
        <f ca="1">IF(ISERROR(MATCH(E$1,INDIRECT("Table!A"&amp;$AG47):INDIRECT("Table!" &amp; $AJ$86 &amp; $AG47),0)),"",INDIRECT(CONCATENATE("Table!",ADDRESS($AC47,MATCH(E$1,INDIRECT("Table!A" &amp; $AG47):INDIRECT("Table!" &amp; $AJ$86 &amp; $AG47),0)))))</f>
        <v>1.5276579277331923</v>
      </c>
      <c r="F47" s="273">
        <f ca="1">IF(ISERROR(MATCH(F$1,INDIRECT("Table!A"&amp;$AG47):INDIRECT("Table!" &amp; $AJ$86 &amp; $AG47),0)),"",INDIRECT(CONCATENATE("Table!",ADDRESS($AC47,MATCH(F$1,INDIRECT("Table!A" &amp; $AG47):INDIRECT("Table!" &amp; $AJ$86 &amp; $AG47),0)))))</f>
        <v>1.5805687553829648</v>
      </c>
      <c r="G47" s="273">
        <f ca="1">IF(ISERROR(MATCH(G$1,INDIRECT("Table!A"&amp;$AG47):INDIRECT("Table!" &amp; $AJ$86 &amp; $AG47),0)),"",INDIRECT(CONCATENATE("Table!",ADDRESS($AC47,MATCH(G$1,INDIRECT("Table!A" &amp; $AG47):INDIRECT("Table!" &amp; $AJ$86 &amp; $AG47),0)))))</f>
        <v>3.4772684093060851</v>
      </c>
      <c r="H47" s="273">
        <f ca="1">IF(ISERROR(MATCH(H$1,INDIRECT("Table!A"&amp;$AG47):INDIRECT("Table!" &amp; $AJ$86 &amp; $AG47),0)),"",INDIRECT(CONCATENATE("Table!",ADDRESS($AC47,MATCH(H$1,INDIRECT("Table!A" &amp; $AG47):INDIRECT("Table!" &amp; $AJ$86 &amp; $AG47),0)))))</f>
        <v>0.81921720128725395</v>
      </c>
      <c r="I47" s="273">
        <f ca="1">IF(ISERROR(MATCH(I$1,INDIRECT("Table!A"&amp;$AG47):INDIRECT("Table!" &amp; $AJ$64 &amp; $AG47),0)),"",INDIRECT(CONCATENATE("Table!",ADDRESS($AC47,MATCH(I$1,INDIRECT("Table!A" &amp; $AG47):INDIRECT("Table!" &amp; $AJ$64 &amp; $AG47),0)))))</f>
        <v>8.7016345982405929E-2</v>
      </c>
      <c r="J47" s="273">
        <f ca="1">IF(ISERROR(MATCH(J$1,INDIRECT("Table!A"&amp;$AG47):INDIRECT("Table!" &amp; $AJ$64 &amp; $AG47),0)),"",INDIRECT(CONCATENATE("Table!",ADDRESS($AC47,MATCH(J$1,INDIRECT("Table!A" &amp; $AG47):INDIRECT("Table!" &amp; $AJ$64 &amp; $AG47),0)))))</f>
        <v>3.2472254565444163E-2</v>
      </c>
      <c r="K47" s="273">
        <f ca="1">IF(ISERROR(MATCH(K$1,INDIRECT("Table!A"&amp;$AG47):INDIRECT("Table!" &amp; $AJ$64 &amp; $AG47),0)),"",INDIRECT(CONCATENATE("Table!",ADDRESS($AC47,MATCH(K$1,INDIRECT("Table!A" &amp; $AG47):INDIRECT("Table!" &amp; $AJ$64 &amp; $AG47),0)))))</f>
        <v>2.2210789732717496E-2</v>
      </c>
      <c r="L47" s="273">
        <f ca="1">IF(ISERROR(MATCH(L$1,INDIRECT("Table!A"&amp;$AG47):INDIRECT("Table!" &amp; $AJ$86 &amp; $AG47),0)),"",INDIRECT(CONCATENATE("Table!",ADDRESS($AC47,MATCH(L$1,INDIRECT("Table!A" &amp; $AG47):INDIRECT("Table!" &amp; $AJ$86 &amp; $AG47),0)))))</f>
        <v>1.4637609562496015</v>
      </c>
      <c r="M47" s="273">
        <f ca="1">IF(ISERROR(MATCH(M$1,INDIRECT("Table!A"&amp;$AG47):INDIRECT("Table!" &amp; $AJ$86 &amp; $AG47),0)),"",INDIRECT(CONCATENATE("Table!",ADDRESS($AC47,MATCH(M$1,INDIRECT("Table!A" &amp; $AG47):INDIRECT("Table!" &amp; $AJ$86 &amp; $AG47),0)))))</f>
        <v>2.8403518502961789</v>
      </c>
      <c r="N47" s="273">
        <f ca="1">IF(ISERROR(MATCH(N$1,INDIRECT("Table!A"&amp;$AG47):INDIRECT("Table!" &amp; $AJ$86 &amp; $AG47),0)),"",INDIRECT(CONCATENATE("Table!",ADDRESS($AC47,MATCH(N$1,INDIRECT("Table!A" &amp; $AG47):INDIRECT("Table!" &amp; $AJ$86 &amp; $AG47),0)))))</f>
        <v>1.6404750708961806</v>
      </c>
      <c r="O47" s="273">
        <f ca="1">IF(ISERROR(MATCH(O$1,INDIRECT("Table!A"&amp;$AG47):INDIRECT("Table!" &amp; $AJ$64 &amp; $AG47),0)),"",INDIRECT(CONCATENATE("Table!",ADDRESS($AC47,MATCH(O$1,INDIRECT("Table!A" &amp; $AG47):INDIRECT("Table!" &amp; $AJ$64 &amp; $AG47),0)))))</f>
        <v>0.90970056753277362</v>
      </c>
      <c r="P47" s="273">
        <f ca="1">IF(ISERROR(MATCH(P$1,INDIRECT("Table!A"&amp;$AG47):INDIRECT("Table!" &amp; $AJ$64 &amp; $AG47),0)),"",INDIRECT(CONCATENATE("Table!",ADDRESS($AC47,MATCH(P$1,INDIRECT("Table!A" &amp; $AG47):INDIRECT("Table!" &amp; $AJ$64 &amp; $AG47),0)))))</f>
        <v>0.35417958673510092</v>
      </c>
      <c r="Q47" s="273">
        <f ca="1">IF(ISERROR(MATCH(Q$1,INDIRECT("Table!A"&amp;$AG47):INDIRECT("Table!" &amp; $AJ$64 &amp; $AG47),0)),"",INDIRECT(CONCATENATE("Table!",ADDRESS($AC47,MATCH(Q$1,INDIRECT("Table!A" &amp; $AG47):INDIRECT("Table!" &amp; $AJ$64 &amp; $AG47),0)))))</f>
        <v>2.8546271171373292E-2</v>
      </c>
      <c r="R47" s="273">
        <f ca="1">IF(ISERROR(MATCH(R$1,INDIRECT("Table!A"&amp;$AG47):INDIRECT("Table!" &amp; $AJ$64 &amp; $AG47),0)),"",INDIRECT(CONCATENATE("Table!",ADDRESS($AC47,MATCH(R$1,INDIRECT("Table!A" &amp; $AG47):INDIRECT("Table!" &amp; $AJ$64 &amp; $AG47),0)))))</f>
        <v>5.3612251078973272E-3</v>
      </c>
      <c r="S47" s="273">
        <f ca="1">IF(ISERROR(MATCH(S$1,INDIRECT("Table!A"&amp;$AG47):INDIRECT("Table!" &amp; $AJ$43 &amp; $AG47),0)),"",INDIRECT(CONCATENATE("Table!",ADDRESS($AC47,MATCH(S$1,INDIRECT("Table!A" &amp; $AG47):INDIRECT("Table!" &amp; $AJ$43 &amp; $AG47),0)))))</f>
        <v>0.59668531848923867</v>
      </c>
      <c r="T47" s="273">
        <f ca="1">IF(ISERROR(MATCH(T$1,INDIRECT("Table!A"&amp;$AG47):INDIRECT("Table!" &amp; $AJ$43 &amp; $AG47),0)),"",INDIRECT(CONCATENATE("Table!",ADDRESS($AC47,MATCH(T$1,INDIRECT("Table!A" &amp; $AG47):INDIRECT("Table!" &amp; $AJ$43 &amp; $AG47),0)))))</f>
        <v>0.50742859733156043</v>
      </c>
      <c r="U47" s="596" t="str">
        <f ca="1">IF(ISERROR(MATCH(U$1,INDIRECT("Table!A"&amp;$AG47):INDIRECT("Table!" &amp; $AJ$43 &amp; $AG47),0)),"",INDIRECT(CONCATENATE("Table!",ADDRESS($AC47,MATCH(U$1,INDIRECT("Table!A" &amp; $AG47):INDIRECT("Table!" &amp; $AJ$43 &amp; $AG47),0)))))</f>
        <v/>
      </c>
      <c r="V47" s="596"/>
      <c r="W47" s="596"/>
      <c r="X47" s="596"/>
      <c r="Y47" s="596"/>
      <c r="Z47" s="596"/>
      <c r="AA47" s="596"/>
      <c r="AB47" s="596"/>
      <c r="AC47" s="272">
        <f>MATCH($A47,Table!$A:$A,0)+$AE$2-1</f>
        <v>614</v>
      </c>
      <c r="AD47" s="388"/>
      <c r="AE47" s="388"/>
      <c r="AF47" s="388"/>
      <c r="AG47" s="272">
        <f>MATCH($A47,Table!$A:$A,0)+$AI$2-1</f>
        <v>605</v>
      </c>
      <c r="AH47" s="388"/>
      <c r="AI47" s="388"/>
      <c r="AJ47" s="904" t="s">
        <v>285</v>
      </c>
    </row>
    <row r="48" spans="1:36" s="267" customFormat="1" ht="19.5" customHeight="1" x14ac:dyDescent="0.25">
      <c r="A48" s="268">
        <v>41430</v>
      </c>
      <c r="B48" s="596">
        <f ca="1">IF(ISERROR(MATCH(B$1,INDIRECT("Table!A"&amp;$AG48):INDIRECT("Table!" &amp; $AJ$86 &amp; $AG48),0)),"",INDIRECT(CONCATENATE("Table!",ADDRESS($AC48,MATCH(B$1,INDIRECT("Table!A" &amp; $AG48):INDIRECT("Table!" &amp; $AJ$86 &amp; $AG48),0)))))</f>
        <v>1.2554034529074802</v>
      </c>
      <c r="C48" s="273">
        <f ca="1">IF(ISERROR(MATCH(C$1,INDIRECT("Table!A"&amp;$AG48):INDIRECT("Table!" &amp; $AJ$86 &amp; $AG48),0)),"",INDIRECT(CONCATENATE("Table!",ADDRESS($AC48,MATCH(C$1,INDIRECT("Table!A" &amp; $AG48):INDIRECT("Table!" &amp; $AJ$86 &amp; $AG48),0)))))</f>
        <v>0.60101803930218622</v>
      </c>
      <c r="D48" s="273">
        <f ca="1">IF(ISERROR(MATCH(D$1,INDIRECT("Table!A"&amp;$AG48):INDIRECT("Table!" &amp; $AJ$86 &amp; $AG48),0)),"",INDIRECT(CONCATENATE("Table!",ADDRESS($AC48,MATCH(D$1,INDIRECT("Table!A" &amp; $AG48):INDIRECT("Table!" &amp; $AJ$86 &amp; $AG48),0)))))</f>
        <v>0.60796234016628159</v>
      </c>
      <c r="E48" s="273">
        <f ca="1">IF(ISERROR(MATCH(E$1,INDIRECT("Table!A"&amp;$AG48):INDIRECT("Table!" &amp; $AJ$86 &amp; $AG48),0)),"",INDIRECT(CONCATENATE("Table!",ADDRESS($AC48,MATCH(E$1,INDIRECT("Table!A" &amp; $AG48):INDIRECT("Table!" &amp; $AJ$86 &amp; $AG48),0)))))</f>
        <v>1.5276579277331923</v>
      </c>
      <c r="F48" s="273">
        <f ca="1">IF(ISERROR(MATCH(F$1,INDIRECT("Table!A"&amp;$AG48):INDIRECT("Table!" &amp; $AJ$86 &amp; $AG48),0)),"",INDIRECT(CONCATENATE("Table!",ADDRESS($AC48,MATCH(F$1,INDIRECT("Table!A" &amp; $AG48):INDIRECT("Table!" &amp; $AJ$86 &amp; $AG48),0)))))</f>
        <v>1.5769005968480378</v>
      </c>
      <c r="G48" s="273">
        <f ca="1">IF(ISERROR(MATCH(G$1,INDIRECT("Table!A"&amp;$AG48):INDIRECT("Table!" &amp; $AJ$86 &amp; $AG48),0)),"",INDIRECT(CONCATENATE("Table!",ADDRESS($AC48,MATCH(G$1,INDIRECT("Table!A" &amp; $AG48):INDIRECT("Table!" &amp; $AJ$86 &amp; $AG48),0)))))</f>
        <v>3.4765265643447463</v>
      </c>
      <c r="H48" s="273">
        <f ca="1">IF(ISERROR(MATCH(H$1,INDIRECT("Table!A"&amp;$AG48):INDIRECT("Table!" &amp; $AJ$86 &amp; $AG48),0)),"",INDIRECT(CONCATENATE("Table!",ADDRESS($AC48,MATCH(H$1,INDIRECT("Table!A" &amp; $AG48):INDIRECT("Table!" &amp; $AJ$86 &amp; $AG48),0)))))</f>
        <v>0.81921720128725395</v>
      </c>
      <c r="I48" s="273">
        <f ca="1">IF(ISERROR(MATCH(I$1,INDIRECT("Table!A"&amp;$AG48):INDIRECT("Table!" &amp; $AJ$64 &amp; $AG48),0)),"",INDIRECT(CONCATENATE("Table!",ADDRESS($AC48,MATCH(I$1,INDIRECT("Table!A" &amp; $AG48):INDIRECT("Table!" &amp; $AJ$64 &amp; $AG48),0)))))</f>
        <v>8.6689192240508819E-2</v>
      </c>
      <c r="J48" s="273">
        <f ca="1">IF(ISERROR(MATCH(J$1,INDIRECT("Table!A"&amp;$AG48):INDIRECT("Table!" &amp; $AJ$64 &amp; $AG48),0)),"",INDIRECT(CONCATENATE("Table!",ADDRESS($AC48,MATCH(J$1,INDIRECT("Table!A" &amp; $AG48):INDIRECT("Table!" &amp; $AJ$64 &amp; $AG48),0)))))</f>
        <v>3.1572815595270413E-2</v>
      </c>
      <c r="K48" s="273" t="str">
        <f ca="1">IF(ISERROR(MATCH(K$1,INDIRECT("Table!A"&amp;$AG48):INDIRECT("Table!" &amp; $AJ$64 &amp; $AG48),0)),"",INDIRECT(CONCATENATE("Table!",ADDRESS($AC48,MATCH(K$1,INDIRECT("Table!A" &amp; $AG48):INDIRECT("Table!" &amp; $AJ$64 &amp; $AG48),0)))))</f>
        <v/>
      </c>
      <c r="L48" s="273">
        <f ca="1">IF(ISERROR(MATCH(L$1,INDIRECT("Table!A"&amp;$AG48):INDIRECT("Table!" &amp; $AJ$86 &amp; $AG48),0)),"",INDIRECT(CONCATENATE("Table!",ADDRESS($AC48,MATCH(L$1,INDIRECT("Table!A" &amp; $AG48):INDIRECT("Table!" &amp; $AJ$86 &amp; $AG48),0)))))</f>
        <v>1.4637768809544778</v>
      </c>
      <c r="M48" s="273">
        <f ca="1">IF(ISERROR(MATCH(M$1,INDIRECT("Table!A"&amp;$AG48):INDIRECT("Table!" &amp; $AJ$86 &amp; $AG48),0)),"",INDIRECT(CONCATENATE("Table!",ADDRESS($AC48,MATCH(M$1,INDIRECT("Table!A" &amp; $AG48):INDIRECT("Table!" &amp; $AJ$86 &amp; $AG48),0)))))</f>
        <v>2.8350081963366986</v>
      </c>
      <c r="N48" s="273">
        <f ca="1">IF(ISERROR(MATCH(N$1,INDIRECT("Table!A"&amp;$AG48):INDIRECT("Table!" &amp; $AJ$86 &amp; $AG48),0)),"",INDIRECT(CONCATENATE("Table!",ADDRESS($AC48,MATCH(N$1,INDIRECT("Table!A" &amp; $AG48):INDIRECT("Table!" &amp; $AJ$86 &amp; $AG48),0)))))</f>
        <v>1.6368128636237811</v>
      </c>
      <c r="O48" s="273">
        <f ca="1">IF(ISERROR(MATCH(O$1,INDIRECT("Table!A"&amp;$AG48):INDIRECT("Table!" &amp; $AJ$64 &amp; $AG48),0)),"",INDIRECT(CONCATENATE("Table!",ADDRESS($AC48,MATCH(O$1,INDIRECT("Table!A" &amp; $AG48):INDIRECT("Table!" &amp; $AJ$64 &amp; $AG48),0)))))</f>
        <v>0.90970056753277362</v>
      </c>
      <c r="P48" s="273">
        <f ca="1">IF(ISERROR(MATCH(P$1,INDIRECT("Table!A"&amp;$AG48):INDIRECT("Table!" &amp; $AJ$64 &amp; $AG48),0)),"",INDIRECT(CONCATENATE("Table!",ADDRESS($AC48,MATCH(P$1,INDIRECT("Table!A" &amp; $AG48):INDIRECT("Table!" &amp; $AJ$64 &amp; $AG48),0)))))</f>
        <v>0.35284713207047291</v>
      </c>
      <c r="Q48" s="273">
        <f ca="1">IF(ISERROR(MATCH(Q$1,INDIRECT("Table!A"&amp;$AG48):INDIRECT("Table!" &amp; $AJ$64 &amp; $AG48),0)),"",INDIRECT(CONCATENATE("Table!",ADDRESS($AC48,MATCH(Q$1,INDIRECT("Table!A" &amp; $AG48):INDIRECT("Table!" &amp; $AJ$64 &amp; $AG48),0)))))</f>
        <v>2.8546271171373292E-2</v>
      </c>
      <c r="R48" s="273" t="str">
        <f ca="1">IF(ISERROR(MATCH(R$1,INDIRECT("Table!A"&amp;$AG48):INDIRECT("Table!" &amp; $AJ$64 &amp; $AG48),0)),"",INDIRECT(CONCATENATE("Table!",ADDRESS($AC48,MATCH(R$1,INDIRECT("Table!A" &amp; $AG48):INDIRECT("Table!" &amp; $AJ$64 &amp; $AG48),0)))))</f>
        <v/>
      </c>
      <c r="S48" s="273">
        <f ca="1">IF(ISERROR(MATCH(S$1,INDIRECT("Table!A"&amp;$AG48):INDIRECT("Table!" &amp; $AJ$43 &amp; $AG48),0)),"",INDIRECT(CONCATENATE("Table!",ADDRESS($AC48,MATCH(S$1,INDIRECT("Table!A" &amp; $AG48):INDIRECT("Table!" &amp; $AJ$43 &amp; $AG48),0)))))</f>
        <v>0.59118309731464525</v>
      </c>
      <c r="T48" s="273">
        <f ca="1">IF(ISERROR(MATCH(T$1,INDIRECT("Table!A"&amp;$AG48):INDIRECT("Table!" &amp; $AJ$43 &amp; $AG48),0)),"",INDIRECT(CONCATENATE("Table!",ADDRESS($AC48,MATCH(T$1,INDIRECT("Table!A" &amp; $AG48):INDIRECT("Table!" &amp; $AJ$43 &amp; $AG48),0)))))</f>
        <v>0.50742859733156043</v>
      </c>
      <c r="U48" s="596" t="str">
        <f ca="1">IF(ISERROR(MATCH(U$1,INDIRECT("Table!A"&amp;$AG48):INDIRECT("Table!" &amp; $AJ$43 &amp; $AG48),0)),"",INDIRECT(CONCATENATE("Table!",ADDRESS($AC48,MATCH(U$1,INDIRECT("Table!A" &amp; $AG48):INDIRECT("Table!" &amp; $AJ$43 &amp; $AG48),0)))))</f>
        <v/>
      </c>
      <c r="V48" s="596"/>
      <c r="W48" s="596"/>
      <c r="X48" s="596"/>
      <c r="Y48" s="596"/>
      <c r="Z48" s="596"/>
      <c r="AA48" s="596"/>
      <c r="AB48" s="596"/>
      <c r="AC48" s="272">
        <f>MATCH($A48,Table!$A:$A,0)+$AE$2-1</f>
        <v>626</v>
      </c>
      <c r="AD48" s="384"/>
      <c r="AE48" s="384"/>
      <c r="AF48" s="384"/>
      <c r="AG48" s="272">
        <f>MATCH($A48,Table!$A:$A,0)+$AI$2-1</f>
        <v>617</v>
      </c>
      <c r="AH48" s="384"/>
      <c r="AI48" s="384"/>
      <c r="AJ48" s="904" t="s">
        <v>285</v>
      </c>
    </row>
    <row r="49" spans="1:36" s="267" customFormat="1" ht="19.5" customHeight="1" x14ac:dyDescent="0.25">
      <c r="A49" s="268">
        <v>41428</v>
      </c>
      <c r="B49" s="596">
        <f ca="1">IF(ISERROR(MATCH(B$1,INDIRECT("Table!A"&amp;$AG49):INDIRECT("Table!" &amp; $AJ$86 &amp; $AG49),0)),"",INDIRECT(CONCATENATE("Table!",ADDRESS($AC49,MATCH(B$1,INDIRECT("Table!A" &amp; $AG49):INDIRECT("Table!" &amp; $AJ$86 &amp; $AG49),0)))))</f>
        <v>1.2554034529074802</v>
      </c>
      <c r="C49" s="273">
        <f ca="1">IF(ISERROR(MATCH(C$1,INDIRECT("Table!A"&amp;$AG49):INDIRECT("Table!" &amp; $AJ$86 &amp; $AG49),0)),"",INDIRECT(CONCATENATE("Table!",ADDRESS($AC49,MATCH(C$1,INDIRECT("Table!A" &amp; $AG49):INDIRECT("Table!" &amp; $AJ$86 &amp; $AG49),0)))))</f>
        <v>0.60101803930218622</v>
      </c>
      <c r="D49" s="273">
        <f ca="1">IF(ISERROR(MATCH(D$1,INDIRECT("Table!A"&amp;$AG49):INDIRECT("Table!" &amp; $AJ$86 &amp; $AG49),0)),"",INDIRECT(CONCATENATE("Table!",ADDRESS($AC49,MATCH(D$1,INDIRECT("Table!A" &amp; $AG49):INDIRECT("Table!" &amp; $AJ$86 &amp; $AG49),0)))))</f>
        <v>0.60796234016628159</v>
      </c>
      <c r="E49" s="273">
        <f ca="1">IF(ISERROR(MATCH(E$1,INDIRECT("Table!A"&amp;$AG49):INDIRECT("Table!" &amp; $AJ$86 &amp; $AG49),0)),"",INDIRECT(CONCATENATE("Table!",ADDRESS($AC49,MATCH(E$1,INDIRECT("Table!A" &amp; $AG49):INDIRECT("Table!" &amp; $AJ$86 &amp; $AG49),0)))))</f>
        <v>1.5276579277331923</v>
      </c>
      <c r="F49" s="273">
        <f ca="1">IF(ISERROR(MATCH(F$1,INDIRECT("Table!A"&amp;$AG49):INDIRECT("Table!" &amp; $AJ$86 &amp; $AG49),0)),"",INDIRECT(CONCATENATE("Table!",ADDRESS($AC49,MATCH(F$1,INDIRECT("Table!A" &amp; $AG49):INDIRECT("Table!" &amp; $AJ$86 &amp; $AG49),0)))))</f>
        <v>1.5683415602665416</v>
      </c>
      <c r="G49" s="273">
        <f ca="1">IF(ISERROR(MATCH(G$1,INDIRECT("Table!A"&amp;$AG49):INDIRECT("Table!" &amp; $AJ$86 &amp; $AG49),0)),"",INDIRECT(CONCATENATE("Table!",ADDRESS($AC49,MATCH(G$1,INDIRECT("Table!A" &amp; $AG49):INDIRECT("Table!" &amp; $AJ$86 &amp; $AG49),0)))))</f>
        <v>3.4760162110616655</v>
      </c>
      <c r="H49" s="273">
        <f ca="1">IF(ISERROR(MATCH(H$1,INDIRECT("Table!A"&amp;$AG49):INDIRECT("Table!" &amp; $AJ$86 &amp; $AG49),0)),"",INDIRECT(CONCATENATE("Table!",ADDRESS($AC49,MATCH(H$1,INDIRECT("Table!A" &amp; $AG49):INDIRECT("Table!" &amp; $AJ$86 &amp; $AG49),0)))))</f>
        <v>0.81468133329745929</v>
      </c>
      <c r="I49" s="273">
        <f ca="1">IF(ISERROR(MATCH(I$1,INDIRECT("Table!A"&amp;$AG49):INDIRECT("Table!" &amp; $AJ$64 &amp; $AG49),0)),"",INDIRECT(CONCATENATE("Table!",ADDRESS($AC49,MATCH(I$1,INDIRECT("Table!A" &amp; $AG49):INDIRECT("Table!" &amp; $AJ$64 &amp; $AG49),0)))))</f>
        <v>7.7147290518485595E-2</v>
      </c>
      <c r="J49" s="273">
        <f ca="1">IF(ISERROR(MATCH(J$1,INDIRECT("Table!A"&amp;$AG49):INDIRECT("Table!" &amp; $AJ$64 &amp; $AG49),0)),"",INDIRECT(CONCATENATE("Table!",ADDRESS($AC49,MATCH(J$1,INDIRECT("Table!A" &amp; $AG49):INDIRECT("Table!" &amp; $AJ$64 &amp; $AG49),0)))))</f>
        <v>0</v>
      </c>
      <c r="K49" s="273" t="str">
        <f ca="1">IF(ISERROR(MATCH(K$1,INDIRECT("Table!A"&amp;$AG49):INDIRECT("Table!" &amp; $AJ$64 &amp; $AG49),0)),"",INDIRECT(CONCATENATE("Table!",ADDRESS($AC49,MATCH(K$1,INDIRECT("Table!A" &amp; $AG49):INDIRECT("Table!" &amp; $AJ$64 &amp; $AG49),0)))))</f>
        <v/>
      </c>
      <c r="L49" s="273">
        <f ca="1">IF(ISERROR(MATCH(L$1,INDIRECT("Table!A"&amp;$AG49):INDIRECT("Table!" &amp; $AJ$86 &amp; $AG49),0)),"",INDIRECT(CONCATENATE("Table!",ADDRESS($AC49,MATCH(L$1,INDIRECT("Table!A" &amp; $AG49):INDIRECT("Table!" &amp; $AJ$86 &amp; $AG49),0)))))</f>
        <v>1.4637768809544778</v>
      </c>
      <c r="M49" s="273">
        <f ca="1">IF(ISERROR(MATCH(M$1,INDIRECT("Table!A"&amp;$AG49):INDIRECT("Table!" &amp; $AJ$86 &amp; $AG49),0)),"",INDIRECT(CONCATENATE("Table!",ADDRESS($AC49,MATCH(M$1,INDIRECT("Table!A" &amp; $AG49):INDIRECT("Table!" &amp; $AJ$86 &amp; $AG49),0)))))</f>
        <v>2.8350081963366986</v>
      </c>
      <c r="N49" s="273">
        <f ca="1">IF(ISERROR(MATCH(N$1,INDIRECT("Table!A"&amp;$AG49):INDIRECT("Table!" &amp; $AJ$86 &amp; $AG49),0)),"",INDIRECT(CONCATENATE("Table!",ADDRESS($AC49,MATCH(N$1,INDIRECT("Table!A" &amp; $AG49):INDIRECT("Table!" &amp; $AJ$86 &amp; $AG49),0)))))</f>
        <v>1.6282538322153899</v>
      </c>
      <c r="O49" s="273">
        <f ca="1">IF(ISERROR(MATCH(O$1,INDIRECT("Table!A"&amp;$AG49):INDIRECT("Table!" &amp; $AJ$64 &amp; $AG49),0)),"",INDIRECT(CONCATENATE("Table!",ADDRESS($AC49,MATCH(O$1,INDIRECT("Table!A" &amp; $AG49):INDIRECT("Table!" &amp; $AJ$64 &amp; $AG49),0)))))</f>
        <v>0.90688832115464812</v>
      </c>
      <c r="P49" s="273">
        <f ca="1">IF(ISERROR(MATCH(P$1,INDIRECT("Table!A"&amp;$AG49):INDIRECT("Table!" &amp; $AJ$64 &amp; $AG49),0)),"",INDIRECT(CONCATENATE("Table!",ADDRESS($AC49,MATCH(P$1,INDIRECT("Table!A" &amp; $AG49):INDIRECT("Table!" &amp; $AJ$64 &amp; $AG49),0)))))</f>
        <v>0.34756863642384905</v>
      </c>
      <c r="Q49" s="273">
        <f ca="1">IF(ISERROR(MATCH(Q$1,INDIRECT("Table!A"&amp;$AG49):INDIRECT("Table!" &amp; $AJ$64 &amp; $AG49),0)),"",INDIRECT(CONCATENATE("Table!",ADDRESS($AC49,MATCH(Q$1,INDIRECT("Table!A" &amp; $AG49):INDIRECT("Table!" &amp; $AJ$64 &amp; $AG49),0)))))</f>
        <v>0</v>
      </c>
      <c r="R49" s="273" t="str">
        <f ca="1">IF(ISERROR(MATCH(R$1,INDIRECT("Table!A"&amp;$AG49):INDIRECT("Table!" &amp; $AJ$64 &amp; $AG49),0)),"",INDIRECT(CONCATENATE("Table!",ADDRESS($AC49,MATCH(R$1,INDIRECT("Table!A" &amp; $AG49):INDIRECT("Table!" &amp; $AJ$64 &amp; $AG49),0)))))</f>
        <v/>
      </c>
      <c r="S49" s="273">
        <f ca="1">IF(ISERROR(MATCH(S$1,INDIRECT("Table!A"&amp;$AG49):INDIRECT("Table!" &amp; $AJ$43 &amp; $AG49),0)),"",INDIRECT(CONCATENATE("Table!",ADDRESS($AC49,MATCH(S$1,INDIRECT("Table!A" &amp; $AG49):INDIRECT("Table!" &amp; $AJ$43 &amp; $AG49),0)))))</f>
        <v>0.59118309731464525</v>
      </c>
      <c r="T49" s="273">
        <f ca="1">IF(ISERROR(MATCH(T$1,INDIRECT("Table!A"&amp;$AG49):INDIRECT("Table!" &amp; $AJ$43 &amp; $AG49),0)),"",INDIRECT(CONCATENATE("Table!",ADDRESS($AC49,MATCH(T$1,INDIRECT("Table!A" &amp; $AG49):INDIRECT("Table!" &amp; $AJ$43 &amp; $AG49),0)))))</f>
        <v>0.50742859733156043</v>
      </c>
      <c r="U49" s="596" t="str">
        <f ca="1">IF(ISERROR(MATCH(U$1,INDIRECT("Table!A"&amp;$AG49):INDIRECT("Table!" &amp; $AJ$43 &amp; $AG49),0)),"",INDIRECT(CONCATENATE("Table!",ADDRESS($AC49,MATCH(U$1,INDIRECT("Table!A" &amp; $AG49):INDIRECT("Table!" &amp; $AJ$43 &amp; $AG49),0)))))</f>
        <v/>
      </c>
      <c r="V49" s="596"/>
      <c r="W49" s="596"/>
      <c r="X49" s="596"/>
      <c r="Y49" s="596"/>
      <c r="Z49" s="596"/>
      <c r="AA49" s="596"/>
      <c r="AB49" s="596"/>
      <c r="AC49" s="272">
        <f>MATCH($A49,Table!$A:$A,0)+$AE$2-1</f>
        <v>638</v>
      </c>
      <c r="AD49" s="380"/>
      <c r="AE49" s="380"/>
      <c r="AF49" s="380"/>
      <c r="AG49" s="272">
        <f>MATCH($A49,Table!$A:$A,0)+$AI$2-1</f>
        <v>629</v>
      </c>
      <c r="AH49" s="380"/>
      <c r="AI49" s="380"/>
      <c r="AJ49" s="904" t="s">
        <v>285</v>
      </c>
    </row>
    <row r="50" spans="1:36" s="267" customFormat="1" ht="19.5" customHeight="1" x14ac:dyDescent="0.25">
      <c r="A50" s="268">
        <v>41423</v>
      </c>
      <c r="B50" s="596">
        <f ca="1">IF(ISERROR(MATCH(B$1,INDIRECT("Table!A"&amp;$AG50):INDIRECT("Table!" &amp; $AJ$86 &amp; $AG50),0)),"",INDIRECT(CONCATENATE("Table!",ADDRESS($AC50,MATCH(B$1,INDIRECT("Table!A" &amp; $AG50):INDIRECT("Table!" &amp; $AJ$86 &amp; $AG50),0)))))</f>
        <v>1.2554034529074802</v>
      </c>
      <c r="C50" s="273">
        <f ca="1">IF(ISERROR(MATCH(C$1,INDIRECT("Table!A"&amp;$AG50):INDIRECT("Table!" &amp; $AJ$86 &amp; $AG50),0)),"",INDIRECT(CONCATENATE("Table!",ADDRESS($AC50,MATCH(C$1,INDIRECT("Table!A" &amp; $AG50):INDIRECT("Table!" &amp; $AJ$86 &amp; $AG50),0)))))</f>
        <v>0.60101803930218622</v>
      </c>
      <c r="D50" s="273">
        <f ca="1">IF(ISERROR(MATCH(D$1,INDIRECT("Table!A"&amp;$AG50):INDIRECT("Table!" &amp; $AJ$86 &amp; $AG50),0)),"",INDIRECT(CONCATENATE("Table!",ADDRESS($AC50,MATCH(D$1,INDIRECT("Table!A" &amp; $AG50):INDIRECT("Table!" &amp; $AJ$86 &amp; $AG50),0)))))</f>
        <v>0.60796234016628159</v>
      </c>
      <c r="E50" s="273">
        <f ca="1">IF(ISERROR(MATCH(E$1,INDIRECT("Table!A"&amp;$AG50):INDIRECT("Table!" &amp; $AJ$86 &amp; $AG50),0)),"",INDIRECT(CONCATENATE("Table!",ADDRESS($AC50,MATCH(E$1,INDIRECT("Table!A" &amp; $AG50):INDIRECT("Table!" &amp; $AJ$86 &amp; $AG50),0)))))</f>
        <v>1.5276579277331923</v>
      </c>
      <c r="F50" s="273">
        <f ca="1">IF(ISERROR(MATCH(F$1,INDIRECT("Table!A"&amp;$AG50):INDIRECT("Table!" &amp; $AJ$86 &amp; $AG50),0)),"",INDIRECT(CONCATENATE("Table!",ADDRESS($AC50,MATCH(F$1,INDIRECT("Table!A" &amp; $AG50):INDIRECT("Table!" &amp; $AJ$86 &amp; $AG50),0)))))</f>
        <v>1.5683415602665416</v>
      </c>
      <c r="G50" s="273">
        <f ca="1">IF(ISERROR(MATCH(G$1,INDIRECT("Table!A"&amp;$AG50):INDIRECT("Table!" &amp; $AJ$86 &amp; $AG50),0)),"",INDIRECT(CONCATENATE("Table!",ADDRESS($AC50,MATCH(G$1,INDIRECT("Table!A" &amp; $AG50):INDIRECT("Table!" &amp; $AJ$86 &amp; $AG50),0)))))</f>
        <v>3.4760162110616655</v>
      </c>
      <c r="H50" s="273">
        <f ca="1">IF(ISERROR(MATCH(H$1,INDIRECT("Table!A"&amp;$AG50):INDIRECT("Table!" &amp; $AJ$86 &amp; $AG50),0)),"",INDIRECT(CONCATENATE("Table!",ADDRESS($AC50,MATCH(H$1,INDIRECT("Table!A" &amp; $AG50):INDIRECT("Table!" &amp; $AJ$86 &amp; $AG50),0)))))</f>
        <v>0.81468133329745929</v>
      </c>
      <c r="I50" s="273">
        <f ca="1">IF(ISERROR(MATCH(I$1,INDIRECT("Table!A"&amp;$AG50):INDIRECT("Table!" &amp; $AJ$64 &amp; $AG50),0)),"",INDIRECT(CONCATENATE("Table!",ADDRESS($AC50,MATCH(I$1,INDIRECT("Table!A" &amp; $AG50):INDIRECT("Table!" &amp; $AJ$64 &amp; $AG50),0)))))</f>
        <v>7.7147290518485595E-2</v>
      </c>
      <c r="J50" s="273">
        <f ca="1">IF(ISERROR(MATCH(J$1,INDIRECT("Table!A"&amp;$AG50):INDIRECT("Table!" &amp; $AJ$64 &amp; $AG50),0)),"",INDIRECT(CONCATENATE("Table!",ADDRESS($AC50,MATCH(J$1,INDIRECT("Table!A" &amp; $AG50):INDIRECT("Table!" &amp; $AJ$64 &amp; $AG50),0)))))</f>
        <v>0</v>
      </c>
      <c r="K50" s="273" t="str">
        <f ca="1">IF(ISERROR(MATCH(K$1,INDIRECT("Table!A"&amp;$AG50):INDIRECT("Table!" &amp; $AJ$64 &amp; $AG50),0)),"",INDIRECT(CONCATENATE("Table!",ADDRESS($AC50,MATCH(K$1,INDIRECT("Table!A" &amp; $AG50):INDIRECT("Table!" &amp; $AJ$64 &amp; $AG50),0)))))</f>
        <v/>
      </c>
      <c r="L50" s="273">
        <f ca="1">IF(ISERROR(MATCH(L$1,INDIRECT("Table!A"&amp;$AG50):INDIRECT("Table!" &amp; $AJ$86 &amp; $AG50),0)),"",INDIRECT(CONCATENATE("Table!",ADDRESS($AC50,MATCH(L$1,INDIRECT("Table!A" &amp; $AG50):INDIRECT("Table!" &amp; $AJ$86 &amp; $AG50),0)))))</f>
        <v>1.4637768809544778</v>
      </c>
      <c r="M50" s="273">
        <f ca="1">IF(ISERROR(MATCH(M$1,INDIRECT("Table!A"&amp;$AG50):INDIRECT("Table!" &amp; $AJ$86 &amp; $AG50),0)),"",INDIRECT(CONCATENATE("Table!",ADDRESS($AC50,MATCH(M$1,INDIRECT("Table!A" &amp; $AG50):INDIRECT("Table!" &amp; $AJ$86 &amp; $AG50),0)))))</f>
        <v>2.8350081963366986</v>
      </c>
      <c r="N50" s="273">
        <f ca="1">IF(ISERROR(MATCH(N$1,INDIRECT("Table!A"&amp;$AG50):INDIRECT("Table!" &amp; $AJ$86 &amp; $AG50),0)),"",INDIRECT(CONCATENATE("Table!",ADDRESS($AC50,MATCH(N$1,INDIRECT("Table!A" &amp; $AG50):INDIRECT("Table!" &amp; $AJ$86 &amp; $AG50),0)))))</f>
        <v>1.6282538322153899</v>
      </c>
      <c r="O50" s="273">
        <f ca="1">IF(ISERROR(MATCH(O$1,INDIRECT("Table!A"&amp;$AG50):INDIRECT("Table!" &amp; $AJ$64 &amp; $AG50),0)),"",INDIRECT(CONCATENATE("Table!",ADDRESS($AC50,MATCH(O$1,INDIRECT("Table!A" &amp; $AG50):INDIRECT("Table!" &amp; $AJ$64 &amp; $AG50),0)))))</f>
        <v>0.90688832115464812</v>
      </c>
      <c r="P50" s="273">
        <f ca="1">IF(ISERROR(MATCH(P$1,INDIRECT("Table!A"&amp;$AG50):INDIRECT("Table!" &amp; $AJ$64 &amp; $AG50),0)),"",INDIRECT(CONCATENATE("Table!",ADDRESS($AC50,MATCH(P$1,INDIRECT("Table!A" &amp; $AG50):INDIRECT("Table!" &amp; $AJ$64 &amp; $AG50),0)))))</f>
        <v>0.34756863642384905</v>
      </c>
      <c r="Q50" s="273">
        <f ca="1">IF(ISERROR(MATCH(Q$1,INDIRECT("Table!A"&amp;$AG50):INDIRECT("Table!" &amp; $AJ$64 &amp; $AG50),0)),"",INDIRECT(CONCATENATE("Table!",ADDRESS($AC50,MATCH(Q$1,INDIRECT("Table!A" &amp; $AG50):INDIRECT("Table!" &amp; $AJ$64 &amp; $AG50),0)))))</f>
        <v>0</v>
      </c>
      <c r="R50" s="273" t="str">
        <f ca="1">IF(ISERROR(MATCH(R$1,INDIRECT("Table!A"&amp;$AG50):INDIRECT("Table!" &amp; $AJ$64 &amp; $AG50),0)),"",INDIRECT(CONCATENATE("Table!",ADDRESS($AC50,MATCH(R$1,INDIRECT("Table!A" &amp; $AG50):INDIRECT("Table!" &amp; $AJ$64 &amp; $AG50),0)))))</f>
        <v/>
      </c>
      <c r="S50" s="273">
        <f ca="1">IF(ISERROR(MATCH(S$1,INDIRECT("Table!A"&amp;$AG50):INDIRECT("Table!" &amp; $AJ$43 &amp; $AG50),0)),"",INDIRECT(CONCATENATE("Table!",ADDRESS($AC50,MATCH(S$1,INDIRECT("Table!A" &amp; $AG50):INDIRECT("Table!" &amp; $AJ$43 &amp; $AG50),0)))))</f>
        <v>0.59118309731464525</v>
      </c>
      <c r="T50" s="273">
        <f ca="1">IF(ISERROR(MATCH(T$1,INDIRECT("Table!A"&amp;$AG50):INDIRECT("Table!" &amp; $AJ$43 &amp; $AG50),0)),"",INDIRECT(CONCATENATE("Table!",ADDRESS($AC50,MATCH(T$1,INDIRECT("Table!A" &amp; $AG50):INDIRECT("Table!" &amp; $AJ$43 &amp; $AG50),0)))))</f>
        <v>0.50742859733156043</v>
      </c>
      <c r="U50" s="596" t="str">
        <f ca="1">IF(ISERROR(MATCH(U$1,INDIRECT("Table!A"&amp;$AG50):INDIRECT("Table!" &amp; $AJ$43 &amp; $AG50),0)),"",INDIRECT(CONCATENATE("Table!",ADDRESS($AC50,MATCH(U$1,INDIRECT("Table!A" &amp; $AG50):INDIRECT("Table!" &amp; $AJ$43 &amp; $AG50),0)))))</f>
        <v/>
      </c>
      <c r="V50" s="596"/>
      <c r="W50" s="596"/>
      <c r="X50" s="596"/>
      <c r="Y50" s="596"/>
      <c r="Z50" s="596"/>
      <c r="AA50" s="596"/>
      <c r="AB50" s="596"/>
      <c r="AC50" s="272">
        <f>MATCH($A50,Table!$A:$A,0)+$AE$2-1</f>
        <v>650</v>
      </c>
      <c r="AD50" s="379"/>
      <c r="AE50" s="379"/>
      <c r="AF50" s="379"/>
      <c r="AG50" s="272">
        <f>MATCH($A50,Table!$A:$A,0)+$AI$2-1</f>
        <v>641</v>
      </c>
      <c r="AH50" s="379"/>
      <c r="AI50" s="379"/>
      <c r="AJ50" s="904" t="s">
        <v>285</v>
      </c>
    </row>
    <row r="51" spans="1:36" s="267" customFormat="1" ht="19.5" customHeight="1" x14ac:dyDescent="0.25">
      <c r="A51" s="268">
        <v>41422</v>
      </c>
      <c r="B51" s="596">
        <f ca="1">IF(ISERROR(MATCH(B$1,INDIRECT("Table!A"&amp;$AG51):INDIRECT("Table!" &amp; $AJ$86 &amp; $AG51),0)),"",INDIRECT(CONCATENATE("Table!",ADDRESS($AC51,MATCH(B$1,INDIRECT("Table!A" &amp; $AG51):INDIRECT("Table!" &amp; $AJ$86 &amp; $AG51),0)))))</f>
        <v>1.2554034529074802</v>
      </c>
      <c r="C51" s="273">
        <f ca="1">IF(ISERROR(MATCH(C$1,INDIRECT("Table!A"&amp;$AG51):INDIRECT("Table!" &amp; $AJ$86 &amp; $AG51),0)),"",INDIRECT(CONCATENATE("Table!",ADDRESS($AC51,MATCH(C$1,INDIRECT("Table!A" &amp; $AG51):INDIRECT("Table!" &amp; $AJ$86 &amp; $AG51),0)))))</f>
        <v>0.60101803930218622</v>
      </c>
      <c r="D51" s="273">
        <f ca="1">IF(ISERROR(MATCH(D$1,INDIRECT("Table!A"&amp;$AG51):INDIRECT("Table!" &amp; $AJ$86 &amp; $AG51),0)),"",INDIRECT(CONCATENATE("Table!",ADDRESS($AC51,MATCH(D$1,INDIRECT("Table!A" &amp; $AG51):INDIRECT("Table!" &amp; $AJ$86 &amp; $AG51),0)))))</f>
        <v>0.60796234016628159</v>
      </c>
      <c r="E51" s="273">
        <f ca="1">IF(ISERROR(MATCH(E$1,INDIRECT("Table!A"&amp;$AG51):INDIRECT("Table!" &amp; $AJ$86 &amp; $AG51),0)),"",INDIRECT(CONCATENATE("Table!",ADDRESS($AC51,MATCH(E$1,INDIRECT("Table!A" &amp; $AG51):INDIRECT("Table!" &amp; $AJ$86 &amp; $AG51),0)))))</f>
        <v>1.5276579277331923</v>
      </c>
      <c r="F51" s="273">
        <f ca="1">IF(ISERROR(MATCH(F$1,INDIRECT("Table!A"&amp;$AG51):INDIRECT("Table!" &amp; $AJ$86 &amp; $AG51),0)),"",INDIRECT(CONCATENATE("Table!",ADDRESS($AC51,MATCH(F$1,INDIRECT("Table!A" &amp; $AG51):INDIRECT("Table!" &amp; $AJ$86 &amp; $AG51),0)))))</f>
        <v>1.5683415602665416</v>
      </c>
      <c r="G51" s="273">
        <f ca="1">IF(ISERROR(MATCH(G$1,INDIRECT("Table!A"&amp;$AG51):INDIRECT("Table!" &amp; $AJ$86 &amp; $AG51),0)),"",INDIRECT(CONCATENATE("Table!",ADDRESS($AC51,MATCH(G$1,INDIRECT("Table!A" &amp; $AG51):INDIRECT("Table!" &amp; $AJ$86 &amp; $AG51),0)))))</f>
        <v>3.4760162110616655</v>
      </c>
      <c r="H51" s="273">
        <f ca="1">IF(ISERROR(MATCH(H$1,INDIRECT("Table!A"&amp;$AG51):INDIRECT("Table!" &amp; $AJ$86 &amp; $AG51),0)),"",INDIRECT(CONCATENATE("Table!",ADDRESS($AC51,MATCH(H$1,INDIRECT("Table!A" &amp; $AG51):INDIRECT("Table!" &amp; $AJ$86 &amp; $AG51),0)))))</f>
        <v>0.81468133329745929</v>
      </c>
      <c r="I51" s="273">
        <f ca="1">IF(ISERROR(MATCH(I$1,INDIRECT("Table!A"&amp;$AG51):INDIRECT("Table!" &amp; $AJ$64 &amp; $AG51),0)),"",INDIRECT(CONCATENATE("Table!",ADDRESS($AC51,MATCH(I$1,INDIRECT("Table!A" &amp; $AG51):INDIRECT("Table!" &amp; $AJ$64 &amp; $AG51),0)))))</f>
        <v>7.7147290518485595E-2</v>
      </c>
      <c r="J51" s="273">
        <f ca="1">IF(ISERROR(MATCH(J$1,INDIRECT("Table!A"&amp;$AG51):INDIRECT("Table!" &amp; $AJ$64 &amp; $AG51),0)),"",INDIRECT(CONCATENATE("Table!",ADDRESS($AC51,MATCH(J$1,INDIRECT("Table!A" &amp; $AG51):INDIRECT("Table!" &amp; $AJ$64 &amp; $AG51),0)))))</f>
        <v>0</v>
      </c>
      <c r="K51" s="273" t="str">
        <f ca="1">IF(ISERROR(MATCH(K$1,INDIRECT("Table!A"&amp;$AG51):INDIRECT("Table!" &amp; $AJ$64 &amp; $AG51),0)),"",INDIRECT(CONCATENATE("Table!",ADDRESS($AC51,MATCH(K$1,INDIRECT("Table!A" &amp; $AG51):INDIRECT("Table!" &amp; $AJ$64 &amp; $AG51),0)))))</f>
        <v/>
      </c>
      <c r="L51" s="273">
        <f ca="1">IF(ISERROR(MATCH(L$1,INDIRECT("Table!A"&amp;$AG51):INDIRECT("Table!" &amp; $AJ$86 &amp; $AG51),0)),"",INDIRECT(CONCATENATE("Table!",ADDRESS($AC51,MATCH(L$1,INDIRECT("Table!A" &amp; $AG51):INDIRECT("Table!" &amp; $AJ$86 &amp; $AG51),0)))))</f>
        <v>1.4637768809544778</v>
      </c>
      <c r="M51" s="273">
        <f ca="1">IF(ISERROR(MATCH(M$1,INDIRECT("Table!A"&amp;$AG51):INDIRECT("Table!" &amp; $AJ$86 &amp; $AG51),0)),"",INDIRECT(CONCATENATE("Table!",ADDRESS($AC51,MATCH(M$1,INDIRECT("Table!A" &amp; $AG51):INDIRECT("Table!" &amp; $AJ$86 &amp; $AG51),0)))))</f>
        <v>2.8350081963366986</v>
      </c>
      <c r="N51" s="273">
        <f ca="1">IF(ISERROR(MATCH(N$1,INDIRECT("Table!A"&amp;$AG51):INDIRECT("Table!" &amp; $AJ$86 &amp; $AG51),0)),"",INDIRECT(CONCATENATE("Table!",ADDRESS($AC51,MATCH(N$1,INDIRECT("Table!A" &amp; $AG51):INDIRECT("Table!" &amp; $AJ$86 &amp; $AG51),0)))))</f>
        <v>1.6282538322153899</v>
      </c>
      <c r="O51" s="273">
        <f ca="1">IF(ISERROR(MATCH(O$1,INDIRECT("Table!A"&amp;$AG51):INDIRECT("Table!" &amp; $AJ$64 &amp; $AG51),0)),"",INDIRECT(CONCATENATE("Table!",ADDRESS($AC51,MATCH(O$1,INDIRECT("Table!A" &amp; $AG51):INDIRECT("Table!" &amp; $AJ$64 &amp; $AG51),0)))))</f>
        <v>0.90688832115464812</v>
      </c>
      <c r="P51" s="273">
        <f ca="1">IF(ISERROR(MATCH(P$1,INDIRECT("Table!A"&amp;$AG51):INDIRECT("Table!" &amp; $AJ$64 &amp; $AG51),0)),"",INDIRECT(CONCATENATE("Table!",ADDRESS($AC51,MATCH(P$1,INDIRECT("Table!A" &amp; $AG51):INDIRECT("Table!" &amp; $AJ$64 &amp; $AG51),0)))))</f>
        <v>0.34756863642384905</v>
      </c>
      <c r="Q51" s="273">
        <f ca="1">IF(ISERROR(MATCH(Q$1,INDIRECT("Table!A"&amp;$AG51):INDIRECT("Table!" &amp; $AJ$64 &amp; $AG51),0)),"",INDIRECT(CONCATENATE("Table!",ADDRESS($AC51,MATCH(Q$1,INDIRECT("Table!A" &amp; $AG51):INDIRECT("Table!" &amp; $AJ$64 &amp; $AG51),0)))))</f>
        <v>0</v>
      </c>
      <c r="R51" s="273" t="str">
        <f ca="1">IF(ISERROR(MATCH(R$1,INDIRECT("Table!A"&amp;$AG51):INDIRECT("Table!" &amp; $AJ$64 &amp; $AG51),0)),"",INDIRECT(CONCATENATE("Table!",ADDRESS($AC51,MATCH(R$1,INDIRECT("Table!A" &amp; $AG51):INDIRECT("Table!" &amp; $AJ$64 &amp; $AG51),0)))))</f>
        <v/>
      </c>
      <c r="S51" s="273">
        <f ca="1">IF(ISERROR(MATCH(S$1,INDIRECT("Table!A"&amp;$AG51):INDIRECT("Table!" &amp; $AJ$43 &amp; $AG51),0)),"",INDIRECT(CONCATENATE("Table!",ADDRESS($AC51,MATCH(S$1,INDIRECT("Table!A" &amp; $AG51):INDIRECT("Table!" &amp; $AJ$43 &amp; $AG51),0)))))</f>
        <v>0.59118309731464525</v>
      </c>
      <c r="T51" s="273">
        <f ca="1">IF(ISERROR(MATCH(T$1,INDIRECT("Table!A"&amp;$AG51):INDIRECT("Table!" &amp; $AJ$43 &amp; $AG51),0)),"",INDIRECT(CONCATENATE("Table!",ADDRESS($AC51,MATCH(T$1,INDIRECT("Table!A" &amp; $AG51):INDIRECT("Table!" &amp; $AJ$43 &amp; $AG51),0)))))</f>
        <v>0.50742859733156043</v>
      </c>
      <c r="U51" s="596" t="str">
        <f ca="1">IF(ISERROR(MATCH(U$1,INDIRECT("Table!A"&amp;$AG51):INDIRECT("Table!" &amp; $AJ$43 &amp; $AG51),0)),"",INDIRECT(CONCATENATE("Table!",ADDRESS($AC51,MATCH(U$1,INDIRECT("Table!A" &amp; $AG51):INDIRECT("Table!" &amp; $AJ$43 &amp; $AG51),0)))))</f>
        <v/>
      </c>
      <c r="V51" s="596"/>
      <c r="W51" s="596"/>
      <c r="X51" s="596"/>
      <c r="Y51" s="596"/>
      <c r="Z51" s="596"/>
      <c r="AA51" s="596"/>
      <c r="AB51" s="596"/>
      <c r="AC51" s="272">
        <f>MATCH($A51,Table!$A:$A,0)+$AE$2-1</f>
        <v>662</v>
      </c>
      <c r="AD51" s="373"/>
      <c r="AE51" s="373"/>
      <c r="AF51" s="373"/>
      <c r="AG51" s="272">
        <f>MATCH($A51,Table!$A:$A,0)+$AI$2-1</f>
        <v>653</v>
      </c>
      <c r="AH51" s="373"/>
      <c r="AI51" s="373"/>
      <c r="AJ51" s="904" t="s">
        <v>285</v>
      </c>
    </row>
    <row r="52" spans="1:36" s="267" customFormat="1" ht="19.5" customHeight="1" x14ac:dyDescent="0.25">
      <c r="A52" s="268">
        <v>41414</v>
      </c>
      <c r="B52" s="596">
        <f ca="1">IF(ISERROR(MATCH(B$1,INDIRECT("Table!A"&amp;$AG52):INDIRECT("Table!" &amp; $AJ$86 &amp; $AG52),0)),"",INDIRECT(CONCATENATE("Table!",ADDRESS($AC52,MATCH(B$1,INDIRECT("Table!A" &amp; $AG52):INDIRECT("Table!" &amp; $AJ$86 &amp; $AG52),0)))))</f>
        <v>1.2549331762815548</v>
      </c>
      <c r="C52" s="273">
        <f ca="1">IF(ISERROR(MATCH(C$1,INDIRECT("Table!A"&amp;$AG52):INDIRECT("Table!" &amp; $AJ$86 &amp; $AG52),0)),"",INDIRECT(CONCATENATE("Table!",ADDRESS($AC52,MATCH(C$1,INDIRECT("Table!A" &amp; $AG52):INDIRECT("Table!" &amp; $AJ$86 &amp; $AG52),0)))))</f>
        <v>0.59429774814338432</v>
      </c>
      <c r="D52" s="273">
        <f ca="1">IF(ISERROR(MATCH(D$1,INDIRECT("Table!A"&amp;$AG52):INDIRECT("Table!" &amp; $AJ$86 &amp; $AG52),0)),"",INDIRECT(CONCATENATE("Table!",ADDRESS($AC52,MATCH(D$1,INDIRECT("Table!A" &amp; $AG52):INDIRECT("Table!" &amp; $AJ$86 &amp; $AG52),0)))))</f>
        <v>0.60124204900747968</v>
      </c>
      <c r="E52" s="273">
        <f ca="1">IF(ISERROR(MATCH(E$1,INDIRECT("Table!A"&amp;$AG52):INDIRECT("Table!" &amp; $AJ$86 &amp; $AG52),0)),"",INDIRECT(CONCATENATE("Table!",ADDRESS($AC52,MATCH(E$1,INDIRECT("Table!A" &amp; $AG52):INDIRECT("Table!" &amp; $AJ$86 &amp; $AG52),0)))))</f>
        <v>1.5276579277331923</v>
      </c>
      <c r="F52" s="273">
        <f ca="1">IF(ISERROR(MATCH(F$1,INDIRECT("Table!A"&amp;$AG52):INDIRECT("Table!" &amp; $AJ$86 &amp; $AG52),0)),"",INDIRECT(CONCATENATE("Table!",ADDRESS($AC52,MATCH(F$1,INDIRECT("Table!A" &amp; $AG52):INDIRECT("Table!" &amp; $AJ$86 &amp; $AG52),0)))))</f>
        <v>1.5589673773439505</v>
      </c>
      <c r="G52" s="273">
        <f ca="1">IF(ISERROR(MATCH(G$1,INDIRECT("Table!A"&amp;$AG52):INDIRECT("Table!" &amp; $AJ$86 &amp; $AG52),0)),"",INDIRECT(CONCATENATE("Table!",ADDRESS($AC52,MATCH(G$1,INDIRECT("Table!A" &amp; $AG52):INDIRECT("Table!" &amp; $AJ$86 &amp; $AG52),0)))))</f>
        <v>3.4760162110616655</v>
      </c>
      <c r="H52" s="273">
        <f ca="1">IF(ISERROR(MATCH(H$1,INDIRECT("Table!A"&amp;$AG52):INDIRECT("Table!" &amp; $AJ$86 &amp; $AG52),0)),"",INDIRECT(CONCATENATE("Table!",ADDRESS($AC52,MATCH(H$1,INDIRECT("Table!A" &amp; $AG52):INDIRECT("Table!" &amp; $AJ$86 &amp; $AG52),0)))))</f>
        <v>0.81468133329745929</v>
      </c>
      <c r="I52" s="273">
        <f ca="1">IF(ISERROR(MATCH(I$1,INDIRECT("Table!A"&amp;$AG52):INDIRECT("Table!" &amp; $AJ$64 &amp; $AG52),0)),"",INDIRECT(CONCATENATE("Table!",ADDRESS($AC52,MATCH(I$1,INDIRECT("Table!A" &amp; $AG52):INDIRECT("Table!" &amp; $AJ$64 &amp; $AG52),0)))))</f>
        <v>7.7147290518485595E-2</v>
      </c>
      <c r="J52" s="273" t="str">
        <f ca="1">IF(ISERROR(MATCH(J$1,INDIRECT("Table!A"&amp;$AG52):INDIRECT("Table!" &amp; $AJ$64 &amp; $AG52),0)),"",INDIRECT(CONCATENATE("Table!",ADDRESS($AC52,MATCH(J$1,INDIRECT("Table!A" &amp; $AG52):INDIRECT("Table!" &amp; $AJ$64 &amp; $AG52),0)))))</f>
        <v/>
      </c>
      <c r="K52" s="273" t="str">
        <f ca="1">IF(ISERROR(MATCH(K$1,INDIRECT("Table!A"&amp;$AG52):INDIRECT("Table!" &amp; $AJ$64 &amp; $AG52),0)),"",INDIRECT(CONCATENATE("Table!",ADDRESS($AC52,MATCH(K$1,INDIRECT("Table!A" &amp; $AG52):INDIRECT("Table!" &amp; $AJ$64 &amp; $AG52),0)))))</f>
        <v/>
      </c>
      <c r="L52" s="273">
        <f ca="1">IF(ISERROR(MATCH(L$1,INDIRECT("Table!A"&amp;$AG52):INDIRECT("Table!" &amp; $AJ$86 &amp; $AG52),0)),"",INDIRECT(CONCATENATE("Table!",ADDRESS($AC52,MATCH(L$1,INDIRECT("Table!A" &amp; $AG52):INDIRECT("Table!" &amp; $AJ$86 &amp; $AG52),0)))))</f>
        <v>1.4637768809544778</v>
      </c>
      <c r="M52" s="273">
        <f ca="1">IF(ISERROR(MATCH(M$1,INDIRECT("Table!A"&amp;$AG52):INDIRECT("Table!" &amp; $AJ$86 &amp; $AG52),0)),"",INDIRECT(CONCATENATE("Table!",ADDRESS($AC52,MATCH(M$1,INDIRECT("Table!A" &amp; $AG52):INDIRECT("Table!" &amp; $AJ$86 &amp; $AG52),0)))))</f>
        <v>2.8189320922530614</v>
      </c>
      <c r="N52" s="273">
        <f ca="1">IF(ISERROR(MATCH(N$1,INDIRECT("Table!A"&amp;$AG52):INDIRECT("Table!" &amp; $AJ$86 &amp; $AG52),0)),"",INDIRECT(CONCATENATE("Table!",ADDRESS($AC52,MATCH(N$1,INDIRECT("Table!A" &amp; $AG52):INDIRECT("Table!" &amp; $AJ$86 &amp; $AG52),0)))))</f>
        <v>1.6188796549585802</v>
      </c>
      <c r="O52" s="273">
        <f ca="1">IF(ISERROR(MATCH(O$1,INDIRECT("Table!A"&amp;$AG52):INDIRECT("Table!" &amp; $AJ$64 &amp; $AG52),0)),"",INDIRECT(CONCATENATE("Table!",ADDRESS($AC52,MATCH(O$1,INDIRECT("Table!A" &amp; $AG52):INDIRECT("Table!" &amp; $AJ$64 &amp; $AG52),0)))))</f>
        <v>0.90688832115464812</v>
      </c>
      <c r="P52" s="273">
        <f ca="1">IF(ISERROR(MATCH(P$1,INDIRECT("Table!A"&amp;$AG52):INDIRECT("Table!" &amp; $AJ$64 &amp; $AG52),0)),"",INDIRECT(CONCATENATE("Table!",ADDRESS($AC52,MATCH(P$1,INDIRECT("Table!A" &amp; $AG52):INDIRECT("Table!" &amp; $AJ$64 &amp; $AG52),0)))))</f>
        <v>0.34716259829718565</v>
      </c>
      <c r="Q52" s="273" t="str">
        <f ca="1">IF(ISERROR(MATCH(Q$1,INDIRECT("Table!A"&amp;$AG52):INDIRECT("Table!" &amp; $AJ$64 &amp; $AG52),0)),"",INDIRECT(CONCATENATE("Table!",ADDRESS($AC52,MATCH(Q$1,INDIRECT("Table!A" &amp; $AG52):INDIRECT("Table!" &amp; $AJ$64 &amp; $AG52),0)))))</f>
        <v/>
      </c>
      <c r="R52" s="273" t="str">
        <f ca="1">IF(ISERROR(MATCH(R$1,INDIRECT("Table!A"&amp;$AG52):INDIRECT("Table!" &amp; $AJ$64 &amp; $AG52),0)),"",INDIRECT(CONCATENATE("Table!",ADDRESS($AC52,MATCH(R$1,INDIRECT("Table!A" &amp; $AG52):INDIRECT("Table!" &amp; $AJ$64 &amp; $AG52),0)))))</f>
        <v/>
      </c>
      <c r="S52" s="273">
        <f ca="1">IF(ISERROR(MATCH(S$1,INDIRECT("Table!A"&amp;$AG52):INDIRECT("Table!" &amp; $AJ$64 &amp; $AG52),0)),"",INDIRECT(CONCATENATE("Table!",ADDRESS($AC52,MATCH(S$1,INDIRECT("Table!A" &amp; $AG52):INDIRECT("Table!" &amp; $AJ$64 &amp; $AG52),0)))))</f>
        <v>0.59118309731464525</v>
      </c>
      <c r="T52" s="273">
        <f ca="1">IF(ISERROR(MATCH(T$1,INDIRECT("Table!A"&amp;$AG52):INDIRECT("Table!" &amp; $AJ$64 &amp; $AG52),0)),"",INDIRECT(CONCATENATE("Table!",ADDRESS($AC52,MATCH(T$1,INDIRECT("Table!A" &amp; $AG52):INDIRECT("Table!" &amp; $AJ$64 &amp; $AG52),0)))))</f>
        <v>0.50742859733156043</v>
      </c>
      <c r="U52" s="596" t="str">
        <f ca="1">IF(ISERROR(MATCH(U$1,INDIRECT("Table!A"&amp;$AG52):INDIRECT("Table!" &amp; $AJ$64 &amp; $AG52),0)),"",INDIRECT(CONCATENATE("Table!",ADDRESS($AC52,MATCH(U$1,INDIRECT("Table!A" &amp; $AG52):INDIRECT("Table!" &amp; $AJ$64 &amp; $AG52),0)))))</f>
        <v/>
      </c>
      <c r="V52" s="596"/>
      <c r="W52" s="596"/>
      <c r="X52" s="596"/>
      <c r="Y52" s="596"/>
      <c r="Z52" s="596"/>
      <c r="AA52" s="596"/>
      <c r="AB52" s="596"/>
      <c r="AC52" s="272">
        <f>MATCH($A52,Table!$A:$A,0)+$AE$2-1</f>
        <v>674</v>
      </c>
      <c r="AD52" s="370"/>
      <c r="AE52" s="370"/>
      <c r="AF52" s="370"/>
      <c r="AG52" s="272">
        <f>MATCH($A52,Table!$A:$A,0)+$AI$2-1</f>
        <v>665</v>
      </c>
      <c r="AH52" s="370"/>
      <c r="AI52" s="370"/>
      <c r="AJ52" s="904" t="s">
        <v>285</v>
      </c>
    </row>
    <row r="53" spans="1:36" s="267" customFormat="1" ht="19.5" customHeight="1" x14ac:dyDescent="0.25">
      <c r="A53" s="268">
        <v>41408</v>
      </c>
      <c r="B53" s="596">
        <f ca="1">IF(ISERROR(MATCH(B$1,INDIRECT("Table!A"&amp;$AG53):INDIRECT("Table!" &amp; $AJ$86 &amp; $AG53),0)),"",INDIRECT(CONCATENATE("Table!",ADDRESS($AC53,MATCH(B$1,INDIRECT("Table!A" &amp; $AG53):INDIRECT("Table!" &amp; $AJ$86 &amp; $AG53),0)))))</f>
        <v>1.2450573671371243</v>
      </c>
      <c r="C53" s="273">
        <f ca="1">IF(ISERROR(MATCH(C$1,INDIRECT("Table!A"&amp;$AG53):INDIRECT("Table!" &amp; $AJ$86 &amp; $AG53),0)),"",INDIRECT(CONCATENATE("Table!",ADDRESS($AC53,MATCH(C$1,INDIRECT("Table!A" &amp; $AG53):INDIRECT("Table!" &amp; $AJ$86 &amp; $AG53),0)))))</f>
        <v>0.59429774814338432</v>
      </c>
      <c r="D53" s="273">
        <f ca="1">IF(ISERROR(MATCH(D$1,INDIRECT("Table!A"&amp;$AG53):INDIRECT("Table!" &amp; $AJ$86 &amp; $AG53),0)),"",INDIRECT(CONCATENATE("Table!",ADDRESS($AC53,MATCH(D$1,INDIRECT("Table!A" &amp; $AG53):INDIRECT("Table!" &amp; $AJ$86 &amp; $AG53),0)))))</f>
        <v>0.60124204900747968</v>
      </c>
      <c r="E53" s="273">
        <f ca="1">IF(ISERROR(MATCH(E$1,INDIRECT("Table!A"&amp;$AG53):INDIRECT("Table!" &amp; $AJ$86 &amp; $AG53),0)),"",INDIRECT(CONCATENATE("Table!",ADDRESS($AC53,MATCH(E$1,INDIRECT("Table!A" &amp; $AG53):INDIRECT("Table!" &amp; $AJ$86 &amp; $AG53),0)))))</f>
        <v>1.5276579277331923</v>
      </c>
      <c r="F53" s="273">
        <f ca="1">IF(ISERROR(MATCH(F$1,INDIRECT("Table!A"&amp;$AG53):INDIRECT("Table!" &amp; $AJ$86 &amp; $AG53),0)),"",INDIRECT(CONCATENATE("Table!",ADDRESS($AC53,MATCH(F$1,INDIRECT("Table!A" &amp; $AG53):INDIRECT("Table!" &amp; $AJ$86 &amp; $AG53),0)))))</f>
        <v>1.5487780480802646</v>
      </c>
      <c r="G53" s="273">
        <f ca="1">IF(ISERROR(MATCH(G$1,INDIRECT("Table!A"&amp;$AG53):INDIRECT("Table!" &amp; $AJ$86 &amp; $AG53),0)),"",INDIRECT(CONCATENATE("Table!",ADDRESS($AC53,MATCH(G$1,INDIRECT("Table!A" &amp; $AG53):INDIRECT("Table!" &amp; $AJ$86 &amp; $AG53),0)))))</f>
        <v>3.4744851512124235</v>
      </c>
      <c r="H53" s="273">
        <f ca="1">IF(ISERROR(MATCH(H$1,INDIRECT("Table!A"&amp;$AG53):INDIRECT("Table!" &amp; $AJ$86 &amp; $AG53),0)),"",INDIRECT(CONCATENATE("Table!",ADDRESS($AC53,MATCH(H$1,INDIRECT("Table!A" &amp; $AG53):INDIRECT("Table!" &amp; $AJ$86 &amp; $AG53),0)))))</f>
        <v>0.81468133329745929</v>
      </c>
      <c r="I53" s="273">
        <f ca="1">IF(ISERROR(MATCH(I$1,INDIRECT("Table!A"&amp;$AG53):INDIRECT("Table!" &amp; $AJ$64 &amp; $AG53),0)),"",INDIRECT(CONCATENATE("Table!",ADDRESS($AC53,MATCH(I$1,INDIRECT("Table!A" &amp; $AG53):INDIRECT("Table!" &amp; $AJ$64 &amp; $AG53),0)))))</f>
        <v>7.5117098662735984E-2</v>
      </c>
      <c r="J53" s="273" t="str">
        <f ca="1">IF(ISERROR(MATCH(J$1,INDIRECT("Table!A"&amp;$AG53):INDIRECT("Table!" &amp; $AJ$64 &amp; $AG53),0)),"",INDIRECT(CONCATENATE("Table!",ADDRESS($AC53,MATCH(J$1,INDIRECT("Table!A" &amp; $AG53):INDIRECT("Table!" &amp; $AJ$64 &amp; $AG53),0)))))</f>
        <v/>
      </c>
      <c r="K53" s="273" t="str">
        <f ca="1">IF(ISERROR(MATCH(K$1,INDIRECT("Table!A"&amp;$AG53):INDIRECT("Table!" &amp; $AJ$64 &amp; $AG53),0)),"",INDIRECT(CONCATENATE("Table!",ADDRESS($AC53,MATCH(K$1,INDIRECT("Table!A" &amp; $AG53):INDIRECT("Table!" &amp; $AJ$64 &amp; $AG53),0)))))</f>
        <v/>
      </c>
      <c r="L53" s="273">
        <f ca="1">IF(ISERROR(MATCH(L$1,INDIRECT("Table!A"&amp;$AG53):INDIRECT("Table!" &amp; $AJ$86 &amp; $AG53),0)),"",INDIRECT(CONCATENATE("Table!",ADDRESS($AC53,MATCH(L$1,INDIRECT("Table!A" &amp; $AG53):INDIRECT("Table!" &amp; $AJ$86 &amp; $AG53),0)))))</f>
        <v>1.4637768809544778</v>
      </c>
      <c r="M53" s="273">
        <f ca="1">IF(ISERROR(MATCH(M$1,INDIRECT("Table!A"&amp;$AG53):INDIRECT("Table!" &amp; $AJ$86 &amp; $AG53),0)),"",INDIRECT(CONCATENATE("Table!",ADDRESS($AC53,MATCH(M$1,INDIRECT("Table!A" &amp; $AG53):INDIRECT("Table!" &amp; $AJ$86 &amp; $AG53),0)))))</f>
        <v>2.818166563487174</v>
      </c>
      <c r="N53" s="273">
        <f ca="1">IF(ISERROR(MATCH(N$1,INDIRECT("Table!A"&amp;$AG53):INDIRECT("Table!" &amp; $AJ$86 &amp; $AG53),0)),"",INDIRECT(CONCATENATE("Table!",ADDRESS($AC53,MATCH(N$1,INDIRECT("Table!A" &amp; $AG53):INDIRECT("Table!" &amp; $AJ$86 &amp; $AG53),0)))))</f>
        <v>1.6086903318533523</v>
      </c>
      <c r="O53" s="273">
        <f ca="1">IF(ISERROR(MATCH(O$1,INDIRECT("Table!A"&amp;$AG53):INDIRECT("Table!" &amp; $AJ$64 &amp; $AG53),0)),"",INDIRECT(CONCATENATE("Table!",ADDRESS($AC53,MATCH(O$1,INDIRECT("Table!A" &amp; $AG53):INDIRECT("Table!" &amp; $AJ$64 &amp; $AG53),0)))))</f>
        <v>0.90688832115464812</v>
      </c>
      <c r="P53" s="273">
        <f ca="1">IF(ISERROR(MATCH(P$1,INDIRECT("Table!A"&amp;$AG53):INDIRECT("Table!" &amp; $AJ$64 &amp; $AG53),0)),"",INDIRECT(CONCATENATE("Table!",ADDRESS($AC53,MATCH(P$1,INDIRECT("Table!A" &amp; $AG53):INDIRECT("Table!" &amp; $AJ$64 &amp; $AG53),0)))))</f>
        <v>0.34066598827057165</v>
      </c>
      <c r="Q53" s="273" t="str">
        <f ca="1">IF(ISERROR(MATCH(Q$1,INDIRECT("Table!A"&amp;$AG53):INDIRECT("Table!" &amp; $AJ$64 &amp; $AG53),0)),"",INDIRECT(CONCATENATE("Table!",ADDRESS($AC53,MATCH(Q$1,INDIRECT("Table!A" &amp; $AG53):INDIRECT("Table!" &amp; $AJ$64 &amp; $AG53),0)))))</f>
        <v/>
      </c>
      <c r="R53" s="273" t="str">
        <f ca="1">IF(ISERROR(MATCH(R$1,INDIRECT("Table!A"&amp;$AG53):INDIRECT("Table!" &amp; $AJ$64 &amp; $AG53),0)),"",INDIRECT(CONCATENATE("Table!",ADDRESS($AC53,MATCH(R$1,INDIRECT("Table!A" &amp; $AG53):INDIRECT("Table!" &amp; $AJ$64 &amp; $AG53),0)))))</f>
        <v/>
      </c>
      <c r="S53" s="273">
        <f ca="1">IF(ISERROR(MATCH(S$1,INDIRECT("Table!A"&amp;$AG53):INDIRECT("Table!" &amp; $AJ$64 &amp; $AG53),0)),"",INDIRECT(CONCATENATE("Table!",ADDRESS($AC53,MATCH(S$1,INDIRECT("Table!A" &amp; $AG53):INDIRECT("Table!" &amp; $AJ$64 &amp; $AG53),0)))))</f>
        <v>0.59118309731464525</v>
      </c>
      <c r="T53" s="273">
        <f ca="1">IF(ISERROR(MATCH(T$1,INDIRECT("Table!A"&amp;$AG53):INDIRECT("Table!" &amp; $AJ$64 &amp; $AG53),0)),"",INDIRECT(CONCATENATE("Table!",ADDRESS($AC53,MATCH(T$1,INDIRECT("Table!A" &amp; $AG53):INDIRECT("Table!" &amp; $AJ$64 &amp; $AG53),0)))))</f>
        <v>0.50742859733156043</v>
      </c>
      <c r="U53" s="596" t="str">
        <f ca="1">IF(ISERROR(MATCH(U$1,INDIRECT("Table!A"&amp;$AG53):INDIRECT("Table!" &amp; $AJ$64 &amp; $AG53),0)),"",INDIRECT(CONCATENATE("Table!",ADDRESS($AC53,MATCH(U$1,INDIRECT("Table!A" &amp; $AG53):INDIRECT("Table!" &amp; $AJ$64 &amp; $AG53),0)))))</f>
        <v/>
      </c>
      <c r="V53" s="596"/>
      <c r="W53" s="596"/>
      <c r="X53" s="596"/>
      <c r="Y53" s="596"/>
      <c r="Z53" s="596"/>
      <c r="AA53" s="596"/>
      <c r="AB53" s="596"/>
      <c r="AC53" s="272">
        <f>MATCH($A53,Table!$A:$A,0)+$AE$2-1</f>
        <v>686</v>
      </c>
      <c r="AD53" s="369"/>
      <c r="AE53" s="369"/>
      <c r="AF53" s="369"/>
      <c r="AG53" s="272">
        <f>MATCH($A53,Table!$A:$A,0)+$AI$2-1</f>
        <v>677</v>
      </c>
      <c r="AH53" s="369"/>
      <c r="AI53" s="369"/>
      <c r="AJ53" s="904" t="s">
        <v>285</v>
      </c>
    </row>
    <row r="54" spans="1:36" s="267" customFormat="1" ht="19.5" customHeight="1" x14ac:dyDescent="0.25">
      <c r="A54" s="268">
        <v>41401</v>
      </c>
      <c r="B54" s="596">
        <f ca="1">IF(ISERROR(MATCH(B$1,INDIRECT("Table!A"&amp;$AG54):INDIRECT("Table!" &amp; $AJ$86 &amp; $AG54),0)),"",INDIRECT(CONCATENATE("Table!",ADDRESS($AC54,MATCH(B$1,INDIRECT("Table!A" &amp; $AG54):INDIRECT("Table!" &amp; $AJ$86 &amp; $AG54),0)))))</f>
        <v>1.2293031001686283</v>
      </c>
      <c r="C54" s="273">
        <f ca="1">IF(ISERROR(MATCH(C$1,INDIRECT("Table!A"&amp;$AG54):INDIRECT("Table!" &amp; $AJ$86 &amp; $AG54),0)),"",INDIRECT(CONCATENATE("Table!",ADDRESS($AC54,MATCH(C$1,INDIRECT("Table!A" &amp; $AG54):INDIRECT("Table!" &amp; $AJ$86 &amp; $AG54),0)))))</f>
        <v>0.59295368991162389</v>
      </c>
      <c r="D54" s="273">
        <f ca="1">IF(ISERROR(MATCH(D$1,INDIRECT("Table!A"&amp;$AG54):INDIRECT("Table!" &amp; $AJ$86 &amp; $AG54),0)),"",INDIRECT(CONCATENATE("Table!",ADDRESS($AC54,MATCH(D$1,INDIRECT("Table!A" &amp; $AG54):INDIRECT("Table!" &amp; $AJ$86 &amp; $AG54),0)))))</f>
        <v>0.59989799077571926</v>
      </c>
      <c r="E54" s="273">
        <f ca="1">IF(ISERROR(MATCH(E$1,INDIRECT("Table!A"&amp;$AG54):INDIRECT("Table!" &amp; $AJ$86 &amp; $AG54),0)),"",INDIRECT(CONCATENATE("Table!",ADDRESS($AC54,MATCH(E$1,INDIRECT("Table!A" &amp; $AG54):INDIRECT("Table!" &amp; $AJ$86 &amp; $AG54),0)))))</f>
        <v>1.5276579277331923</v>
      </c>
      <c r="F54" s="273">
        <f ca="1">IF(ISERROR(MATCH(F$1,INDIRECT("Table!A"&amp;$AG54):INDIRECT("Table!" &amp; $AJ$86 &amp; $AG54),0)),"",INDIRECT(CONCATENATE("Table!",ADDRESS($AC54,MATCH(F$1,INDIRECT("Table!A" &amp; $AG54):INDIRECT("Table!" &amp; $AJ$86 &amp; $AG54),0)))))</f>
        <v>1.5459250358864325</v>
      </c>
      <c r="G54" s="273">
        <f ca="1">IF(ISERROR(MATCH(G$1,INDIRECT("Table!A"&amp;$AG54):INDIRECT("Table!" &amp; $AJ$86 &amp; $AG54),0)),"",INDIRECT(CONCATENATE("Table!",ADDRESS($AC54,MATCH(G$1,INDIRECT("Table!A" &amp; $AG54):INDIRECT("Table!" &amp; $AJ$86 &amp; $AG54),0)))))</f>
        <v>3.463767732267732</v>
      </c>
      <c r="H54" s="273">
        <f ca="1">IF(ISERROR(MATCH(H$1,INDIRECT("Table!A"&amp;$AG54):INDIRECT("Table!" &amp; $AJ$86 &amp; $AG54),0)),"",INDIRECT(CONCATENATE("Table!",ADDRESS($AC54,MATCH(H$1,INDIRECT("Table!A" &amp; $AG54):INDIRECT("Table!" &amp; $AJ$86 &amp; $AG54),0)))))</f>
        <v>1.1774236350239591</v>
      </c>
      <c r="I54" s="273">
        <f ca="1">IF(ISERROR(MATCH(I$1,INDIRECT("Table!A"&amp;$AG54):INDIRECT("Table!" &amp; $AJ$64 &amp; $AG54),0)),"",INDIRECT(CONCATENATE("Table!",ADDRESS($AC54,MATCH(I$1,INDIRECT("Table!A" &amp; $AG54):INDIRECT("Table!" &amp; $AJ$64 &amp; $AG54),0)))))</f>
        <v>7.4914079477161027E-2</v>
      </c>
      <c r="J54" s="273" t="str">
        <f ca="1">IF(ISERROR(MATCH(J$1,INDIRECT("Table!A"&amp;$AG54):INDIRECT("Table!" &amp; $AJ$64 &amp; $AG54),0)),"",INDIRECT(CONCATENATE("Table!",ADDRESS($AC54,MATCH(J$1,INDIRECT("Table!A" &amp; $AG54):INDIRECT("Table!" &amp; $AJ$64 &amp; $AG54),0)))))</f>
        <v/>
      </c>
      <c r="K54" s="273" t="str">
        <f ca="1">IF(ISERROR(MATCH(K$1,INDIRECT("Table!A"&amp;$AG54):INDIRECT("Table!" &amp; $AJ$64 &amp; $AG54),0)),"",INDIRECT(CONCATENATE("Table!",ADDRESS($AC54,MATCH(K$1,INDIRECT("Table!A" &amp; $AG54):INDIRECT("Table!" &amp; $AJ$64 &amp; $AG54),0)))))</f>
        <v/>
      </c>
      <c r="L54" s="273">
        <f ca="1">IF(ISERROR(MATCH(L$1,INDIRECT("Table!A"&amp;$AG54):INDIRECT("Table!" &amp; $AJ$86 &amp; $AG54),0)),"",INDIRECT(CONCATENATE("Table!",ADDRESS($AC54,MATCH(L$1,INDIRECT("Table!A" &amp; $AG54):INDIRECT("Table!" &amp; $AJ$86 &amp; $AG54),0)))))</f>
        <v>1.4637768809544778</v>
      </c>
      <c r="M54" s="273">
        <f ca="1">IF(ISERROR(MATCH(M$1,INDIRECT("Table!A"&amp;$AG54):INDIRECT("Table!" &amp; $AJ$86 &amp; $AG54),0)),"",INDIRECT(CONCATENATE("Table!",ADDRESS($AC54,MATCH(M$1,INDIRECT("Table!A" &amp; $AG54):INDIRECT("Table!" &amp; $AJ$86 &amp; $AG54),0)))))</f>
        <v>2.8207183260401321</v>
      </c>
      <c r="N54" s="273">
        <f ca="1">IF(ISERROR(MATCH(N$1,INDIRECT("Table!A"&amp;$AG54):INDIRECT("Table!" &amp; $AJ$86 &amp; $AG54),0)),"",INDIRECT(CONCATENATE("Table!",ADDRESS($AC54,MATCH(N$1,INDIRECT("Table!A" &amp; $AG54):INDIRECT("Table!" &amp; $AJ$86 &amp; $AG54),0)))))</f>
        <v>1.6037994567628431</v>
      </c>
      <c r="O54" s="273">
        <f ca="1">IF(ISERROR(MATCH(O$1,INDIRECT("Table!A"&amp;$AG54):INDIRECT("Table!" &amp; $AJ$64 &amp; $AG54),0)),"",INDIRECT(CONCATENATE("Table!",ADDRESS($AC54,MATCH(O$1,INDIRECT("Table!A" &amp; $AG54):INDIRECT("Table!" &amp; $AJ$64 &amp; $AG54),0)))))</f>
        <v>1.4496865471799785</v>
      </c>
      <c r="P54" s="273">
        <f ca="1">IF(ISERROR(MATCH(P$1,INDIRECT("Table!A"&amp;$AG54):INDIRECT("Table!" &amp; $AJ$64 &amp; $AG54),0)),"",INDIRECT(CONCATENATE("Table!",ADDRESS($AC54,MATCH(P$1,INDIRECT("Table!A" &amp; $AG54):INDIRECT("Table!" &amp; $AJ$64 &amp; $AG54),0)))))</f>
        <v>0.34025995014390825</v>
      </c>
      <c r="Q54" s="273" t="str">
        <f ca="1">IF(ISERROR(MATCH(Q$1,INDIRECT("Table!A"&amp;$AG54):INDIRECT("Table!" &amp; $AJ$64 &amp; $AG54),0)),"",INDIRECT(CONCATENATE("Table!",ADDRESS($AC54,MATCH(Q$1,INDIRECT("Table!A" &amp; $AG54):INDIRECT("Table!" &amp; $AJ$64 &amp; $AG54),0)))))</f>
        <v/>
      </c>
      <c r="R54" s="273" t="str">
        <f ca="1">IF(ISERROR(MATCH(R$1,INDIRECT("Table!A"&amp;$AG54):INDIRECT("Table!" &amp; $AJ$64 &amp; $AG54),0)),"",INDIRECT(CONCATENATE("Table!",ADDRESS($AC54,MATCH(R$1,INDIRECT("Table!A" &amp; $AG54):INDIRECT("Table!" &amp; $AJ$64 &amp; $AG54),0)))))</f>
        <v/>
      </c>
      <c r="S54" s="273">
        <f ca="1">IF(ISERROR(MATCH(S$1,INDIRECT("Table!A"&amp;$AG54):INDIRECT("Table!" &amp; $AJ$64 &amp; $AG54),0)),"",INDIRECT(CONCATENATE("Table!",ADDRESS($AC54,MATCH(S$1,INDIRECT("Table!A" &amp; $AG54):INDIRECT("Table!" &amp; $AJ$64 &amp; $AG54),0)))))</f>
        <v>0.57651050751572952</v>
      </c>
      <c r="T54" s="273">
        <f ca="1">IF(ISERROR(MATCH(T$1,INDIRECT("Table!A"&amp;$AG54):INDIRECT("Table!" &amp; $AJ$64 &amp; $AG54),0)),"",INDIRECT(CONCATENATE("Table!",ADDRESS($AC54,MATCH(T$1,INDIRECT("Table!A" &amp; $AG54):INDIRECT("Table!" &amp; $AJ$64 &amp; $AG54),0)))))</f>
        <v>0.4921446034360315</v>
      </c>
      <c r="U54" s="596" t="str">
        <f ca="1">IF(ISERROR(MATCH(U$1,INDIRECT("Table!A"&amp;$AG54):INDIRECT("Table!" &amp; $AJ$64 &amp; $AG54),0)),"",INDIRECT(CONCATENATE("Table!",ADDRESS($AC54,MATCH(U$1,INDIRECT("Table!A" &amp; $AG54):INDIRECT("Table!" &amp; $AJ$64 &amp; $AG54),0)))))</f>
        <v/>
      </c>
      <c r="V54" s="596"/>
      <c r="W54" s="596"/>
      <c r="X54" s="596"/>
      <c r="Y54" s="596"/>
      <c r="Z54" s="596"/>
      <c r="AA54" s="596"/>
      <c r="AB54" s="596"/>
      <c r="AC54" s="272">
        <f>MATCH($A54,Table!$A:$A,0)+$AE$2-1</f>
        <v>698</v>
      </c>
      <c r="AD54" s="369"/>
      <c r="AE54" s="369"/>
      <c r="AF54" s="369"/>
      <c r="AG54" s="272">
        <f>MATCH($A54,Table!$A:$A,0)+$AI$2-1</f>
        <v>689</v>
      </c>
      <c r="AH54" s="369"/>
      <c r="AI54" s="369"/>
      <c r="AJ54" s="904" t="s">
        <v>285</v>
      </c>
    </row>
    <row r="55" spans="1:36" s="267" customFormat="1" ht="19.5" customHeight="1" x14ac:dyDescent="0.25">
      <c r="A55" s="268">
        <v>41395</v>
      </c>
      <c r="B55" s="596">
        <f ca="1">IF(ISERROR(MATCH(B$1,INDIRECT("Table!A"&amp;$AG55):INDIRECT("Table!" &amp; $AJ$86 &amp; $AG55),0)),"",INDIRECT(CONCATENATE("Table!",ADDRESS($AC55,MATCH(B$1,INDIRECT("Table!A" &amp; $AG55):INDIRECT("Table!" &amp; $AJ$86 &amp; $AG55),0)))))</f>
        <v>1.3428749053295783</v>
      </c>
      <c r="C55" s="273">
        <f ca="1">IF(ISERROR(MATCH(C$1,INDIRECT("Table!A"&amp;$AG55):INDIRECT("Table!" &amp; $AJ$86 &amp; $AG55),0)),"",INDIRECT(CONCATENATE("Table!",ADDRESS($AC55,MATCH(C$1,INDIRECT("Table!A" &amp; $AG55):INDIRECT("Table!" &amp; $AJ$86 &amp; $AG55),0)))))</f>
        <v>0.59295368991162389</v>
      </c>
      <c r="D55" s="273">
        <f ca="1">IF(ISERROR(MATCH(D$1,INDIRECT("Table!A"&amp;$AG55):INDIRECT("Table!" &amp; $AJ$86 &amp; $AG55),0)),"",INDIRECT(CONCATENATE("Table!",ADDRESS($AC55,MATCH(D$1,INDIRECT("Table!A" &amp; $AG55):INDIRECT("Table!" &amp; $AJ$86 &amp; $AG55),0)))))</f>
        <v>0.59989799077571926</v>
      </c>
      <c r="E55" s="273">
        <f ca="1">IF(ISERROR(MATCH(E$1,INDIRECT("Table!A"&amp;$AG55):INDIRECT("Table!" &amp; $AJ$86 &amp; $AG55),0)),"",INDIRECT(CONCATENATE("Table!",ADDRESS($AC55,MATCH(E$1,INDIRECT("Table!A" &amp; $AG55):INDIRECT("Table!" &amp; $AJ$86 &amp; $AG55),0)))))</f>
        <v>1.5276579277331923</v>
      </c>
      <c r="F55" s="273">
        <f ca="1">IF(ISERROR(MATCH(F$1,INDIRECT("Table!A"&amp;$AG55):INDIRECT("Table!" &amp; $AJ$86 &amp; $AG55),0)),"",INDIRECT(CONCATENATE("Table!",ADDRESS($AC55,MATCH(F$1,INDIRECT("Table!A" &amp; $AG55):INDIRECT("Table!" &amp; $AJ$86 &amp; $AG55),0)))))</f>
        <v>1.534105413940557</v>
      </c>
      <c r="G55" s="273">
        <f ca="1">IF(ISERROR(MATCH(G$1,INDIRECT("Table!A"&amp;$AG55):INDIRECT("Table!" &amp; $AJ$86 &amp; $AG55),0)),"",INDIRECT(CONCATENATE("Table!",ADDRESS($AC55,MATCH(G$1,INDIRECT("Table!A" &amp; $AG55):INDIRECT("Table!" &amp; $AJ$86 &amp; $AG55),0)))))</f>
        <v>3.4331465352828987</v>
      </c>
      <c r="H55" s="273">
        <f ca="1">IF(ISERROR(MATCH(H$1,INDIRECT("Table!A"&amp;$AG55):INDIRECT("Table!" &amp; $AJ$86 &amp; $AG55),0)),"",INDIRECT(CONCATENATE("Table!",ADDRESS($AC55,MATCH(H$1,INDIRECT("Table!A" &amp; $AG55):INDIRECT("Table!" &amp; $AJ$86 &amp; $AG55),0)))))</f>
        <v>1.1774236350239591</v>
      </c>
      <c r="I55" s="273">
        <f ca="1">IF(ISERROR(MATCH(I$1,INDIRECT("Table!A"&amp;$AG55):INDIRECT("Table!" &amp; $AJ$64 &amp; $AG55),0)),"",INDIRECT(CONCATENATE("Table!",ADDRESS($AC55,MATCH(I$1,INDIRECT("Table!A" &amp; $AG55):INDIRECT("Table!" &amp; $AJ$64 &amp; $AG55),0)))))</f>
        <v>7.4914079477161027E-2</v>
      </c>
      <c r="J55" s="273" t="str">
        <f ca="1">IF(ISERROR(MATCH(J$1,INDIRECT("Table!A"&amp;$AG55):INDIRECT("Table!" &amp; $AJ$64 &amp; $AG55),0)),"",INDIRECT(CONCATENATE("Table!",ADDRESS($AC55,MATCH(J$1,INDIRECT("Table!A" &amp; $AG55):INDIRECT("Table!" &amp; $AJ$64 &amp; $AG55),0)))))</f>
        <v/>
      </c>
      <c r="K55" s="273" t="str">
        <f ca="1">IF(ISERROR(MATCH(K$1,INDIRECT("Table!A"&amp;$AG55):INDIRECT("Table!" &amp; $AJ$64 &amp; $AG55),0)),"",INDIRECT(CONCATENATE("Table!",ADDRESS($AC55,MATCH(K$1,INDIRECT("Table!A" &amp; $AG55):INDIRECT("Table!" &amp; $AJ$64 &amp; $AG55),0)))))</f>
        <v/>
      </c>
      <c r="L55" s="273">
        <f ca="1">IF(ISERROR(MATCH(L$1,INDIRECT("Table!A"&amp;$AG55):INDIRECT("Table!" &amp; $AJ$86 &amp; $AG55),0)),"",INDIRECT(CONCATENATE("Table!",ADDRESS($AC55,MATCH(L$1,INDIRECT("Table!A" &amp; $AG55):INDIRECT("Table!" &amp; $AJ$86 &amp; $AG55),0)))))</f>
        <v>1.4637768809544778</v>
      </c>
      <c r="M55" s="273">
        <f ca="1">IF(ISERROR(MATCH(M$1,INDIRECT("Table!A"&amp;$AG55):INDIRECT("Table!" &amp; $AJ$86 &amp; $AG55),0)),"",INDIRECT(CONCATENATE("Table!",ADDRESS($AC55,MATCH(M$1,INDIRECT("Table!A" &amp; $AG55):INDIRECT("Table!" &amp; $AJ$86 &amp; $AG55),0)))))</f>
        <v>2.8168906822106945</v>
      </c>
      <c r="N55" s="273">
        <f ca="1">IF(ISERROR(MATCH(N$1,INDIRECT("Table!A"&amp;$AG55):INDIRECT("Table!" &amp; $AJ$86 &amp; $AG55),0)),"",INDIRECT(CONCATENATE("Table!",ADDRESS($AC55,MATCH(N$1,INDIRECT("Table!A" &amp; $AG55):INDIRECT("Table!" &amp; $AJ$86 &amp; $AG55),0)))))</f>
        <v>1.5940177065818246</v>
      </c>
      <c r="O55" s="273">
        <f ca="1">IF(ISERROR(MATCH(O$1,INDIRECT("Table!A"&amp;$AG55):INDIRECT("Table!" &amp; $AJ$64 &amp; $AG55),0)),"",INDIRECT(CONCATENATE("Table!",ADDRESS($AC55,MATCH(O$1,INDIRECT("Table!A" &amp; $AG55):INDIRECT("Table!" &amp; $AJ$64 &amp; $AG55),0)))))</f>
        <v>1.4496865471799785</v>
      </c>
      <c r="P55" s="273">
        <f ca="1">IF(ISERROR(MATCH(P$1,INDIRECT("Table!A"&amp;$AG55):INDIRECT("Table!" &amp; $AJ$64 &amp; $AG55),0)),"",INDIRECT(CONCATENATE("Table!",ADDRESS($AC55,MATCH(P$1,INDIRECT("Table!A" &amp; $AG55):INDIRECT("Table!" &amp; $AJ$64 &amp; $AG55),0)))))</f>
        <v>0.34025995014390825</v>
      </c>
      <c r="Q55" s="273" t="str">
        <f ca="1">IF(ISERROR(MATCH(Q$1,INDIRECT("Table!A"&amp;$AG55):INDIRECT("Table!" &amp; $AJ$64 &amp; $AG55),0)),"",INDIRECT(CONCATENATE("Table!",ADDRESS($AC55,MATCH(Q$1,INDIRECT("Table!A" &amp; $AG55):INDIRECT("Table!" &amp; $AJ$64 &amp; $AG55),0)))))</f>
        <v/>
      </c>
      <c r="R55" s="273" t="str">
        <f ca="1">IF(ISERROR(MATCH(R$1,INDIRECT("Table!A"&amp;$AG55):INDIRECT("Table!" &amp; $AJ$64 &amp; $AG55),0)),"",INDIRECT(CONCATENATE("Table!",ADDRESS($AC55,MATCH(R$1,INDIRECT("Table!A" &amp; $AG55):INDIRECT("Table!" &amp; $AJ$64 &amp; $AG55),0)))))</f>
        <v/>
      </c>
      <c r="S55" s="273">
        <f ca="1">IF(ISERROR(MATCH(S$1,INDIRECT("Table!A"&amp;$AG55):INDIRECT("Table!" &amp; $AJ$64 &amp; $AG55),0)),"",INDIRECT(CONCATENATE("Table!",ADDRESS($AC55,MATCH(S$1,INDIRECT("Table!A" &amp; $AG55):INDIRECT("Table!" &amp; $AJ$64 &amp; $AG55),0)))))</f>
        <v>0.57651050751572952</v>
      </c>
      <c r="T55" s="273">
        <f ca="1">IF(ISERROR(MATCH(T$1,INDIRECT("Table!A"&amp;$AG55):INDIRECT("Table!" &amp; $AJ$64 &amp; $AG55),0)),"",INDIRECT(CONCATENATE("Table!",ADDRESS($AC55,MATCH(T$1,INDIRECT("Table!A" &amp; $AG55):INDIRECT("Table!" &amp; $AJ$64 &amp; $AG55),0)))))</f>
        <v>0.4921446034360315</v>
      </c>
      <c r="U55" s="596" t="str">
        <f ca="1">IF(ISERROR(MATCH(U$1,INDIRECT("Table!A"&amp;$AG55):INDIRECT("Table!" &amp; $AJ$64 &amp; $AG55),0)),"",INDIRECT(CONCATENATE("Table!",ADDRESS($AC55,MATCH(U$1,INDIRECT("Table!A" &amp; $AG55):INDIRECT("Table!" &amp; $AJ$64 &amp; $AG55),0)))))</f>
        <v/>
      </c>
      <c r="V55" s="596"/>
      <c r="W55" s="596"/>
      <c r="X55" s="596"/>
      <c r="Y55" s="596"/>
      <c r="Z55" s="596"/>
      <c r="AA55" s="596"/>
      <c r="AB55" s="596"/>
      <c r="AC55" s="272">
        <f>MATCH($A55,Table!$A:$A,0)+$AE$2-1</f>
        <v>710</v>
      </c>
      <c r="AD55" s="366"/>
      <c r="AE55" s="366"/>
      <c r="AF55" s="366"/>
      <c r="AG55" s="272">
        <f>MATCH($A55,Table!$A:$A,0)+$AI$2-1</f>
        <v>701</v>
      </c>
      <c r="AH55" s="366"/>
      <c r="AI55" s="366"/>
      <c r="AJ55" s="904" t="s">
        <v>285</v>
      </c>
    </row>
    <row r="56" spans="1:36" s="267" customFormat="1" ht="19.5" customHeight="1" x14ac:dyDescent="0.25">
      <c r="A56" s="268">
        <v>41393</v>
      </c>
      <c r="B56" s="596">
        <f ca="1">IF(ISERROR(MATCH(B$1,INDIRECT("Table!A"&amp;$AG56):INDIRECT("Table!" &amp; $AJ$86 &amp; $AG56),0)),"",INDIRECT(CONCATENATE("Table!",ADDRESS($AC56,MATCH(B$1,INDIRECT("Table!A" &amp; $AG56):INDIRECT("Table!" &amp; $AJ$86 &amp; $AG56),0)))))</f>
        <v>1.3428749053295783</v>
      </c>
      <c r="C56" s="273">
        <f ca="1">IF(ISERROR(MATCH(C$1,INDIRECT("Table!A"&amp;$AG56):INDIRECT("Table!" &amp; $AJ$86 &amp; $AG56),0)),"",INDIRECT(CONCATENATE("Table!",ADDRESS($AC56,MATCH(C$1,INDIRECT("Table!A" &amp; $AG56):INDIRECT("Table!" &amp; $AJ$86 &amp; $AG56),0)))))</f>
        <v>0.59295368991162389</v>
      </c>
      <c r="D56" s="273">
        <f ca="1">IF(ISERROR(MATCH(D$1,INDIRECT("Table!A"&amp;$AG56):INDIRECT("Table!" &amp; $AJ$86 &amp; $AG56),0)),"",INDIRECT(CONCATENATE("Table!",ADDRESS($AC56,MATCH(D$1,INDIRECT("Table!A" &amp; $AG56):INDIRECT("Table!" &amp; $AJ$86 &amp; $AG56),0)))))</f>
        <v>0.59989799077571926</v>
      </c>
      <c r="E56" s="273">
        <f ca="1">IF(ISERROR(MATCH(E$1,INDIRECT("Table!A"&amp;$AG56):INDIRECT("Table!" &amp; $AJ$86 &amp; $AG56),0)),"",INDIRECT(CONCATENATE("Table!",ADDRESS($AC56,MATCH(E$1,INDIRECT("Table!A" &amp; $AG56):INDIRECT("Table!" &amp; $AJ$86 &amp; $AG56),0)))))</f>
        <v>1.5276579277331923</v>
      </c>
      <c r="F56" s="273">
        <f ca="1">IF(ISERROR(MATCH(F$1,INDIRECT("Table!A"&amp;$AG56):INDIRECT("Table!" &amp; $AJ$86 &amp; $AG56),0)),"",INDIRECT(CONCATENATE("Table!",ADDRESS($AC56,MATCH(F$1,INDIRECT("Table!A" &amp; $AG56):INDIRECT("Table!" &amp; $AJ$86 &amp; $AG56),0)))))</f>
        <v>1.534105413940557</v>
      </c>
      <c r="G56" s="273">
        <f ca="1">IF(ISERROR(MATCH(G$1,INDIRECT("Table!A"&amp;$AG56):INDIRECT("Table!" &amp; $AJ$86 &amp; $AG56),0)),"",INDIRECT(CONCATENATE("Table!",ADDRESS($AC56,MATCH(G$1,INDIRECT("Table!A" &amp; $AG56):INDIRECT("Table!" &amp; $AJ$86 &amp; $AG56),0)))))</f>
        <v>3.4331465352828987</v>
      </c>
      <c r="H56" s="273">
        <f ca="1">IF(ISERROR(MATCH(H$1,INDIRECT("Table!A"&amp;$AG56):INDIRECT("Table!" &amp; $AJ$86 &amp; $AG56),0)),"",INDIRECT(CONCATENATE("Table!",ADDRESS($AC56,MATCH(H$1,INDIRECT("Table!A" &amp; $AG56):INDIRECT("Table!" &amp; $AJ$86 &amp; $AG56),0)))))</f>
        <v>1.175200508028398</v>
      </c>
      <c r="I56" s="273">
        <f ca="1">IF(ISERROR(MATCH(I$1,INDIRECT("Table!A"&amp;$AG56):INDIRECT("Table!" &amp; $AJ$64 &amp; $AG56),0)),"",INDIRECT(CONCATENATE("Table!",ADDRESS($AC56,MATCH(I$1,INDIRECT("Table!A" &amp; $AG56):INDIRECT("Table!" &amp; $AJ$64 &amp; $AG56),0)))))</f>
        <v>7.4914079477161027E-2</v>
      </c>
      <c r="J56" s="273" t="str">
        <f ca="1">IF(ISERROR(MATCH(J$1,INDIRECT("Table!A"&amp;$AG56):INDIRECT("Table!" &amp; $AJ$64 &amp; $AG56),0)),"",INDIRECT(CONCATENATE("Table!",ADDRESS($AC56,MATCH(J$1,INDIRECT("Table!A" &amp; $AG56):INDIRECT("Table!" &amp; $AJ$64 &amp; $AG56),0)))))</f>
        <v/>
      </c>
      <c r="K56" s="273" t="str">
        <f ca="1">IF(ISERROR(MATCH(K$1,INDIRECT("Table!A"&amp;$AG56):INDIRECT("Table!" &amp; $AJ$64 &amp; $AG56),0)),"",INDIRECT(CONCATENATE("Table!",ADDRESS($AC56,MATCH(K$1,INDIRECT("Table!A" &amp; $AG56):INDIRECT("Table!" &amp; $AJ$64 &amp; $AG56),0)))))</f>
        <v/>
      </c>
      <c r="L56" s="273">
        <f ca="1">IF(ISERROR(MATCH(L$1,INDIRECT("Table!A"&amp;$AG56):INDIRECT("Table!" &amp; $AJ$86 &amp; $AG56),0)),"",INDIRECT(CONCATENATE("Table!",ADDRESS($AC56,MATCH(L$1,INDIRECT("Table!A" &amp; $AG56):INDIRECT("Table!" &amp; $AJ$86 &amp; $AG56),0)))))</f>
        <v>1.4637768809544778</v>
      </c>
      <c r="M56" s="273">
        <f ca="1">IF(ISERROR(MATCH(M$1,INDIRECT("Table!A"&amp;$AG56):INDIRECT("Table!" &amp; $AJ$86 &amp; $AG56),0)),"",INDIRECT(CONCATENATE("Table!",ADDRESS($AC56,MATCH(M$1,INDIRECT("Table!A" &amp; $AG56):INDIRECT("Table!" &amp; $AJ$86 &amp; $AG56),0)))))</f>
        <v>2.8145940959130322</v>
      </c>
      <c r="N56" s="273">
        <f ca="1">IF(ISERROR(MATCH(N$1,INDIRECT("Table!A"&amp;$AG56):INDIRECT("Table!" &amp; $AJ$86 &amp; $AG56),0)),"",INDIRECT(CONCATENATE("Table!",ADDRESS($AC56,MATCH(N$1,INDIRECT("Table!A" &amp; $AG56):INDIRECT("Table!" &amp; $AJ$86 &amp; $AG56),0)))))</f>
        <v>1.5940177065818246</v>
      </c>
      <c r="O56" s="273">
        <f ca="1">IF(ISERROR(MATCH(O$1,INDIRECT("Table!A"&amp;$AG56):INDIRECT("Table!" &amp; $AJ$64 &amp; $AG56),0)),"",INDIRECT(CONCATENATE("Table!",ADDRESS($AC56,MATCH(O$1,INDIRECT("Table!A" &amp; $AG56):INDIRECT("Table!" &amp; $AJ$64 &amp; $AG56),0)))))</f>
        <v>1.4481581480791033</v>
      </c>
      <c r="P56" s="273">
        <f ca="1">IF(ISERROR(MATCH(P$1,INDIRECT("Table!A"&amp;$AG56):INDIRECT("Table!" &amp; $AJ$64 &amp; $AG56),0)),"",INDIRECT(CONCATENATE("Table!",ADDRESS($AC56,MATCH(P$1,INDIRECT("Table!A" &amp; $AG56):INDIRECT("Table!" &amp; $AJ$64 &amp; $AG56),0)))))</f>
        <v>0.32807880634400705</v>
      </c>
      <c r="Q56" s="273" t="str">
        <f ca="1">IF(ISERROR(MATCH(Q$1,INDIRECT("Table!A"&amp;$AG56):INDIRECT("Table!" &amp; $AJ$64 &amp; $AG56),0)),"",INDIRECT(CONCATENATE("Table!",ADDRESS($AC56,MATCH(Q$1,INDIRECT("Table!A" &amp; $AG56):INDIRECT("Table!" &amp; $AJ$64 &amp; $AG56),0)))))</f>
        <v/>
      </c>
      <c r="R56" s="273" t="str">
        <f ca="1">IF(ISERROR(MATCH(R$1,INDIRECT("Table!A"&amp;$AG56):INDIRECT("Table!" &amp; $AJ$64 &amp; $AG56),0)),"",INDIRECT(CONCATENATE("Table!",ADDRESS($AC56,MATCH(R$1,INDIRECT("Table!A" &amp; $AG56):INDIRECT("Table!" &amp; $AJ$64 &amp; $AG56),0)))))</f>
        <v/>
      </c>
      <c r="S56" s="273">
        <f ca="1">IF(ISERROR(MATCH(S$1,INDIRECT("Table!A"&amp;$AG56):INDIRECT("Table!" &amp; $AJ$64 &amp; $AG56),0)),"",INDIRECT(CONCATENATE("Table!",ADDRESS($AC56,MATCH(S$1,INDIRECT("Table!A" &amp; $AG56):INDIRECT("Table!" &amp; $AJ$64 &amp; $AG56),0)))))</f>
        <v>0.57651050751572952</v>
      </c>
      <c r="T56" s="273">
        <f ca="1">IF(ISERROR(MATCH(T$1,INDIRECT("Table!A"&amp;$AG56):INDIRECT("Table!" &amp; $AJ$64 &amp; $AG56),0)),"",INDIRECT(CONCATENATE("Table!",ADDRESS($AC56,MATCH(T$1,INDIRECT("Table!A" &amp; $AG56):INDIRECT("Table!" &amp; $AJ$64 &amp; $AG56),0)))))</f>
        <v>0.4921446034360315</v>
      </c>
      <c r="U56" s="596" t="str">
        <f ca="1">IF(ISERROR(MATCH(U$1,INDIRECT("Table!A"&amp;$AG56):INDIRECT("Table!" &amp; $AJ$64 &amp; $AG56),0)),"",INDIRECT(CONCATENATE("Table!",ADDRESS($AC56,MATCH(U$1,INDIRECT("Table!A" &amp; $AG56):INDIRECT("Table!" &amp; $AJ$64 &amp; $AG56),0)))))</f>
        <v/>
      </c>
      <c r="V56" s="596"/>
      <c r="W56" s="596"/>
      <c r="X56" s="596"/>
      <c r="Y56" s="596"/>
      <c r="Z56" s="596"/>
      <c r="AA56" s="596"/>
      <c r="AB56" s="596"/>
      <c r="AC56" s="272">
        <f>MATCH($A56,Table!$A:$A,0)+$AE$2-1</f>
        <v>722</v>
      </c>
      <c r="AD56" s="365"/>
      <c r="AE56" s="365"/>
      <c r="AF56" s="365"/>
      <c r="AG56" s="272">
        <f>MATCH($A56,Table!$A:$A,0)+$AI$2-1</f>
        <v>713</v>
      </c>
      <c r="AH56" s="365"/>
      <c r="AI56" s="365"/>
      <c r="AJ56" s="904" t="s">
        <v>285</v>
      </c>
    </row>
    <row r="57" spans="1:36" s="267" customFormat="1" ht="19.5" customHeight="1" x14ac:dyDescent="0.25">
      <c r="A57" s="268">
        <v>41390</v>
      </c>
      <c r="B57" s="596">
        <f ca="1">IF(ISERROR(MATCH(B$1,INDIRECT("Table!A"&amp;$AG57):INDIRECT("Table!" &amp; $AJ$86 &amp; $AG57),0)),"",INDIRECT(CONCATENATE("Table!",ADDRESS($AC57,MATCH(B$1,INDIRECT("Table!A" &amp; $AG57):INDIRECT("Table!" &amp; $AJ$86 &amp; $AG57),0)))))</f>
        <v>1.3428749053295783</v>
      </c>
      <c r="C57" s="273">
        <f ca="1">IF(ISERROR(MATCH(C$1,INDIRECT("Table!A"&amp;$AG57):INDIRECT("Table!" &amp; $AJ$86 &amp; $AG57),0)),"",INDIRECT(CONCATENATE("Table!",ADDRESS($AC57,MATCH(C$1,INDIRECT("Table!A" &amp; $AG57):INDIRECT("Table!" &amp; $AJ$86 &amp; $AG57),0)))))</f>
        <v>0.59295368991162389</v>
      </c>
      <c r="D57" s="273">
        <f ca="1">IF(ISERROR(MATCH(D$1,INDIRECT("Table!A"&amp;$AG57):INDIRECT("Table!" &amp; $AJ$86 &amp; $AG57),0)),"",INDIRECT(CONCATENATE("Table!",ADDRESS($AC57,MATCH(D$1,INDIRECT("Table!A" &amp; $AG57):INDIRECT("Table!" &amp; $AJ$86 &amp; $AG57),0)))))</f>
        <v>0.59989799077571926</v>
      </c>
      <c r="E57" s="273">
        <f ca="1">IF(ISERROR(MATCH(E$1,INDIRECT("Table!A"&amp;$AG57):INDIRECT("Table!" &amp; $AJ$86 &amp; $AG57),0)),"",INDIRECT(CONCATENATE("Table!",ADDRESS($AC57,MATCH(E$1,INDIRECT("Table!A" &amp; $AG57):INDIRECT("Table!" &amp; $AJ$86 &amp; $AG57),0)))))</f>
        <v>1.5276579277331923</v>
      </c>
      <c r="F57" s="273">
        <f ca="1">IF(ISERROR(MATCH(F$1,INDIRECT("Table!A"&amp;$AG57):INDIRECT("Table!" &amp; $AJ$86 &amp; $AG57),0)),"",INDIRECT(CONCATENATE("Table!",ADDRESS($AC57,MATCH(F$1,INDIRECT("Table!A" &amp; $AG57):INDIRECT("Table!" &amp; $AJ$86 &amp; $AG57),0)))))</f>
        <v>1.534105413940557</v>
      </c>
      <c r="G57" s="273">
        <f ca="1">IF(ISERROR(MATCH(G$1,INDIRECT("Table!A"&amp;$AG57):INDIRECT("Table!" &amp; $AJ$86 &amp; $AG57),0)),"",INDIRECT(CONCATENATE("Table!",ADDRESS($AC57,MATCH(G$1,INDIRECT("Table!A" &amp; $AG57):INDIRECT("Table!" &amp; $AJ$86 &amp; $AG57),0)))))</f>
        <v>3.4331465352828987</v>
      </c>
      <c r="H57" s="273">
        <f ca="1">IF(ISERROR(MATCH(H$1,INDIRECT("Table!A"&amp;$AG57):INDIRECT("Table!" &amp; $AJ$86 &amp; $AG57),0)),"",INDIRECT(CONCATENATE("Table!",ADDRESS($AC57,MATCH(H$1,INDIRECT("Table!A" &amp; $AG57):INDIRECT("Table!" &amp; $AJ$86 &amp; $AG57),0)))))</f>
        <v>1.1718658175350565</v>
      </c>
      <c r="I57" s="273">
        <f ca="1">IF(ISERROR(MATCH(I$1,INDIRECT("Table!A"&amp;$AG57):INDIRECT("Table!" &amp; $AJ$64 &amp; $AG57),0)),"",INDIRECT(CONCATENATE("Table!",ADDRESS($AC57,MATCH(I$1,INDIRECT("Table!A" &amp; $AG57):INDIRECT("Table!" &amp; $AJ$64 &amp; $AG57),0)))))</f>
        <v>7.4914079477161027E-2</v>
      </c>
      <c r="J57" s="273" t="str">
        <f ca="1">IF(ISERROR(MATCH(J$1,INDIRECT("Table!A"&amp;$AG57):INDIRECT("Table!" &amp; $AJ$64 &amp; $AG57),0)),"",INDIRECT(CONCATENATE("Table!",ADDRESS($AC57,MATCH(J$1,INDIRECT("Table!A" &amp; $AG57):INDIRECT("Table!" &amp; $AJ$64 &amp; $AG57),0)))))</f>
        <v/>
      </c>
      <c r="K57" s="273" t="str">
        <f ca="1">IF(ISERROR(MATCH(K$1,INDIRECT("Table!A"&amp;$AG57):INDIRECT("Table!" &amp; $AJ$64 &amp; $AG57),0)),"",INDIRECT(CONCATENATE("Table!",ADDRESS($AC57,MATCH(K$1,INDIRECT("Table!A" &amp; $AG57):INDIRECT("Table!" &amp; $AJ$64 &amp; $AG57),0)))))</f>
        <v/>
      </c>
      <c r="L57" s="273">
        <f ca="1">IF(ISERROR(MATCH(L$1,INDIRECT("Table!A"&amp;$AG57):INDIRECT("Table!" &amp; $AJ$86 &amp; $AG57),0)),"",INDIRECT(CONCATENATE("Table!",ADDRESS($AC57,MATCH(L$1,INDIRECT("Table!A" &amp; $AG57):INDIRECT("Table!" &amp; $AJ$86 &amp; $AG57),0)))))</f>
        <v>1.4637768809544778</v>
      </c>
      <c r="M57" s="273">
        <f ca="1">IF(ISERROR(MATCH(M$1,INDIRECT("Table!A"&amp;$AG57):INDIRECT("Table!" &amp; $AJ$86 &amp; $AG57),0)),"",INDIRECT(CONCATENATE("Table!",ADDRESS($AC57,MATCH(M$1,INDIRECT("Table!A" &amp; $AG57):INDIRECT("Table!" &amp; $AJ$86 &amp; $AG57),0)))))</f>
        <v>2.8566981780368446</v>
      </c>
      <c r="N57" s="273">
        <f ca="1">IF(ISERROR(MATCH(N$1,INDIRECT("Table!A"&amp;$AG57):INDIRECT("Table!" &amp; $AJ$86 &amp; $AG57),0)),"",INDIRECT(CONCATENATE("Table!",ADDRESS($AC57,MATCH(N$1,INDIRECT("Table!A" &amp; $AG57):INDIRECT("Table!" &amp; $AJ$86 &amp; $AG57),0)))))</f>
        <v>1.5940177065818246</v>
      </c>
      <c r="O57" s="273">
        <f ca="1">IF(ISERROR(MATCH(O$1,INDIRECT("Table!A"&amp;$AG57):INDIRECT("Table!" &amp; $AJ$64 &amp; $AG57),0)),"",INDIRECT(CONCATENATE("Table!",ADDRESS($AC57,MATCH(O$1,INDIRECT("Table!A" &amp; $AG57):INDIRECT("Table!" &amp; $AJ$64 &amp; $AG57),0)))))</f>
        <v>1.4458655494277908</v>
      </c>
      <c r="P57" s="273">
        <f ca="1">IF(ISERROR(MATCH(P$1,INDIRECT("Table!A"&amp;$AG57):INDIRECT("Table!" &amp; $AJ$64 &amp; $AG57),0)),"",INDIRECT(CONCATENATE("Table!",ADDRESS($AC57,MATCH(P$1,INDIRECT("Table!A" &amp; $AG57):INDIRECT("Table!" &amp; $AJ$64 &amp; $AG57),0)))))</f>
        <v>0.32807880634400705</v>
      </c>
      <c r="Q57" s="273" t="str">
        <f ca="1">IF(ISERROR(MATCH(Q$1,INDIRECT("Table!A"&amp;$AG57):INDIRECT("Table!" &amp; $AJ$64 &amp; $AG57),0)),"",INDIRECT(CONCATENATE("Table!",ADDRESS($AC57,MATCH(Q$1,INDIRECT("Table!A" &amp; $AG57):INDIRECT("Table!" &amp; $AJ$64 &amp; $AG57),0)))))</f>
        <v/>
      </c>
      <c r="R57" s="273" t="str">
        <f ca="1">IF(ISERROR(MATCH(R$1,INDIRECT("Table!A"&amp;$AG57):INDIRECT("Table!" &amp; $AJ$64 &amp; $AG57),0)),"",INDIRECT(CONCATENATE("Table!",ADDRESS($AC57,MATCH(R$1,INDIRECT("Table!A" &amp; $AG57):INDIRECT("Table!" &amp; $AJ$64 &amp; $AG57),0)))))</f>
        <v/>
      </c>
      <c r="S57" s="273">
        <f ca="1">IF(ISERROR(MATCH(S$1,INDIRECT("Table!A"&amp;$AG57):INDIRECT("Table!" &amp; $AJ$64 &amp; $AG57),0)),"",INDIRECT(CONCATENATE("Table!",ADDRESS($AC57,MATCH(S$1,INDIRECT("Table!A" &amp; $AG57):INDIRECT("Table!" &amp; $AJ$64 &amp; $AG57),0)))))</f>
        <v>0.57651050751572952</v>
      </c>
      <c r="T57" s="273">
        <f ca="1">IF(ISERROR(MATCH(T$1,INDIRECT("Table!A"&amp;$AG57):INDIRECT("Table!" &amp; $AJ$64 &amp; $AG57),0)),"",INDIRECT(CONCATENATE("Table!",ADDRESS($AC57,MATCH(T$1,INDIRECT("Table!A" &amp; $AG57):INDIRECT("Table!" &amp; $AJ$64 &amp; $AG57),0)))))</f>
        <v>0.4921446034360315</v>
      </c>
      <c r="U57" s="596" t="str">
        <f ca="1">IF(ISERROR(MATCH(U$1,INDIRECT("Table!A"&amp;$AG57):INDIRECT("Table!" &amp; $AJ$64 &amp; $AG57),0)),"",INDIRECT(CONCATENATE("Table!",ADDRESS($AC57,MATCH(U$1,INDIRECT("Table!A" &amp; $AG57):INDIRECT("Table!" &amp; $AJ$64 &amp; $AG57),0)))))</f>
        <v/>
      </c>
      <c r="V57" s="596"/>
      <c r="W57" s="596"/>
      <c r="X57" s="596"/>
      <c r="Y57" s="596"/>
      <c r="Z57" s="596"/>
      <c r="AA57" s="596"/>
      <c r="AB57" s="596"/>
      <c r="AC57" s="272">
        <f>MATCH($A57,Table!$A:$A,0)+$AE$2-1</f>
        <v>734</v>
      </c>
      <c r="AD57" s="364"/>
      <c r="AE57" s="364"/>
      <c r="AF57" s="364"/>
      <c r="AG57" s="272">
        <f>MATCH($A57,Table!$A:$A,0)+$AI$2-1</f>
        <v>725</v>
      </c>
      <c r="AH57" s="364"/>
      <c r="AI57" s="364"/>
      <c r="AJ57" s="904" t="s">
        <v>285</v>
      </c>
    </row>
    <row r="58" spans="1:36" s="267" customFormat="1" ht="19.5" customHeight="1" x14ac:dyDescent="0.25">
      <c r="A58" s="268">
        <v>41387</v>
      </c>
      <c r="B58" s="596">
        <f ca="1">IF(ISERROR(MATCH(B$1,INDIRECT("Table!A"&amp;$AG58):INDIRECT("Table!" &amp; $AJ$86 &amp; $AG58),0)),"",INDIRECT(CONCATENATE("Table!",ADDRESS($AC58,MATCH(B$1,INDIRECT("Table!A" &amp; $AG58):INDIRECT("Table!" &amp; $AJ$86 &amp; $AG58),0)))))</f>
        <v>1.3407586605129149</v>
      </c>
      <c r="C58" s="273">
        <f ca="1">IF(ISERROR(MATCH(C$1,INDIRECT("Table!A"&amp;$AG58):INDIRECT("Table!" &amp; $AJ$86 &amp; $AG58),0)),"",INDIRECT(CONCATENATE("Table!",ADDRESS($AC58,MATCH(C$1,INDIRECT("Table!A" &amp; $AG58):INDIRECT("Table!" &amp; $AJ$86 &amp; $AG58),0)))))</f>
        <v>0.59295368991162389</v>
      </c>
      <c r="D58" s="273">
        <f ca="1">IF(ISERROR(MATCH(D$1,INDIRECT("Table!A"&amp;$AG58):INDIRECT("Table!" &amp; $AJ$86 &amp; $AG58),0)),"",INDIRECT(CONCATENATE("Table!",ADDRESS($AC58,MATCH(D$1,INDIRECT("Table!A" &amp; $AG58):INDIRECT("Table!" &amp; $AJ$86 &amp; $AG58),0)))))</f>
        <v>0.59989799077571926</v>
      </c>
      <c r="E58" s="273">
        <f ca="1">IF(ISERROR(MATCH(E$1,INDIRECT("Table!A"&amp;$AG58):INDIRECT("Table!" &amp; $AJ$86 &amp; $AG58),0)),"",INDIRECT(CONCATENATE("Table!",ADDRESS($AC58,MATCH(E$1,INDIRECT("Table!A" &amp; $AG58):INDIRECT("Table!" &amp; $AJ$86 &amp; $AG58),0)))))</f>
        <v>1.5276579277331923</v>
      </c>
      <c r="F58" s="273">
        <f ca="1">IF(ISERROR(MATCH(F$1,INDIRECT("Table!A"&amp;$AG58):INDIRECT("Table!" &amp; $AJ$86 &amp; $AG58),0)),"",INDIRECT(CONCATENATE("Table!",ADDRESS($AC58,MATCH(F$1,INDIRECT("Table!A" &amp; $AG58):INDIRECT("Table!" &amp; $AJ$86 &amp; $AG58),0)))))</f>
        <v>1.534105413940557</v>
      </c>
      <c r="G58" s="273">
        <f ca="1">IF(ISERROR(MATCH(G$1,INDIRECT("Table!A"&amp;$AG58):INDIRECT("Table!" &amp; $AJ$86 &amp; $AG58),0)),"",INDIRECT(CONCATENATE("Table!",ADDRESS($AC58,MATCH(G$1,INDIRECT("Table!A" &amp; $AG58):INDIRECT("Table!" &amp; $AJ$86 &amp; $AG58),0)))))</f>
        <v>3.4331465352828987</v>
      </c>
      <c r="H58" s="273">
        <f ca="1">IF(ISERROR(MATCH(H$1,INDIRECT("Table!A"&amp;$AG58):INDIRECT("Table!" &amp; $AJ$86 &amp; $AG58),0)),"",INDIRECT(CONCATENATE("Table!",ADDRESS($AC58,MATCH(H$1,INDIRECT("Table!A" &amp; $AG58):INDIRECT("Table!" &amp; $AJ$86 &amp; $AG58),0)))))</f>
        <v>1.1707542540372762</v>
      </c>
      <c r="I58" s="273">
        <f ca="1">IF(ISERROR(MATCH(I$1,INDIRECT("Table!A"&amp;$AG58):INDIRECT("Table!" &amp; $AJ$64 &amp; $AG58),0)),"",INDIRECT(CONCATENATE("Table!",ADDRESS($AC58,MATCH(I$1,INDIRECT("Table!A" &amp; $AG58):INDIRECT("Table!" &amp; $AJ$64 &amp; $AG58),0)))))</f>
        <v>7.4914079477161027E-2</v>
      </c>
      <c r="J58" s="273" t="str">
        <f ca="1">IF(ISERROR(MATCH(J$1,INDIRECT("Table!A"&amp;$AG58):INDIRECT("Table!" &amp; $AJ$64 &amp; $AG58),0)),"",INDIRECT(CONCATENATE("Table!",ADDRESS($AC58,MATCH(J$1,INDIRECT("Table!A" &amp; $AG58):INDIRECT("Table!" &amp; $AJ$64 &amp; $AG58),0)))))</f>
        <v/>
      </c>
      <c r="K58" s="273" t="str">
        <f ca="1">IF(ISERROR(MATCH(K$1,INDIRECT("Table!A"&amp;$AG58):INDIRECT("Table!" &amp; $AJ$64 &amp; $AG58),0)),"",INDIRECT(CONCATENATE("Table!",ADDRESS($AC58,MATCH(K$1,INDIRECT("Table!A" &amp; $AG58):INDIRECT("Table!" &amp; $AJ$64 &amp; $AG58),0)))))</f>
        <v/>
      </c>
      <c r="L58" s="273">
        <f ca="1">IF(ISERROR(MATCH(L$1,INDIRECT("Table!A"&amp;$AG58):INDIRECT("Table!" &amp; $AJ$86 &amp; $AG58),0)),"",INDIRECT(CONCATENATE("Table!",ADDRESS($AC58,MATCH(L$1,INDIRECT("Table!A" &amp; $AG58):INDIRECT("Table!" &amp; $AJ$86 &amp; $AG58),0)))))</f>
        <v>1.4637768809544778</v>
      </c>
      <c r="M58" s="273">
        <f ca="1">IF(ISERROR(MATCH(M$1,INDIRECT("Table!A"&amp;$AG58):INDIRECT("Table!" &amp; $AJ$86 &amp; $AG58),0)),"",INDIRECT(CONCATENATE("Table!",ADDRESS($AC58,MATCH(M$1,INDIRECT("Table!A" &amp; $AG58):INDIRECT("Table!" &amp; $AJ$86 &amp; $AG58),0)))))</f>
        <v>2.8566981780368446</v>
      </c>
      <c r="N58" s="273">
        <f ca="1">IF(ISERROR(MATCH(N$1,INDIRECT("Table!A"&amp;$AG58):INDIRECT("Table!" &amp; $AJ$86 &amp; $AG58),0)),"",INDIRECT(CONCATENATE("Table!",ADDRESS($AC58,MATCH(N$1,INDIRECT("Table!A" &amp; $AG58):INDIRECT("Table!" &amp; $AJ$86 &amp; $AG58),0)))))</f>
        <v>1.5940177065818246</v>
      </c>
      <c r="O58" s="273">
        <f ca="1">IF(ISERROR(MATCH(O$1,INDIRECT("Table!A"&amp;$AG58):INDIRECT("Table!" &amp; $AJ$64 &amp; $AG58),0)),"",INDIRECT(CONCATENATE("Table!",ADDRESS($AC58,MATCH(O$1,INDIRECT("Table!A" &amp; $AG58):INDIRECT("Table!" &amp; $AJ$64 &amp; $AG58),0)))))</f>
        <v>1.4451013498773533</v>
      </c>
      <c r="P58" s="273">
        <f ca="1">IF(ISERROR(MATCH(P$1,INDIRECT("Table!A"&amp;$AG58):INDIRECT("Table!" &amp; $AJ$64 &amp; $AG58),0)),"",INDIRECT(CONCATENATE("Table!",ADDRESS($AC58,MATCH(P$1,INDIRECT("Table!A" &amp; $AG58):INDIRECT("Table!" &amp; $AJ$64 &amp; $AG58),0)))))</f>
        <v>0.32807880634400705</v>
      </c>
      <c r="Q58" s="273" t="str">
        <f ca="1">IF(ISERROR(MATCH(Q$1,INDIRECT("Table!A"&amp;$AG58):INDIRECT("Table!" &amp; $AJ$64 &amp; $AG58),0)),"",INDIRECT(CONCATENATE("Table!",ADDRESS($AC58,MATCH(Q$1,INDIRECT("Table!A" &amp; $AG58):INDIRECT("Table!" &amp; $AJ$64 &amp; $AG58),0)))))</f>
        <v/>
      </c>
      <c r="R58" s="273" t="str">
        <f ca="1">IF(ISERROR(MATCH(R$1,INDIRECT("Table!A"&amp;$AG58):INDIRECT("Table!" &amp; $AJ$64 &amp; $AG58),0)),"",INDIRECT(CONCATENATE("Table!",ADDRESS($AC58,MATCH(R$1,INDIRECT("Table!A" &amp; $AG58):INDIRECT("Table!" &amp; $AJ$64 &amp; $AG58),0)))))</f>
        <v/>
      </c>
      <c r="S58" s="273">
        <f ca="1">IF(ISERROR(MATCH(S$1,INDIRECT("Table!A"&amp;$AG58):INDIRECT("Table!" &amp; $AJ$64 &amp; $AG58),0)),"",INDIRECT(CONCATENATE("Table!",ADDRESS($AC58,MATCH(S$1,INDIRECT("Table!A" &amp; $AG58):INDIRECT("Table!" &amp; $AJ$64 &amp; $AG58),0)))))</f>
        <v>0.45179349422494602</v>
      </c>
      <c r="T58" s="273">
        <f ca="1">IF(ISERROR(MATCH(T$1,INDIRECT("Table!A"&amp;$AG58):INDIRECT("Table!" &amp; $AJ$64 &amp; $AG58),0)),"",INDIRECT(CONCATENATE("Table!",ADDRESS($AC58,MATCH(T$1,INDIRECT("Table!A" &amp; $AG58):INDIRECT("Table!" &amp; $AJ$64 &amp; $AG58),0)))))</f>
        <v>0.38821344494643478</v>
      </c>
      <c r="U58" s="596" t="str">
        <f ca="1">IF(ISERROR(MATCH(U$1,INDIRECT("Table!A"&amp;$AG58):INDIRECT("Table!" &amp; $AJ$64 &amp; $AG58),0)),"",INDIRECT(CONCATENATE("Table!",ADDRESS($AC58,MATCH(U$1,INDIRECT("Table!A" &amp; $AG58):INDIRECT("Table!" &amp; $AJ$64 &amp; $AG58),0)))))</f>
        <v/>
      </c>
      <c r="V58" s="596"/>
      <c r="W58" s="596"/>
      <c r="X58" s="596"/>
      <c r="Y58" s="596"/>
      <c r="Z58" s="596"/>
      <c r="AA58" s="596"/>
      <c r="AB58" s="596"/>
      <c r="AC58" s="272">
        <f>MATCH($A58,Table!$A:$A,0)+$AE$2-1</f>
        <v>746</v>
      </c>
      <c r="AD58" s="363"/>
      <c r="AE58" s="363"/>
      <c r="AF58" s="363"/>
      <c r="AG58" s="272">
        <f>MATCH($A58,Table!$A:$A,0)+$AI$2-1</f>
        <v>737</v>
      </c>
      <c r="AH58" s="363"/>
      <c r="AI58" s="363"/>
      <c r="AJ58" s="904" t="s">
        <v>285</v>
      </c>
    </row>
    <row r="59" spans="1:36" s="267" customFormat="1" ht="19.5" customHeight="1" x14ac:dyDescent="0.25">
      <c r="A59" s="268">
        <v>41383</v>
      </c>
      <c r="B59" s="596">
        <f ca="1">IF(ISERROR(MATCH(B$1,INDIRECT("Table!A"&amp;$AG59):INDIRECT("Table!" &amp; $AJ$86 &amp; $AG59),0)),"",INDIRECT(CONCATENATE("Table!",ADDRESS($AC59,MATCH(B$1,INDIRECT("Table!A" &amp; $AG59):INDIRECT("Table!" &amp; $AJ$86 &amp; $AG59),0)))))</f>
        <v>1.3407586605129149</v>
      </c>
      <c r="C59" s="273">
        <f ca="1">IF(ISERROR(MATCH(C$1,INDIRECT("Table!A"&amp;$AG59):INDIRECT("Table!" &amp; $AJ$86 &amp; $AG59),0)),"",INDIRECT(CONCATENATE("Table!",ADDRESS($AC59,MATCH(C$1,INDIRECT("Table!A" &amp; $AG59):INDIRECT("Table!" &amp; $AJ$86 &amp; $AG59),0)))))</f>
        <v>0.59295368991162389</v>
      </c>
      <c r="D59" s="273">
        <f ca="1">IF(ISERROR(MATCH(D$1,INDIRECT("Table!A"&amp;$AG59):INDIRECT("Table!" &amp; $AJ$86 &amp; $AG59),0)),"",INDIRECT(CONCATENATE("Table!",ADDRESS($AC59,MATCH(D$1,INDIRECT("Table!A" &amp; $AG59):INDIRECT("Table!" &amp; $AJ$86 &amp; $AG59),0)))))</f>
        <v>0.59989799077571926</v>
      </c>
      <c r="E59" s="273">
        <f ca="1">IF(ISERROR(MATCH(E$1,INDIRECT("Table!A"&amp;$AG59):INDIRECT("Table!" &amp; $AJ$86 &amp; $AG59),0)),"",INDIRECT(CONCATENATE("Table!",ADDRESS($AC59,MATCH(E$1,INDIRECT("Table!A" &amp; $AG59):INDIRECT("Table!" &amp; $AJ$86 &amp; $AG59),0)))))</f>
        <v>1.5276579277331923</v>
      </c>
      <c r="F59" s="273">
        <f ca="1">IF(ISERROR(MATCH(F$1,INDIRECT("Table!A"&amp;$AG59):INDIRECT("Table!" &amp; $AJ$86 &amp; $AG59),0)),"",INDIRECT(CONCATENATE("Table!",ADDRESS($AC59,MATCH(F$1,INDIRECT("Table!A" &amp; $AG59):INDIRECT("Table!" &amp; $AJ$86 &amp; $AG59),0)))))</f>
        <v>1.534105413940557</v>
      </c>
      <c r="G59" s="273">
        <f ca="1">IF(ISERROR(MATCH(G$1,INDIRECT("Table!A"&amp;$AG59):INDIRECT("Table!" &amp; $AJ$86 &amp; $AG59),0)),"",INDIRECT(CONCATENATE("Table!",ADDRESS($AC59,MATCH(G$1,INDIRECT("Table!A" &amp; $AG59):INDIRECT("Table!" &amp; $AJ$86 &amp; $AG59),0)))))</f>
        <v>3.4331465352828987</v>
      </c>
      <c r="H59" s="273">
        <f ca="1">IF(ISERROR(MATCH(H$1,INDIRECT("Table!A"&amp;$AG59):INDIRECT("Table!" &amp; $AJ$86 &amp; $AG59),0)),"",INDIRECT(CONCATENATE("Table!",ADDRESS($AC59,MATCH(H$1,INDIRECT("Table!A" &amp; $AG59):INDIRECT("Table!" &amp; $AJ$86 &amp; $AG59),0)))))</f>
        <v>1.1615838551805875</v>
      </c>
      <c r="I59" s="273">
        <f ca="1">IF(ISERROR(MATCH(I$1,INDIRECT("Table!A"&amp;$AG59):INDIRECT("Table!" &amp; $AJ$64 &amp; $AG59),0)),"",INDIRECT(CONCATENATE("Table!",ADDRESS($AC59,MATCH(I$1,INDIRECT("Table!A" &amp; $AG59):INDIRECT("Table!" &amp; $AJ$64 &amp; $AG59),0)))))</f>
        <v>7.4914079477161027E-2</v>
      </c>
      <c r="J59" s="273" t="str">
        <f ca="1">IF(ISERROR(MATCH(J$1,INDIRECT("Table!A"&amp;$AG59):INDIRECT("Table!" &amp; $AJ$64 &amp; $AG59),0)),"",INDIRECT(CONCATENATE("Table!",ADDRESS($AC59,MATCH(J$1,INDIRECT("Table!A" &amp; $AG59):INDIRECT("Table!" &amp; $AJ$64 &amp; $AG59),0)))))</f>
        <v/>
      </c>
      <c r="K59" s="273" t="str">
        <f ca="1">IF(ISERROR(MATCH(K$1,INDIRECT("Table!A"&amp;$AG59):INDIRECT("Table!" &amp; $AJ$64 &amp; $AG59),0)),"",INDIRECT(CONCATENATE("Table!",ADDRESS($AC59,MATCH(K$1,INDIRECT("Table!A" &amp; $AG59):INDIRECT("Table!" &amp; $AJ$64 &amp; $AG59),0)))))</f>
        <v/>
      </c>
      <c r="L59" s="273">
        <f ca="1">IF(ISERROR(MATCH(L$1,INDIRECT("Table!A"&amp;$AG59):INDIRECT("Table!" &amp; $AJ$86 &amp; $AG59),0)),"",INDIRECT(CONCATENATE("Table!",ADDRESS($AC59,MATCH(L$1,INDIRECT("Table!A" &amp; $AG59):INDIRECT("Table!" &amp; $AJ$86 &amp; $AG59),0)))))</f>
        <v>1.4637768809544778</v>
      </c>
      <c r="M59" s="273">
        <f ca="1">IF(ISERROR(MATCH(M$1,INDIRECT("Table!A"&amp;$AG59):INDIRECT("Table!" &amp; $AJ$86 &amp; $AG59),0)),"",INDIRECT(CONCATENATE("Table!",ADDRESS($AC59,MATCH(M$1,INDIRECT("Table!A" &amp; $AG59):INDIRECT("Table!" &amp; $AJ$86 &amp; $AG59),0)))))</f>
        <v>2.8199527972742446</v>
      </c>
      <c r="N59" s="273">
        <f ca="1">IF(ISERROR(MATCH(N$1,INDIRECT("Table!A"&amp;$AG59):INDIRECT("Table!" &amp; $AJ$86 &amp; $AG59),0)),"",INDIRECT(CONCATENATE("Table!",ADDRESS($AC59,MATCH(N$1,INDIRECT("Table!A" &amp; $AG59):INDIRECT("Table!" &amp; $AJ$86 &amp; $AG59),0)))))</f>
        <v>1.5907571231881517</v>
      </c>
      <c r="O59" s="273">
        <f ca="1">IF(ISERROR(MATCH(O$1,INDIRECT("Table!A"&amp;$AG59):INDIRECT("Table!" &amp; $AJ$64 &amp; $AG59),0)),"",INDIRECT(CONCATENATE("Table!",ADDRESS($AC59,MATCH(O$1,INDIRECT("Table!A" &amp; $AG59):INDIRECT("Table!" &amp; $AJ$64 &amp; $AG59),0)))))</f>
        <v>1.4114765696581024</v>
      </c>
      <c r="P59" s="273">
        <f ca="1">IF(ISERROR(MATCH(P$1,INDIRECT("Table!A"&amp;$AG59):INDIRECT("Table!" &amp; $AJ$64 &amp; $AG59),0)),"",INDIRECT(CONCATENATE("Table!",ADDRESS($AC59,MATCH(P$1,INDIRECT("Table!A" &amp; $AG59):INDIRECT("Table!" &amp; $AJ$64 &amp; $AG59),0)))))</f>
        <v>0.32807880634400705</v>
      </c>
      <c r="Q59" s="273" t="str">
        <f ca="1">IF(ISERROR(MATCH(Q$1,INDIRECT("Table!A"&amp;$AG59):INDIRECT("Table!" &amp; $AJ$64 &amp; $AG59),0)),"",INDIRECT(CONCATENATE("Table!",ADDRESS($AC59,MATCH(Q$1,INDIRECT("Table!A" &amp; $AG59):INDIRECT("Table!" &amp; $AJ$64 &amp; $AG59),0)))))</f>
        <v/>
      </c>
      <c r="R59" s="273" t="str">
        <f ca="1">IF(ISERROR(MATCH(R$1,INDIRECT("Table!A"&amp;$AG59):INDIRECT("Table!" &amp; $AJ$64 &amp; $AG59),0)),"",INDIRECT(CONCATENATE("Table!",ADDRESS($AC59,MATCH(R$1,INDIRECT("Table!A" &amp; $AG59):INDIRECT("Table!" &amp; $AJ$64 &amp; $AG59),0)))))</f>
        <v/>
      </c>
      <c r="S59" s="273">
        <f ca="1">IF(ISERROR(MATCH(S$1,INDIRECT("Table!A"&amp;$AG59):INDIRECT("Table!" &amp; $AJ$64 &amp; $AG59),0)),"",INDIRECT(CONCATENATE("Table!",ADDRESS($AC59,MATCH(S$1,INDIRECT("Table!A" &amp; $AG59):INDIRECT("Table!" &amp; $AJ$64 &amp; $AG59),0)))))</f>
        <v>0.45179349422494602</v>
      </c>
      <c r="T59" s="273">
        <f ca="1">IF(ISERROR(MATCH(T$1,INDIRECT("Table!A"&amp;$AG59):INDIRECT("Table!" &amp; $AJ$64 &amp; $AG59),0)),"",INDIRECT(CONCATENATE("Table!",ADDRESS($AC59,MATCH(T$1,INDIRECT("Table!A" &amp; $AG59):INDIRECT("Table!" &amp; $AJ$64 &amp; $AG59),0)))))</f>
        <v>0.38821344494643478</v>
      </c>
      <c r="U59" s="596" t="str">
        <f ca="1">IF(ISERROR(MATCH(U$1,INDIRECT("Table!A"&amp;$AG59):INDIRECT("Table!" &amp; $AJ$64 &amp; $AG59),0)),"",INDIRECT(CONCATENATE("Table!",ADDRESS($AC59,MATCH(U$1,INDIRECT("Table!A" &amp; $AG59):INDIRECT("Table!" &amp; $AJ$64 &amp; $AG59),0)))))</f>
        <v/>
      </c>
      <c r="V59" s="596"/>
      <c r="W59" s="596"/>
      <c r="X59" s="596"/>
      <c r="Y59" s="596"/>
      <c r="Z59" s="596"/>
      <c r="AA59" s="596"/>
      <c r="AB59" s="596"/>
      <c r="AC59" s="272">
        <f>MATCH($A59,Table!$A:$A,0)+$AE$2-1</f>
        <v>758</v>
      </c>
      <c r="AD59" s="362"/>
      <c r="AE59" s="362"/>
      <c r="AF59" s="362"/>
      <c r="AG59" s="272">
        <f>MATCH($A59,Table!$A:$A,0)+$AI$2-1</f>
        <v>749</v>
      </c>
      <c r="AH59" s="362"/>
      <c r="AI59" s="362"/>
      <c r="AJ59" s="904" t="s">
        <v>285</v>
      </c>
    </row>
    <row r="60" spans="1:36" s="267" customFormat="1" ht="19.5" customHeight="1" x14ac:dyDescent="0.25">
      <c r="A60" s="268">
        <v>41379</v>
      </c>
      <c r="B60" s="596">
        <f ca="1">IF(ISERROR(MATCH(B$1,INDIRECT("Table!A"&amp;$AG60):INDIRECT("Table!" &amp; $AJ$86 &amp; $AG60),0)),"",INDIRECT(CONCATENATE("Table!",ADDRESS($AC60,MATCH(B$1,INDIRECT("Table!A" &amp; $AG60):INDIRECT("Table!" &amp; $AJ$86 &amp; $AG60),0)))))</f>
        <v>1.3407586605129149</v>
      </c>
      <c r="C60" s="273">
        <f ca="1">IF(ISERROR(MATCH(C$1,INDIRECT("Table!A"&amp;$AG60):INDIRECT("Table!" &amp; $AJ$86 &amp; $AG60),0)),"",INDIRECT(CONCATENATE("Table!",ADDRESS($AC60,MATCH(C$1,INDIRECT("Table!A" &amp; $AG60):INDIRECT("Table!" &amp; $AJ$86 &amp; $AG60),0)))))</f>
        <v>0.59295368991162389</v>
      </c>
      <c r="D60" s="273">
        <f ca="1">IF(ISERROR(MATCH(D$1,INDIRECT("Table!A"&amp;$AG60):INDIRECT("Table!" &amp; $AJ$86 &amp; $AG60),0)),"",INDIRECT(CONCATENATE("Table!",ADDRESS($AC60,MATCH(D$1,INDIRECT("Table!A" &amp; $AG60):INDIRECT("Table!" &amp; $AJ$86 &amp; $AG60),0)))))</f>
        <v>0.59989799077571926</v>
      </c>
      <c r="E60" s="273">
        <f ca="1">IF(ISERROR(MATCH(E$1,INDIRECT("Table!A"&amp;$AG60):INDIRECT("Table!" &amp; $AJ$86 &amp; $AG60),0)),"",INDIRECT(CONCATENATE("Table!",ADDRESS($AC60,MATCH(E$1,INDIRECT("Table!A" &amp; $AG60):INDIRECT("Table!" &amp; $AJ$86 &amp; $AG60),0)))))</f>
        <v>1.520988550411049</v>
      </c>
      <c r="F60" s="273">
        <f ca="1">IF(ISERROR(MATCH(F$1,INDIRECT("Table!A"&amp;$AG60):INDIRECT("Table!" &amp; $AJ$86 &amp; $AG60),0)),"",INDIRECT(CONCATENATE("Table!",ADDRESS($AC60,MATCH(F$1,INDIRECT("Table!A" &amp; $AG60):INDIRECT("Table!" &amp; $AJ$86 &amp; $AG60),0)))))</f>
        <v>1.5308448285761773</v>
      </c>
      <c r="G60" s="273">
        <f ca="1">IF(ISERROR(MATCH(G$1,INDIRECT("Table!A"&amp;$AG60):INDIRECT("Table!" &amp; $AJ$86 &amp; $AG60),0)),"",INDIRECT(CONCATENATE("Table!",ADDRESS($AC60,MATCH(G$1,INDIRECT("Table!A" &amp; $AG60):INDIRECT("Table!" &amp; $AJ$86 &amp; $AG60),0)))))</f>
        <v>3.4308499455090362</v>
      </c>
      <c r="H60" s="273">
        <f ca="1">IF(ISERROR(MATCH(H$1,INDIRECT("Table!A"&amp;$AG60):INDIRECT("Table!" &amp; $AJ$86 &amp; $AG60),0)),"",INDIRECT(CONCATENATE("Table!",ADDRESS($AC60,MATCH(H$1,INDIRECT("Table!A" &amp; $AG60):INDIRECT("Table!" &amp; $AJ$86 &amp; $AG60),0)))))</f>
        <v>1.1218454601349357</v>
      </c>
      <c r="I60" s="273">
        <f ca="1">IF(ISERROR(MATCH(I$1,INDIRECT("Table!A"&amp;$AG60):INDIRECT("Table!" &amp; $AJ$64 &amp; $AG60),0)),"",INDIRECT(CONCATENATE("Table!",ADDRESS($AC60,MATCH(I$1,INDIRECT("Table!A" &amp; $AG60):INDIRECT("Table!" &amp; $AJ$64 &amp; $AG60),0)))))</f>
        <v>7.4914079477161027E-2</v>
      </c>
      <c r="J60" s="273" t="str">
        <f ca="1">IF(ISERROR(MATCH(J$1,INDIRECT("Table!A"&amp;$AG60):INDIRECT("Table!" &amp; $AJ$64 &amp; $AG60),0)),"",INDIRECT(CONCATENATE("Table!",ADDRESS($AC60,MATCH(J$1,INDIRECT("Table!A" &amp; $AG60):INDIRECT("Table!" &amp; $AJ$64 &amp; $AG60),0)))))</f>
        <v/>
      </c>
      <c r="K60" s="273" t="str">
        <f ca="1">IF(ISERROR(MATCH(K$1,INDIRECT("Table!A"&amp;$AG60):INDIRECT("Table!" &amp; $AJ$64 &amp; $AG60),0)),"",INDIRECT(CONCATENATE("Table!",ADDRESS($AC60,MATCH(K$1,INDIRECT("Table!A" &amp; $AG60):INDIRECT("Table!" &amp; $AJ$64 &amp; $AG60),0)))))</f>
        <v/>
      </c>
      <c r="L60" s="273">
        <f ca="1">IF(ISERROR(MATCH(L$1,INDIRECT("Table!A"&amp;$AG60):INDIRECT("Table!" &amp; $AJ$86 &amp; $AG60),0)),"",INDIRECT(CONCATENATE("Table!",ADDRESS($AC60,MATCH(L$1,INDIRECT("Table!A" &amp; $AG60):INDIRECT("Table!" &amp; $AJ$86 &amp; $AG60),0)))))</f>
        <v>1.4637768809544778</v>
      </c>
      <c r="M60" s="273">
        <f ca="1">IF(ISERROR(MATCH(M$1,INDIRECT("Table!A"&amp;$AG60):INDIRECT("Table!" &amp; $AJ$86 &amp; $AG60),0)),"",INDIRECT(CONCATENATE("Table!",ADDRESS($AC60,MATCH(M$1,INDIRECT("Table!A" &amp; $AG60):INDIRECT("Table!" &amp; $AJ$86 &amp; $AG60),0)))))</f>
        <v>2.8199527972742446</v>
      </c>
      <c r="N60" s="273">
        <f ca="1">IF(ISERROR(MATCH(N$1,INDIRECT("Table!A"&amp;$AG60):INDIRECT("Table!" &amp; $AJ$86 &amp; $AG60),0)),"",INDIRECT(CONCATENATE("Table!",ADDRESS($AC60,MATCH(N$1,INDIRECT("Table!A" &amp; $AG60):INDIRECT("Table!" &amp; $AJ$86 &amp; $AG60),0)))))</f>
        <v>1.5907571231881517</v>
      </c>
      <c r="O60" s="273">
        <f ca="1">IF(ISERROR(MATCH(O$1,INDIRECT("Table!A"&amp;$AG60):INDIRECT("Table!" &amp; $AJ$64 &amp; $AG60),0)),"",INDIRECT(CONCATENATE("Table!",ADDRESS($AC60,MATCH(O$1,INDIRECT("Table!A" &amp; $AG60):INDIRECT("Table!" &amp; $AJ$64 &amp; $AG60),0)))))</f>
        <v>1.4114765696581024</v>
      </c>
      <c r="P60" s="273">
        <f ca="1">IF(ISERROR(MATCH(P$1,INDIRECT("Table!A"&amp;$AG60):INDIRECT("Table!" &amp; $AJ$64 &amp; $AG60),0)),"",INDIRECT(CONCATENATE("Table!",ADDRESS($AC60,MATCH(P$1,INDIRECT("Table!A" &amp; $AG60):INDIRECT("Table!" &amp; $AJ$64 &amp; $AG60),0)))))</f>
        <v>0.32807880634400705</v>
      </c>
      <c r="Q60" s="273" t="str">
        <f ca="1">IF(ISERROR(MATCH(Q$1,INDIRECT("Table!A"&amp;$AG60):INDIRECT("Table!" &amp; $AJ$64 &amp; $AG60),0)),"",INDIRECT(CONCATENATE("Table!",ADDRESS($AC60,MATCH(Q$1,INDIRECT("Table!A" &amp; $AG60):INDIRECT("Table!" &amp; $AJ$64 &amp; $AG60),0)))))</f>
        <v/>
      </c>
      <c r="R60" s="273" t="str">
        <f ca="1">IF(ISERROR(MATCH(R$1,INDIRECT("Table!A"&amp;$AG60):INDIRECT("Table!" &amp; $AJ$64 &amp; $AG60),0)),"",INDIRECT(CONCATENATE("Table!",ADDRESS($AC60,MATCH(R$1,INDIRECT("Table!A" &amp; $AG60):INDIRECT("Table!" &amp; $AJ$64 &amp; $AG60),0)))))</f>
        <v/>
      </c>
      <c r="S60" s="273">
        <f ca="1">IF(ISERROR(MATCH(S$1,INDIRECT("Table!A"&amp;$AG60):INDIRECT("Table!" &amp; $AJ$64 &amp; $AG60),0)),"",INDIRECT(CONCATENATE("Table!",ADDRESS($AC60,MATCH(S$1,INDIRECT("Table!A" &amp; $AG60):INDIRECT("Table!" &amp; $AJ$64 &amp; $AG60),0)))))</f>
        <v>0.45179349422494602</v>
      </c>
      <c r="T60" s="273">
        <f ca="1">IF(ISERROR(MATCH(T$1,INDIRECT("Table!A"&amp;$AG60):INDIRECT("Table!" &amp; $AJ$64 &amp; $AG60),0)),"",INDIRECT(CONCATENATE("Table!",ADDRESS($AC60,MATCH(T$1,INDIRECT("Table!A" &amp; $AG60):INDIRECT("Table!" &amp; $AJ$64 &amp; $AG60),0)))))</f>
        <v>0.38821344494643478</v>
      </c>
      <c r="U60" s="596" t="str">
        <f ca="1">IF(ISERROR(MATCH(U$1,INDIRECT("Table!A"&amp;$AG60):INDIRECT("Table!" &amp; $AJ$64 &amp; $AG60),0)),"",INDIRECT(CONCATENATE("Table!",ADDRESS($AC60,MATCH(U$1,INDIRECT("Table!A" &amp; $AG60):INDIRECT("Table!" &amp; $AJ$64 &amp; $AG60),0)))))</f>
        <v/>
      </c>
      <c r="V60" s="596"/>
      <c r="W60" s="596"/>
      <c r="X60" s="596"/>
      <c r="Y60" s="596"/>
      <c r="Z60" s="596"/>
      <c r="AA60" s="596"/>
      <c r="AB60" s="596"/>
      <c r="AC60" s="272">
        <f>MATCH($A60,Table!$A:$A,0)+$AE$2-1</f>
        <v>770</v>
      </c>
      <c r="AD60" s="361"/>
      <c r="AE60" s="361"/>
      <c r="AF60" s="361"/>
      <c r="AG60" s="272">
        <f>MATCH($A60,Table!$A:$A,0)+$AI$2-1</f>
        <v>761</v>
      </c>
      <c r="AH60" s="361"/>
      <c r="AI60" s="361"/>
      <c r="AJ60" s="904" t="s">
        <v>285</v>
      </c>
    </row>
    <row r="61" spans="1:36" s="267" customFormat="1" ht="19.5" customHeight="1" x14ac:dyDescent="0.25">
      <c r="A61" s="268">
        <v>41374</v>
      </c>
      <c r="B61" s="596">
        <f ca="1">IF(ISERROR(MATCH(B$1,INDIRECT("Table!A"&amp;$AG61):INDIRECT("Table!" &amp; $AJ$86 &amp; $AG61),0)),"",INDIRECT(CONCATENATE("Table!",ADDRESS($AC61,MATCH(B$1,INDIRECT("Table!A" &amp; $AG61):INDIRECT("Table!" &amp; $AJ$86 &amp; $AG61),0)))))</f>
        <v>1.3407586605129149</v>
      </c>
      <c r="C61" s="273">
        <f ca="1">IF(ISERROR(MATCH(C$1,INDIRECT("Table!A"&amp;$AG61):INDIRECT("Table!" &amp; $AJ$86 &amp; $AG61),0)),"",INDIRECT(CONCATENATE("Table!",ADDRESS($AC61,MATCH(C$1,INDIRECT("Table!A" &amp; $AG61):INDIRECT("Table!" &amp; $AJ$86 &amp; $AG61),0)))))</f>
        <v>0.59295368991162389</v>
      </c>
      <c r="D61" s="273">
        <f ca="1">IF(ISERROR(MATCH(D$1,INDIRECT("Table!A"&amp;$AG61):INDIRECT("Table!" &amp; $AJ$86 &amp; $AG61),0)),"",INDIRECT(CONCATENATE("Table!",ADDRESS($AC61,MATCH(D$1,INDIRECT("Table!A" &amp; $AG61):INDIRECT("Table!" &amp; $AJ$86 &amp; $AG61),0)))))</f>
        <v>0.59989799077571926</v>
      </c>
      <c r="E61" s="273">
        <f ca="1">IF(ISERROR(MATCH(E$1,INDIRECT("Table!A"&amp;$AG61):INDIRECT("Table!" &amp; $AJ$86 &amp; $AG61),0)),"",INDIRECT(CONCATENATE("Table!",ADDRESS($AC61,MATCH(E$1,INDIRECT("Table!A" &amp; $AG61):INDIRECT("Table!" &amp; $AJ$86 &amp; $AG61),0)))))</f>
        <v>1.5276579277331923</v>
      </c>
      <c r="F61" s="273">
        <f ca="1">IF(ISERROR(MATCH(F$1,INDIRECT("Table!A"&amp;$AG61):INDIRECT("Table!" &amp; $AJ$86 &amp; $AG61),0)),"",INDIRECT(CONCATENATE("Table!",ADDRESS($AC61,MATCH(F$1,INDIRECT("Table!A" &amp; $AG61):INDIRECT("Table!" &amp; $AJ$86 &amp; $AG61),0)))))</f>
        <v>1.5328826944289147</v>
      </c>
      <c r="G61" s="273">
        <f ca="1">IF(ISERROR(MATCH(G$1,INDIRECT("Table!A"&amp;$AG61):INDIRECT("Table!" &amp; $AJ$86 &amp; $AG61),0)),"",INDIRECT(CONCATENATE("Table!",ADDRESS($AC61,MATCH(G$1,INDIRECT("Table!A" &amp; $AG61):INDIRECT("Table!" &amp; $AJ$86 &amp; $AG61),0)))))</f>
        <v>3.4229394696212876</v>
      </c>
      <c r="H61" s="273">
        <f ca="1">IF(ISERROR(MATCH(H$1,INDIRECT("Table!A"&amp;$AG61):INDIRECT("Table!" &amp; $AJ$86 &amp; $AG61),0)),"",INDIRECT(CONCATENATE("Table!",ADDRESS($AC61,MATCH(H$1,INDIRECT("Table!A" &amp; $AG61):INDIRECT("Table!" &amp; $AJ$86 &amp; $AG61),0)))))</f>
        <v>1.1021152080493324</v>
      </c>
      <c r="I61" s="273">
        <f ca="1">IF(ISERROR(MATCH(I$1,INDIRECT("Table!A"&amp;$AG61):INDIRECT("Table!" &amp; $AJ$64 &amp; $AG61),0)),"",INDIRECT(CONCATENATE("Table!",ADDRESS($AC61,MATCH(I$1,INDIRECT("Table!A" &amp; $AG61):INDIRECT("Table!" &amp; $AJ$64 &amp; $AG61),0)))))</f>
        <v>6.3138966713813208E-2</v>
      </c>
      <c r="J61" s="273" t="str">
        <f ca="1">IF(ISERROR(MATCH(J$1,INDIRECT("Table!A"&amp;$AG61):INDIRECT("Table!" &amp; $AJ$64 &amp; $AG61),0)),"",INDIRECT(CONCATENATE("Table!",ADDRESS($AC61,MATCH(J$1,INDIRECT("Table!A" &amp; $AG61):INDIRECT("Table!" &amp; $AJ$64 &amp; $AG61),0)))))</f>
        <v/>
      </c>
      <c r="K61" s="273" t="str">
        <f ca="1">IF(ISERROR(MATCH(K$1,INDIRECT("Table!A"&amp;$AG61):INDIRECT("Table!" &amp; $AJ$64 &amp; $AG61),0)),"",INDIRECT(CONCATENATE("Table!",ADDRESS($AC61,MATCH(K$1,INDIRECT("Table!A" &amp; $AG61):INDIRECT("Table!" &amp; $AJ$64 &amp; $AG61),0)))))</f>
        <v/>
      </c>
      <c r="L61" s="273">
        <f ca="1">IF(ISERROR(MATCH(L$1,INDIRECT("Table!A"&amp;$AG61):INDIRECT("Table!" &amp; $AJ$86 &amp; $AG61),0)),"",INDIRECT(CONCATENATE("Table!",ADDRESS($AC61,MATCH(L$1,INDIRECT("Table!A" &amp; $AG61):INDIRECT("Table!" &amp; $AJ$86 &amp; $AG61),0)))))</f>
        <v>1.4676197319545969</v>
      </c>
      <c r="M61" s="273">
        <f ca="1">IF(ISERROR(MATCH(M$1,INDIRECT("Table!A"&amp;$AG61):INDIRECT("Table!" &amp; $AJ$86 &amp; $AG61),0)),"",INDIRECT(CONCATENATE("Table!",ADDRESS($AC61,MATCH(M$1,INDIRECT("Table!A" &amp; $AG61):INDIRECT("Table!" &amp; $AJ$86 &amp; $AG61),0)))))</f>
        <v>2.8207183260401321</v>
      </c>
      <c r="N61" s="273">
        <f ca="1">IF(ISERROR(MATCH(N$1,INDIRECT("Table!A"&amp;$AG61):INDIRECT("Table!" &amp; $AJ$86 &amp; $AG61),0)),"",INDIRECT(CONCATENATE("Table!",ADDRESS($AC61,MATCH(N$1,INDIRECT("Table!A" &amp; $AG61):INDIRECT("Table!" &amp; $AJ$86 &amp; $AG61),0)))))</f>
        <v>1.5976858628997064</v>
      </c>
      <c r="O61" s="273">
        <f ca="1">IF(ISERROR(MATCH(O$1,INDIRECT("Table!A"&amp;$AG61):INDIRECT("Table!" &amp; $AJ$64 &amp; $AG61),0)),"",INDIRECT(CONCATENATE("Table!",ADDRESS($AC61,MATCH(O$1,INDIRECT("Table!A" &amp; $AG61):INDIRECT("Table!" &amp; $AJ$64 &amp; $AG61),0)))))</f>
        <v>1.3916073813467269</v>
      </c>
      <c r="P61" s="273">
        <f ca="1">IF(ISERROR(MATCH(P$1,INDIRECT("Table!A"&amp;$AG61):INDIRECT("Table!" &amp; $AJ$64 &amp; $AG61),0)),"",INDIRECT(CONCATENATE("Table!",ADDRESS($AC61,MATCH(P$1,INDIRECT("Table!A" &amp; $AG61):INDIRECT("Table!" &amp; $AJ$64 &amp; $AG61),0)))))</f>
        <v>0.32807880634400705</v>
      </c>
      <c r="Q61" s="273" t="str">
        <f ca="1">IF(ISERROR(MATCH(Q$1,INDIRECT("Table!A"&amp;$AG61):INDIRECT("Table!" &amp; $AJ$64 &amp; $AG61),0)),"",INDIRECT(CONCATENATE("Table!",ADDRESS($AC61,MATCH(Q$1,INDIRECT("Table!A" &amp; $AG61):INDIRECT("Table!" &amp; $AJ$64 &amp; $AG61),0)))))</f>
        <v/>
      </c>
      <c r="R61" s="273" t="str">
        <f ca="1">IF(ISERROR(MATCH(R$1,INDIRECT("Table!A"&amp;$AG61):INDIRECT("Table!" &amp; $AJ$64 &amp; $AG61),0)),"",INDIRECT(CONCATENATE("Table!",ADDRESS($AC61,MATCH(R$1,INDIRECT("Table!A" &amp; $AG61):INDIRECT("Table!" &amp; $AJ$64 &amp; $AG61),0)))))</f>
        <v/>
      </c>
      <c r="S61" s="273">
        <f ca="1">IF(ISERROR(MATCH(S$1,INDIRECT("Table!A"&amp;$AG61):INDIRECT("Table!" &amp; $AJ$64 &amp; $AG61),0)),"",INDIRECT(CONCATENATE("Table!",ADDRESS($AC61,MATCH(S$1,INDIRECT("Table!A" &amp; $AG61):INDIRECT("Table!" &amp; $AJ$64 &amp; $AG61),0)))))</f>
        <v>0.45179349422494602</v>
      </c>
      <c r="T61" s="273">
        <f ca="1">IF(ISERROR(MATCH(T$1,INDIRECT("Table!A"&amp;$AG61):INDIRECT("Table!" &amp; $AJ$64 &amp; $AG61),0)),"",INDIRECT(CONCATENATE("Table!",ADDRESS($AC61,MATCH(T$1,INDIRECT("Table!A" &amp; $AG61):INDIRECT("Table!" &amp; $AJ$64 &amp; $AG61),0)))))</f>
        <v>0.38821344494643478</v>
      </c>
      <c r="U61" s="596" t="str">
        <f ca="1">IF(ISERROR(MATCH(U$1,INDIRECT("Table!A"&amp;$AG61):INDIRECT("Table!" &amp; $AJ$64 &amp; $AG61),0)),"",INDIRECT(CONCATENATE("Table!",ADDRESS($AC61,MATCH(U$1,INDIRECT("Table!A" &amp; $AG61):INDIRECT("Table!" &amp; $AJ$64 &amp; $AG61),0)))))</f>
        <v/>
      </c>
      <c r="V61" s="596"/>
      <c r="W61" s="596"/>
      <c r="X61" s="596"/>
      <c r="Y61" s="596"/>
      <c r="Z61" s="596"/>
      <c r="AA61" s="596"/>
      <c r="AB61" s="596"/>
      <c r="AC61" s="272">
        <f>MATCH($A61,Table!$A:$A,0)+$AE$2-1</f>
        <v>782</v>
      </c>
      <c r="AD61" s="360"/>
      <c r="AE61" s="360"/>
      <c r="AF61" s="360"/>
      <c r="AG61" s="272">
        <f>MATCH($A61,Table!$A:$A,0)+$AI$2-1</f>
        <v>773</v>
      </c>
      <c r="AH61" s="360"/>
      <c r="AI61" s="360"/>
      <c r="AJ61" s="904" t="s">
        <v>285</v>
      </c>
    </row>
    <row r="62" spans="1:36" s="267" customFormat="1" ht="19.5" customHeight="1" x14ac:dyDescent="0.25">
      <c r="A62" s="268">
        <v>41373</v>
      </c>
      <c r="B62" s="596">
        <f ca="1">IF(ISERROR(MATCH(B$1,INDIRECT("Table!A"&amp;$AG62):INDIRECT("Table!" &amp; $AJ$86 &amp; $AG62),0)),"",INDIRECT(CONCATENATE("Table!",ADDRESS($AC62,MATCH(B$1,INDIRECT("Table!A" &amp; $AG62):INDIRECT("Table!" &amp; $AJ$86 &amp; $AG62),0)))))</f>
        <v>1.3407586605129149</v>
      </c>
      <c r="C62" s="273">
        <f ca="1">IF(ISERROR(MATCH(C$1,INDIRECT("Table!A"&amp;$AG62):INDIRECT("Table!" &amp; $AJ$86 &amp; $AG62),0)),"",INDIRECT(CONCATENATE("Table!",ADDRESS($AC62,MATCH(C$1,INDIRECT("Table!A" &amp; $AG62):INDIRECT("Table!" &amp; $AJ$86 &amp; $AG62),0)))))</f>
        <v>0.59295368991162389</v>
      </c>
      <c r="D62" s="273">
        <f ca="1">IF(ISERROR(MATCH(D$1,INDIRECT("Table!A"&amp;$AG62):INDIRECT("Table!" &amp; $AJ$86 &amp; $AG62),0)),"",INDIRECT(CONCATENATE("Table!",ADDRESS($AC62,MATCH(D$1,INDIRECT("Table!A" &amp; $AG62):INDIRECT("Table!" &amp; $AJ$86 &amp; $AG62),0)))))</f>
        <v>0.59989799077571926</v>
      </c>
      <c r="E62" s="273">
        <f ca="1">IF(ISERROR(MATCH(E$1,INDIRECT("Table!A"&amp;$AG62):INDIRECT("Table!" &amp; $AJ$86 &amp; $AG62),0)),"",INDIRECT(CONCATENATE("Table!",ADDRESS($AC62,MATCH(E$1,INDIRECT("Table!A" &amp; $AG62):INDIRECT("Table!" &amp; $AJ$86 &amp; $AG62),0)))))</f>
        <v>1.5276579277331923</v>
      </c>
      <c r="F62" s="273">
        <f ca="1">IF(ISERROR(MATCH(F$1,INDIRECT("Table!A"&amp;$AG62):INDIRECT("Table!" &amp; $AJ$86 &amp; $AG62),0)),"",INDIRECT(CONCATENATE("Table!",ADDRESS($AC62,MATCH(F$1,INDIRECT("Table!A" &amp; $AG62):INDIRECT("Table!" &amp; $AJ$86 &amp; $AG62),0)))))</f>
        <v>1.5267690968707031</v>
      </c>
      <c r="G62" s="273">
        <f ca="1">IF(ISERROR(MATCH(G$1,INDIRECT("Table!A"&amp;$AG62):INDIRECT("Table!" &amp; $AJ$86 &amp; $AG62),0)),"",INDIRECT(CONCATENATE("Table!",ADDRESS($AC62,MATCH(G$1,INDIRECT("Table!A" &amp; $AG62):INDIRECT("Table!" &amp; $AJ$86 &amp; $AG62),0)))))</f>
        <v>3.4229394696212876</v>
      </c>
      <c r="H62" s="273">
        <f ca="1">IF(ISERROR(MATCH(H$1,INDIRECT("Table!A"&amp;$AG62):INDIRECT("Table!" &amp; $AJ$86 &amp; $AG62),0)),"",INDIRECT(CONCATENATE("Table!",ADDRESS($AC62,MATCH(H$1,INDIRECT("Table!A" &amp; $AG62):INDIRECT("Table!" &amp; $AJ$86 &amp; $AG62),0)))))</f>
        <v>1.0973910631837653</v>
      </c>
      <c r="I62" s="273">
        <f ca="1">IF(ISERROR(MATCH(I$1,INDIRECT("Table!A"&amp;$AG62):INDIRECT("Table!" &amp; $AJ$64 &amp; $AG62),0)),"",INDIRECT(CONCATENATE("Table!",ADDRESS($AC62,MATCH(I$1,INDIRECT("Table!A" &amp; $AG62):INDIRECT("Table!" &amp; $AJ$64 &amp; $AG62),0)))))</f>
        <v>5.8063487074439167E-2</v>
      </c>
      <c r="J62" s="273" t="str">
        <f ca="1">IF(ISERROR(MATCH(J$1,INDIRECT("Table!A"&amp;$AG62):INDIRECT("Table!" &amp; $AJ$64 &amp; $AG62),0)),"",INDIRECT(CONCATENATE("Table!",ADDRESS($AC62,MATCH(J$1,INDIRECT("Table!A" &amp; $AG62):INDIRECT("Table!" &amp; $AJ$64 &amp; $AG62),0)))))</f>
        <v/>
      </c>
      <c r="K62" s="273" t="str">
        <f ca="1">IF(ISERROR(MATCH(K$1,INDIRECT("Table!A"&amp;$AG62):INDIRECT("Table!" &amp; $AJ$64 &amp; $AG62),0)),"",INDIRECT(CONCATENATE("Table!",ADDRESS($AC62,MATCH(K$1,INDIRECT("Table!A" &amp; $AG62):INDIRECT("Table!" &amp; $AJ$64 &amp; $AG62),0)))))</f>
        <v/>
      </c>
      <c r="L62" s="273">
        <f ca="1">IF(ISERROR(MATCH(L$1,INDIRECT("Table!A"&amp;$AG62):INDIRECT("Table!" &amp; $AJ$86 &amp; $AG62),0)),"",INDIRECT(CONCATENATE("Table!",ADDRESS($AC62,MATCH(L$1,INDIRECT("Table!A" &amp; $AG62):INDIRECT("Table!" &amp; $AJ$86 &amp; $AG62),0)))))</f>
        <v>1.4676197319545969</v>
      </c>
      <c r="M62" s="273">
        <f ca="1">IF(ISERROR(MATCH(M$1,INDIRECT("Table!A"&amp;$AG62):INDIRECT("Table!" &amp; $AJ$86 &amp; $AG62),0)),"",INDIRECT(CONCATENATE("Table!",ADDRESS($AC62,MATCH(M$1,INDIRECT("Table!A" &amp; $AG62):INDIRECT("Table!" &amp; $AJ$86 &amp; $AG62),0)))))</f>
        <v>2.8125526858706653</v>
      </c>
      <c r="N62" s="273">
        <f ca="1">IF(ISERROR(MATCH(N$1,INDIRECT("Table!A"&amp;$AG62):INDIRECT("Table!" &amp; $AJ$86 &amp; $AG62),0)),"",INDIRECT(CONCATENATE("Table!",ADDRESS($AC62,MATCH(N$1,INDIRECT("Table!A" &amp; $AG62):INDIRECT("Table!" &amp; $AJ$86 &amp; $AG62),0)))))</f>
        <v>1.5972782899754971</v>
      </c>
      <c r="O62" s="273">
        <f ca="1">IF(ISERROR(MATCH(O$1,INDIRECT("Table!A"&amp;$AG62):INDIRECT("Table!" &amp; $AJ$64 &amp; $AG62),0)),"",INDIRECT(CONCATENATE("Table!",ADDRESS($AC62,MATCH(O$1,INDIRECT("Table!A" &amp; $AG62):INDIRECT("Table!" &amp; $AJ$64 &amp; $AG62),0)))))</f>
        <v>1.3673440456203354</v>
      </c>
      <c r="P62" s="273">
        <f ca="1">IF(ISERROR(MATCH(P$1,INDIRECT("Table!A"&amp;$AG62):INDIRECT("Table!" &amp; $AJ$64 &amp; $AG62),0)),"",INDIRECT(CONCATENATE("Table!",ADDRESS($AC62,MATCH(P$1,INDIRECT("Table!A" &amp; $AG62):INDIRECT("Table!" &amp; $AJ$64 &amp; $AG62),0)))))</f>
        <v>0.32807880634400705</v>
      </c>
      <c r="Q62" s="273" t="str">
        <f ca="1">IF(ISERROR(MATCH(Q$1,INDIRECT("Table!A"&amp;$AG62):INDIRECT("Table!" &amp; $AJ$64 &amp; $AG62),0)),"",INDIRECT(CONCATENATE("Table!",ADDRESS($AC62,MATCH(Q$1,INDIRECT("Table!A" &amp; $AG62):INDIRECT("Table!" &amp; $AJ$64 &amp; $AG62),0)))))</f>
        <v/>
      </c>
      <c r="R62" s="273" t="str">
        <f ca="1">IF(ISERROR(MATCH(R$1,INDIRECT("Table!A"&amp;$AG62):INDIRECT("Table!" &amp; $AJ$64 &amp; $AG62),0)),"",INDIRECT(CONCATENATE("Table!",ADDRESS($AC62,MATCH(R$1,INDIRECT("Table!A" &amp; $AG62):INDIRECT("Table!" &amp; $AJ$64 &amp; $AG62),0)))))</f>
        <v/>
      </c>
      <c r="S62" s="273">
        <f ca="1">IF(ISERROR(MATCH(S$1,INDIRECT("Table!A"&amp;$AG62):INDIRECT("Table!" &amp; $AJ$64 &amp; $AG62),0)),"",INDIRECT(CONCATENATE("Table!",ADDRESS($AC62,MATCH(S$1,INDIRECT("Table!A" &amp; $AG62):INDIRECT("Table!" &amp; $AJ$64 &amp; $AG62),0)))))</f>
        <v>0.45179349422494602</v>
      </c>
      <c r="T62" s="273">
        <f ca="1">IF(ISERROR(MATCH(T$1,INDIRECT("Table!A"&amp;$AG62):INDIRECT("Table!" &amp; $AJ$64 &amp; $AG62),0)),"",INDIRECT(CONCATENATE("Table!",ADDRESS($AC62,MATCH(T$1,INDIRECT("Table!A" &amp; $AG62):INDIRECT("Table!" &amp; $AJ$64 &amp; $AG62),0)))))</f>
        <v>0.38821344494643478</v>
      </c>
      <c r="U62" s="596" t="str">
        <f ca="1">IF(ISERROR(MATCH(U$1,INDIRECT("Table!A"&amp;$AG62):INDIRECT("Table!" &amp; $AJ$64 &amp; $AG62),0)),"",INDIRECT(CONCATENATE("Table!",ADDRESS($AC62,MATCH(U$1,INDIRECT("Table!A" &amp; $AG62):INDIRECT("Table!" &amp; $AJ$64 &amp; $AG62),0)))))</f>
        <v/>
      </c>
      <c r="V62" s="596"/>
      <c r="W62" s="596"/>
      <c r="X62" s="596"/>
      <c r="Y62" s="596"/>
      <c r="Z62" s="596"/>
      <c r="AA62" s="596"/>
      <c r="AB62" s="596"/>
      <c r="AC62" s="272">
        <f>MATCH($A62,Table!$A:$A,0)+$AE$2-1</f>
        <v>794</v>
      </c>
      <c r="AD62" s="359"/>
      <c r="AE62" s="359"/>
      <c r="AF62" s="359"/>
      <c r="AG62" s="272">
        <f>MATCH($A62,Table!$A:$A,0)+$AI$2-1</f>
        <v>785</v>
      </c>
      <c r="AH62" s="359"/>
      <c r="AI62" s="359"/>
      <c r="AJ62" s="904" t="s">
        <v>285</v>
      </c>
    </row>
    <row r="63" spans="1:36" s="267" customFormat="1" ht="19.5" customHeight="1" x14ac:dyDescent="0.25">
      <c r="A63" s="268">
        <v>41361</v>
      </c>
      <c r="B63" s="596">
        <f ca="1">IF(ISERROR(MATCH(B$1,INDIRECT("Table!A"&amp;$AG63):INDIRECT("Table!" &amp; $AJ$86 &amp; $AG63),0)),"",INDIRECT(CONCATENATE("Table!",ADDRESS($AC63,MATCH(B$1,INDIRECT("Table!A" &amp; $AG63):INDIRECT("Table!" &amp; $AJ$86 &amp; $AG63),0)))))</f>
        <v>1.3407586605129149</v>
      </c>
      <c r="C63" s="273">
        <f ca="1">IF(ISERROR(MATCH(C$1,INDIRECT("Table!A"&amp;$AG63):INDIRECT("Table!" &amp; $AJ$86 &amp; $AG63),0)),"",INDIRECT(CONCATENATE("Table!",ADDRESS($AC63,MATCH(C$1,INDIRECT("Table!A" &amp; $AG63):INDIRECT("Table!" &amp; $AJ$86 &amp; $AG63),0)))))</f>
        <v>0.59295368991162389</v>
      </c>
      <c r="D63" s="273">
        <f ca="1">IF(ISERROR(MATCH(D$1,INDIRECT("Table!A"&amp;$AG63):INDIRECT("Table!" &amp; $AJ$86 &amp; $AG63),0)),"",INDIRECT(CONCATENATE("Table!",ADDRESS($AC63,MATCH(D$1,INDIRECT("Table!A" &amp; $AG63):INDIRECT("Table!" &amp; $AJ$86 &amp; $AG63),0)))))</f>
        <v>0.59989799077571926</v>
      </c>
      <c r="E63" s="273">
        <f ca="1">IF(ISERROR(MATCH(E$1,INDIRECT("Table!A"&amp;$AG63):INDIRECT("Table!" &amp; $AJ$86 &amp; $AG63),0)),"",INDIRECT(CONCATENATE("Table!",ADDRESS($AC63,MATCH(E$1,INDIRECT("Table!A" &amp; $AG63):INDIRECT("Table!" &amp; $AJ$86 &amp; $AG63),0)))))</f>
        <v>1.5276579277331923</v>
      </c>
      <c r="F63" s="273">
        <f ca="1">IF(ISERROR(MATCH(F$1,INDIRECT("Table!A"&amp;$AG63):INDIRECT("Table!" &amp; $AJ$86 &amp; $AG63),0)),"",INDIRECT(CONCATENATE("Table!",ADDRESS($AC63,MATCH(F$1,INDIRECT("Table!A" &amp; $AG63):INDIRECT("Table!" &amp; $AJ$86 &amp; $AG63),0)))))</f>
        <v>1.5145419017542798</v>
      </c>
      <c r="G63" s="273">
        <f ca="1">IF(ISERROR(MATCH(G$1,INDIRECT("Table!A"&amp;$AG63):INDIRECT("Table!" &amp; $AJ$86 &amp; $AG63),0)),"",INDIRECT(CONCATENATE("Table!",ADDRESS($AC63,MATCH(G$1,INDIRECT("Table!A" &amp; $AG63):INDIRECT("Table!" &amp; $AJ$86 &amp; $AG63),0)))))</f>
        <v>3.4229394696212876</v>
      </c>
      <c r="H63" s="273">
        <f ca="1">IF(ISERROR(MATCH(H$1,INDIRECT("Table!A"&amp;$AG63):INDIRECT("Table!" &amp; $AJ$86 &amp; $AG63),0)),"",INDIRECT(CONCATENATE("Table!",ADDRESS($AC63,MATCH(H$1,INDIRECT("Table!A" &amp; $AG63):INDIRECT("Table!" &amp; $AJ$86 &amp; $AG63),0)))))</f>
        <v>1.0582084498870039</v>
      </c>
      <c r="I63" s="273">
        <f ca="1">IF(ISERROR(MATCH(I$1,INDIRECT("Table!A"&amp;$AG63):INDIRECT("Table!" &amp; $AJ$64 &amp; $AG63),0)),"",INDIRECT(CONCATENATE("Table!",ADDRESS($AC63,MATCH(I$1,INDIRECT("Table!A" &amp; $AG63):INDIRECT("Table!" &amp; $AJ$64 &amp; $AG63),0)))))</f>
        <v>5.8063487074439167E-2</v>
      </c>
      <c r="J63" s="273" t="str">
        <f ca="1">IF(ISERROR(MATCH(J$1,INDIRECT("Table!A"&amp;$AG63):INDIRECT("Table!" &amp; $AJ$64 &amp; $AG63),0)),"",INDIRECT(CONCATENATE("Table!",ADDRESS($AC63,MATCH(J$1,INDIRECT("Table!A" &amp; $AG63):INDIRECT("Table!" &amp; $AJ$64 &amp; $AG63),0)))))</f>
        <v/>
      </c>
      <c r="K63" s="273" t="str">
        <f ca="1">IF(ISERROR(MATCH(K$1,INDIRECT("Table!A"&amp;$AG63):INDIRECT("Table!" &amp; $AJ$64 &amp; $AG63),0)),"",INDIRECT(CONCATENATE("Table!",ADDRESS($AC63,MATCH(K$1,INDIRECT("Table!A" &amp; $AG63):INDIRECT("Table!" &amp; $AJ$64 &amp; $AG63),0)))))</f>
        <v/>
      </c>
      <c r="L63" s="273">
        <f ca="1">IF(ISERROR(MATCH(L$1,INDIRECT("Table!A"&amp;$AG63):INDIRECT("Table!" &amp; $AJ$86 &amp; $AG63),0)),"",INDIRECT(CONCATENATE("Table!",ADDRESS($AC63,MATCH(L$1,INDIRECT("Table!A" &amp; $AG63):INDIRECT("Table!" &amp; $AJ$86 &amp; $AG63),0)))))</f>
        <v>1.4676197319545969</v>
      </c>
      <c r="M63" s="273">
        <f ca="1">IF(ISERROR(MATCH(M$1,INDIRECT("Table!A"&amp;$AG63):INDIRECT("Table!" &amp; $AJ$86 &amp; $AG63),0)),"",INDIRECT(CONCATENATE("Table!",ADDRESS($AC63,MATCH(M$1,INDIRECT("Table!A" &amp; $AG63):INDIRECT("Table!" &amp; $AJ$86 &amp; $AG63),0)))))</f>
        <v>2.8125526858706653</v>
      </c>
      <c r="N63" s="273">
        <f ca="1">IF(ISERROR(MATCH(N$1,INDIRECT("Table!A"&amp;$AG63):INDIRECT("Table!" &amp; $AJ$86 &amp; $AG63),0)),"",INDIRECT(CONCATENATE("Table!",ADDRESS($AC63,MATCH(N$1,INDIRECT("Table!A" &amp; $AG63):INDIRECT("Table!" &amp; $AJ$86 &amp; $AG63),0)))))</f>
        <v>1.5838283834765967</v>
      </c>
      <c r="O63" s="273">
        <f ca="1">IF(ISERROR(MATCH(O$1,INDIRECT("Table!A"&amp;$AG63):INDIRECT("Table!" &amp; $AJ$64 &amp; $AG63),0)),"",INDIRECT(CONCATENATE("Table!",ADDRESS($AC63,MATCH(O$1,INDIRECT("Table!A" &amp; $AG63):INDIRECT("Table!" &amp; $AJ$64 &amp; $AG63),0)))))</f>
        <v>1.357600501352257</v>
      </c>
      <c r="P63" s="273">
        <f ca="1">IF(ISERROR(MATCH(P$1,INDIRECT("Table!A"&amp;$AG63):INDIRECT("Table!" &amp; $AJ$64 &amp; $AG63),0)),"",INDIRECT(CONCATENATE("Table!",ADDRESS($AC63,MATCH(P$1,INDIRECT("Table!A" &amp; $AG63):INDIRECT("Table!" &amp; $AJ$64 &amp; $AG63),0)))))</f>
        <v>0.29437764183094689</v>
      </c>
      <c r="Q63" s="273" t="str">
        <f ca="1">IF(ISERROR(MATCH(Q$1,INDIRECT("Table!A"&amp;$AG63):INDIRECT("Table!" &amp; $AJ$64 &amp; $AG63),0)),"",INDIRECT(CONCATENATE("Table!",ADDRESS($AC63,MATCH(Q$1,INDIRECT("Table!A" &amp; $AG63):INDIRECT("Table!" &amp; $AJ$64 &amp; $AG63),0)))))</f>
        <v/>
      </c>
      <c r="R63" s="273" t="str">
        <f ca="1">IF(ISERROR(MATCH(R$1,INDIRECT("Table!A"&amp;$AG63):INDIRECT("Table!" &amp; $AJ$64 &amp; $AG63),0)),"",INDIRECT(CONCATENATE("Table!",ADDRESS($AC63,MATCH(R$1,INDIRECT("Table!A" &amp; $AG63):INDIRECT("Table!" &amp; $AJ$64 &amp; $AG63),0)))))</f>
        <v/>
      </c>
      <c r="S63" s="273">
        <f ca="1">IF(ISERROR(MATCH(S$1,INDIRECT("Table!A"&amp;$AG63):INDIRECT("Table!" &amp; $AJ$64 &amp; $AG63),0)),"",INDIRECT(CONCATENATE("Table!",ADDRESS($AC63,MATCH(S$1,INDIRECT("Table!A" &amp; $AG63):INDIRECT("Table!" &amp; $AJ$64 &amp; $AG63),0)))))</f>
        <v>0.45179349422494602</v>
      </c>
      <c r="T63" s="273">
        <f ca="1">IF(ISERROR(MATCH(T$1,INDIRECT("Table!A"&amp;$AG63):INDIRECT("Table!" &amp; $AJ$64 &amp; $AG63),0)),"",INDIRECT(CONCATENATE("Table!",ADDRESS($AC63,MATCH(T$1,INDIRECT("Table!A" &amp; $AG63):INDIRECT("Table!" &amp; $AJ$64 &amp; $AG63),0)))))</f>
        <v>0.38821344494643478</v>
      </c>
      <c r="U63" s="596" t="str">
        <f ca="1">IF(ISERROR(MATCH(U$1,INDIRECT("Table!A"&amp;$AG63):INDIRECT("Table!" &amp; $AJ$64 &amp; $AG63),0)),"",INDIRECT(CONCATENATE("Table!",ADDRESS($AC63,MATCH(U$1,INDIRECT("Table!A" &amp; $AG63):INDIRECT("Table!" &amp; $AJ$64 &amp; $AG63),0)))))</f>
        <v/>
      </c>
      <c r="V63" s="596"/>
      <c r="W63" s="596"/>
      <c r="X63" s="596"/>
      <c r="Y63" s="596"/>
      <c r="Z63" s="596"/>
      <c r="AA63" s="596"/>
      <c r="AB63" s="596"/>
      <c r="AC63" s="272">
        <f>MATCH($A63,Table!$A:$A,0)+$AE$2-1</f>
        <v>806</v>
      </c>
      <c r="AD63" s="356"/>
      <c r="AE63" s="356"/>
      <c r="AF63" s="356"/>
      <c r="AG63" s="272">
        <f>MATCH($A63,Table!$A:$A,0)+$AI$2-1</f>
        <v>797</v>
      </c>
      <c r="AH63" s="356"/>
      <c r="AI63" s="356"/>
      <c r="AJ63" s="904" t="s">
        <v>285</v>
      </c>
    </row>
    <row r="64" spans="1:36" ht="19.5" customHeight="1" x14ac:dyDescent="0.25">
      <c r="A64" s="4">
        <v>41359</v>
      </c>
      <c r="B64" s="596">
        <f ca="1">IF(ISERROR(MATCH(B$1,INDIRECT("Table!A"&amp;$AG64):INDIRECT("Table!" &amp; $AJ$86 &amp; $AG64),0)),"",INDIRECT(CONCATENATE("Table!",ADDRESS($AC64,MATCH(B$1,INDIRECT("Table!A" &amp; $AG64):INDIRECT("Table!" &amp; $AJ$86 &amp; $AG64),0)))))</f>
        <v>1.3407586605129149</v>
      </c>
      <c r="C64" s="24">
        <f ca="1">IF(ISERROR(MATCH(C$1,INDIRECT("Table!A"&amp;$AG64):INDIRECT("Table!" &amp; $AJ$86 &amp; $AG64),0)),"",INDIRECT(CONCATENATE("Table!",ADDRESS($AC64,MATCH(C$1,INDIRECT("Table!A" &amp; $AG64):INDIRECT("Table!" &amp; $AJ$86 &amp; $AG64),0)))))</f>
        <v>0.59295368991162389</v>
      </c>
      <c r="D64" s="24">
        <f ca="1">IF(ISERROR(MATCH(D$1,INDIRECT("Table!A"&amp;$AG64):INDIRECT("Table!" &amp; $AJ$86 &amp; $AG64),0)),"",INDIRECT(CONCATENATE("Table!",ADDRESS($AC64,MATCH(D$1,INDIRECT("Table!A" &amp; $AG64):INDIRECT("Table!" &amp; $AJ$86 &amp; $AG64),0)))))</f>
        <v>0.59989799077571926</v>
      </c>
      <c r="E64" s="24">
        <f ca="1">IF(ISERROR(MATCH(E$1,INDIRECT("Table!A"&amp;$AG64):INDIRECT("Table!" &amp; $AJ$86 &amp; $AG64),0)),"",INDIRECT(CONCATENATE("Table!",ADDRESS($AC64,MATCH(E$1,INDIRECT("Table!A" &amp; $AG64):INDIRECT("Table!" &amp; $AJ$86 &amp; $AG64),0)))))</f>
        <v>1.5276579277331923</v>
      </c>
      <c r="F64" s="24">
        <f ca="1">IF(ISERROR(MATCH(F$1,INDIRECT("Table!A"&amp;$AG64):INDIRECT("Table!" &amp; $AJ$86 &amp; $AG64),0)),"",INDIRECT(CONCATENATE("Table!",ADDRESS($AC64,MATCH(F$1,INDIRECT("Table!A" &amp; $AG64):INDIRECT("Table!" &amp; $AJ$86 &amp; $AG64),0)))))</f>
        <v>1.4888647920097913</v>
      </c>
      <c r="G64" s="24">
        <f ca="1">IF(ISERROR(MATCH(G$1,INDIRECT("Table!A"&amp;$AG64):INDIRECT("Table!" &amp; $AJ$86 &amp; $AG64),0)),"",INDIRECT(CONCATENATE("Table!",ADDRESS($AC64,MATCH(G$1,INDIRECT("Table!A" &amp; $AG64):INDIRECT("Table!" &amp; $AJ$86 &amp; $AG64),0)))))</f>
        <v>3.4229394696212876</v>
      </c>
      <c r="H64" s="24">
        <f ca="1">IF(ISERROR(MATCH(H$1,INDIRECT("Table!A"&amp;$AG64):INDIRECT("Table!" &amp; $AJ$86 &amp; $AG64),0)),"",INDIRECT(CONCATENATE("Table!",ADDRESS($AC64,MATCH(H$1,INDIRECT("Table!A" &amp; $AG64):INDIRECT("Table!" &amp; $AJ$86 &amp; $AG64),0)))))</f>
        <v>1.0582084498870039</v>
      </c>
      <c r="I64" s="273">
        <f ca="1">IF(ISERROR(MATCH(I$1,INDIRECT("Table!A"&amp;$AG64):INDIRECT("Table!" &amp; $AJ$64 &amp; $AG64),0)),"",INDIRECT(CONCATENATE("Table!",ADDRESS($AC64,MATCH(I$1,INDIRECT("Table!A" &amp; $AG64):INDIRECT("Table!" &amp; $AJ$64 &amp; $AG64),0)))))</f>
        <v>5.8063487074439167E-2</v>
      </c>
      <c r="J64" s="273" t="str">
        <f ca="1">IF(ISERROR(MATCH(J$1,INDIRECT("Table!A"&amp;$AG64):INDIRECT("Table!" &amp; $AJ$64 &amp; $AG64),0)),"",INDIRECT(CONCATENATE("Table!",ADDRESS($AC64,MATCH(J$1,INDIRECT("Table!A" &amp; $AG64):INDIRECT("Table!" &amp; $AJ$64 &amp; $AG64),0)))))</f>
        <v/>
      </c>
      <c r="K64" s="273" t="str">
        <f ca="1">IF(ISERROR(MATCH(K$1,INDIRECT("Table!A"&amp;$AG64):INDIRECT("Table!" &amp; $AJ$64 &amp; $AG64),0)),"",INDIRECT(CONCATENATE("Table!",ADDRESS($AC64,MATCH(K$1,INDIRECT("Table!A" &amp; $AG64):INDIRECT("Table!" &amp; $AJ$64 &amp; $AG64),0)))))</f>
        <v/>
      </c>
      <c r="L64" s="24">
        <f ca="1">IF(ISERROR(MATCH(L$1,INDIRECT("Table!A"&amp;$AG64):INDIRECT("Table!" &amp; $AJ$86 &amp; $AG64),0)),"",INDIRECT(CONCATENATE("Table!",ADDRESS($AC64,MATCH(L$1,INDIRECT("Table!A" &amp; $AG64):INDIRECT("Table!" &amp; $AJ$86 &amp; $AG64),0)))))</f>
        <v>1.4676197319545969</v>
      </c>
      <c r="M64" s="24">
        <f ca="1">IF(ISERROR(MATCH(M$1,INDIRECT("Table!A"&amp;$AG64):INDIRECT("Table!" &amp; $AJ$86 &amp; $AG64),0)),"",INDIRECT(CONCATENATE("Table!",ADDRESS($AC64,MATCH(M$1,INDIRECT("Table!A" &amp; $AG64):INDIRECT("Table!" &amp; $AJ$86 &amp; $AG64),0)))))</f>
        <v>2.6900680833286659</v>
      </c>
      <c r="N64" s="24">
        <f ca="1">IF(ISERROR(MATCH(N$1,INDIRECT("Table!A"&amp;$AG64):INDIRECT("Table!" &amp; $AJ$86 &amp; $AG64),0)),"",INDIRECT(CONCATENATE("Table!",ADDRESS($AC64,MATCH(N$1,INDIRECT("Table!A" &amp; $AG64):INDIRECT("Table!" &amp; $AJ$86 &amp; $AG64),0)))))</f>
        <v>1.5536679870851229</v>
      </c>
      <c r="O64" s="24">
        <f ca="1">IF(ISERROR(MATCH(O$1,INDIRECT("Table!A"&amp;$AG64):INDIRECT("Table!" &amp; $AJ$64 &amp; $AG64),0)),"",INDIRECT(CONCATENATE("Table!",ADDRESS($AC64,MATCH(O$1,INDIRECT("Table!A" &amp; $AG64):INDIRECT("Table!" &amp; $AJ$64 &amp; $AG64),0)))))</f>
        <v>1.357600501352257</v>
      </c>
      <c r="P64" s="273">
        <f ca="1">IF(ISERROR(MATCH(P$1,INDIRECT("Table!A"&amp;$AG64):INDIRECT("Table!" &amp; $AJ$64 &amp; $AG64),0)),"",INDIRECT(CONCATENATE("Table!",ADDRESS($AC64,MATCH(P$1,INDIRECT("Table!A" &amp; $AG64):INDIRECT("Table!" &amp; $AJ$64 &amp; $AG64),0)))))</f>
        <v>0.29437764183094689</v>
      </c>
      <c r="Q64" s="273" t="str">
        <f ca="1">IF(ISERROR(MATCH(Q$1,INDIRECT("Table!A"&amp;$AG64):INDIRECT("Table!" &amp; $AJ$64 &amp; $AG64),0)),"",INDIRECT(CONCATENATE("Table!",ADDRESS($AC64,MATCH(Q$1,INDIRECT("Table!A" &amp; $AG64):INDIRECT("Table!" &amp; $AJ$64 &amp; $AG64),0)))))</f>
        <v/>
      </c>
      <c r="R64" s="273" t="str">
        <f ca="1">IF(ISERROR(MATCH(R$1,INDIRECT("Table!A"&amp;$AG64):INDIRECT("Table!" &amp; $AJ$64 &amp; $AG64),0)),"",INDIRECT(CONCATENATE("Table!",ADDRESS($AC64,MATCH(R$1,INDIRECT("Table!A" &amp; $AG64):INDIRECT("Table!" &amp; $AJ$64 &amp; $AG64),0)))))</f>
        <v/>
      </c>
      <c r="S64" s="273">
        <f ca="1">IF(ISERROR(MATCH(S$1,INDIRECT("Table!A"&amp;$AG64):INDIRECT("Table!" &amp; $AJ$64 &amp; $AG64),0)),"",INDIRECT(CONCATENATE("Table!",ADDRESS($AC64,MATCH(S$1,INDIRECT("Table!A" &amp; $AG64):INDIRECT("Table!" &amp; $AJ$64 &amp; $AG64),0)))))</f>
        <v>0.45179349422494602</v>
      </c>
      <c r="T64" s="273">
        <f ca="1">IF(ISERROR(MATCH(T$1,INDIRECT("Table!A"&amp;$AG64):INDIRECT("Table!" &amp; $AJ$64 &amp; $AG64),0)),"",INDIRECT(CONCATENATE("Table!",ADDRESS($AC64,MATCH(T$1,INDIRECT("Table!A" &amp; $AG64):INDIRECT("Table!" &amp; $AJ$64 &amp; $AG64),0)))))</f>
        <v>0.38821344494643478</v>
      </c>
      <c r="U64" s="596" t="str">
        <f ca="1">IF(ISERROR(MATCH(U$1,INDIRECT("Table!A"&amp;$AG64):INDIRECT("Table!" &amp; $AJ$64 &amp; $AG64),0)),"",INDIRECT(CONCATENATE("Table!",ADDRESS($AC64,MATCH(U$1,INDIRECT("Table!A" &amp; $AG64):INDIRECT("Table!" &amp; $AJ$64 &amp; $AG64),0)))))</f>
        <v/>
      </c>
      <c r="V64" s="596"/>
      <c r="W64" s="596"/>
      <c r="X64" s="596"/>
      <c r="Y64" s="596"/>
      <c r="Z64" s="596"/>
      <c r="AA64" s="596"/>
      <c r="AB64" s="596"/>
      <c r="AC64" s="22">
        <f>MATCH($A64,Table!$A:$A,0)+$AE$2-1</f>
        <v>818</v>
      </c>
      <c r="AD64" s="253"/>
      <c r="AE64" s="253"/>
      <c r="AF64" s="253"/>
      <c r="AG64" s="22">
        <f>MATCH($A64,Table!$A:$A,0)+$AI$2-1</f>
        <v>809</v>
      </c>
      <c r="AH64" s="253"/>
      <c r="AI64" s="253"/>
      <c r="AJ64" s="904" t="s">
        <v>285</v>
      </c>
    </row>
    <row r="65" spans="1:36" s="267" customFormat="1" ht="19.5" customHeight="1" x14ac:dyDescent="0.25">
      <c r="A65" s="268">
        <v>41355</v>
      </c>
      <c r="B65" s="596">
        <f ca="1">IF(ISERROR(MATCH(B$1,INDIRECT("Table!A"&amp;$AG65):INDIRECT("Table!" &amp; $AJ$86 &amp; $AG65),0)),"",INDIRECT(CONCATENATE("Table!",ADDRESS($AC65,MATCH(B$1,INDIRECT("Table!A" &amp; $AG65):INDIRECT("Table!" &amp; $AJ$86 &amp; $AG65),0)))))</f>
        <v>1.3407586605129149</v>
      </c>
      <c r="C65" s="273">
        <f ca="1">IF(ISERROR(MATCH(C$1,INDIRECT("Table!A"&amp;$AG65):INDIRECT("Table!" &amp; $AJ$86 &amp; $AG65),0)),"",INDIRECT(CONCATENATE("Table!",ADDRESS($AC65,MATCH(C$1,INDIRECT("Table!A" &amp; $AG65):INDIRECT("Table!" &amp; $AJ$86 &amp; $AG65),0)))))</f>
        <v>0.59295368991162389</v>
      </c>
      <c r="D65" s="273">
        <f ca="1">IF(ISERROR(MATCH(D$1,INDIRECT("Table!A"&amp;$AG65):INDIRECT("Table!" &amp; $AJ$86 &amp; $AG65),0)),"",INDIRECT(CONCATENATE("Table!",ADDRESS($AC65,MATCH(D$1,INDIRECT("Table!A" &amp; $AG65):INDIRECT("Table!" &amp; $AJ$86 &amp; $AG65),0)))))</f>
        <v>0.59989799077571926</v>
      </c>
      <c r="E65" s="273">
        <f ca="1">IF(ISERROR(MATCH(E$1,INDIRECT("Table!A"&amp;$AG65):INDIRECT("Table!" &amp; $AJ$86 &amp; $AG65),0)),"",INDIRECT(CONCATENATE("Table!",ADDRESS($AC65,MATCH(E$1,INDIRECT("Table!A" &amp; $AG65):INDIRECT("Table!" &amp; $AJ$86 &amp; $AG65),0)))))</f>
        <v>1.5276579277331923</v>
      </c>
      <c r="F65" s="273">
        <f ca="1">IF(ISERROR(MATCH(F$1,INDIRECT("Table!A"&amp;$AG65):INDIRECT("Table!" &amp; $AJ$86 &amp; $AG65),0)),"",INDIRECT(CONCATENATE("Table!",ADDRESS($AC65,MATCH(F$1,INDIRECT("Table!A" &amp; $AG65):INDIRECT("Table!" &amp; $AJ$86 &amp; $AG65),0)))))</f>
        <v>1.4888647920097913</v>
      </c>
      <c r="G65" s="273">
        <f ca="1">IF(ISERROR(MATCH(G$1,INDIRECT("Table!A"&amp;$AG65):INDIRECT("Table!" &amp; $AJ$86 &amp; $AG65),0)),"",INDIRECT(CONCATENATE("Table!",ADDRESS($AC65,MATCH(G$1,INDIRECT("Table!A" &amp; $AG65):INDIRECT("Table!" &amp; $AJ$86 &amp; $AG65),0)))))</f>
        <v>3.4229394696212876</v>
      </c>
      <c r="H65" s="273">
        <f ca="1">IF(ISERROR(MATCH(H$1,INDIRECT("Table!A"&amp;$AG65):INDIRECT("Table!" &amp; $AJ$86 &amp; $AG65),0)),"",INDIRECT(CONCATENATE("Table!",ADDRESS($AC65,MATCH(H$1,INDIRECT("Table!A" &amp; $AG65):INDIRECT("Table!" &amp; $AJ$86 &amp; $AG65),0)))))</f>
        <v>1.0582084498870039</v>
      </c>
      <c r="I65" s="273">
        <f ca="1">IF(ISERROR(MATCH(I$1,INDIRECT("Table!A"&amp;$AG65):INDIRECT("Table!" &amp; $AJ$64 &amp; $AG65),0)),"",INDIRECT(CONCATENATE("Table!",ADDRESS($AC65,MATCH(I$1,INDIRECT("Table!A" &amp; $AG65):INDIRECT("Table!" &amp; $AJ$64 &amp; $AG65),0)))))</f>
        <v>5.8063487074439167E-2</v>
      </c>
      <c r="J65" s="273" t="str">
        <f ca="1">IF(ISERROR(MATCH(J$1,INDIRECT("Table!A"&amp;$AG65):INDIRECT("Table!" &amp; $AJ$64 &amp; $AG65),0)),"",INDIRECT(CONCATENATE("Table!",ADDRESS($AC65,MATCH(J$1,INDIRECT("Table!A" &amp; $AG65):INDIRECT("Table!" &amp; $AJ$64 &amp; $AG65),0)))))</f>
        <v/>
      </c>
      <c r="K65" s="273" t="str">
        <f ca="1">IF(ISERROR(MATCH(K$1,INDIRECT("Table!A"&amp;$AG65):INDIRECT("Table!" &amp; $AJ$64 &amp; $AG65),0)),"",INDIRECT(CONCATENATE("Table!",ADDRESS($AC65,MATCH(K$1,INDIRECT("Table!A" &amp; $AG65):INDIRECT("Table!" &amp; $AJ$64 &amp; $AG65),0)))))</f>
        <v/>
      </c>
      <c r="L65" s="273">
        <f ca="1">IF(ISERROR(MATCH(L$1,INDIRECT("Table!A"&amp;$AG65):INDIRECT("Table!" &amp; $AJ$86 &amp; $AG65),0)),"",INDIRECT(CONCATENATE("Table!",ADDRESS($AC65,MATCH(L$1,INDIRECT("Table!A" &amp; $AG65):INDIRECT("Table!" &amp; $AJ$86 &amp; $AG65),0)))))</f>
        <v>1.4676197319545969</v>
      </c>
      <c r="M65" s="273">
        <f ca="1">IF(ISERROR(MATCH(M$1,INDIRECT("Table!A"&amp;$AG65):INDIRECT("Table!" &amp; $AJ$86 &amp; $AG65),0)),"",INDIRECT(CONCATENATE("Table!",ADDRESS($AC65,MATCH(M$1,INDIRECT("Table!A" &amp; $AG65):INDIRECT("Table!" &amp; $AJ$86 &amp; $AG65),0)))))</f>
        <v>2.6900680833286659</v>
      </c>
      <c r="N65" s="273">
        <f ca="1">IF(ISERROR(MATCH(N$1,INDIRECT("Table!A"&amp;$AG65):INDIRECT("Table!" &amp; $AJ$86 &amp; $AG65),0)),"",INDIRECT(CONCATENATE("Table!",ADDRESS($AC65,MATCH(N$1,INDIRECT("Table!A" &amp; $AG65):INDIRECT("Table!" &amp; $AJ$86 &amp; $AG65),0)))))</f>
        <v>1.5536679870851229</v>
      </c>
      <c r="O65" s="273">
        <f ca="1">IF(ISERROR(MATCH(O$1,INDIRECT("Table!A"&amp;$AG65):INDIRECT("Table!" &amp; $AJ$64 &amp; $AG65),0)),"",INDIRECT(CONCATENATE("Table!",ADDRESS($AC65,MATCH(O$1,INDIRECT("Table!A" &amp; $AG65):INDIRECT("Table!" &amp; $AJ$64 &amp; $AG65),0)))))</f>
        <v>1.357600501352257</v>
      </c>
      <c r="P65" s="273">
        <f ca="1">IF(ISERROR(MATCH(P$1,INDIRECT("Table!A"&amp;$AG65):INDIRECT("Table!" &amp; $AJ$64 &amp; $AG65),0)),"",INDIRECT(CONCATENATE("Table!",ADDRESS($AC65,MATCH(P$1,INDIRECT("Table!A" &amp; $AG65):INDIRECT("Table!" &amp; $AJ$64 &amp; $AG65),0)))))</f>
        <v>0.29437764183094689</v>
      </c>
      <c r="Q65" s="273" t="str">
        <f ca="1">IF(ISERROR(MATCH(Q$1,INDIRECT("Table!A"&amp;$AG65):INDIRECT("Table!" &amp; $AJ$64 &amp; $AG65),0)),"",INDIRECT(CONCATENATE("Table!",ADDRESS($AC65,MATCH(Q$1,INDIRECT("Table!A" &amp; $AG65):INDIRECT("Table!" &amp; $AJ$64 &amp; $AG65),0)))))</f>
        <v/>
      </c>
      <c r="R65" s="273" t="str">
        <f ca="1">IF(ISERROR(MATCH(R$1,INDIRECT("Table!A"&amp;$AG65):INDIRECT("Table!" &amp; $AJ$64 &amp; $AG65),0)),"",INDIRECT(CONCATENATE("Table!",ADDRESS($AC65,MATCH(R$1,INDIRECT("Table!A" &amp; $AG65):INDIRECT("Table!" &amp; $AJ$64 &amp; $AG65),0)))))</f>
        <v/>
      </c>
      <c r="S65" s="273">
        <f ca="1">IF(ISERROR(MATCH(S$1,INDIRECT("Table!A"&amp;$AG65):INDIRECT("Table!" &amp; $AJ$64 &amp; $AG65),0)),"",INDIRECT(CONCATENATE("Table!",ADDRESS($AC65,MATCH(S$1,INDIRECT("Table!A" &amp; $AG65):INDIRECT("Table!" &amp; $AJ$64 &amp; $AG65),0)))))</f>
        <v>0.45179349422494602</v>
      </c>
      <c r="T65" s="273">
        <f ca="1">IF(ISERROR(MATCH(T$1,INDIRECT("Table!A"&amp;$AG65):INDIRECT("Table!" &amp; $AJ$64 &amp; $AG65),0)),"",INDIRECT(CONCATENATE("Table!",ADDRESS($AC65,MATCH(T$1,INDIRECT("Table!A" &amp; $AG65):INDIRECT("Table!" &amp; $AJ$64 &amp; $AG65),0)))))</f>
        <v>0.38821344494643478</v>
      </c>
      <c r="U65" s="596" t="str">
        <f ca="1">IF(ISERROR(MATCH(U$1,INDIRECT("Table!A"&amp;$AG65):INDIRECT("Table!" &amp; $AJ$64 &amp; $AG65),0)),"",INDIRECT(CONCATENATE("Table!",ADDRESS($AC65,MATCH(U$1,INDIRECT("Table!A" &amp; $AG65):INDIRECT("Table!" &amp; $AJ$64 &amp; $AG65),0)))))</f>
        <v/>
      </c>
      <c r="V65" s="596"/>
      <c r="W65" s="596"/>
      <c r="X65" s="596"/>
      <c r="Y65" s="596"/>
      <c r="Z65" s="596"/>
      <c r="AA65" s="596"/>
      <c r="AB65" s="596"/>
      <c r="AC65" s="272">
        <f>MATCH($A65,Table!$A:$A,0)+$AE$2-1</f>
        <v>830</v>
      </c>
      <c r="AD65" s="353"/>
      <c r="AE65" s="353"/>
      <c r="AF65" s="353"/>
      <c r="AG65" s="272">
        <f>MATCH($A65,Table!$A:$A,0)+$AI$2-1</f>
        <v>821</v>
      </c>
      <c r="AH65" s="353"/>
      <c r="AI65" s="353"/>
      <c r="AJ65" s="904" t="s">
        <v>285</v>
      </c>
    </row>
    <row r="66" spans="1:36" s="267" customFormat="1" ht="19.5" customHeight="1" x14ac:dyDescent="0.25">
      <c r="A66" s="268">
        <v>41353</v>
      </c>
      <c r="B66" s="596">
        <f ca="1">IF(ISERROR(MATCH(B$1,INDIRECT("Table!A"&amp;$AG66):INDIRECT("Table!" &amp; $AJ$86 &amp; $AG66),0)),"",INDIRECT(CONCATENATE("Table!",ADDRESS($AC66,MATCH(B$1,INDIRECT("Table!A" &amp; $AG66):INDIRECT("Table!" &amp; $AJ$86 &amp; $AG66),0)))))</f>
        <v>1.3407586605129149</v>
      </c>
      <c r="C66" s="273">
        <f ca="1">IF(ISERROR(MATCH(C$1,INDIRECT("Table!A"&amp;$AG66):INDIRECT("Table!" &amp; $AJ$86 &amp; $AG66),0)),"",INDIRECT(CONCATENATE("Table!",ADDRESS($AC66,MATCH(C$1,INDIRECT("Table!A" &amp; $AG66):INDIRECT("Table!" &amp; $AJ$86 &amp; $AG66),0)))))</f>
        <v>0.59295368991162389</v>
      </c>
      <c r="D66" s="273">
        <f ca="1">IF(ISERROR(MATCH(D$1,INDIRECT("Table!A"&amp;$AG66):INDIRECT("Table!" &amp; $AJ$86 &amp; $AG66),0)),"",INDIRECT(CONCATENATE("Table!",ADDRESS($AC66,MATCH(D$1,INDIRECT("Table!A" &amp; $AG66):INDIRECT("Table!" &amp; $AJ$86 &amp; $AG66),0)))))</f>
        <v>0.59989799077571926</v>
      </c>
      <c r="E66" s="273">
        <f ca="1">IF(ISERROR(MATCH(E$1,INDIRECT("Table!A"&amp;$AG66):INDIRECT("Table!" &amp; $AJ$86 &amp; $AG66),0)),"",INDIRECT(CONCATENATE("Table!",ADDRESS($AC66,MATCH(E$1,INDIRECT("Table!A" &amp; $AG66):INDIRECT("Table!" &amp; $AJ$86 &amp; $AG66),0)))))</f>
        <v>1.5276579277331923</v>
      </c>
      <c r="F66" s="273">
        <f ca="1">IF(ISERROR(MATCH(F$1,INDIRECT("Table!A"&amp;$AG66):INDIRECT("Table!" &amp; $AJ$86 &amp; $AG66),0)),"",INDIRECT(CONCATENATE("Table!",ADDRESS($AC66,MATCH(F$1,INDIRECT("Table!A" &amp; $AG66):INDIRECT("Table!" &amp; $AJ$86 &amp; $AG66),0)))))</f>
        <v>1.4680785603118718</v>
      </c>
      <c r="G66" s="273">
        <f ca="1">IF(ISERROR(MATCH(G$1,INDIRECT("Table!A"&amp;$AG66):INDIRECT("Table!" &amp; $AJ$86 &amp; $AG66),0)),"",INDIRECT(CONCATENATE("Table!",ADDRESS($AC66,MATCH(G$1,INDIRECT("Table!A" &amp; $AG66):INDIRECT("Table!" &amp; $AJ$86 &amp; $AG66),0)))))</f>
        <v>3.4229394696212876</v>
      </c>
      <c r="H66" s="273">
        <f ca="1">IF(ISERROR(MATCH(H$1,INDIRECT("Table!A"&amp;$AG66):INDIRECT("Table!" &amp; $AJ$86 &amp; $AG66),0)),"",INDIRECT(CONCATENATE("Table!",ADDRESS($AC66,MATCH(H$1,INDIRECT("Table!A" &amp; $AG66):INDIRECT("Table!" &amp; $AJ$86 &amp; $AG66),0)))))</f>
        <v>0.98901362215016986</v>
      </c>
      <c r="I66" s="273">
        <f ca="1">IF(ISERROR(MATCH(I$1,INDIRECT("Table!A"&amp;$AG66):INDIRECT("Table!" &amp; $AJ$64 &amp; $AG66),0)),"",INDIRECT(CONCATENATE("Table!",ADDRESS($AC66,MATCH(I$1,INDIRECT("Table!A" &amp; $AG66):INDIRECT("Table!" &amp; $AJ$64 &amp; $AG66),0)))))</f>
        <v>5.8063487074439167E-2</v>
      </c>
      <c r="J66" s="273" t="str">
        <f ca="1">IF(ISERROR(MATCH(J$1,INDIRECT("Table!A"&amp;$AG66):INDIRECT("Table!" &amp; $AJ$64 &amp; $AG66),0)),"",INDIRECT(CONCATENATE("Table!",ADDRESS($AC66,MATCH(J$1,INDIRECT("Table!A" &amp; $AG66):INDIRECT("Table!" &amp; $AJ$64 &amp; $AG66),0)))))</f>
        <v/>
      </c>
      <c r="K66" s="273" t="str">
        <f ca="1">IF(ISERROR(MATCH(K$1,INDIRECT("Table!A"&amp;$AG66):INDIRECT("Table!" &amp; $AJ$64 &amp; $AG66),0)),"",INDIRECT(CONCATENATE("Table!",ADDRESS($AC66,MATCH(K$1,INDIRECT("Table!A" &amp; $AG66):INDIRECT("Table!" &amp; $AJ$64 &amp; $AG66),0)))))</f>
        <v/>
      </c>
      <c r="L66" s="273">
        <f ca="1">IF(ISERROR(MATCH(L$1,INDIRECT("Table!A"&amp;$AG66):INDIRECT("Table!" &amp; $AJ$86 &amp; $AG66),0)),"",INDIRECT(CONCATENATE("Table!",ADDRESS($AC66,MATCH(L$1,INDIRECT("Table!A" &amp; $AG66):INDIRECT("Table!" &amp; $AJ$86 &amp; $AG66),0)))))</f>
        <v>1.4545191035450997</v>
      </c>
      <c r="M66" s="273">
        <f ca="1">IF(ISERROR(MATCH(M$1,INDIRECT("Table!A"&amp;$AG66):INDIRECT("Table!" &amp; $AJ$86 &amp; $AG66),0)),"",INDIRECT(CONCATENATE("Table!",ADDRESS($AC66,MATCH(M$1,INDIRECT("Table!A" &amp; $AG66):INDIRECT("Table!" &amp; $AJ$86 &amp; $AG66),0)))))</f>
        <v>2.6900680833286659</v>
      </c>
      <c r="N66" s="273">
        <f ca="1">IF(ISERROR(MATCH(N$1,INDIRECT("Table!A"&amp;$AG66):INDIRECT("Table!" &amp; $AJ$86 &amp; $AG66),0)),"",INDIRECT(CONCATENATE("Table!",ADDRESS($AC66,MATCH(N$1,INDIRECT("Table!A" &amp; $AG66):INDIRECT("Table!" &amp; $AJ$86 &amp; $AG66),0)))))</f>
        <v>1.5438862369041042</v>
      </c>
      <c r="O66" s="273">
        <f ca="1">IF(ISERROR(MATCH(O$1,INDIRECT("Table!A"&amp;$AG66):INDIRECT("Table!" &amp; $AJ$64 &amp; $AG66),0)),"",INDIRECT(CONCATENATE("Table!",ADDRESS($AC66,MATCH(O$1,INDIRECT("Table!A" &amp; $AG66):INDIRECT("Table!" &amp; $AJ$64 &amp; $AG66),0)))))</f>
        <v>1.3488122065222254</v>
      </c>
      <c r="P66" s="273">
        <f ca="1">IF(ISERROR(MATCH(P$1,INDIRECT("Table!A"&amp;$AG66):INDIRECT("Table!" &amp; $AJ$64 &amp; $AG66),0)),"",INDIRECT(CONCATENATE("Table!",ADDRESS($AC66,MATCH(P$1,INDIRECT("Table!A" &amp; $AG66):INDIRECT("Table!" &amp; $AJ$64 &amp; $AG66),0)))))</f>
        <v>0.29437764183094689</v>
      </c>
      <c r="Q66" s="273" t="str">
        <f ca="1">IF(ISERROR(MATCH(Q$1,INDIRECT("Table!A"&amp;$AG66):INDIRECT("Table!" &amp; $AJ$64 &amp; $AG66),0)),"",INDIRECT(CONCATENATE("Table!",ADDRESS($AC66,MATCH(Q$1,INDIRECT("Table!A" &amp; $AG66):INDIRECT("Table!" &amp; $AJ$64 &amp; $AG66),0)))))</f>
        <v/>
      </c>
      <c r="R66" s="273" t="str">
        <f ca="1">IF(ISERROR(MATCH(R$1,INDIRECT("Table!A"&amp;$AG66):INDIRECT("Table!" &amp; $AJ$64 &amp; $AG66),0)),"",INDIRECT(CONCATENATE("Table!",ADDRESS($AC66,MATCH(R$1,INDIRECT("Table!A" &amp; $AG66):INDIRECT("Table!" &amp; $AJ$64 &amp; $AG66),0)))))</f>
        <v/>
      </c>
      <c r="S66" s="273">
        <f ca="1">IF(ISERROR(MATCH(S$1,INDIRECT("Table!A"&amp;$AG66):INDIRECT("Table!" &amp; $AJ$64 &amp; $AG66),0)),"",INDIRECT(CONCATENATE("Table!",ADDRESS($AC66,MATCH(S$1,INDIRECT("Table!A" &amp; $AG66):INDIRECT("Table!" &amp; $AJ$64 &amp; $AG66),0)))))</f>
        <v>0.3515307972656887</v>
      </c>
      <c r="T66" s="273">
        <f ca="1">IF(ISERROR(MATCH(T$1,INDIRECT("Table!A"&amp;$AG66):INDIRECT("Table!" &amp; $AJ$64 &amp; $AG66),0)),"",INDIRECT(CONCATENATE("Table!",ADDRESS($AC66,MATCH(T$1,INDIRECT("Table!A" &amp; $AG66):INDIRECT("Table!" &amp; $AJ$64 &amp; $AG66),0)))))</f>
        <v>0.35153185959716532</v>
      </c>
      <c r="U66" s="596" t="str">
        <f ca="1">IF(ISERROR(MATCH(U$1,INDIRECT("Table!A"&amp;$AG66):INDIRECT("Table!" &amp; $AJ$64 &amp; $AG66),0)),"",INDIRECT(CONCATENATE("Table!",ADDRESS($AC66,MATCH(U$1,INDIRECT("Table!A" &amp; $AG66):INDIRECT("Table!" &amp; $AJ$64 &amp; $AG66),0)))))</f>
        <v/>
      </c>
      <c r="V66" s="596"/>
      <c r="W66" s="596"/>
      <c r="X66" s="596"/>
      <c r="Y66" s="596"/>
      <c r="Z66" s="596"/>
      <c r="AA66" s="596"/>
      <c r="AB66" s="596"/>
      <c r="AC66" s="272">
        <f>MATCH($A66,Table!$A:$A,0)+$AE$2-1</f>
        <v>842</v>
      </c>
      <c r="AD66" s="352"/>
      <c r="AE66" s="352"/>
      <c r="AF66" s="352"/>
      <c r="AG66" s="272">
        <f>MATCH($A66,Table!$A:$A,0)+$AI$2-1</f>
        <v>833</v>
      </c>
      <c r="AH66" s="352"/>
      <c r="AI66" s="352"/>
      <c r="AJ66" s="904" t="s">
        <v>285</v>
      </c>
    </row>
    <row r="67" spans="1:36" s="267" customFormat="1" ht="19.5" customHeight="1" x14ac:dyDescent="0.25">
      <c r="A67" s="268">
        <v>41351</v>
      </c>
      <c r="B67" s="596">
        <f ca="1">IF(ISERROR(MATCH(B$1,INDIRECT("Table!A"&amp;$AG67):INDIRECT("Table!" &amp; $AJ$86 &amp; $AG67),0)),"",INDIRECT(CONCATENATE("Table!",ADDRESS($AC67,MATCH(B$1,INDIRECT("Table!A" &amp; $AG67):INDIRECT("Table!" &amp; $AJ$86 &amp; $AG67),0)))))</f>
        <v>1.3407586605129149</v>
      </c>
      <c r="C67" s="273">
        <f ca="1">IF(ISERROR(MATCH(C$1,INDIRECT("Table!A"&amp;$AG67):INDIRECT("Table!" &amp; $AJ$86 &amp; $AG67),0)),"",INDIRECT(CONCATENATE("Table!",ADDRESS($AC67,MATCH(C$1,INDIRECT("Table!A" &amp; $AG67):INDIRECT("Table!" &amp; $AJ$86 &amp; $AG67),0)))))</f>
        <v>0.59295368991162389</v>
      </c>
      <c r="D67" s="273">
        <f ca="1">IF(ISERROR(MATCH(D$1,INDIRECT("Table!A"&amp;$AG67):INDIRECT("Table!" &amp; $AJ$86 &amp; $AG67),0)),"",INDIRECT(CONCATENATE("Table!",ADDRESS($AC67,MATCH(D$1,INDIRECT("Table!A" &amp; $AG67):INDIRECT("Table!" &amp; $AJ$86 &amp; $AG67),0)))))</f>
        <v>0.59989799077571926</v>
      </c>
      <c r="E67" s="273">
        <f ca="1">IF(ISERROR(MATCH(E$1,INDIRECT("Table!A"&amp;$AG67):INDIRECT("Table!" &amp; $AJ$86 &amp; $AG67),0)),"",INDIRECT(CONCATENATE("Table!",ADDRESS($AC67,MATCH(E$1,INDIRECT("Table!A" &amp; $AG67):INDIRECT("Table!" &amp; $AJ$86 &amp; $AG67),0)))))</f>
        <v>1.5276579277331923</v>
      </c>
      <c r="F67" s="273">
        <f ca="1">IF(ISERROR(MATCH(F$1,INDIRECT("Table!A"&amp;$AG67):INDIRECT("Table!" &amp; $AJ$86 &amp; $AG67),0)),"",INDIRECT(CONCATENATE("Table!",ADDRESS($AC67,MATCH(F$1,INDIRECT("Table!A" &amp; $AG67):INDIRECT("Table!" &amp; $AJ$86 &amp; $AG67),0)))))</f>
        <v>1.4424014505673832</v>
      </c>
      <c r="G67" s="273">
        <f ca="1">IF(ISERROR(MATCH(G$1,INDIRECT("Table!A"&amp;$AG67):INDIRECT("Table!" &amp; $AJ$86 &amp; $AG67),0)),"",INDIRECT(CONCATENATE("Table!",ADDRESS($AC67,MATCH(G$1,INDIRECT("Table!A" &amp; $AG67):INDIRECT("Table!" &amp; $AJ$86 &amp; $AG67),0)))))</f>
        <v>3.4229394696212876</v>
      </c>
      <c r="H67" s="273">
        <f ca="1">IF(ISERROR(MATCH(H$1,INDIRECT("Table!A"&amp;$AG67):INDIRECT("Table!" &amp; $AJ$86 &amp; $AG67),0)),"",INDIRECT(CONCATENATE("Table!",ADDRESS($AC67,MATCH(H$1,INDIRECT("Table!A" &amp; $AG67):INDIRECT("Table!" &amp; $AJ$86 &amp; $AG67),0)))))</f>
        <v>0.97345173318124334</v>
      </c>
      <c r="I67" s="273">
        <f ca="1">IF(ISERROR(MATCH(I$1,INDIRECT("Table!A"&amp;$AG67):INDIRECT("Table!" &amp; $AJ$64 &amp; $AG67),0)),"",INDIRECT(CONCATENATE("Table!",ADDRESS($AC67,MATCH(I$1,INDIRECT("Table!A" &amp; $AG67):INDIRECT("Table!" &amp; $AJ$64 &amp; $AG67),0)))))</f>
        <v>5.8063487074439167E-2</v>
      </c>
      <c r="J67" s="273" t="str">
        <f ca="1">IF(ISERROR(MATCH(J$1,INDIRECT("Table!A"&amp;$AG67):INDIRECT("Table!" &amp; $AJ$64 &amp; $AG67),0)),"",INDIRECT(CONCATENATE("Table!",ADDRESS($AC67,MATCH(J$1,INDIRECT("Table!A" &amp; $AG67):INDIRECT("Table!" &amp; $AJ$64 &amp; $AG67),0)))))</f>
        <v/>
      </c>
      <c r="K67" s="273" t="str">
        <f ca="1">IF(ISERROR(MATCH(K$1,INDIRECT("Table!A"&amp;$AG67):INDIRECT("Table!" &amp; $AJ$64 &amp; $AG67),0)),"",INDIRECT(CONCATENATE("Table!",ADDRESS($AC67,MATCH(K$1,INDIRECT("Table!A" &amp; $AG67):INDIRECT("Table!" &amp; $AJ$64 &amp; $AG67),0)))))</f>
        <v/>
      </c>
      <c r="L67" s="273">
        <f ca="1">IF(ISERROR(MATCH(L$1,INDIRECT("Table!A"&amp;$AG67):INDIRECT("Table!" &amp; $AJ$86 &amp; $AG67),0)),"",INDIRECT(CONCATENATE("Table!",ADDRESS($AC67,MATCH(L$1,INDIRECT("Table!A" &amp; $AG67):INDIRECT("Table!" &amp; $AJ$86 &amp; $AG67),0)))))</f>
        <v>1.4545191035450997</v>
      </c>
      <c r="M67" s="273">
        <f ca="1">IF(ISERROR(MATCH(M$1,INDIRECT("Table!A"&amp;$AG67):INDIRECT("Table!" &amp; $AJ$86 &amp; $AG67),0)),"",INDIRECT(CONCATENATE("Table!",ADDRESS($AC67,MATCH(M$1,INDIRECT("Table!A" &amp; $AG67):INDIRECT("Table!" &amp; $AJ$86 &amp; $AG67),0)))))</f>
        <v>2.6734816267344366</v>
      </c>
      <c r="N67" s="273">
        <f ca="1">IF(ISERROR(MATCH(N$1,INDIRECT("Table!A"&amp;$AG67):INDIRECT("Table!" &amp; $AJ$86 &amp; $AG67),0)),"",INDIRECT(CONCATENATE("Table!",ADDRESS($AC67,MATCH(N$1,INDIRECT("Table!A" &amp; $AG67):INDIRECT("Table!" &amp; $AJ$86 &amp; $AG67),0)))))</f>
        <v>1.5182091426789304</v>
      </c>
      <c r="O67" s="273">
        <f ca="1">IF(ISERROR(MATCH(O$1,INDIRECT("Table!A"&amp;$AG67):INDIRECT("Table!" &amp; $AJ$64 &amp; $AG67),0)),"",INDIRECT(CONCATENATE("Table!",ADDRESS($AC67,MATCH(O$1,INDIRECT("Table!A" &amp; $AG67):INDIRECT("Table!" &amp; $AJ$64 &amp; $AG67),0)))))</f>
        <v>1.2632218568732232</v>
      </c>
      <c r="P67" s="273">
        <f ca="1">IF(ISERROR(MATCH(P$1,INDIRECT("Table!A"&amp;$AG67):INDIRECT("Table!" &amp; $AJ$64 &amp; $AG67),0)),"",INDIRECT(CONCATENATE("Table!",ADDRESS($AC67,MATCH(P$1,INDIRECT("Table!A" &amp; $AG67):INDIRECT("Table!" &amp; $AJ$64 &amp; $AG67),0)))))</f>
        <v>0.29437764183094689</v>
      </c>
      <c r="Q67" s="273" t="str">
        <f ca="1">IF(ISERROR(MATCH(Q$1,INDIRECT("Table!A"&amp;$AG67):INDIRECT("Table!" &amp; $AJ$64 &amp; $AG67),0)),"",INDIRECT(CONCATENATE("Table!",ADDRESS($AC67,MATCH(Q$1,INDIRECT("Table!A" &amp; $AG67):INDIRECT("Table!" &amp; $AJ$64 &amp; $AG67),0)))))</f>
        <v/>
      </c>
      <c r="R67" s="273" t="str">
        <f ca="1">IF(ISERROR(MATCH(R$1,INDIRECT("Table!A"&amp;$AG67):INDIRECT("Table!" &amp; $AJ$64 &amp; $AG67),0)),"",INDIRECT(CONCATENATE("Table!",ADDRESS($AC67,MATCH(R$1,INDIRECT("Table!A" &amp; $AG67):INDIRECT("Table!" &amp; $AJ$64 &amp; $AG67),0)))))</f>
        <v/>
      </c>
      <c r="S67" s="273">
        <f ca="1">IF(ISERROR(MATCH(S$1,INDIRECT("Table!A"&amp;$AG67):INDIRECT("Table!" &amp; $AJ$64 &amp; $AG67),0)),"",INDIRECT(CONCATENATE("Table!",ADDRESS($AC67,MATCH(S$1,INDIRECT("Table!A" &amp; $AG67):INDIRECT("Table!" &amp; $AJ$64 &amp; $AG67),0)))))</f>
        <v>0.32952191256731517</v>
      </c>
      <c r="T67" s="273">
        <f ca="1">IF(ISERROR(MATCH(T$1,INDIRECT("Table!A"&amp;$AG67):INDIRECT("Table!" &amp; $AJ$64 &amp; $AG67),0)),"",INDIRECT(CONCATENATE("Table!",ADDRESS($AC67,MATCH(T$1,INDIRECT("Table!A" &amp; $AG67):INDIRECT("Table!" &amp; $AJ$64 &amp; $AG67),0)))))</f>
        <v>0.35153185959716532</v>
      </c>
      <c r="U67" s="596" t="str">
        <f ca="1">IF(ISERROR(MATCH(U$1,INDIRECT("Table!A"&amp;$AG67):INDIRECT("Table!" &amp; $AJ$64 &amp; $AG67),0)),"",INDIRECT(CONCATENATE("Table!",ADDRESS($AC67,MATCH(U$1,INDIRECT("Table!A" &amp; $AG67):INDIRECT("Table!" &amp; $AJ$64 &amp; $AG67),0)))))</f>
        <v/>
      </c>
      <c r="V67" s="596"/>
      <c r="W67" s="596"/>
      <c r="X67" s="596"/>
      <c r="Y67" s="596"/>
      <c r="Z67" s="596"/>
      <c r="AA67" s="596"/>
      <c r="AB67" s="596"/>
      <c r="AC67" s="272">
        <f>MATCH($A67,Table!$A:$A,0)+$AE$2-1</f>
        <v>854</v>
      </c>
      <c r="AD67" s="351"/>
      <c r="AE67" s="351"/>
      <c r="AF67" s="351"/>
      <c r="AG67" s="272">
        <f>MATCH($A67,Table!$A:$A,0)+$AI$2-1</f>
        <v>845</v>
      </c>
      <c r="AH67" s="351"/>
      <c r="AI67" s="351"/>
      <c r="AJ67" s="904" t="s">
        <v>285</v>
      </c>
    </row>
    <row r="68" spans="1:36" s="267" customFormat="1" ht="19.5" customHeight="1" x14ac:dyDescent="0.25">
      <c r="A68" s="268">
        <v>41347</v>
      </c>
      <c r="B68" s="596">
        <f ca="1">IF(ISERROR(MATCH(B$1,INDIRECT("Table!A"&amp;$AG68):INDIRECT("Table!" &amp; $AJ$86 &amp; $AG68),0)),"",INDIRECT(CONCATENATE("Table!",ADDRESS($AC68,MATCH(B$1,INDIRECT("Table!A" &amp; $AG68):INDIRECT("Table!" &amp; $AJ$86 &amp; $AG68),0)))))</f>
        <v>1.3407586605129149</v>
      </c>
      <c r="C68" s="273">
        <f ca="1">IF(ISERROR(MATCH(C$1,INDIRECT("Table!A"&amp;$AG68):INDIRECT("Table!" &amp; $AJ$86 &amp; $AG68),0)),"",INDIRECT(CONCATENATE("Table!",ADDRESS($AC68,MATCH(C$1,INDIRECT("Table!A" &amp; $AG68):INDIRECT("Table!" &amp; $AJ$86 &amp; $AG68),0)))))</f>
        <v>0.59295368991162389</v>
      </c>
      <c r="D68" s="273">
        <f ca="1">IF(ISERROR(MATCH(D$1,INDIRECT("Table!A"&amp;$AG68):INDIRECT("Table!" &amp; $AJ$86 &amp; $AG68),0)),"",INDIRECT(CONCATENATE("Table!",ADDRESS($AC68,MATCH(D$1,INDIRECT("Table!A" &amp; $AG68):INDIRECT("Table!" &amp; $AJ$86 &amp; $AG68),0)))))</f>
        <v>0.59989799077571926</v>
      </c>
      <c r="E68" s="273">
        <f ca="1">IF(ISERROR(MATCH(E$1,INDIRECT("Table!A"&amp;$AG68):INDIRECT("Table!" &amp; $AJ$86 &amp; $AG68),0)),"",INDIRECT(CONCATENATE("Table!",ADDRESS($AC68,MATCH(E$1,INDIRECT("Table!A" &amp; $AG68):INDIRECT("Table!" &amp; $AJ$86 &amp; $AG68),0)))))</f>
        <v>1.5276579277331923</v>
      </c>
      <c r="F68" s="273">
        <f ca="1">IF(ISERROR(MATCH(F$1,INDIRECT("Table!A"&amp;$AG68):INDIRECT("Table!" &amp; $AJ$86 &amp; $AG68),0)),"",INDIRECT(CONCATENATE("Table!",ADDRESS($AC68,MATCH(F$1,INDIRECT("Table!A" &amp; $AG68):INDIRECT("Table!" &amp; $AJ$86 &amp; $AG68),0)))))</f>
        <v>1.4424014505673832</v>
      </c>
      <c r="G68" s="273">
        <f ca="1">IF(ISERROR(MATCH(G$1,INDIRECT("Table!A"&amp;$AG68):INDIRECT("Table!" &amp; $AJ$86 &amp; $AG68),0)),"",INDIRECT(CONCATENATE("Table!",ADDRESS($AC68,MATCH(G$1,INDIRECT("Table!A" &amp; $AG68):INDIRECT("Table!" &amp; $AJ$86 &amp; $AG68),0)))))</f>
        <v>3.4229394696212876</v>
      </c>
      <c r="H68" s="273">
        <f ca="1">IF(ISERROR(MATCH(H$1,INDIRECT("Table!A"&amp;$AG68):INDIRECT("Table!" &amp; $AJ$86 &amp; $AG68),0)),"",INDIRECT(CONCATENATE("Table!",ADDRESS($AC68,MATCH(H$1,INDIRECT("Table!A" &amp; $AG68):INDIRECT("Table!" &amp; $AJ$86 &amp; $AG68),0)))))</f>
        <v>0.97345173318124334</v>
      </c>
      <c r="I68" s="273">
        <f ca="1">IF(ISERROR(MATCH(I$1,INDIRECT("Table!A"&amp;$AG68):INDIRECT("Table!" &amp; $AJ$64 &amp; $AG68),0)),"",INDIRECT(CONCATENATE("Table!",ADDRESS($AC68,MATCH(I$1,INDIRECT("Table!A" &amp; $AG68):INDIRECT("Table!" &amp; $AJ$64 &amp; $AG68),0)))))</f>
        <v>5.8063487074439167E-2</v>
      </c>
      <c r="J68" s="273" t="str">
        <f ca="1">IF(ISERROR(MATCH(J$1,INDIRECT("Table!A"&amp;$AG68):INDIRECT("Table!" &amp; $AJ$64 &amp; $AG68),0)),"",INDIRECT(CONCATENATE("Table!",ADDRESS($AC68,MATCH(J$1,INDIRECT("Table!A" &amp; $AG68):INDIRECT("Table!" &amp; $AJ$64 &amp; $AG68),0)))))</f>
        <v/>
      </c>
      <c r="K68" s="273" t="str">
        <f ca="1">IF(ISERROR(MATCH(K$1,INDIRECT("Table!A"&amp;$AG68):INDIRECT("Table!" &amp; $AJ$64 &amp; $AG68),0)),"",INDIRECT(CONCATENATE("Table!",ADDRESS($AC68,MATCH(K$1,INDIRECT("Table!A" &amp; $AG68):INDIRECT("Table!" &amp; $AJ$64 &amp; $AG68),0)))))</f>
        <v/>
      </c>
      <c r="L68" s="273">
        <f ca="1">IF(ISERROR(MATCH(L$1,INDIRECT("Table!A"&amp;$AG68):INDIRECT("Table!" &amp; $AJ$86 &amp; $AG68),0)),"",INDIRECT(CONCATENATE("Table!",ADDRESS($AC68,MATCH(L$1,INDIRECT("Table!A" &amp; $AG68):INDIRECT("Table!" &amp; $AJ$86 &amp; $AG68),0)))))</f>
        <v>1.4545191035450997</v>
      </c>
      <c r="M68" s="273">
        <f ca="1">IF(ISERROR(MATCH(M$1,INDIRECT("Table!A"&amp;$AG68):INDIRECT("Table!" &amp; $AJ$86 &amp; $AG68),0)),"",INDIRECT(CONCATENATE("Table!",ADDRESS($AC68,MATCH(M$1,INDIRECT("Table!A" &amp; $AG68):INDIRECT("Table!" &amp; $AJ$86 &amp; $AG68),0)))))</f>
        <v>2.6734816267344366</v>
      </c>
      <c r="N68" s="273">
        <f ca="1">IF(ISERROR(MATCH(N$1,INDIRECT("Table!A"&amp;$AG68):INDIRECT("Table!" &amp; $AJ$86 &amp; $AG68),0)),"",INDIRECT(CONCATENATE("Table!",ADDRESS($AC68,MATCH(N$1,INDIRECT("Table!A" &amp; $AG68):INDIRECT("Table!" &amp; $AJ$86 &amp; $AG68),0)))))</f>
        <v>1.5182091426789304</v>
      </c>
      <c r="O68" s="273">
        <f ca="1">IF(ISERROR(MATCH(O$1,INDIRECT("Table!A"&amp;$AG68):INDIRECT("Table!" &amp; $AJ$64 &amp; $AG68),0)),"",INDIRECT(CONCATENATE("Table!",ADDRESS($AC68,MATCH(O$1,INDIRECT("Table!A" &amp; $AG68):INDIRECT("Table!" &amp; $AJ$64 &amp; $AG68),0)))))</f>
        <v>1.2605471584466919</v>
      </c>
      <c r="P68" s="273">
        <f ca="1">IF(ISERROR(MATCH(P$1,INDIRECT("Table!A"&amp;$AG68):INDIRECT("Table!" &amp; $AJ$64 &amp; $AG68),0)),"",INDIRECT(CONCATENATE("Table!",ADDRESS($AC68,MATCH(P$1,INDIRECT("Table!A" &amp; $AG68):INDIRECT("Table!" &amp; $AJ$64 &amp; $AG68),0)))))</f>
        <v>0.29437764183094689</v>
      </c>
      <c r="Q68" s="273" t="str">
        <f ca="1">IF(ISERROR(MATCH(Q$1,INDIRECT("Table!A"&amp;$AG68):INDIRECT("Table!" &amp; $AJ$64 &amp; $AG68),0)),"",INDIRECT(CONCATENATE("Table!",ADDRESS($AC68,MATCH(Q$1,INDIRECT("Table!A" &amp; $AG68):INDIRECT("Table!" &amp; $AJ$64 &amp; $AG68),0)))))</f>
        <v/>
      </c>
      <c r="R68" s="273" t="str">
        <f ca="1">IF(ISERROR(MATCH(R$1,INDIRECT("Table!A"&amp;$AG68):INDIRECT("Table!" &amp; $AJ$64 &amp; $AG68),0)),"",INDIRECT(CONCATENATE("Table!",ADDRESS($AC68,MATCH(R$1,INDIRECT("Table!A" &amp; $AG68):INDIRECT("Table!" &amp; $AJ$64 &amp; $AG68),0)))))</f>
        <v/>
      </c>
      <c r="S68" s="273">
        <f ca="1">IF(ISERROR(MATCH(S$1,INDIRECT("Table!A"&amp;$AG68):INDIRECT("Table!" &amp; $AJ$64 &amp; $AG68),0)),"",INDIRECT(CONCATENATE("Table!",ADDRESS($AC68,MATCH(S$1,INDIRECT("Table!A" &amp; $AG68):INDIRECT("Table!" &amp; $AJ$64 &amp; $AG68),0)))))</f>
        <v>0.32952191256731517</v>
      </c>
      <c r="T68" s="273">
        <f ca="1">IF(ISERROR(MATCH(T$1,INDIRECT("Table!A"&amp;$AG68):INDIRECT("Table!" &amp; $AJ$64 &amp; $AG68),0)),"",INDIRECT(CONCATENATE("Table!",ADDRESS($AC68,MATCH(T$1,INDIRECT("Table!A" &amp; $AG68):INDIRECT("Table!" &amp; $AJ$64 &amp; $AG68),0)))))</f>
        <v>0.35153185959716532</v>
      </c>
      <c r="U68" s="596" t="str">
        <f ca="1">IF(ISERROR(MATCH(U$1,INDIRECT("Table!A"&amp;$AG68):INDIRECT("Table!" &amp; $AJ$64 &amp; $AG68),0)),"",INDIRECT(CONCATENATE("Table!",ADDRESS($AC68,MATCH(U$1,INDIRECT("Table!A" &amp; $AG68):INDIRECT("Table!" &amp; $AJ$64 &amp; $AG68),0)))))</f>
        <v/>
      </c>
      <c r="V68" s="596"/>
      <c r="W68" s="596"/>
      <c r="X68" s="596"/>
      <c r="Y68" s="596"/>
      <c r="Z68" s="596"/>
      <c r="AA68" s="596"/>
      <c r="AB68" s="596"/>
      <c r="AC68" s="272">
        <f>MATCH($A68,Table!$A:$A,0)+$AE$2-1</f>
        <v>866</v>
      </c>
      <c r="AD68" s="341"/>
      <c r="AE68" s="341"/>
      <c r="AF68" s="341"/>
      <c r="AG68" s="272">
        <f>MATCH($A68,Table!$A:$A,0)+$AI$2-1</f>
        <v>857</v>
      </c>
      <c r="AH68" s="341"/>
      <c r="AI68" s="341"/>
      <c r="AJ68" s="904" t="s">
        <v>285</v>
      </c>
    </row>
    <row r="69" spans="1:36" s="267" customFormat="1" ht="19.5" customHeight="1" x14ac:dyDescent="0.25">
      <c r="A69" s="268">
        <v>41345</v>
      </c>
      <c r="B69" s="596">
        <f ca="1">IF(ISERROR(MATCH(B$1,INDIRECT("Table!A"&amp;$AG69):INDIRECT("Table!" &amp; $AJ$86 &amp; $AG69),0)),"",INDIRECT(CONCATENATE("Table!",ADDRESS($AC69,MATCH(B$1,INDIRECT("Table!A" &amp; $AG69):INDIRECT("Table!" &amp; $AJ$86 &amp; $AG69),0)))))</f>
        <v>1.3407586605129149</v>
      </c>
      <c r="C69" s="273">
        <f ca="1">IF(ISERROR(MATCH(C$1,INDIRECT("Table!A"&amp;$AG69):INDIRECT("Table!" &amp; $AJ$86 &amp; $AG69),0)),"",INDIRECT(CONCATENATE("Table!",ADDRESS($AC69,MATCH(C$1,INDIRECT("Table!A" &amp; $AG69):INDIRECT("Table!" &amp; $AJ$86 &amp; $AG69),0)))))</f>
        <v>0.59295368991162389</v>
      </c>
      <c r="D69" s="273">
        <f ca="1">IF(ISERROR(MATCH(D$1,INDIRECT("Table!A"&amp;$AG69):INDIRECT("Table!" &amp; $AJ$86 &amp; $AG69),0)),"",INDIRECT(CONCATENATE("Table!",ADDRESS($AC69,MATCH(D$1,INDIRECT("Table!A" &amp; $AG69):INDIRECT("Table!" &amp; $AJ$86 &amp; $AG69),0)))))</f>
        <v>0.59989799077571926</v>
      </c>
      <c r="E69" s="273">
        <f ca="1">IF(ISERROR(MATCH(E$1,INDIRECT("Table!A"&amp;$AG69):INDIRECT("Table!" &amp; $AJ$86 &amp; $AG69),0)),"",INDIRECT(CONCATENATE("Table!",ADDRESS($AC69,MATCH(E$1,INDIRECT("Table!A" &amp; $AG69):INDIRECT("Table!" &amp; $AJ$86 &amp; $AG69),0)))))</f>
        <v>1.5276579277331923</v>
      </c>
      <c r="F69" s="273">
        <f ca="1">IF(ISERROR(MATCH(F$1,INDIRECT("Table!A"&amp;$AG69):INDIRECT("Table!" &amp; $AJ$86 &amp; $AG69),0)),"",INDIRECT(CONCATENATE("Table!",ADDRESS($AC69,MATCH(F$1,INDIRECT("Table!A" &amp; $AG69):INDIRECT("Table!" &amp; $AJ$86 &amp; $AG69),0)))))</f>
        <v>1.4424014505673832</v>
      </c>
      <c r="G69" s="273">
        <f ca="1">IF(ISERROR(MATCH(G$1,INDIRECT("Table!A"&amp;$AG69):INDIRECT("Table!" &amp; $AJ$86 &amp; $AG69),0)),"",INDIRECT(CONCATENATE("Table!",ADDRESS($AC69,MATCH(G$1,INDIRECT("Table!A" &amp; $AG69):INDIRECT("Table!" &amp; $AJ$86 &amp; $AG69),0)))))</f>
        <v>3.4170704068658613</v>
      </c>
      <c r="H69" s="273">
        <f ca="1">IF(ISERROR(MATCH(H$1,INDIRECT("Table!A"&amp;$AG69):INDIRECT("Table!" &amp; $AJ$86 &amp; $AG69),0)),"",INDIRECT(CONCATENATE("Table!",ADDRESS($AC69,MATCH(H$1,INDIRECT("Table!A" &amp; $AG69):INDIRECT("Table!" &amp; $AJ$86 &amp; $AG69),0)))))</f>
        <v>0.94288373699228056</v>
      </c>
      <c r="I69" s="273">
        <f ca="1">IF(ISERROR(MATCH(I$1,INDIRECT("Table!A"&amp;$AG69):INDIRECT("Table!" &amp; $AJ$64 &amp; $AG69),0)),"",INDIRECT(CONCATENATE("Table!",ADDRESS($AC69,MATCH(I$1,INDIRECT("Table!A" &amp; $AG69):INDIRECT("Table!" &amp; $AJ$64 &amp; $AG69),0)))))</f>
        <v>5.8063487074439167E-2</v>
      </c>
      <c r="J69" s="273" t="str">
        <f ca="1">IF(ISERROR(MATCH(J$1,INDIRECT("Table!A"&amp;$AG69):INDIRECT("Table!" &amp; $AJ$64 &amp; $AG69),0)),"",INDIRECT(CONCATENATE("Table!",ADDRESS($AC69,MATCH(J$1,INDIRECT("Table!A" &amp; $AG69):INDIRECT("Table!" &amp; $AJ$64 &amp; $AG69),0)))))</f>
        <v/>
      </c>
      <c r="K69" s="273" t="str">
        <f ca="1">IF(ISERROR(MATCH(K$1,INDIRECT("Table!A"&amp;$AG69):INDIRECT("Table!" &amp; $AJ$64 &amp; $AG69),0)),"",INDIRECT(CONCATENATE("Table!",ADDRESS($AC69,MATCH(K$1,INDIRECT("Table!A" &amp; $AG69):INDIRECT("Table!" &amp; $AJ$64 &amp; $AG69),0)))))</f>
        <v/>
      </c>
      <c r="L69" s="273">
        <f ca="1">IF(ISERROR(MATCH(L$1,INDIRECT("Table!A"&amp;$AG69):INDIRECT("Table!" &amp; $AJ$86 &amp; $AG69),0)),"",INDIRECT(CONCATENATE("Table!",ADDRESS($AC69,MATCH(L$1,INDIRECT("Table!A" &amp; $AG69):INDIRECT("Table!" &amp; $AJ$86 &amp; $AG69),0)))))</f>
        <v>1.4545191035450997</v>
      </c>
      <c r="M69" s="273">
        <f ca="1">IF(ISERROR(MATCH(M$1,INDIRECT("Table!A"&amp;$AG69):INDIRECT("Table!" &amp; $AJ$86 &amp; $AG69),0)),"",INDIRECT(CONCATENATE("Table!",ADDRESS($AC69,MATCH(M$1,INDIRECT("Table!A" &amp; $AG69):INDIRECT("Table!" &amp; $AJ$86 &amp; $AG69),0)))))</f>
        <v>2.6035633327833785</v>
      </c>
      <c r="N69" s="273">
        <f ca="1">IF(ISERROR(MATCH(N$1,INDIRECT("Table!A"&amp;$AG69):INDIRECT("Table!" &amp; $AJ$86 &amp; $AG69),0)),"",INDIRECT(CONCATENATE("Table!",ADDRESS($AC69,MATCH(N$1,INDIRECT("Table!A" &amp; $AG69):INDIRECT("Table!" &amp; $AJ$86 &amp; $AG69),0)))))</f>
        <v>1.5182091426789304</v>
      </c>
      <c r="O69" s="273">
        <f ca="1">IF(ISERROR(MATCH(O$1,INDIRECT("Table!A"&amp;$AG69):INDIRECT("Table!" &amp; $AJ$64 &amp; $AG69),0)),"",INDIRECT(CONCATENATE("Table!",ADDRESS($AC69,MATCH(O$1,INDIRECT("Table!A" &amp; $AG69):INDIRECT("Table!" &amp; $AJ$64 &amp; $AG69),0)))))</f>
        <v>1.2366659224955194</v>
      </c>
      <c r="P69" s="273">
        <f ca="1">IF(ISERROR(MATCH(P$1,INDIRECT("Table!A"&amp;$AG69):INDIRECT("Table!" &amp; $AJ$64 &amp; $AG69),0)),"",INDIRECT(CONCATENATE("Table!",ADDRESS($AC69,MATCH(P$1,INDIRECT("Table!A" &amp; $AG69):INDIRECT("Table!" &amp; $AJ$64 &amp; $AG69),0)))))</f>
        <v>0.29437764183094689</v>
      </c>
      <c r="Q69" s="273" t="str">
        <f ca="1">IF(ISERROR(MATCH(Q$1,INDIRECT("Table!A"&amp;$AG69):INDIRECT("Table!" &amp; $AJ$64 &amp; $AG69),0)),"",INDIRECT(CONCATENATE("Table!",ADDRESS($AC69,MATCH(Q$1,INDIRECT("Table!A" &amp; $AG69):INDIRECT("Table!" &amp; $AJ$64 &amp; $AG69),0)))))</f>
        <v/>
      </c>
      <c r="R69" s="273" t="str">
        <f ca="1">IF(ISERROR(MATCH(R$1,INDIRECT("Table!A"&amp;$AG69):INDIRECT("Table!" &amp; $AJ$64 &amp; $AG69),0)),"",INDIRECT(CONCATENATE("Table!",ADDRESS($AC69,MATCH(R$1,INDIRECT("Table!A" &amp; $AG69):INDIRECT("Table!" &amp; $AJ$64 &amp; $AG69),0)))))</f>
        <v/>
      </c>
      <c r="S69" s="273">
        <f ca="1">IF(ISERROR(MATCH(S$1,INDIRECT("Table!A"&amp;$AG69):INDIRECT("Table!" &amp; $AJ$64 &amp; $AG69),0)),"",INDIRECT(CONCATENATE("Table!",ADDRESS($AC69,MATCH(S$1,INDIRECT("Table!A" &amp; $AG69):INDIRECT("Table!" &amp; $AJ$64 &amp; $AG69),0)))))</f>
        <v>0.32952191256731517</v>
      </c>
      <c r="T69" s="273">
        <f ca="1">IF(ISERROR(MATCH(T$1,INDIRECT("Table!A"&amp;$AG69):INDIRECT("Table!" &amp; $AJ$64 &amp; $AG69),0)),"",INDIRECT(CONCATENATE("Table!",ADDRESS($AC69,MATCH(T$1,INDIRECT("Table!A" &amp; $AG69):INDIRECT("Table!" &amp; $AJ$64 &amp; $AG69),0)))))</f>
        <v>0.35153185959716532</v>
      </c>
      <c r="U69" s="596" t="str">
        <f ca="1">IF(ISERROR(MATCH(U$1,INDIRECT("Table!A"&amp;$AG69):INDIRECT("Table!" &amp; $AJ$64 &amp; $AG69),0)),"",INDIRECT(CONCATENATE("Table!",ADDRESS($AC69,MATCH(U$1,INDIRECT("Table!A" &amp; $AG69):INDIRECT("Table!" &amp; $AJ$64 &amp; $AG69),0)))))</f>
        <v/>
      </c>
      <c r="V69" s="596"/>
      <c r="W69" s="596"/>
      <c r="X69" s="596"/>
      <c r="Y69" s="596"/>
      <c r="Z69" s="596"/>
      <c r="AA69" s="596"/>
      <c r="AB69" s="596"/>
      <c r="AC69" s="272">
        <f>MATCH($A69,Table!$A:$A,0)+$AE$2-1</f>
        <v>878</v>
      </c>
      <c r="AD69" s="340"/>
      <c r="AE69" s="340"/>
      <c r="AF69" s="340"/>
      <c r="AG69" s="272">
        <f>MATCH($A69,Table!$A:$A,0)+$AI$2-1</f>
        <v>869</v>
      </c>
      <c r="AH69" s="340"/>
      <c r="AI69" s="340"/>
      <c r="AJ69" s="904" t="s">
        <v>285</v>
      </c>
    </row>
    <row r="70" spans="1:36" s="267" customFormat="1" ht="19.5" customHeight="1" x14ac:dyDescent="0.25">
      <c r="A70" s="268">
        <v>41344</v>
      </c>
      <c r="B70" s="596">
        <f ca="1">IF(ISERROR(MATCH(B$1,INDIRECT("Table!A"&amp;$AG70):INDIRECT("Table!" &amp; $AJ$86 &amp; $AG70),0)),"",INDIRECT(CONCATENATE("Table!",ADDRESS($AC70,MATCH(B$1,INDIRECT("Table!A" &amp; $AG70):INDIRECT("Table!" &amp; $AJ$86 &amp; $AG70),0)))))</f>
        <v>1.3407586605129149</v>
      </c>
      <c r="C70" s="273">
        <f ca="1">IF(ISERROR(MATCH(C$1,INDIRECT("Table!A"&amp;$AG70):INDIRECT("Table!" &amp; $AJ$86 &amp; $AG70),0)),"",INDIRECT(CONCATENATE("Table!",ADDRESS($AC70,MATCH(C$1,INDIRECT("Table!A" &amp; $AG70):INDIRECT("Table!" &amp; $AJ$86 &amp; $AG70),0)))))</f>
        <v>0.59295368991162389</v>
      </c>
      <c r="D70" s="273">
        <f ca="1">IF(ISERROR(MATCH(D$1,INDIRECT("Table!A"&amp;$AG70):INDIRECT("Table!" &amp; $AJ$86 &amp; $AG70),0)),"",INDIRECT(CONCATENATE("Table!",ADDRESS($AC70,MATCH(D$1,INDIRECT("Table!A" &amp; $AG70):INDIRECT("Table!" &amp; $AJ$86 &amp; $AG70),0)))))</f>
        <v>0.59989799077571926</v>
      </c>
      <c r="E70" s="273">
        <f ca="1">IF(ISERROR(MATCH(E$1,INDIRECT("Table!A"&amp;$AG70):INDIRECT("Table!" &amp; $AJ$86 &amp; $AG70),0)),"",INDIRECT(CONCATENATE("Table!",ADDRESS($AC70,MATCH(E$1,INDIRECT("Table!A" &amp; $AG70):INDIRECT("Table!" &amp; $AJ$86 &amp; $AG70),0)))))</f>
        <v>1.5276579277331923</v>
      </c>
      <c r="F70" s="273">
        <f ca="1">IF(ISERROR(MATCH(F$1,INDIRECT("Table!A"&amp;$AG70):INDIRECT("Table!" &amp; $AJ$86 &amp; $AG70),0)),"",INDIRECT(CONCATENATE("Table!",ADDRESS($AC70,MATCH(F$1,INDIRECT("Table!A" &amp; $AG70):INDIRECT("Table!" &amp; $AJ$86 &amp; $AG70),0)))))</f>
        <v>1.4424014505673832</v>
      </c>
      <c r="G70" s="273">
        <f ca="1">IF(ISERROR(MATCH(G$1,INDIRECT("Table!A"&amp;$AG70):INDIRECT("Table!" &amp; $AJ$86 &amp; $AG70),0)),"",INDIRECT(CONCATENATE("Table!",ADDRESS($AC70,MATCH(G$1,INDIRECT("Table!A" &amp; $AG70):INDIRECT("Table!" &amp; $AJ$86 &amp; $AG70),0)))))</f>
        <v>3.4170704068658613</v>
      </c>
      <c r="H70" s="273">
        <f ca="1">IF(ISERROR(MATCH(H$1,INDIRECT("Table!A"&amp;$AG70):INDIRECT("Table!" &amp; $AJ$86 &amp; $AG70),0)),"",INDIRECT(CONCATENATE("Table!",ADDRESS($AC70,MATCH(H$1,INDIRECT("Table!A" &amp; $AG70):INDIRECT("Table!" &amp; $AJ$86 &amp; $AG70),0)))))</f>
        <v>0.94288373699228056</v>
      </c>
      <c r="I70" s="273">
        <f ca="1">IF(ISERROR(MATCH(I$1,INDIRECT("Table!A"&amp;$AG70):INDIRECT("Table!" &amp; $AJ$64 &amp; $AG70),0)),"",INDIRECT(CONCATENATE("Table!",ADDRESS($AC70,MATCH(I$1,INDIRECT("Table!A" &amp; $AG70):INDIRECT("Table!" &amp; $AJ$64 &amp; $AG70),0)))))</f>
        <v>5.8063487074439167E-2</v>
      </c>
      <c r="J70" s="273" t="str">
        <f ca="1">IF(ISERROR(MATCH(J$1,INDIRECT("Table!A"&amp;$AG70):INDIRECT("Table!" &amp; $AJ$64 &amp; $AG70),0)),"",INDIRECT(CONCATENATE("Table!",ADDRESS($AC70,MATCH(J$1,INDIRECT("Table!A" &amp; $AG70):INDIRECT("Table!" &amp; $AJ$64 &amp; $AG70),0)))))</f>
        <v/>
      </c>
      <c r="K70" s="273" t="str">
        <f ca="1">IF(ISERROR(MATCH(K$1,INDIRECT("Table!A"&amp;$AG70):INDIRECT("Table!" &amp; $AJ$64 &amp; $AG70),0)),"",INDIRECT(CONCATENATE("Table!",ADDRESS($AC70,MATCH(K$1,INDIRECT("Table!A" &amp; $AG70):INDIRECT("Table!" &amp; $AJ$64 &amp; $AG70),0)))))</f>
        <v/>
      </c>
      <c r="L70" s="273">
        <f ca="1">IF(ISERROR(MATCH(L$1,INDIRECT("Table!A"&amp;$AG70):INDIRECT("Table!" &amp; $AJ$86 &amp; $AG70),0)),"",INDIRECT(CONCATENATE("Table!",ADDRESS($AC70,MATCH(L$1,INDIRECT("Table!A" &amp; $AG70):INDIRECT("Table!" &amp; $AJ$86 &amp; $AG70),0)))))</f>
        <v>1.4545191035450997</v>
      </c>
      <c r="M70" s="273">
        <f ca="1">IF(ISERROR(MATCH(M$1,INDIRECT("Table!A"&amp;$AG70):INDIRECT("Table!" &amp; $AJ$86 &amp; $AG70),0)),"",INDIRECT(CONCATENATE("Table!",ADDRESS($AC70,MATCH(M$1,INDIRECT("Table!A" &amp; $AG70):INDIRECT("Table!" &amp; $AJ$86 &amp; $AG70),0)))))</f>
        <v>2.6030529802727869</v>
      </c>
      <c r="N70" s="273">
        <f ca="1">IF(ISERROR(MATCH(N$1,INDIRECT("Table!A"&amp;$AG70):INDIRECT("Table!" &amp; $AJ$86 &amp; $AG70),0)),"",INDIRECT(CONCATENATE("Table!",ADDRESS($AC70,MATCH(N$1,INDIRECT("Table!A" &amp; $AG70):INDIRECT("Table!" &amp; $AJ$86 &amp; $AG70),0)))))</f>
        <v>1.5182091426789304</v>
      </c>
      <c r="O70" s="273">
        <f ca="1">IF(ISERROR(MATCH(O$1,INDIRECT("Table!A"&amp;$AG70):INDIRECT("Table!" &amp; $AJ$64 &amp; $AG70),0)),"",INDIRECT(CONCATENATE("Table!",ADDRESS($AC70,MATCH(O$1,INDIRECT("Table!A" &amp; $AG70):INDIRECT("Table!" &amp; $AJ$64 &amp; $AG70),0)))))</f>
        <v>1.2366659224955194</v>
      </c>
      <c r="P70" s="273">
        <f ca="1">IF(ISERROR(MATCH(P$1,INDIRECT("Table!A"&amp;$AG70):INDIRECT("Table!" &amp; $AJ$64 &amp; $AG70),0)),"",INDIRECT(CONCATENATE("Table!",ADDRESS($AC70,MATCH(P$1,INDIRECT("Table!A" &amp; $AG70):INDIRECT("Table!" &amp; $AJ$64 &amp; $AG70),0)))))</f>
        <v>0.29437764183094689</v>
      </c>
      <c r="Q70" s="273" t="str">
        <f ca="1">IF(ISERROR(MATCH(Q$1,INDIRECT("Table!A"&amp;$AG70):INDIRECT("Table!" &amp; $AJ$64 &amp; $AG70),0)),"",INDIRECT(CONCATENATE("Table!",ADDRESS($AC70,MATCH(Q$1,INDIRECT("Table!A" &amp; $AG70):INDIRECT("Table!" &amp; $AJ$64 &amp; $AG70),0)))))</f>
        <v/>
      </c>
      <c r="R70" s="273" t="str">
        <f ca="1">IF(ISERROR(MATCH(R$1,INDIRECT("Table!A"&amp;$AG70):INDIRECT("Table!" &amp; $AJ$64 &amp; $AG70),0)),"",INDIRECT(CONCATENATE("Table!",ADDRESS($AC70,MATCH(R$1,INDIRECT("Table!A" &amp; $AG70):INDIRECT("Table!" &amp; $AJ$64 &amp; $AG70),0)))))</f>
        <v/>
      </c>
      <c r="S70" s="273">
        <f ca="1">IF(ISERROR(MATCH(S$1,INDIRECT("Table!A"&amp;$AG70):INDIRECT("Table!" &amp; $AJ$64 &amp; $AG70),0)),"",INDIRECT(CONCATENATE("Table!",ADDRESS($AC70,MATCH(S$1,INDIRECT("Table!A" &amp; $AG70):INDIRECT("Table!" &amp; $AJ$64 &amp; $AG70),0)))))</f>
        <v>0.32952191256731517</v>
      </c>
      <c r="T70" s="273">
        <f ca="1">IF(ISERROR(MATCH(T$1,INDIRECT("Table!A"&amp;$AG70):INDIRECT("Table!" &amp; $AJ$64 &amp; $AG70),0)),"",INDIRECT(CONCATENATE("Table!",ADDRESS($AC70,MATCH(T$1,INDIRECT("Table!A" &amp; $AG70):INDIRECT("Table!" &amp; $AJ$64 &amp; $AG70),0)))))</f>
        <v>0.35153185959716532</v>
      </c>
      <c r="U70" s="596" t="str">
        <f ca="1">IF(ISERROR(MATCH(U$1,INDIRECT("Table!A"&amp;$AG70):INDIRECT("Table!" &amp; $AJ$64 &amp; $AG70),0)),"",INDIRECT(CONCATENATE("Table!",ADDRESS($AC70,MATCH(U$1,INDIRECT("Table!A" &amp; $AG70):INDIRECT("Table!" &amp; $AJ$64 &amp; $AG70),0)))))</f>
        <v/>
      </c>
      <c r="V70" s="596"/>
      <c r="W70" s="596"/>
      <c r="X70" s="596"/>
      <c r="Y70" s="596"/>
      <c r="Z70" s="596"/>
      <c r="AA70" s="596"/>
      <c r="AB70" s="596"/>
      <c r="AC70" s="272">
        <f>MATCH($A70,Table!$A:$A,0)+$AE$2-1</f>
        <v>890</v>
      </c>
      <c r="AD70" s="339"/>
      <c r="AE70" s="339"/>
      <c r="AF70" s="339"/>
      <c r="AG70" s="272">
        <f>MATCH($A70,Table!$A:$A,0)+$AI$2-1</f>
        <v>881</v>
      </c>
      <c r="AH70" s="339"/>
      <c r="AI70" s="339"/>
      <c r="AJ70" s="904" t="s">
        <v>285</v>
      </c>
    </row>
    <row r="71" spans="1:36" s="267" customFormat="1" ht="19.5" customHeight="1" x14ac:dyDescent="0.25">
      <c r="A71" s="268">
        <v>41341</v>
      </c>
      <c r="B71" s="596">
        <f ca="1">IF(ISERROR(MATCH(B$1,INDIRECT("Table!A"&amp;$AG71):INDIRECT("Table!" &amp; $AJ$86 &amp; $AG71),0)),"",INDIRECT(CONCATENATE("Table!",ADDRESS($AC71,MATCH(B$1,INDIRECT("Table!A" &amp; $AG71):INDIRECT("Table!" &amp; $AJ$86 &amp; $AG71),0)))))</f>
        <v>1.3345286563704302</v>
      </c>
      <c r="C71" s="273">
        <f ca="1">IF(ISERROR(MATCH(C$1,INDIRECT("Table!A"&amp;$AG71):INDIRECT("Table!" &amp; $AJ$86 &amp; $AG71),0)),"",INDIRECT(CONCATENATE("Table!",ADDRESS($AC71,MATCH(C$1,INDIRECT("Table!A" &amp; $AG71):INDIRECT("Table!" &amp; $AJ$86 &amp; $AG71),0)))))</f>
        <v>0.59233435958218339</v>
      </c>
      <c r="D71" s="273">
        <f ca="1">IF(ISERROR(MATCH(D$1,INDIRECT("Table!A"&amp;$AG71):INDIRECT("Table!" &amp; $AJ$86 &amp; $AG71),0)),"",INDIRECT(CONCATENATE("Table!",ADDRESS($AC71,MATCH(D$1,INDIRECT("Table!A" &amp; $AG71):INDIRECT("Table!" &amp; $AJ$86 &amp; $AG71),0)))))</f>
        <v>0.59927927832161143</v>
      </c>
      <c r="E71" s="273">
        <f ca="1">IF(ISERROR(MATCH(E$1,INDIRECT("Table!A"&amp;$AG71):INDIRECT("Table!" &amp; $AJ$86 &amp; $AG71),0)),"",INDIRECT(CONCATENATE("Table!",ADDRESS($AC71,MATCH(E$1,INDIRECT("Table!A" &amp; $AG71):INDIRECT("Table!" &amp; $AJ$86 &amp; $AG71),0)))))</f>
        <v>1.5277938524531616</v>
      </c>
      <c r="F71" s="273">
        <f ca="1">IF(ISERROR(MATCH(F$1,INDIRECT("Table!A"&amp;$AG71):INDIRECT("Table!" &amp; $AJ$86 &amp; $AG71),0)),"",INDIRECT(CONCATENATE("Table!",ADDRESS($AC71,MATCH(F$1,INDIRECT("Table!A" &amp; $AG71):INDIRECT("Table!" &amp; $AJ$86 &amp; $AG71),0)))))</f>
        <v>1.4425297895166287</v>
      </c>
      <c r="G71" s="273">
        <f ca="1">IF(ISERROR(MATCH(G$1,INDIRECT("Table!A"&amp;$AG71):INDIRECT("Table!" &amp; $AJ$86 &amp; $AG71),0)),"",INDIRECT(CONCATENATE("Table!",ADDRESS($AC71,MATCH(G$1,INDIRECT("Table!A" &amp; $AG71):INDIRECT("Table!" &amp; $AJ$86 &amp; $AG71),0)))))</f>
        <v>3.4173744437380797</v>
      </c>
      <c r="H71" s="273">
        <f ca="1">IF(ISERROR(MATCH(H$1,INDIRECT("Table!A"&amp;$AG71):INDIRECT("Table!" &amp; $AJ$86 &amp; $AG71),0)),"",INDIRECT(CONCATENATE("Table!",ADDRESS($AC71,MATCH(H$1,INDIRECT("Table!A" &amp; $AG71):INDIRECT("Table!" &amp; $AJ$86 &amp; $AG71),0)))))</f>
        <v>0.94296763090962132</v>
      </c>
      <c r="I71" s="273">
        <f ca="1">IF(ISERROR(MATCH(I$1,INDIRECT("Table!A"&amp;$AG71):INDIRECT("Table!" &amp; $AJ$64 &amp; $AG71),0)),"",INDIRECT(CONCATENATE("Table!",ADDRESS($AC71,MATCH(I$1,INDIRECT("Table!A" &amp; $AG71):INDIRECT("Table!" &amp; $AJ$64 &amp; $AG71),0)))))</f>
        <v>5.8068653324734959E-2</v>
      </c>
      <c r="J71" s="273" t="str">
        <f ca="1">IF(ISERROR(MATCH(J$1,INDIRECT("Table!A"&amp;$AG71):INDIRECT("Table!" &amp; $AJ$64 &amp; $AG71),0)),"",INDIRECT(CONCATENATE("Table!",ADDRESS($AC71,MATCH(J$1,INDIRECT("Table!A" &amp; $AG71):INDIRECT("Table!" &amp; $AJ$64 &amp; $AG71),0)))))</f>
        <v/>
      </c>
      <c r="K71" s="273" t="str">
        <f ca="1">IF(ISERROR(MATCH(K$1,INDIRECT("Table!A"&amp;$AG71):INDIRECT("Table!" &amp; $AJ$64 &amp; $AG71),0)),"",INDIRECT(CONCATENATE("Table!",ADDRESS($AC71,MATCH(K$1,INDIRECT("Table!A" &amp; $AG71):INDIRECT("Table!" &amp; $AJ$64 &amp; $AG71),0)))))</f>
        <v/>
      </c>
      <c r="L71" s="273">
        <f ca="1">IF(ISERROR(MATCH(L$1,INDIRECT("Table!A"&amp;$AG71):INDIRECT("Table!" &amp; $AJ$86 &amp; $AG71),0)),"",INDIRECT(CONCATENATE("Table!",ADDRESS($AC71,MATCH(L$1,INDIRECT("Table!A" &amp; $AG71):INDIRECT("Table!" &amp; $AJ$86 &amp; $AG71),0)))))</f>
        <v>1.4546485206732738</v>
      </c>
      <c r="M71" s="273">
        <f ca="1">IF(ISERROR(MATCH(M$1,INDIRECT("Table!A"&amp;$AG71):INDIRECT("Table!" &amp; $AJ$86 &amp; $AG71),0)),"",INDIRECT(CONCATENATE("Table!",ADDRESS($AC71,MATCH(M$1,INDIRECT("Table!A" &amp; $AG71):INDIRECT("Table!" &amp; $AJ$86 &amp; $AG71),0)))))</f>
        <v>2.6032845892220058</v>
      </c>
      <c r="N71" s="273">
        <f ca="1">IF(ISERROR(MATCH(N$1,INDIRECT("Table!A"&amp;$AG71):INDIRECT("Table!" &amp; $AJ$86 &amp; $AG71),0)),"",INDIRECT(CONCATENATE("Table!",ADDRESS($AC71,MATCH(N$1,INDIRECT("Table!A" &amp; $AG71):INDIRECT("Table!" &amp; $AJ$86 &amp; $AG71),0)))))</f>
        <v>0.90570761656208476</v>
      </c>
      <c r="O71" s="273">
        <f ca="1">IF(ISERROR(MATCH(O$1,INDIRECT("Table!A"&amp;$AG71):INDIRECT("Table!" &amp; $AJ$64 &amp; $AG71),0)),"",INDIRECT(CONCATENATE("Table!",ADDRESS($AC71,MATCH(O$1,INDIRECT("Table!A" &amp; $AG71):INDIRECT("Table!" &amp; $AJ$64 &amp; $AG71),0)))))</f>
        <v>1.2367759559435569</v>
      </c>
      <c r="P71" s="273">
        <f ca="1">IF(ISERROR(MATCH(P$1,INDIRECT("Table!A"&amp;$AG71):INDIRECT("Table!" &amp; $AJ$64 &amp; $AG71),0)),"",INDIRECT(CONCATENATE("Table!",ADDRESS($AC71,MATCH(P$1,INDIRECT("Table!A" &amp; $AG71):INDIRECT("Table!" &amp; $AJ$64 &amp; $AG71),0)))))</f>
        <v>0.29440383434289913</v>
      </c>
      <c r="Q71" s="273" t="str">
        <f ca="1">IF(ISERROR(MATCH(Q$1,INDIRECT("Table!A"&amp;$AG71):INDIRECT("Table!" &amp; $AJ$64 &amp; $AG71),0)),"",INDIRECT(CONCATENATE("Table!",ADDRESS($AC71,MATCH(Q$1,INDIRECT("Table!A" &amp; $AG71):INDIRECT("Table!" &amp; $AJ$64 &amp; $AG71),0)))))</f>
        <v/>
      </c>
      <c r="R71" s="273" t="str">
        <f ca="1">IF(ISERROR(MATCH(R$1,INDIRECT("Table!A"&amp;$AG71):INDIRECT("Table!" &amp; $AJ$64 &amp; $AG71),0)),"",INDIRECT(CONCATENATE("Table!",ADDRESS($AC71,MATCH(R$1,INDIRECT("Table!A" &amp; $AG71):INDIRECT("Table!" &amp; $AJ$64 &amp; $AG71),0)))))</f>
        <v/>
      </c>
      <c r="S71" s="273">
        <f ca="1">IF(ISERROR(MATCH(S$1,INDIRECT("Table!A"&amp;$AG71):INDIRECT("Table!" &amp; $AJ$64 &amp; $AG71),0)),"",INDIRECT(CONCATENATE("Table!",ADDRESS($AC71,MATCH(S$1,INDIRECT("Table!A" &amp; $AG71):INDIRECT("Table!" &amp; $AJ$64 &amp; $AG71),0)))))</f>
        <v>0.32955123207194786</v>
      </c>
      <c r="T71" s="273">
        <f ca="1">IF(ISERROR(MATCH(T$1,INDIRECT("Table!A"&amp;$AG71):INDIRECT("Table!" &amp; $AJ$64 &amp; $AG71),0)),"",INDIRECT(CONCATENATE("Table!",ADDRESS($AC71,MATCH(T$1,INDIRECT("Table!A" &amp; $AG71):INDIRECT("Table!" &amp; $AJ$64 &amp; $AG71),0)))))</f>
        <v>0.35156313745636963</v>
      </c>
      <c r="U71" s="596" t="str">
        <f ca="1">IF(ISERROR(MATCH(U$1,INDIRECT("Table!A"&amp;$AG71):INDIRECT("Table!" &amp; $AJ$64 &amp; $AG71),0)),"",INDIRECT(CONCATENATE("Table!",ADDRESS($AC71,MATCH(U$1,INDIRECT("Table!A" &amp; $AG71):INDIRECT("Table!" &amp; $AJ$64 &amp; $AG71),0)))))</f>
        <v/>
      </c>
      <c r="V71" s="596"/>
      <c r="W71" s="596"/>
      <c r="X71" s="596"/>
      <c r="Y71" s="596"/>
      <c r="Z71" s="596"/>
      <c r="AA71" s="596"/>
      <c r="AB71" s="596"/>
      <c r="AC71" s="272">
        <f>MATCH($A71,Table!$A:$A,0)+$AE$2-1</f>
        <v>902</v>
      </c>
      <c r="AD71" s="337"/>
      <c r="AE71" s="337"/>
      <c r="AF71" s="337"/>
      <c r="AG71" s="272">
        <f>MATCH($A71,Table!$A:$A,0)+$AI$2-1</f>
        <v>893</v>
      </c>
      <c r="AH71" s="337"/>
      <c r="AI71" s="337"/>
      <c r="AJ71" s="904" t="s">
        <v>285</v>
      </c>
    </row>
    <row r="72" spans="1:36" s="267" customFormat="1" ht="19.5" customHeight="1" x14ac:dyDescent="0.25">
      <c r="A72" s="268">
        <v>41340</v>
      </c>
      <c r="B72" s="596">
        <f ca="1">IF(ISERROR(MATCH(B$1,INDIRECT("Table!A"&amp;$AG72):INDIRECT("Table!" &amp; $AJ$86 &amp; $AG72),0)),"",INDIRECT(CONCATENATE("Table!",ADDRESS($AC72,MATCH(B$1,INDIRECT("Table!A" &amp; $AG72):INDIRECT("Table!" &amp; $AJ$86 &amp; $AG72),0)))))</f>
        <v>1.3258277646901293</v>
      </c>
      <c r="C72" s="273">
        <f ca="1">IF(ISERROR(MATCH(C$1,INDIRECT("Table!A"&amp;$AG72):INDIRECT("Table!" &amp; $AJ$86 &amp; $AG72),0)),"",INDIRECT(CONCATENATE("Table!",ADDRESS($AC72,MATCH(C$1,INDIRECT("Table!A" &amp; $AG72):INDIRECT("Table!" &amp; $AJ$86 &amp; $AG72),0)))))</f>
        <v>0.59166227067191624</v>
      </c>
      <c r="D72" s="273">
        <f ca="1">IF(ISERROR(MATCH(D$1,INDIRECT("Table!A"&amp;$AG72):INDIRECT("Table!" &amp; $AJ$86 &amp; $AG72),0)),"",INDIRECT(CONCATENATE("Table!",ADDRESS($AC72,MATCH(D$1,INDIRECT("Table!A" &amp; $AG72):INDIRECT("Table!" &amp; $AJ$86 &amp; $AG72),0)))))</f>
        <v>0.59860718941134416</v>
      </c>
      <c r="E72" s="273">
        <f ca="1">IF(ISERROR(MATCH(E$1,INDIRECT("Table!A"&amp;$AG72):INDIRECT("Table!" &amp; $AJ$86 &amp; $AG72),0)),"",INDIRECT(CONCATENATE("Table!",ADDRESS($AC72,MATCH(E$1,INDIRECT("Table!A" &amp; $AG72):INDIRECT("Table!" &amp; $AJ$86 &amp; $AG72),0)))))</f>
        <v>1.5277938524531616</v>
      </c>
      <c r="F72" s="273">
        <f ca="1">IF(ISERROR(MATCH(F$1,INDIRECT("Table!A"&amp;$AG72):INDIRECT("Table!" &amp; $AJ$86 &amp; $AG72),0)),"",INDIRECT(CONCATENATE("Table!",ADDRESS($AC72,MATCH(F$1,INDIRECT("Table!A" &amp; $AG72):INDIRECT("Table!" &amp; $AJ$86 &amp; $AG72),0)))))</f>
        <v>1.4425297895166287</v>
      </c>
      <c r="G72" s="273">
        <f ca="1">IF(ISERROR(MATCH(G$1,INDIRECT("Table!A"&amp;$AG72):INDIRECT("Table!" &amp; $AJ$86 &amp; $AG72),0)),"",INDIRECT(CONCATENATE("Table!",ADDRESS($AC72,MATCH(G$1,INDIRECT("Table!A" &amp; $AG72):INDIRECT("Table!" &amp; $AJ$86 &amp; $AG72),0)))))</f>
        <v>3.4173744437380797</v>
      </c>
      <c r="H72" s="273">
        <f ca="1">IF(ISERROR(MATCH(H$1,INDIRECT("Table!A"&amp;$AG72):INDIRECT("Table!" &amp; $AJ$86 &amp; $AG72),0)),"",INDIRECT(CONCATENATE("Table!",ADDRESS($AC72,MATCH(H$1,INDIRECT("Table!A" &amp; $AG72):INDIRECT("Table!" &amp; $AJ$86 &amp; $AG72),0)))))</f>
        <v>0.9379651501090398</v>
      </c>
      <c r="I72" s="273">
        <f ca="1">IF(ISERROR(MATCH(I$1,INDIRECT("Table!A"&amp;$AG72):INDIRECT("Table!" &amp; $AJ$64 &amp; $AG72),0)),"",INDIRECT(CONCATENATE("Table!",ADDRESS($AC72,MATCH(I$1,INDIRECT("Table!A" &amp; $AG72):INDIRECT("Table!" &amp; $AJ$64 &amp; $AG72),0)))))</f>
        <v>5.8068653324734959E-2</v>
      </c>
      <c r="J72" s="273" t="str">
        <f ca="1">IF(ISERROR(MATCH(J$1,INDIRECT("Table!A"&amp;$AG72):INDIRECT("Table!" &amp; $AJ$64 &amp; $AG72),0)),"",INDIRECT(CONCATENATE("Table!",ADDRESS($AC72,MATCH(J$1,INDIRECT("Table!A" &amp; $AG72):INDIRECT("Table!" &amp; $AJ$64 &amp; $AG72),0)))))</f>
        <v/>
      </c>
      <c r="K72" s="273" t="str">
        <f ca="1">IF(ISERROR(MATCH(K$1,INDIRECT("Table!A"&amp;$AG72):INDIRECT("Table!" &amp; $AJ$64 &amp; $AG72),0)),"",INDIRECT(CONCATENATE("Table!",ADDRESS($AC72,MATCH(K$1,INDIRECT("Table!A" &amp; $AG72):INDIRECT("Table!" &amp; $AJ$64 &amp; $AG72),0)))))</f>
        <v/>
      </c>
      <c r="L72" s="273">
        <f ca="1">IF(ISERROR(MATCH(L$1,INDIRECT("Table!A"&amp;$AG72):INDIRECT("Table!" &amp; $AJ$86 &amp; $AG72),0)),"",INDIRECT(CONCATENATE("Table!",ADDRESS($AC72,MATCH(L$1,INDIRECT("Table!A" &amp; $AG72):INDIRECT("Table!" &amp; $AJ$86 &amp; $AG72),0)))))</f>
        <v>1.4546485206732738</v>
      </c>
      <c r="M72" s="273">
        <f ca="1">IF(ISERROR(MATCH(M$1,INDIRECT("Table!A"&amp;$AG72):INDIRECT("Table!" &amp; $AJ$86 &amp; $AG72),0)),"",INDIRECT(CONCATENATE("Table!",ADDRESS($AC72,MATCH(M$1,INDIRECT("Table!A" &amp; $AG72):INDIRECT("Table!" &amp; $AJ$86 &amp; $AG72),0)))))</f>
        <v>2.6032845892220058</v>
      </c>
      <c r="N72" s="273">
        <f ca="1">IF(ISERROR(MATCH(N$1,INDIRECT("Table!A"&amp;$AG72):INDIRECT("Table!" &amp; $AJ$86 &amp; $AG72),0)),"",INDIRECT(CONCATENATE("Table!",ADDRESS($AC72,MATCH(N$1,INDIRECT("Table!A" &amp; $AG72):INDIRECT("Table!" &amp; $AJ$86 &amp; $AG72),0)))))</f>
        <v>0.90570761656208476</v>
      </c>
      <c r="O72" s="273">
        <f ca="1">IF(ISERROR(MATCH(O$1,INDIRECT("Table!A"&amp;$AG72):INDIRECT("Table!" &amp; $AJ$64 &amp; $AG72),0)),"",INDIRECT(CONCATENATE("Table!",ADDRESS($AC72,MATCH(O$1,INDIRECT("Table!A" &amp; $AG72):INDIRECT("Table!" &amp; $AJ$64 &amp; $AG72),0)))))</f>
        <v>1.2333367519875886</v>
      </c>
      <c r="P72" s="273">
        <f ca="1">IF(ISERROR(MATCH(P$1,INDIRECT("Table!A"&amp;$AG72):INDIRECT("Table!" &amp; $AJ$64 &amp; $AG72),0)),"",INDIRECT(CONCATENATE("Table!",ADDRESS($AC72,MATCH(P$1,INDIRECT("Table!A" &amp; $AG72):INDIRECT("Table!" &amp; $AJ$64 &amp; $AG72),0)))))</f>
        <v>0.29440383434289913</v>
      </c>
      <c r="Q72" s="273" t="str">
        <f ca="1">IF(ISERROR(MATCH(Q$1,INDIRECT("Table!A"&amp;$AG72):INDIRECT("Table!" &amp; $AJ$64 &amp; $AG72),0)),"",INDIRECT(CONCATENATE("Table!",ADDRESS($AC72,MATCH(Q$1,INDIRECT("Table!A" &amp; $AG72):INDIRECT("Table!" &amp; $AJ$64 &amp; $AG72),0)))))</f>
        <v/>
      </c>
      <c r="R72" s="273" t="str">
        <f ca="1">IF(ISERROR(MATCH(R$1,INDIRECT("Table!A"&amp;$AG72):INDIRECT("Table!" &amp; $AJ$64 &amp; $AG72),0)),"",INDIRECT(CONCATENATE("Table!",ADDRESS($AC72,MATCH(R$1,INDIRECT("Table!A" &amp; $AG72):INDIRECT("Table!" &amp; $AJ$64 &amp; $AG72),0)))))</f>
        <v/>
      </c>
      <c r="S72" s="273">
        <f ca="1">IF(ISERROR(MATCH(S$1,INDIRECT("Table!A"&amp;$AG72):INDIRECT("Table!" &amp; $AJ$64 &amp; $AG72),0)),"",INDIRECT(CONCATENATE("Table!",ADDRESS($AC72,MATCH(S$1,INDIRECT("Table!A" &amp; $AG72):INDIRECT("Table!" &amp; $AJ$64 &amp; $AG72),0)))))</f>
        <v>0.32955123207194786</v>
      </c>
      <c r="T72" s="273">
        <f ca="1">IF(ISERROR(MATCH(T$1,INDIRECT("Table!A"&amp;$AG72):INDIRECT("Table!" &amp; $AJ$64 &amp; $AG72),0)),"",INDIRECT(CONCATENATE("Table!",ADDRESS($AC72,MATCH(T$1,INDIRECT("Table!A" &amp; $AG72):INDIRECT("Table!" &amp; $AJ$64 &amp; $AG72),0)))))</f>
        <v>0.32099242985146792</v>
      </c>
      <c r="U72" s="596" t="str">
        <f ca="1">IF(ISERROR(MATCH(U$1,INDIRECT("Table!A"&amp;$AG72):INDIRECT("Table!" &amp; $AJ$64 &amp; $AG72),0)),"",INDIRECT(CONCATENATE("Table!",ADDRESS($AC72,MATCH(U$1,INDIRECT("Table!A" &amp; $AG72):INDIRECT("Table!" &amp; $AJ$64 &amp; $AG72),0)))))</f>
        <v/>
      </c>
      <c r="V72" s="596"/>
      <c r="W72" s="596"/>
      <c r="X72" s="596"/>
      <c r="Y72" s="596"/>
      <c r="Z72" s="596"/>
      <c r="AA72" s="596"/>
      <c r="AB72" s="596"/>
      <c r="AC72" s="272">
        <f>MATCH($A72,Table!$A:$A,0)+$AE$2-1</f>
        <v>914</v>
      </c>
      <c r="AD72" s="290"/>
      <c r="AE72" s="290"/>
      <c r="AF72" s="290"/>
      <c r="AG72" s="272">
        <f>MATCH($A72,Table!$A:$A,0)+$AI$2-1</f>
        <v>905</v>
      </c>
      <c r="AH72" s="290"/>
      <c r="AI72" s="290"/>
      <c r="AJ72" s="904" t="s">
        <v>285</v>
      </c>
    </row>
    <row r="73" spans="1:36" s="267" customFormat="1" ht="19.5" customHeight="1" x14ac:dyDescent="0.25">
      <c r="A73" s="268">
        <v>41337</v>
      </c>
      <c r="B73" s="596">
        <f ca="1">IF(ISERROR(MATCH(B$1,INDIRECT("Table!A"&amp;$AG73):INDIRECT("Table!" &amp; $AJ$86 &amp; $AG73),0)),"",INDIRECT(CONCATENATE("Table!",ADDRESS($AC73,MATCH(B$1,INDIRECT("Table!A" &amp; $AG73):INDIRECT("Table!" &amp; $AJ$86 &amp; $AG73),0)))))</f>
        <v>1.3258277646901293</v>
      </c>
      <c r="C73" s="273">
        <f ca="1">IF(ISERROR(MATCH(C$1,INDIRECT("Table!A"&amp;$AG73):INDIRECT("Table!" &amp; $AJ$86 &amp; $AG73),0)),"",INDIRECT(CONCATENATE("Table!",ADDRESS($AC73,MATCH(C$1,INDIRECT("Table!A" &amp; $AG73):INDIRECT("Table!" &amp; $AJ$86 &amp; $AG73),0)))))</f>
        <v>0.59166227067191624</v>
      </c>
      <c r="D73" s="273">
        <f ca="1">IF(ISERROR(MATCH(D$1,INDIRECT("Table!A"&amp;$AG73):INDIRECT("Table!" &amp; $AJ$86 &amp; $AG73),0)),"",INDIRECT(CONCATENATE("Table!",ADDRESS($AC73,MATCH(D$1,INDIRECT("Table!A" &amp; $AG73):INDIRECT("Table!" &amp; $AJ$86 &amp; $AG73),0)))))</f>
        <v>0.59860718941134416</v>
      </c>
      <c r="E73" s="273">
        <f ca="1">IF(ISERROR(MATCH(E$1,INDIRECT("Table!A"&amp;$AG73):INDIRECT("Table!" &amp; $AJ$86 &amp; $AG73),0)),"",INDIRECT(CONCATENATE("Table!",ADDRESS($AC73,MATCH(E$1,INDIRECT("Table!A" &amp; $AG73):INDIRECT("Table!" &amp; $AJ$86 &amp; $AG73),0)))))</f>
        <v>1.5277938524531616</v>
      </c>
      <c r="F73" s="273">
        <f ca="1">IF(ISERROR(MATCH(F$1,INDIRECT("Table!A"&amp;$AG73):INDIRECT("Table!" &amp; $AJ$86 &amp; $AG73),0)),"",INDIRECT(CONCATENATE("Table!",ADDRESS($AC73,MATCH(F$1,INDIRECT("Table!A" &amp; $AG73):INDIRECT("Table!" &amp; $AJ$86 &amp; $AG73),0)))))</f>
        <v>1.4388613046040404</v>
      </c>
      <c r="G73" s="273">
        <f ca="1">IF(ISERROR(MATCH(G$1,INDIRECT("Table!A"&amp;$AG73):INDIRECT("Table!" &amp; $AJ$86 &amp; $AG73),0)),"",INDIRECT(CONCATENATE("Table!",ADDRESS($AC73,MATCH(G$1,INDIRECT("Table!A" &amp; $AG73):INDIRECT("Table!" &amp; $AJ$86 &amp; $AG73),0)))))</f>
        <v>3.4173744437380797</v>
      </c>
      <c r="H73" s="273">
        <f ca="1">IF(ISERROR(MATCH(H$1,INDIRECT("Table!A"&amp;$AG73):INDIRECT("Table!" &amp; $AJ$86 &amp; $AG73),0)),"",INDIRECT(CONCATENATE("Table!",ADDRESS($AC73,MATCH(H$1,INDIRECT("Table!A" &amp; $AG73):INDIRECT("Table!" &amp; $AJ$86 &amp; $AG73),0)))))</f>
        <v>0.9379651501090398</v>
      </c>
      <c r="I73" s="273">
        <f ca="1">IF(ISERROR(MATCH(I$1,INDIRECT("Table!A"&amp;$AG73):INDIRECT("Table!" &amp; $AJ$64 &amp; $AG73),0)),"",INDIRECT(CONCATENATE("Table!",ADDRESS($AC73,MATCH(I$1,INDIRECT("Table!A" &amp; $AG73):INDIRECT("Table!" &amp; $AJ$64 &amp; $AG73),0)))))</f>
        <v>5.8068653324734959E-2</v>
      </c>
      <c r="J73" s="273" t="str">
        <f ca="1">IF(ISERROR(MATCH(J$1,INDIRECT("Table!A"&amp;$AG73):INDIRECT("Table!" &amp; $AJ$64 &amp; $AG73),0)),"",INDIRECT(CONCATENATE("Table!",ADDRESS($AC73,MATCH(J$1,INDIRECT("Table!A" &amp; $AG73):INDIRECT("Table!" &amp; $AJ$64 &amp; $AG73),0)))))</f>
        <v/>
      </c>
      <c r="K73" s="273" t="str">
        <f ca="1">IF(ISERROR(MATCH(K$1,INDIRECT("Table!A"&amp;$AG73):INDIRECT("Table!" &amp; $AJ$64 &amp; $AG73),0)),"",INDIRECT(CONCATENATE("Table!",ADDRESS($AC73,MATCH(K$1,INDIRECT("Table!A" &amp; $AG73):INDIRECT("Table!" &amp; $AJ$64 &amp; $AG73),0)))))</f>
        <v/>
      </c>
      <c r="L73" s="273">
        <f ca="1">IF(ISERROR(MATCH(L$1,INDIRECT("Table!A"&amp;$AG73):INDIRECT("Table!" &amp; $AJ$86 &amp; $AG73),0)),"",INDIRECT(CONCATENATE("Table!",ADDRESS($AC73,MATCH(L$1,INDIRECT("Table!A" &amp; $AG73):INDIRECT("Table!" &amp; $AJ$86 &amp; $AG73),0)))))</f>
        <v>1.4567448077211997</v>
      </c>
      <c r="M73" s="273">
        <f ca="1">IF(ISERROR(MATCH(M$1,INDIRECT("Table!A"&amp;$AG73):INDIRECT("Table!" &amp; $AJ$86 &amp; $AG73),0)),"",INDIRECT(CONCATENATE("Table!",ADDRESS($AC73,MATCH(M$1,INDIRECT("Table!A" &amp; $AG73):INDIRECT("Table!" &amp; $AJ$86 &amp; $AG73),0)))))</f>
        <v>2.5055433876072595</v>
      </c>
      <c r="N73" s="273">
        <f ca="1">IF(ISERROR(MATCH(N$1,INDIRECT("Table!A"&amp;$AG73):INDIRECT("Table!" &amp; $AJ$86 &amp; $AG73),0)),"",INDIRECT(CONCATENATE("Table!",ADDRESS($AC73,MATCH(N$1,INDIRECT("Table!A" &amp; $AG73):INDIRECT("Table!" &amp; $AJ$86 &amp; $AG73),0)))))</f>
        <v>0.89837065117139259</v>
      </c>
      <c r="O73" s="273">
        <f ca="1">IF(ISERROR(MATCH(O$1,INDIRECT("Table!A"&amp;$AG73):INDIRECT("Table!" &amp; $AJ$64 &amp; $AG73),0)),"",INDIRECT(CONCATENATE("Table!",ADDRESS($AC73,MATCH(O$1,INDIRECT("Table!A" &amp; $AG73):INDIRECT("Table!" &amp; $AJ$64 &amp; $AG73),0)))))</f>
        <v>1.2333367519875886</v>
      </c>
      <c r="P73" s="273">
        <f ca="1">IF(ISERROR(MATCH(P$1,INDIRECT("Table!A"&amp;$AG73):INDIRECT("Table!" &amp; $AJ$64 &amp; $AG73),0)),"",INDIRECT(CONCATENATE("Table!",ADDRESS($AC73,MATCH(P$1,INDIRECT("Table!A" &amp; $AG73):INDIRECT("Table!" &amp; $AJ$64 &amp; $AG73),0)))))</f>
        <v>0.29440383434289913</v>
      </c>
      <c r="Q73" s="273" t="str">
        <f ca="1">IF(ISERROR(MATCH(Q$1,INDIRECT("Table!A"&amp;$AG73):INDIRECT("Table!" &amp; $AJ$64 &amp; $AG73),0)),"",INDIRECT(CONCATENATE("Table!",ADDRESS($AC73,MATCH(Q$1,INDIRECT("Table!A" &amp; $AG73):INDIRECT("Table!" &amp; $AJ$64 &amp; $AG73),0)))))</f>
        <v/>
      </c>
      <c r="R73" s="273" t="str">
        <f ca="1">IF(ISERROR(MATCH(R$1,INDIRECT("Table!A"&amp;$AG73):INDIRECT("Table!" &amp; $AJ$64 &amp; $AG73),0)),"",INDIRECT(CONCATENATE("Table!",ADDRESS($AC73,MATCH(R$1,INDIRECT("Table!A" &amp; $AG73):INDIRECT("Table!" &amp; $AJ$64 &amp; $AG73),0)))))</f>
        <v/>
      </c>
      <c r="S73" s="273" t="str">
        <f ca="1">IF(ISERROR(MATCH(S$1,INDIRECT("Table!A"&amp;$AG73):INDIRECT("Table!" &amp; $AJ$64 &amp; $AG73),0)),"",INDIRECT(CONCATENATE("Table!",ADDRESS($AC73,MATCH(S$1,INDIRECT("Table!A" &amp; $AG73):INDIRECT("Table!" &amp; $AJ$64 &amp; $AG73),0)))))</f>
        <v/>
      </c>
      <c r="T73" s="273" t="str">
        <f ca="1">IF(ISERROR(MATCH(T$1,INDIRECT("Table!A"&amp;$AG73):INDIRECT("Table!" &amp; $AJ$64 &amp; $AG73),0)),"",INDIRECT(CONCATENATE("Table!",ADDRESS($AC73,MATCH(T$1,INDIRECT("Table!A" &amp; $AG73):INDIRECT("Table!" &amp; $AJ$64 &amp; $AG73),0)))))</f>
        <v/>
      </c>
      <c r="U73" s="596" t="str">
        <f ca="1">IF(ISERROR(MATCH(U$1,INDIRECT("Table!A"&amp;$AG73):INDIRECT("Table!" &amp; $AJ$64 &amp; $AG73),0)),"",INDIRECT(CONCATENATE("Table!",ADDRESS($AC73,MATCH(U$1,INDIRECT("Table!A" &amp; $AG73):INDIRECT("Table!" &amp; $AJ$64 &amp; $AG73),0)))))</f>
        <v/>
      </c>
      <c r="V73" s="596"/>
      <c r="W73" s="596"/>
      <c r="X73" s="596"/>
      <c r="Y73" s="596"/>
      <c r="Z73" s="596"/>
      <c r="AA73" s="596"/>
      <c r="AB73" s="596"/>
      <c r="AC73" s="272">
        <f>MATCH($A73,Table!$A:$A,0)+$AE$2-1</f>
        <v>926</v>
      </c>
      <c r="AD73" s="269"/>
      <c r="AE73" s="269"/>
      <c r="AF73" s="269"/>
      <c r="AG73" s="272">
        <f>MATCH($A73,Table!$A:$A,0)+$AI$2-1</f>
        <v>917</v>
      </c>
      <c r="AH73" s="269"/>
      <c r="AI73" s="269"/>
      <c r="AJ73" s="904" t="s">
        <v>285</v>
      </c>
    </row>
    <row r="74" spans="1:36" s="267" customFormat="1" ht="19.5" customHeight="1" x14ac:dyDescent="0.25">
      <c r="A74" s="268">
        <v>41334</v>
      </c>
      <c r="B74" s="596">
        <f ca="1">IF(ISERROR(MATCH(B$1,INDIRECT("Table!A"&amp;$AG74):INDIRECT("Table!" &amp; $AJ$86 &amp; $AG74),0)),"",INDIRECT(CONCATENATE("Table!",ADDRESS($AC74,MATCH(B$1,INDIRECT("Table!A" &amp; $AG74):INDIRECT("Table!" &amp; $AJ$86 &amp; $AG74),0)))))</f>
        <v>1.3258277646901293</v>
      </c>
      <c r="C74" s="273">
        <f ca="1">IF(ISERROR(MATCH(C$1,INDIRECT("Table!A"&amp;$AG74):INDIRECT("Table!" &amp; $AJ$86 &amp; $AG74),0)),"",INDIRECT(CONCATENATE("Table!",ADDRESS($AC74,MATCH(C$1,INDIRECT("Table!A" &amp; $AG74):INDIRECT("Table!" &amp; $AJ$86 &amp; $AG74),0)))))</f>
        <v>0.59524674486000806</v>
      </c>
      <c r="D74" s="273">
        <f ca="1">IF(ISERROR(MATCH(D$1,INDIRECT("Table!A"&amp;$AG74):INDIRECT("Table!" &amp; $AJ$86 &amp; $AG74),0)),"",INDIRECT(CONCATENATE("Table!",ADDRESS($AC74,MATCH(D$1,INDIRECT("Table!A" &amp; $AG74):INDIRECT("Table!" &amp; $AJ$86 &amp; $AG74),0)))))</f>
        <v>0.59950330795836726</v>
      </c>
      <c r="E74" s="273">
        <f ca="1">IF(ISERROR(MATCH(E$1,INDIRECT("Table!A"&amp;$AG74):INDIRECT("Table!" &amp; $AJ$86 &amp; $AG74),0)),"",INDIRECT(CONCATENATE("Table!",ADDRESS($AC74,MATCH(E$1,INDIRECT("Table!A" &amp; $AG74):INDIRECT("Table!" &amp; $AJ$86 &amp; $AG74),0)))))</f>
        <v>1.5277938524531616</v>
      </c>
      <c r="F74" s="273">
        <f ca="1">IF(ISERROR(MATCH(F$1,INDIRECT("Table!A"&amp;$AG74):INDIRECT("Table!" &amp; $AJ$86 &amp; $AG74),0)),"",INDIRECT(CONCATENATE("Table!",ADDRESS($AC74,MATCH(F$1,INDIRECT("Table!A" &amp; $AG74):INDIRECT("Table!" &amp; $AJ$86 &amp; $AG74),0)))))</f>
        <v>1.4388613046040404</v>
      </c>
      <c r="G74" s="273">
        <f ca="1">IF(ISERROR(MATCH(G$1,INDIRECT("Table!A"&amp;$AG74):INDIRECT("Table!" &amp; $AJ$86 &amp; $AG74),0)),"",INDIRECT(CONCATENATE("Table!",ADDRESS($AC74,MATCH(G$1,INDIRECT("Table!A" &amp; $AG74):INDIRECT("Table!" &amp; $AJ$86 &amp; $AG74),0)))))</f>
        <v>3.4173744437380797</v>
      </c>
      <c r="H74" s="273">
        <f ca="1">IF(ISERROR(MATCH(H$1,INDIRECT("Table!A"&amp;$AG74):INDIRECT("Table!" &amp; $AJ$86 &amp; $AG74),0)),"",INDIRECT(CONCATENATE("Table!",ADDRESS($AC74,MATCH(H$1,INDIRECT("Table!A" &amp; $AG74):INDIRECT("Table!" &amp; $AJ$86 &amp; $AG74),0)))))</f>
        <v>0.93379641610855502</v>
      </c>
      <c r="I74" s="273" t="str">
        <f ca="1">IF(ISERROR(MATCH(I$1,INDIRECT("Table!A"&amp;$AG74):INDIRECT("Table!" &amp; $AJ$64 &amp; $AG74),0)),"",INDIRECT(CONCATENATE("Table!",ADDRESS($AC74,MATCH(I$1,INDIRECT("Table!A" &amp; $AG74):INDIRECT("Table!" &amp; $AJ$64 &amp; $AG74),0)))))</f>
        <v/>
      </c>
      <c r="J74" s="273" t="str">
        <f ca="1">IF(ISERROR(MATCH(J$1,INDIRECT("Table!A"&amp;$AG74):INDIRECT("Table!" &amp; $AJ$64 &amp; $AG74),0)),"",INDIRECT(CONCATENATE("Table!",ADDRESS($AC74,MATCH(J$1,INDIRECT("Table!A" &amp; $AG74):INDIRECT("Table!" &amp; $AJ$64 &amp; $AG74),0)))))</f>
        <v/>
      </c>
      <c r="K74" s="273" t="str">
        <f ca="1">IF(ISERROR(MATCH(K$1,INDIRECT("Table!A"&amp;$AG74):INDIRECT("Table!" &amp; $AJ$64 &amp; $AG74),0)),"",INDIRECT(CONCATENATE("Table!",ADDRESS($AC74,MATCH(K$1,INDIRECT("Table!A" &amp; $AG74):INDIRECT("Table!" &amp; $AJ$64 &amp; $AG74),0)))))</f>
        <v/>
      </c>
      <c r="L74" s="273">
        <f ca="1">IF(ISERROR(MATCH(L$1,INDIRECT("Table!A"&amp;$AG74):INDIRECT("Table!" &amp; $AJ$86 &amp; $AG74),0)),"",INDIRECT(CONCATENATE("Table!",ADDRESS($AC74,MATCH(L$1,INDIRECT("Table!A" &amp; $AG74):INDIRECT("Table!" &amp; $AJ$86 &amp; $AG74),0)))))</f>
        <v>1.4567448077211997</v>
      </c>
      <c r="M74" s="273">
        <f ca="1">IF(ISERROR(MATCH(M$1,INDIRECT("Table!A"&amp;$AG74):INDIRECT("Table!" &amp; $AJ$86 &amp; $AG74),0)),"",INDIRECT(CONCATENATE("Table!",ADDRESS($AC74,MATCH(M$1,INDIRECT("Table!A" &amp; $AG74):INDIRECT("Table!" &amp; $AJ$86 &amp; $AG74),0)))))</f>
        <v>2.5055433876072595</v>
      </c>
      <c r="N74" s="273">
        <f ca="1">IF(ISERROR(MATCH(N$1,INDIRECT("Table!A"&amp;$AG74):INDIRECT("Table!" &amp; $AJ$86 &amp; $AG74),0)),"",INDIRECT(CONCATENATE("Table!",ADDRESS($AC74,MATCH(N$1,INDIRECT("Table!A" &amp; $AG74):INDIRECT("Table!" &amp; $AJ$86 &amp; $AG74),0)))))</f>
        <v>1.5146757439895171</v>
      </c>
      <c r="O74" s="273">
        <f ca="1">IF(ISERROR(MATCH(O$1,INDIRECT("Table!A"&amp;$AG74):INDIRECT("Table!" &amp; $AJ$64 &amp; $AG74),0)),"",INDIRECT(CONCATENATE("Table!",ADDRESS($AC74,MATCH(O$1,INDIRECT("Table!A" &amp; $AG74):INDIRECT("Table!" &amp; $AJ$64 &amp; $AG74),0)))))</f>
        <v>1.4677758216527739</v>
      </c>
      <c r="P74" s="273" t="str">
        <f ca="1">IF(ISERROR(MATCH(P$1,INDIRECT("Table!A"&amp;$AG74):INDIRECT("Table!" &amp; $AJ$64 &amp; $AG74),0)),"",INDIRECT(CONCATENATE("Table!",ADDRESS($AC74,MATCH(P$1,INDIRECT("Table!A" &amp; $AG74):INDIRECT("Table!" &amp; $AJ$64 &amp; $AG74),0)))))</f>
        <v/>
      </c>
      <c r="Q74" s="273" t="str">
        <f ca="1">IF(ISERROR(MATCH(Q$1,INDIRECT("Table!A"&amp;$AG74):INDIRECT("Table!" &amp; $AJ$64 &amp; $AG74),0)),"",INDIRECT(CONCATENATE("Table!",ADDRESS($AC74,MATCH(Q$1,INDIRECT("Table!A" &amp; $AG74):INDIRECT("Table!" &amp; $AJ$64 &amp; $AG74),0)))))</f>
        <v/>
      </c>
      <c r="R74" s="273" t="str">
        <f ca="1">IF(ISERROR(MATCH(R$1,INDIRECT("Table!A"&amp;$AG74):INDIRECT("Table!" &amp; $AJ$64 &amp; $AG74),0)),"",INDIRECT(CONCATENATE("Table!",ADDRESS($AC74,MATCH(R$1,INDIRECT("Table!A" &amp; $AG74):INDIRECT("Table!" &amp; $AJ$64 &amp; $AG74),0)))))</f>
        <v/>
      </c>
      <c r="S74" s="269"/>
      <c r="T74" s="269"/>
      <c r="U74" s="697"/>
      <c r="V74" s="906"/>
      <c r="W74" s="906"/>
      <c r="X74" s="906"/>
      <c r="Y74" s="906"/>
      <c r="Z74" s="906"/>
      <c r="AA74" s="906"/>
      <c r="AB74" s="906"/>
      <c r="AC74" s="272">
        <f>MATCH($A74,Table!$A:$A,0)+$AE$2-1</f>
        <v>938</v>
      </c>
      <c r="AD74" s="269"/>
      <c r="AE74" s="269"/>
      <c r="AF74" s="269"/>
      <c r="AG74" s="272">
        <f>MATCH($A74,Table!$A:$A,0)+$AI$2-1</f>
        <v>929</v>
      </c>
      <c r="AH74" s="269"/>
      <c r="AI74" s="269"/>
      <c r="AJ74" s="904" t="s">
        <v>285</v>
      </c>
    </row>
    <row r="75" spans="1:36" ht="19.5" customHeight="1" x14ac:dyDescent="0.25">
      <c r="A75" s="4">
        <v>41330</v>
      </c>
      <c r="B75" s="596">
        <f ca="1">IF(ISERROR(MATCH(B$1,INDIRECT("Table!A"&amp;$AG75):INDIRECT("Table!" &amp; $AJ$86 &amp; $AG75),0)),"",INDIRECT(CONCATENATE("Table!",ADDRESS($AC75,MATCH(B$1,INDIRECT("Table!A" &amp; $AG75):INDIRECT("Table!" &amp; $AJ$86 &amp; $AG75),0)))))</f>
        <v>1.3258277646901293</v>
      </c>
      <c r="C75" s="24">
        <f ca="1">IF(ISERROR(MATCH(C$1,INDIRECT("Table!A"&amp;$AG75):INDIRECT("Table!" &amp; $AJ$86 &amp; $AG75),0)),"",INDIRECT(CONCATENATE("Table!",ADDRESS($AC75,MATCH(C$1,INDIRECT("Table!A" &amp; $AG75):INDIRECT("Table!" &amp; $AJ$86 &amp; $AG75),0)))))</f>
        <v>0.59524674486000806</v>
      </c>
      <c r="D75" s="24">
        <f ca="1">IF(ISERROR(MATCH(D$1,INDIRECT("Table!A"&amp;$AG75):INDIRECT("Table!" &amp; $AJ$86 &amp; $AG75),0)),"",INDIRECT(CONCATENATE("Table!",ADDRESS($AC75,MATCH(D$1,INDIRECT("Table!A" &amp; $AG75):INDIRECT("Table!" &amp; $AJ$86 &amp; $AG75),0)))))</f>
        <v>0.59950330795836726</v>
      </c>
      <c r="E75" s="24">
        <f ca="1">IF(ISERROR(MATCH(E$1,INDIRECT("Table!A"&amp;$AG75):INDIRECT("Table!" &amp; $AJ$86 &amp; $AG75),0)),"",INDIRECT(CONCATENATE("Table!",ADDRESS($AC75,MATCH(E$1,INDIRECT("Table!A" &amp; $AG75):INDIRECT("Table!" &amp; $AJ$86 &amp; $AG75),0)))))</f>
        <v>1.5277938524531616</v>
      </c>
      <c r="F75" s="24">
        <f ca="1">IF(ISERROR(MATCH(F$1,INDIRECT("Table!A"&amp;$AG75):INDIRECT("Table!" &amp; $AJ$86 &amp; $AG75),0)),"",INDIRECT(CONCATENATE("Table!",ADDRESS($AC75,MATCH(F$1,INDIRECT("Table!A" &amp; $AG75):INDIRECT("Table!" &amp; $AJ$86 &amp; $AG75),0)))))</f>
        <v>1.4327471630830602</v>
      </c>
      <c r="G75" s="24">
        <f ca="1">IF(ISERROR(MATCH(G$1,INDIRECT("Table!A"&amp;$AG75):INDIRECT("Table!" &amp; $AJ$86 &amp; $AG75),0)),"",INDIRECT(CONCATENATE("Table!",ADDRESS($AC75,MATCH(G$1,INDIRECT("Table!A" &amp; $AG75):INDIRECT("Table!" &amp; $AJ$86 &amp; $AG75),0)))))</f>
        <v>3.412780855508128</v>
      </c>
      <c r="H75" s="24">
        <f ca="1">IF(ISERROR(MATCH(H$1,INDIRECT("Table!A"&amp;$AG75):INDIRECT("Table!" &amp; $AJ$86 &amp; $AG75),0)),"",INDIRECT(CONCATENATE("Table!",ADDRESS($AC75,MATCH(H$1,INDIRECT("Table!A" &amp; $AG75):INDIRECT("Table!" &amp; $AJ$86 &amp; $AG75),0)))))</f>
        <v>0.92212396090719817</v>
      </c>
      <c r="I75" s="273" t="str">
        <f ca="1">IF(ISERROR(MATCH(I$1,INDIRECT("Table!A"&amp;$AG75):INDIRECT("Table!" &amp; $AJ$86 &amp; $AG75),0)),"",INDIRECT(CONCATENATE("Table!",ADDRESS($AC75,MATCH(I$1,INDIRECT("Table!A" &amp; $AG75):INDIRECT("Table!" &amp; $AJ$86 &amp; $AG75),0)))))</f>
        <v/>
      </c>
      <c r="J75" s="273" t="str">
        <f ca="1">IF(ISERROR(MATCH(J$1,INDIRECT("Table!A"&amp;$AG75):INDIRECT("Table!" &amp; $AJ$86 &amp; $AG75),0)),"",INDIRECT(CONCATENATE("Table!",ADDRESS($AC75,MATCH(J$1,INDIRECT("Table!A" &amp; $AG75):INDIRECT("Table!" &amp; $AJ$86 &amp; $AG75),0)))))</f>
        <v/>
      </c>
      <c r="K75" s="273" t="str">
        <f ca="1">IF(ISERROR(MATCH(K$1,INDIRECT("Table!A"&amp;$AG75):INDIRECT("Table!" &amp; $AJ$86 &amp; $AG75),0)),"",INDIRECT(CONCATENATE("Table!",ADDRESS($AC75,MATCH(K$1,INDIRECT("Table!A" &amp; $AG75):INDIRECT("Table!" &amp; $AJ$86 &amp; $AG75),0)))))</f>
        <v/>
      </c>
      <c r="L75" s="24">
        <f ca="1">IF(ISERROR(MATCH(L$1,INDIRECT("Table!A"&amp;$AG75):INDIRECT("Table!" &amp; $AJ$86 &amp; $AG75),0)),"",INDIRECT(CONCATENATE("Table!",ADDRESS($AC75,MATCH(L$1,INDIRECT("Table!A" &amp; $AG75):INDIRECT("Table!" &amp; $AJ$86 &amp; $AG75),0)))))</f>
        <v>1.403114797411761</v>
      </c>
      <c r="M75" s="24">
        <f ca="1">IF(ISERROR(MATCH(M$1,INDIRECT("Table!A"&amp;$AG75):INDIRECT("Table!" &amp; $AJ$86 &amp; $AG75),0)),"",INDIRECT(CONCATENATE("Table!",ADDRESS($AC75,MATCH(M$1,INDIRECT("Table!A" &amp; $AG75):INDIRECT("Table!" &amp; $AJ$86 &amp; $AG75),0)))))</f>
        <v>2.5055433876072595</v>
      </c>
      <c r="N75" s="24">
        <f ca="1">IF(ISERROR(MATCH(N$1,INDIRECT("Table!A"&amp;$AG75):INDIRECT("Table!" &amp; $AJ$86 &amp; $AG75),0)),"",INDIRECT(CONCATENATE("Table!",ADDRESS($AC75,MATCH(N$1,INDIRECT("Table!A" &amp; $AG75):INDIRECT("Table!" &amp; $AJ$86 &amp; $AG75),0)))))</f>
        <v>1.502447468338364</v>
      </c>
      <c r="O75" s="24">
        <f ca="1">IF(ISERROR(MATCH(O$1,INDIRECT("Table!A"&amp;$AG75):INDIRECT("Table!" &amp; $AJ$86 &amp; $AG75),0)),"",INDIRECT(CONCATENATE("Table!",ADDRESS($AC75,MATCH(O$1,INDIRECT("Table!A" &amp; $AG75):INDIRECT("Table!" &amp; $AJ$86 &amp; $AG75),0)))))</f>
        <v>1.4677758216527739</v>
      </c>
      <c r="P75" s="24" t="str">
        <f ca="1">IF(ISERROR(MATCH(P$1,INDIRECT("Table!A"&amp;$AG75):INDIRECT("Table!" &amp; $AJ$86 &amp; $AG75),0)),"",INDIRECT(CONCATENATE("Table!",ADDRESS($AC75,MATCH(P$1,INDIRECT("Table!A" &amp; $AG75):INDIRECT("Table!" &amp; $AJ$86 &amp; $AG75),0)))))</f>
        <v/>
      </c>
      <c r="Q75" s="273" t="str">
        <f ca="1">IF(ISERROR(MATCH(Q$1,INDIRECT("Table!A"&amp;$AG75):INDIRECT("Table!" &amp; $AJ$86 &amp; $AG75),0)),"",INDIRECT(CONCATENATE("Table!",ADDRESS($AC75,MATCH(Q$1,INDIRECT("Table!A" &amp; $AG75):INDIRECT("Table!" &amp; $AJ$86 &amp; $AG75),0)))))</f>
        <v/>
      </c>
      <c r="R75" s="273" t="str">
        <f ca="1">IF(ISERROR(MATCH(R$1,INDIRECT("Table!A"&amp;$AG75):INDIRECT("Table!" &amp; $AJ$86 &amp; $AG75),0)),"",INDIRECT(CONCATENATE("Table!",ADDRESS($AC75,MATCH(R$1,INDIRECT("Table!A" &amp; $AG75):INDIRECT("Table!" &amp; $AJ$86 &amp; $AG75),0)))))</f>
        <v/>
      </c>
      <c r="S75" s="258"/>
      <c r="T75" s="258"/>
      <c r="AC75" s="22">
        <f>MATCH($A75,Table!$A:$A,0)+$AE$2-1</f>
        <v>950</v>
      </c>
      <c r="AD75" s="258"/>
      <c r="AE75" s="258"/>
      <c r="AF75" s="258"/>
      <c r="AG75" s="22">
        <f>MATCH($A75,Table!$A:$A,0)+$AI$2-1</f>
        <v>941</v>
      </c>
      <c r="AH75" s="258"/>
      <c r="AI75" s="258"/>
      <c r="AJ75" s="904" t="s">
        <v>285</v>
      </c>
    </row>
    <row r="76" spans="1:36" ht="19.5" customHeight="1" x14ac:dyDescent="0.25">
      <c r="A76" s="4">
        <v>41327</v>
      </c>
      <c r="B76" s="596">
        <f ca="1">IF(ISERROR(MATCH(B$1,INDIRECT("Table!A"&amp;$AG76):INDIRECT("Table!" &amp; $AJ$86 &amp; $AG76),0)),"",INDIRECT(CONCATENATE("Table!",ADDRESS($AC76,MATCH(B$1,INDIRECT("Table!A" &amp; $AG76):INDIRECT("Table!" &amp; $AJ$86 &amp; $AG76),0)))))</f>
        <v>1.3258277646901293</v>
      </c>
      <c r="C76" s="24">
        <f ca="1">IF(ISERROR(MATCH(C$1,INDIRECT("Table!A"&amp;$AG76):INDIRECT("Table!" &amp; $AJ$86 &amp; $AG76),0)),"",INDIRECT(CONCATENATE("Table!",ADDRESS($AC76,MATCH(C$1,INDIRECT("Table!A" &amp; $AG76):INDIRECT("Table!" &amp; $AJ$86 &amp; $AG76),0)))))</f>
        <v>0.59524674486000806</v>
      </c>
      <c r="D76" s="24">
        <f ca="1">IF(ISERROR(MATCH(D$1,INDIRECT("Table!A"&amp;$AG76):INDIRECT("Table!" &amp; $AJ$86 &amp; $AG76),0)),"",INDIRECT(CONCATENATE("Table!",ADDRESS($AC76,MATCH(D$1,INDIRECT("Table!A" &amp; $AG76):INDIRECT("Table!" &amp; $AJ$86 &amp; $AG76),0)))))</f>
        <v>0.59950330795836726</v>
      </c>
      <c r="E76" s="24">
        <f ca="1">IF(ISERROR(MATCH(E$1,INDIRECT("Table!A"&amp;$AG76):INDIRECT("Table!" &amp; $AJ$86 &amp; $AG76),0)),"",INDIRECT(CONCATENATE("Table!",ADDRESS($AC76,MATCH(E$1,INDIRECT("Table!A" &amp; $AG76):INDIRECT("Table!" &amp; $AJ$86 &amp; $AG76),0)))))</f>
        <v>1.5277938524531616</v>
      </c>
      <c r="F76" s="24">
        <f ca="1">IF(ISERROR(MATCH(F$1,INDIRECT("Table!A"&amp;$AG76):INDIRECT("Table!" &amp; $AJ$86 &amp; $AG76),0)),"",INDIRECT(CONCATENATE("Table!",ADDRESS($AC76,MATCH(F$1,INDIRECT("Table!A" &amp; $AG76):INDIRECT("Table!" &amp; $AJ$86 &amp; $AG76),0)))))</f>
        <v>1.4327471630830602</v>
      </c>
      <c r="G76" s="24">
        <f ca="1">IF(ISERROR(MATCH(G$1,INDIRECT("Table!A"&amp;$AG76):INDIRECT("Table!" &amp; $AJ$86 &amp; $AG76),0)),"",INDIRECT(CONCATENATE("Table!",ADDRESS($AC76,MATCH(G$1,INDIRECT("Table!A" &amp; $AG76):INDIRECT("Table!" &amp; $AJ$86 &amp; $AG76),0)))))</f>
        <v>3.412780855508128</v>
      </c>
      <c r="H76" s="24">
        <f ca="1">IF(ISERROR(MATCH(H$1,INDIRECT("Table!A"&amp;$AG76):INDIRECT("Table!" &amp; $AJ$86 &amp; $AG76),0)),"",INDIRECT(CONCATENATE("Table!",ADDRESS($AC76,MATCH(H$1,INDIRECT("Table!A" &amp; $AG76):INDIRECT("Table!" &amp; $AJ$86 &amp; $AG76),0)))))</f>
        <v>0.92212396090719817</v>
      </c>
      <c r="I76" s="273" t="str">
        <f ca="1">IF(ISERROR(MATCH(I$1,INDIRECT("Table!A"&amp;$AG76):INDIRECT("Table!" &amp; $AJ$86 &amp; $AG76),0)),"",INDIRECT(CONCATENATE("Table!",ADDRESS($AC76,MATCH(I$1,INDIRECT("Table!A" &amp; $AG76):INDIRECT("Table!" &amp; $AJ$86 &amp; $AG76),0)))))</f>
        <v/>
      </c>
      <c r="J76" s="273" t="str">
        <f ca="1">IF(ISERROR(MATCH(J$1,INDIRECT("Table!A"&amp;$AG76):INDIRECT("Table!" &amp; $AJ$86 &amp; $AG76),0)),"",INDIRECT(CONCATENATE("Table!",ADDRESS($AC76,MATCH(J$1,INDIRECT("Table!A" &amp; $AG76):INDIRECT("Table!" &amp; $AJ$86 &amp; $AG76),0)))))</f>
        <v/>
      </c>
      <c r="K76" s="273" t="str">
        <f ca="1">IF(ISERROR(MATCH(K$1,INDIRECT("Table!A"&amp;$AG76):INDIRECT("Table!" &amp; $AJ$86 &amp; $AG76),0)),"",INDIRECT(CONCATENATE("Table!",ADDRESS($AC76,MATCH(K$1,INDIRECT("Table!A" &amp; $AG76):INDIRECT("Table!" &amp; $AJ$86 &amp; $AG76),0)))))</f>
        <v/>
      </c>
      <c r="L76" s="24">
        <f ca="1">IF(ISERROR(MATCH(L$1,INDIRECT("Table!A"&amp;$AG76):INDIRECT("Table!" &amp; $AJ$86 &amp; $AG76),0)),"",INDIRECT(CONCATENATE("Table!",ADDRESS($AC76,MATCH(L$1,INDIRECT("Table!A" &amp; $AG76):INDIRECT("Table!" &amp; $AJ$86 &amp; $AG76),0)))))</f>
        <v>1.403114797411761</v>
      </c>
      <c r="M76" s="24">
        <f ca="1">IF(ISERROR(MATCH(M$1,INDIRECT("Table!A"&amp;$AG76):INDIRECT("Table!" &amp; $AJ$86 &amp; $AG76),0)),"",INDIRECT(CONCATENATE("Table!",ADDRESS($AC76,MATCH(M$1,INDIRECT("Table!A" &amp; $AG76):INDIRECT("Table!" &amp; $AJ$86 &amp; $AG76),0)))))</f>
        <v>2.5055433876072595</v>
      </c>
      <c r="N76" s="24">
        <f ca="1">IF(ISERROR(MATCH(N$1,INDIRECT("Table!A"&amp;$AG76):INDIRECT("Table!" &amp; $AJ$86 &amp; $AG76),0)),"",INDIRECT(CONCATENATE("Table!",ADDRESS($AC76,MATCH(N$1,INDIRECT("Table!A" &amp; $AG76):INDIRECT("Table!" &amp; $AJ$86 &amp; $AG76),0)))))</f>
        <v>1.502447468338364</v>
      </c>
      <c r="O76" s="24">
        <f ca="1">IF(ISERROR(MATCH(O$1,INDIRECT("Table!A"&amp;$AG76):INDIRECT("Table!" &amp; $AJ$86 &amp; $AG76),0)),"",INDIRECT(CONCATENATE("Table!",ADDRESS($AC76,MATCH(O$1,INDIRECT("Table!A" &amp; $AG76):INDIRECT("Table!" &amp; $AJ$86 &amp; $AG76),0)))))</f>
        <v>1.4677758216527739</v>
      </c>
      <c r="P76" s="24" t="str">
        <f ca="1">IF(ISERROR(MATCH(P$1,INDIRECT("Table!A"&amp;$AG76):INDIRECT("Table!" &amp; $AJ$86 &amp; $AG76),0)),"",INDIRECT(CONCATENATE("Table!",ADDRESS($AC76,MATCH(P$1,INDIRECT("Table!A" &amp; $AG76):INDIRECT("Table!" &amp; $AJ$86 &amp; $AG76),0)))))</f>
        <v/>
      </c>
      <c r="Q76" s="273" t="str">
        <f ca="1">IF(ISERROR(MATCH(Q$1,INDIRECT("Table!A"&amp;$AG76):INDIRECT("Table!" &amp; $AJ$86 &amp; $AG76),0)),"",INDIRECT(CONCATENATE("Table!",ADDRESS($AC76,MATCH(Q$1,INDIRECT("Table!A" &amp; $AG76):INDIRECT("Table!" &amp; $AJ$86 &amp; $AG76),0)))))</f>
        <v/>
      </c>
      <c r="R76" s="273" t="str">
        <f ca="1">IF(ISERROR(MATCH(R$1,INDIRECT("Table!A"&amp;$AG76):INDIRECT("Table!" &amp; $AJ$86 &amp; $AG76),0)),"",INDIRECT(CONCATENATE("Table!",ADDRESS($AC76,MATCH(R$1,INDIRECT("Table!A" &amp; $AG76):INDIRECT("Table!" &amp; $AJ$86 &amp; $AG76),0)))))</f>
        <v/>
      </c>
      <c r="S76" s="257"/>
      <c r="T76" s="257"/>
      <c r="AC76" s="22">
        <f>MATCH($A76,Table!$A:$A,0)+$AE$2-1</f>
        <v>962</v>
      </c>
      <c r="AD76" s="257"/>
      <c r="AE76" s="257"/>
      <c r="AF76" s="257"/>
      <c r="AG76" s="22">
        <f>MATCH($A76,Table!$A:$A,0)+$AI$2-1</f>
        <v>953</v>
      </c>
      <c r="AH76" s="257"/>
      <c r="AI76" s="257"/>
      <c r="AJ76" s="904" t="s">
        <v>285</v>
      </c>
    </row>
    <row r="77" spans="1:36" ht="19.5" customHeight="1" x14ac:dyDescent="0.25">
      <c r="A77" s="4">
        <v>41326</v>
      </c>
      <c r="B77" s="596">
        <f ca="1">IF(ISERROR(MATCH(B$1,INDIRECT("Table!A"&amp;$AG77):INDIRECT("Table!" &amp; $AJ$86 &amp; $AG77),0)),"",INDIRECT(CONCATENATE("Table!",ADDRESS($AC77,MATCH(B$1,INDIRECT("Table!A" &amp; $AG77):INDIRECT("Table!" &amp; $AJ$86 &amp; $AG77),0)))))</f>
        <v>1.3258277646901293</v>
      </c>
      <c r="C77" s="24">
        <f ca="1">IF(ISERROR(MATCH(C$1,INDIRECT("Table!A"&amp;$AG77):INDIRECT("Table!" &amp; $AJ$86 &amp; $AG77),0)),"",INDIRECT(CONCATENATE("Table!",ADDRESS($AC77,MATCH(C$1,INDIRECT("Table!A" &amp; $AG77):INDIRECT("Table!" &amp; $AJ$86 &amp; $AG77),0)))))</f>
        <v>0.59524674486000806</v>
      </c>
      <c r="D77" s="24">
        <f ca="1">IF(ISERROR(MATCH(D$1,INDIRECT("Table!A"&amp;$AG77):INDIRECT("Table!" &amp; $AJ$86 &amp; $AG77),0)),"",INDIRECT(CONCATENATE("Table!",ADDRESS($AC77,MATCH(D$1,INDIRECT("Table!A" &amp; $AG77):INDIRECT("Table!" &amp; $AJ$86 &amp; $AG77),0)))))</f>
        <v>0.59950330795836726</v>
      </c>
      <c r="E77" s="24">
        <f ca="1">IF(ISERROR(MATCH(E$1,INDIRECT("Table!A"&amp;$AG77):INDIRECT("Table!" &amp; $AJ$86 &amp; $AG77),0)),"",INDIRECT(CONCATENATE("Table!",ADDRESS($AC77,MATCH(E$1,INDIRECT("Table!A" &amp; $AG77):INDIRECT("Table!" &amp; $AJ$86 &amp; $AG77),0)))))</f>
        <v>1.5198269429630467</v>
      </c>
      <c r="F77" s="24">
        <f ca="1">IF(ISERROR(MATCH(F$1,INDIRECT("Table!A"&amp;$AG77):INDIRECT("Table!" &amp; $AJ$86 &amp; $AG77),0)),"",INDIRECT(CONCATENATE("Table!",ADDRESS($AC77,MATCH(F$1,INDIRECT("Table!A" &amp; $AG77):INDIRECT("Table!" &amp; $AJ$86 &amp; $AG77),0)))))</f>
        <v>1.4327471630830602</v>
      </c>
      <c r="G77" s="24">
        <f ca="1">IF(ISERROR(MATCH(G$1,INDIRECT("Table!A"&amp;$AG77):INDIRECT("Table!" &amp; $AJ$86 &amp; $AG77),0)),"",INDIRECT(CONCATENATE("Table!",ADDRESS($AC77,MATCH(G$1,INDIRECT("Table!A" &amp; $AG77):INDIRECT("Table!" &amp; $AJ$86 &amp; $AG77),0)))))</f>
        <v>3.4018072836254651</v>
      </c>
      <c r="H77" s="24">
        <f ca="1">IF(ISERROR(MATCH(H$1,INDIRECT("Table!A"&amp;$AG77):INDIRECT("Table!" &amp; $AJ$86 &amp; $AG77),0)),"",INDIRECT(CONCATENATE("Table!",ADDRESS($AC77,MATCH(H$1,INDIRECT("Table!A" &amp; $AG77):INDIRECT("Table!" &amp; $AJ$86 &amp; $AG77),0)))))</f>
        <v>0.91489815530635821</v>
      </c>
      <c r="I77" s="273" t="str">
        <f ca="1">IF(ISERROR(MATCH(I$1,INDIRECT("Table!A"&amp;$AG77):INDIRECT("Table!" &amp; $AJ$86 &amp; $AG77),0)),"",INDIRECT(CONCATENATE("Table!",ADDRESS($AC77,MATCH(I$1,INDIRECT("Table!A" &amp; $AG77):INDIRECT("Table!" &amp; $AJ$86 &amp; $AG77),0)))))</f>
        <v/>
      </c>
      <c r="J77" s="273" t="str">
        <f ca="1">IF(ISERROR(MATCH(J$1,INDIRECT("Table!A"&amp;$AG77):INDIRECT("Table!" &amp; $AJ$86 &amp; $AG77),0)),"",INDIRECT(CONCATENATE("Table!",ADDRESS($AC77,MATCH(J$1,INDIRECT("Table!A" &amp; $AG77):INDIRECT("Table!" &amp; $AJ$86 &amp; $AG77),0)))))</f>
        <v/>
      </c>
      <c r="K77" s="273" t="str">
        <f ca="1">IF(ISERROR(MATCH(K$1,INDIRECT("Table!A"&amp;$AG77):INDIRECT("Table!" &amp; $AJ$86 &amp; $AG77),0)),"",INDIRECT(CONCATENATE("Table!",ADDRESS($AC77,MATCH(K$1,INDIRECT("Table!A" &amp; $AG77):INDIRECT("Table!" &amp; $AJ$86 &amp; $AG77),0)))))</f>
        <v/>
      </c>
      <c r="L77" s="24">
        <f ca="1">IF(ISERROR(MATCH(L$1,INDIRECT("Table!A"&amp;$AG77):INDIRECT("Table!" &amp; $AJ$86 &amp; $AG77),0)),"",INDIRECT(CONCATENATE("Table!",ADDRESS($AC77,MATCH(L$1,INDIRECT("Table!A" &amp; $AG77):INDIRECT("Table!" &amp; $AJ$86 &amp; $AG77),0)))))</f>
        <v>1.403114797411761</v>
      </c>
      <c r="M77" s="24">
        <f ca="1">IF(ISERROR(MATCH(M$1,INDIRECT("Table!A"&amp;$AG77):INDIRECT("Table!" &amp; $AJ$86 &amp; $AG77),0)),"",INDIRECT(CONCATENATE("Table!",ADDRESS($AC77,MATCH(M$1,INDIRECT("Table!A" &amp; $AG77):INDIRECT("Table!" &amp; $AJ$86 &amp; $AG77),0)))))</f>
        <v>2.5055433876072595</v>
      </c>
      <c r="N77" s="24">
        <f ca="1">IF(ISERROR(MATCH(N$1,INDIRECT("Table!A"&amp;$AG77):INDIRECT("Table!" &amp; $AJ$86 &amp; $AG77),0)),"",INDIRECT(CONCATENATE("Table!",ADDRESS($AC77,MATCH(N$1,INDIRECT("Table!A" &amp; $AG77):INDIRECT("Table!" &amp; $AJ$86 &amp; $AG77),0)))))</f>
        <v>1.502447468338364</v>
      </c>
      <c r="O77" s="24">
        <f ca="1">IF(ISERROR(MATCH(O$1,INDIRECT("Table!A"&amp;$AG77):INDIRECT("Table!" &amp; $AJ$86 &amp; $AG77),0)),"",INDIRECT(CONCATENATE("Table!",ADDRESS($AC77,MATCH(O$1,INDIRECT("Table!A" &amp; $AG77):INDIRECT("Table!" &amp; $AJ$86 &amp; $AG77),0)))))</f>
        <v>1.4677758216527739</v>
      </c>
      <c r="P77" s="24" t="str">
        <f ca="1">IF(ISERROR(MATCH(P$1,INDIRECT("Table!A"&amp;$AG77):INDIRECT("Table!" &amp; $AJ$86 &amp; $AG77),0)),"",INDIRECT(CONCATENATE("Table!",ADDRESS($AC77,MATCH(P$1,INDIRECT("Table!A" &amp; $AG77):INDIRECT("Table!" &amp; $AJ$86 &amp; $AG77),0)))))</f>
        <v/>
      </c>
      <c r="Q77" s="273" t="str">
        <f ca="1">IF(ISERROR(MATCH(Q$1,INDIRECT("Table!A"&amp;$AG77):INDIRECT("Table!" &amp; $AJ$86 &amp; $AG77),0)),"",INDIRECT(CONCATENATE("Table!",ADDRESS($AC77,MATCH(Q$1,INDIRECT("Table!A" &amp; $AG77):INDIRECT("Table!" &amp; $AJ$86 &amp; $AG77),0)))))</f>
        <v/>
      </c>
      <c r="R77" s="273" t="str">
        <f ca="1">IF(ISERROR(MATCH(R$1,INDIRECT("Table!A"&amp;$AG77):INDIRECT("Table!" &amp; $AJ$86 &amp; $AG77),0)),"",INDIRECT(CONCATENATE("Table!",ADDRESS($AC77,MATCH(R$1,INDIRECT("Table!A" &amp; $AG77):INDIRECT("Table!" &amp; $AJ$86 &amp; $AG77),0)))))</f>
        <v/>
      </c>
      <c r="S77" s="256"/>
      <c r="T77" s="256"/>
      <c r="AC77" s="22">
        <f>MATCH($A77,Table!$A:$A,0)+$AE$2-1</f>
        <v>974</v>
      </c>
      <c r="AD77" s="256"/>
      <c r="AE77" s="256"/>
      <c r="AF77" s="256"/>
      <c r="AG77" s="22">
        <f>MATCH($A77,Table!$A:$A,0)+$AI$2-1</f>
        <v>965</v>
      </c>
      <c r="AH77" s="256"/>
      <c r="AI77" s="256"/>
      <c r="AJ77" s="904" t="s">
        <v>285</v>
      </c>
    </row>
    <row r="78" spans="1:36" ht="19.5" customHeight="1" x14ac:dyDescent="0.25">
      <c r="A78" s="4">
        <v>41323</v>
      </c>
      <c r="B78" s="596">
        <f ca="1">IF(ISERROR(MATCH(B$1,INDIRECT("Table!A"&amp;$AG78):INDIRECT("Table!" &amp; $AJ$86 &amp; $AG78),0)),"",INDIRECT(CONCATENATE("Table!",ADDRESS($AC78,MATCH(B$1,INDIRECT("Table!A" &amp; $AG78):INDIRECT("Table!" &amp; $AJ$86 &amp; $AG78),0)))))</f>
        <v>1.3258277646901293</v>
      </c>
      <c r="C78" s="24">
        <f ca="1">IF(ISERROR(MATCH(C$1,INDIRECT("Table!A"&amp;$AG78):INDIRECT("Table!" &amp; $AJ$86 &amp; $AG78),0)),"",INDIRECT(CONCATENATE("Table!",ADDRESS($AC78,MATCH(C$1,INDIRECT("Table!A" &amp; $AG78):INDIRECT("Table!" &amp; $AJ$86 &amp; $AG78),0)))))</f>
        <v>0.59524674486000806</v>
      </c>
      <c r="D78" s="24">
        <f ca="1">IF(ISERROR(MATCH(D$1,INDIRECT("Table!A"&amp;$AG78):INDIRECT("Table!" &amp; $AJ$86 &amp; $AG78),0)),"",INDIRECT(CONCATENATE("Table!",ADDRESS($AC78,MATCH(D$1,INDIRECT("Table!A" &amp; $AG78):INDIRECT("Table!" &amp; $AJ$86 &amp; $AG78),0)))))</f>
        <v>0.59950330795836726</v>
      </c>
      <c r="E78" s="24">
        <f ca="1">IF(ISERROR(MATCH(E$1,INDIRECT("Table!A"&amp;$AG78):INDIRECT("Table!" &amp; $AJ$86 &amp; $AG78),0)),"",INDIRECT(CONCATENATE("Table!",ADDRESS($AC78,MATCH(E$1,INDIRECT("Table!A" &amp; $AG78):INDIRECT("Table!" &amp; $AJ$86 &amp; $AG78),0)))))</f>
        <v>1.5198269429630467</v>
      </c>
      <c r="F78" s="24">
        <f ca="1">IF(ISERROR(MATCH(F$1,INDIRECT("Table!A"&amp;$AG78):INDIRECT("Table!" &amp; $AJ$86 &amp; $AG78),0)),"",INDIRECT(CONCATENATE("Table!",ADDRESS($AC78,MATCH(F$1,INDIRECT("Table!A" &amp; $AG78):INDIRECT("Table!" &amp; $AJ$86 &amp; $AG78),0)))))</f>
        <v>1.4327471630830602</v>
      </c>
      <c r="G78" s="24">
        <f ca="1">IF(ISERROR(MATCH(G$1,INDIRECT("Table!A"&amp;$AG78):INDIRECT("Table!" &amp; $AJ$86 &amp; $AG78),0)),"",INDIRECT(CONCATENATE("Table!",ADDRESS($AC78,MATCH(G$1,INDIRECT("Table!A" &amp; $AG78):INDIRECT("Table!" &amp; $AJ$86 &amp; $AG78),0)))))</f>
        <v>3.4018072836254651</v>
      </c>
      <c r="H78" s="24">
        <f ca="1">IF(ISERROR(MATCH(H$1,INDIRECT("Table!A"&amp;$AG78):INDIRECT("Table!" &amp; $AJ$86 &amp; $AG78),0)),"",INDIRECT(CONCATENATE("Table!",ADDRESS($AC78,MATCH(H$1,INDIRECT("Table!A" &amp; $AG78):INDIRECT("Table!" &amp; $AJ$86 &amp; $AG78),0)))))</f>
        <v>0.91489815530635821</v>
      </c>
      <c r="I78" s="273" t="str">
        <f ca="1">IF(ISERROR(MATCH(I$1,INDIRECT("Table!A"&amp;$AG78):INDIRECT("Table!" &amp; $AJ$86 &amp; $AG78),0)),"",INDIRECT(CONCATENATE("Table!",ADDRESS($AC78,MATCH(I$1,INDIRECT("Table!A" &amp; $AG78):INDIRECT("Table!" &amp; $AJ$86 &amp; $AG78),0)))))</f>
        <v/>
      </c>
      <c r="J78" s="273" t="str">
        <f ca="1">IF(ISERROR(MATCH(J$1,INDIRECT("Table!A"&amp;$AG78):INDIRECT("Table!" &amp; $AJ$86 &amp; $AG78),0)),"",INDIRECT(CONCATENATE("Table!",ADDRESS($AC78,MATCH(J$1,INDIRECT("Table!A" &amp; $AG78):INDIRECT("Table!" &amp; $AJ$86 &amp; $AG78),0)))))</f>
        <v/>
      </c>
      <c r="K78" s="273" t="str">
        <f ca="1">IF(ISERROR(MATCH(K$1,INDIRECT("Table!A"&amp;$AG78):INDIRECT("Table!" &amp; $AJ$86 &amp; $AG78),0)),"",INDIRECT(CONCATENATE("Table!",ADDRESS($AC78,MATCH(K$1,INDIRECT("Table!A" &amp; $AG78):INDIRECT("Table!" &amp; $AJ$86 &amp; $AG78),0)))))</f>
        <v/>
      </c>
      <c r="L78" s="24">
        <f ca="1">IF(ISERROR(MATCH(L$1,INDIRECT("Table!A"&amp;$AG78):INDIRECT("Table!" &amp; $AJ$86 &amp; $AG78),0)),"",INDIRECT(CONCATENATE("Table!",ADDRESS($AC78,MATCH(L$1,INDIRECT("Table!A" &amp; $AG78):INDIRECT("Table!" &amp; $AJ$86 &amp; $AG78),0)))))</f>
        <v>1.403114797411761</v>
      </c>
      <c r="M78" s="24">
        <f ca="1">IF(ISERROR(MATCH(M$1,INDIRECT("Table!A"&amp;$AG78):INDIRECT("Table!" &amp; $AJ$86 &amp; $AG78),0)),"",INDIRECT(CONCATENATE("Table!",ADDRESS($AC78,MATCH(M$1,INDIRECT("Table!A" &amp; $AG78):INDIRECT("Table!" &amp; $AJ$86 &amp; $AG78),0)))))</f>
        <v>2.5055433876072595</v>
      </c>
      <c r="N78" s="24">
        <f ca="1">IF(ISERROR(MATCH(N$1,INDIRECT("Table!A"&amp;$AG78):INDIRECT("Table!" &amp; $AJ$86 &amp; $AG78),0)),"",INDIRECT(CONCATENATE("Table!",ADDRESS($AC78,MATCH(N$1,INDIRECT("Table!A" &amp; $AG78):INDIRECT("Table!" &amp; $AJ$86 &amp; $AG78),0)))))</f>
        <v>1.502447468338364</v>
      </c>
      <c r="O78" s="24">
        <f ca="1">IF(ISERROR(MATCH(O$1,INDIRECT("Table!A"&amp;$AG78):INDIRECT("Table!" &amp; $AJ$86 &amp; $AG78),0)),"",INDIRECT(CONCATENATE("Table!",ADDRESS($AC78,MATCH(O$1,INDIRECT("Table!A" &amp; $AG78):INDIRECT("Table!" &amp; $AJ$86 &amp; $AG78),0)))))</f>
        <v>1.4677758216527739</v>
      </c>
      <c r="P78" s="24" t="str">
        <f ca="1">IF(ISERROR(MATCH(P$1,INDIRECT("Table!A"&amp;$AG78):INDIRECT("Table!" &amp; $AJ$86 &amp; $AG78),0)),"",INDIRECT(CONCATENATE("Table!",ADDRESS($AC78,MATCH(P$1,INDIRECT("Table!A" &amp; $AG78):INDIRECT("Table!" &amp; $AJ$86 &amp; $AG78),0)))))</f>
        <v/>
      </c>
      <c r="Q78" s="273" t="str">
        <f ca="1">IF(ISERROR(MATCH(Q$1,INDIRECT("Table!A"&amp;$AG78):INDIRECT("Table!" &amp; $AJ$86 &amp; $AG78),0)),"",INDIRECT(CONCATENATE("Table!",ADDRESS($AC78,MATCH(Q$1,INDIRECT("Table!A" &amp; $AG78):INDIRECT("Table!" &amp; $AJ$86 &amp; $AG78),0)))))</f>
        <v/>
      </c>
      <c r="R78" s="273" t="str">
        <f ca="1">IF(ISERROR(MATCH(R$1,INDIRECT("Table!A"&amp;$AG78):INDIRECT("Table!" &amp; $AJ$86 &amp; $AG78),0)),"",INDIRECT(CONCATENATE("Table!",ADDRESS($AC78,MATCH(R$1,INDIRECT("Table!A" &amp; $AG78):INDIRECT("Table!" &amp; $AJ$86 &amp; $AG78),0)))))</f>
        <v/>
      </c>
      <c r="S78" s="255"/>
      <c r="T78" s="255"/>
      <c r="AC78" s="22">
        <f>MATCH($A78,Table!$A:$A,0)+$AE$2-1</f>
        <v>986</v>
      </c>
      <c r="AD78" s="255"/>
      <c r="AE78" s="255"/>
      <c r="AF78" s="255"/>
      <c r="AG78" s="22">
        <f>MATCH($A78,Table!$A:$A,0)+$AI$2-1</f>
        <v>977</v>
      </c>
      <c r="AH78" s="255"/>
      <c r="AI78" s="255"/>
      <c r="AJ78" s="904" t="s">
        <v>285</v>
      </c>
    </row>
    <row r="79" spans="1:36" ht="19.5" customHeight="1" x14ac:dyDescent="0.25">
      <c r="A79" s="4">
        <v>41310</v>
      </c>
      <c r="B79" s="596">
        <f ca="1">IF(ISERROR(MATCH(B$1,INDIRECT("Table!A"&amp;$AG79):INDIRECT("Table!" &amp; $AJ$86 &amp; $AG79),0)),"",INDIRECT(CONCATENATE("Table!",ADDRESS($AC79,MATCH(B$1,INDIRECT("Table!A" &amp; $AG79):INDIRECT("Table!" &amp; $AJ$86 &amp; $AG79),0)))))</f>
        <v>1.3213597392326777</v>
      </c>
      <c r="C79" s="24">
        <f ca="1">IF(ISERROR(MATCH(C$1,INDIRECT("Table!A"&amp;$AG79):INDIRECT("Table!" &amp; $AJ$86 &amp; $AG79),0)),"",INDIRECT(CONCATENATE("Table!",ADDRESS($AC79,MATCH(C$1,INDIRECT("Table!A" &amp; $AG79):INDIRECT("Table!" &amp; $AJ$86 &amp; $AG79),0)))))</f>
        <v>0.59883121904809999</v>
      </c>
      <c r="D79" s="24">
        <f ca="1">IF(ISERROR(MATCH(D$1,INDIRECT("Table!A"&amp;$AG79):INDIRECT("Table!" &amp; $AJ$86 &amp; $AG79),0)),"",INDIRECT(CONCATENATE("Table!",ADDRESS($AC79,MATCH(D$1,INDIRECT("Table!A" &amp; $AG79):INDIRECT("Table!" &amp; $AJ$86 &amp; $AG79),0)))))</f>
        <v>0.60308778214645897</v>
      </c>
      <c r="E79" s="24">
        <f ca="1">IF(ISERROR(MATCH(E$1,INDIRECT("Table!A"&amp;$AG79):INDIRECT("Table!" &amp; $AJ$86 &amp; $AG79),0)),"",INDIRECT(CONCATENATE("Table!",ADDRESS($AC79,MATCH(E$1,INDIRECT("Table!A" &amp; $AG79):INDIRECT("Table!" &amp; $AJ$86 &amp; $AG79),0)))))</f>
        <v>1.5190858351035013</v>
      </c>
      <c r="F79" s="24">
        <f ca="1">IF(ISERROR(MATCH(F$1,INDIRECT("Table!A"&amp;$AG79):INDIRECT("Table!" &amp; $AJ$86 &amp; $AG79),0)),"",INDIRECT(CONCATENATE("Table!",ADDRESS($AC79,MATCH(F$1,INDIRECT("Table!A" &amp; $AG79):INDIRECT("Table!" &amp; $AJ$86 &amp; $AG79),0)))))</f>
        <v>1.4327471630830602</v>
      </c>
      <c r="G79" s="24">
        <f ca="1">IF(ISERROR(MATCH(G$1,INDIRECT("Table!A"&amp;$AG79):INDIRECT("Table!" &amp; $AJ$86 &amp; $AG79),0)),"",INDIRECT(CONCATENATE("Table!",ADDRESS($AC79,MATCH(G$1,INDIRECT("Table!A" &amp; $AG79):INDIRECT("Table!" &amp; $AJ$86 &amp; $AG79),0)))))</f>
        <v>3.3915993097811277</v>
      </c>
      <c r="H79" s="24">
        <f ca="1">IF(ISERROR(MATCH(H$1,INDIRECT("Table!A"&amp;$AG79):INDIRECT("Table!" &amp; $AJ$86 &amp; $AG79),0)),"",INDIRECT(CONCATENATE("Table!",ADDRESS($AC79,MATCH(H$1,INDIRECT("Table!A" &amp; $AG79):INDIRECT("Table!" &amp; $AJ$86 &amp; $AG79),0)))))</f>
        <v>0.91267483050609965</v>
      </c>
      <c r="I79" s="273" t="str">
        <f ca="1">IF(ISERROR(MATCH(I$1,INDIRECT("Table!A"&amp;$AG79):INDIRECT("Table!" &amp; $AJ$86 &amp; $AG79),0)),"",INDIRECT(CONCATENATE("Table!",ADDRESS($AC79,MATCH(I$1,INDIRECT("Table!A" &amp; $AG79):INDIRECT("Table!" &amp; $AJ$86 &amp; $AG79),0)))))</f>
        <v/>
      </c>
      <c r="J79" s="273" t="str">
        <f ca="1">IF(ISERROR(MATCH(J$1,INDIRECT("Table!A"&amp;$AG79):INDIRECT("Table!" &amp; $AJ$86 &amp; $AG79),0)),"",INDIRECT(CONCATENATE("Table!",ADDRESS($AC79,MATCH(J$1,INDIRECT("Table!A" &amp; $AG79):INDIRECT("Table!" &amp; $AJ$86 &amp; $AG79),0)))))</f>
        <v/>
      </c>
      <c r="K79" s="273" t="str">
        <f ca="1">IF(ISERROR(MATCH(K$1,INDIRECT("Table!A"&amp;$AG79):INDIRECT("Table!" &amp; $AJ$86 &amp; $AG79),0)),"",INDIRECT(CONCATENATE("Table!",ADDRESS($AC79,MATCH(K$1,INDIRECT("Table!A" &amp; $AG79):INDIRECT("Table!" &amp; $AJ$86 &amp; $AG79),0)))))</f>
        <v/>
      </c>
      <c r="L79" s="24">
        <f ca="1">IF(ISERROR(MATCH(L$1,INDIRECT("Table!A"&amp;$AG79):INDIRECT("Table!" &amp; $AJ$86 &amp; $AG79),0)),"",INDIRECT(CONCATENATE("Table!",ADDRESS($AC79,MATCH(L$1,INDIRECT("Table!A" &amp; $AG79):INDIRECT("Table!" &amp; $AJ$86 &amp; $AG79),0)))))</f>
        <v>1.403114797411761</v>
      </c>
      <c r="M79" s="24">
        <f ca="1">IF(ISERROR(MATCH(M$1,INDIRECT("Table!A"&amp;$AG79):INDIRECT("Table!" &amp; $AJ$86 &amp; $AG79),0)),"",INDIRECT(CONCATENATE("Table!",ADDRESS($AC79,MATCH(M$1,INDIRECT("Table!A" &amp; $AG79):INDIRECT("Table!" &amp; $AJ$86 &amp; $AG79),0)))))</f>
        <v>2.4927834396157782</v>
      </c>
      <c r="N79" s="24">
        <f ca="1">IF(ISERROR(MATCH(N$1,INDIRECT("Table!A"&amp;$AG79):INDIRECT("Table!" &amp; $AJ$86 &amp; $AG79),0)),"",INDIRECT(CONCATENATE("Table!",ADDRESS($AC79,MATCH(N$1,INDIRECT("Table!A" &amp; $AG79):INDIRECT("Table!" &amp; $AJ$86 &amp; $AG79),0)))))</f>
        <v>1.502447468338364</v>
      </c>
      <c r="O79" s="24">
        <f ca="1">IF(ISERROR(MATCH(O$1,INDIRECT("Table!A"&amp;$AG79):INDIRECT("Table!" &amp; $AJ$86 &amp; $AG79),0)),"",INDIRECT(CONCATENATE("Table!",ADDRESS($AC79,MATCH(O$1,INDIRECT("Table!A" &amp; $AG79):INDIRECT("Table!" &amp; $AJ$86 &amp; $AG79),0)))))</f>
        <v>1.4616616812866075</v>
      </c>
      <c r="P79" s="24" t="str">
        <f ca="1">IF(ISERROR(MATCH(P$1,INDIRECT("Table!A"&amp;$AG79):INDIRECT("Table!" &amp; $AJ$86 &amp; $AG79),0)),"",INDIRECT(CONCATENATE("Table!",ADDRESS($AC79,MATCH(P$1,INDIRECT("Table!A" &amp; $AG79):INDIRECT("Table!" &amp; $AJ$86 &amp; $AG79),0)))))</f>
        <v/>
      </c>
      <c r="Q79" s="273" t="str">
        <f ca="1">IF(ISERROR(MATCH(Q$1,INDIRECT("Table!A"&amp;$AG79):INDIRECT("Table!" &amp; $AJ$86 &amp; $AG79),0)),"",INDIRECT(CONCATENATE("Table!",ADDRESS($AC79,MATCH(Q$1,INDIRECT("Table!A" &amp; $AG79):INDIRECT("Table!" &amp; $AJ$86 &amp; $AG79),0)))))</f>
        <v/>
      </c>
      <c r="R79" s="273" t="str">
        <f ca="1">IF(ISERROR(MATCH(R$1,INDIRECT("Table!A"&amp;$AG79):INDIRECT("Table!" &amp; $AJ$86 &amp; $AG79),0)),"",INDIRECT(CONCATENATE("Table!",ADDRESS($AC79,MATCH(R$1,INDIRECT("Table!A" &amp; $AG79):INDIRECT("Table!" &amp; $AJ$86 &amp; $AG79),0)))))</f>
        <v/>
      </c>
      <c r="S79" s="254"/>
      <c r="T79" s="254"/>
      <c r="AC79" s="22">
        <f>MATCH($A79,Table!$A:$A,0)+$AE$2-1</f>
        <v>998</v>
      </c>
      <c r="AD79" s="254"/>
      <c r="AE79" s="254"/>
      <c r="AF79" s="254"/>
      <c r="AG79" s="22">
        <f>MATCH($A79,Table!$A:$A,0)+$AI$2-1</f>
        <v>989</v>
      </c>
      <c r="AH79" s="254"/>
      <c r="AI79" s="254"/>
      <c r="AJ79" s="904" t="s">
        <v>285</v>
      </c>
    </row>
    <row r="80" spans="1:36" ht="19.5" customHeight="1" x14ac:dyDescent="0.25">
      <c r="A80" s="4">
        <v>41304</v>
      </c>
      <c r="B80" s="596">
        <f ca="1">IF(ISERROR(MATCH(B$1,INDIRECT("Table!A"&amp;$AG80):INDIRECT("Table!" &amp; $AJ$86 &amp; $AG80),0)),"",INDIRECT(CONCATENATE("Table!",ADDRESS($AC80,MATCH(B$1,INDIRECT("Table!A" &amp; $AG80):INDIRECT("Table!" &amp; $AJ$86 &amp; $AG80),0)))))</f>
        <v>1.3213597392326777</v>
      </c>
      <c r="C80" s="24">
        <f ca="1">IF(ISERROR(MATCH(C$1,INDIRECT("Table!A"&amp;$AG80):INDIRECT("Table!" &amp; $AJ$86 &amp; $AG80),0)),"",INDIRECT(CONCATENATE("Table!",ADDRESS($AC80,MATCH(C$1,INDIRECT("Table!A" &amp; $AG80):INDIRECT("Table!" &amp; $AJ$86 &amp; $AG80),0)))))</f>
        <v>0.59815913013783273</v>
      </c>
      <c r="D80" s="24">
        <f ca="1">IF(ISERROR(MATCH(D$1,INDIRECT("Table!A"&amp;$AG80):INDIRECT("Table!" &amp; $AJ$86 &amp; $AG80),0)),"",INDIRECT(CONCATENATE("Table!",ADDRESS($AC80,MATCH(D$1,INDIRECT("Table!A" &amp; $AG80):INDIRECT("Table!" &amp; $AJ$86 &amp; $AG80),0)))))</f>
        <v>0.60241569323619182</v>
      </c>
      <c r="E80" s="24">
        <f ca="1">IF(ISERROR(MATCH(E$1,INDIRECT("Table!A"&amp;$AG80):INDIRECT("Table!" &amp; $AJ$86 &amp; $AG80),0)),"",INDIRECT(CONCATENATE("Table!",ADDRESS($AC80,MATCH(E$1,INDIRECT("Table!A" &amp; $AG80):INDIRECT("Table!" &amp; $AJ$86 &amp; $AG80),0)))))</f>
        <v>1.5190858351035013</v>
      </c>
      <c r="F80" s="24">
        <f ca="1">IF(ISERROR(MATCH(F$1,INDIRECT("Table!A"&amp;$AG80):INDIRECT("Table!" &amp; $AJ$86 &amp; $AG80),0)),"",INDIRECT(CONCATENATE("Table!",ADDRESS($AC80,MATCH(F$1,INDIRECT("Table!A" &amp; $AG80):INDIRECT("Table!" &amp; $AJ$86 &amp; $AG80),0)))))</f>
        <v>1.4294862876052039</v>
      </c>
      <c r="G80" s="24">
        <f ca="1">IF(ISERROR(MATCH(G$1,INDIRECT("Table!A"&amp;$AG80):INDIRECT("Table!" &amp; $AJ$86 &amp; $AG80),0)),"",INDIRECT(CONCATENATE("Table!",ADDRESS($AC80,MATCH(G$1,INDIRECT("Table!A" &amp; $AG80):INDIRECT("Table!" &amp; $AJ$86 &amp; $AG80),0)))))</f>
        <v>3.3900681137044772</v>
      </c>
      <c r="H80" s="24">
        <f ca="1">IF(ISERROR(MATCH(H$1,INDIRECT("Table!A"&amp;$AG80):INDIRECT("Table!" &amp; $AJ$86 &amp; $AG80),0)),"",INDIRECT(CONCATENATE("Table!",ADDRESS($AC80,MATCH(H$1,INDIRECT("Table!A" &amp; $AG80):INDIRECT("Table!" &amp; $AJ$86 &amp; $AG80),0)))))</f>
        <v>0.89822321930441984</v>
      </c>
      <c r="I80" s="273" t="str">
        <f ca="1">IF(ISERROR(MATCH(I$1,INDIRECT("Table!A"&amp;$AG80):INDIRECT("Table!" &amp; $AJ$86 &amp; $AG80),0)),"",INDIRECT(CONCATENATE("Table!",ADDRESS($AC80,MATCH(I$1,INDIRECT("Table!A" &amp; $AG80):INDIRECT("Table!" &amp; $AJ$86 &amp; $AG80),0)))))</f>
        <v/>
      </c>
      <c r="J80" s="273" t="str">
        <f ca="1">IF(ISERROR(MATCH(J$1,INDIRECT("Table!A"&amp;$AG80):INDIRECT("Table!" &amp; $AJ$86 &amp; $AG80),0)),"",INDIRECT(CONCATENATE("Table!",ADDRESS($AC80,MATCH(J$1,INDIRECT("Table!A" &amp; $AG80):INDIRECT("Table!" &amp; $AJ$86 &amp; $AG80),0)))))</f>
        <v/>
      </c>
      <c r="K80" s="273" t="str">
        <f ca="1">IF(ISERROR(MATCH(K$1,INDIRECT("Table!A"&amp;$AG80):INDIRECT("Table!" &amp; $AJ$86 &amp; $AG80),0)),"",INDIRECT(CONCATENATE("Table!",ADDRESS($AC80,MATCH(K$1,INDIRECT("Table!A" &amp; $AG80):INDIRECT("Table!" &amp; $AJ$86 &amp; $AG80),0)))))</f>
        <v/>
      </c>
      <c r="L80" s="24">
        <f ca="1">IF(ISERROR(MATCH(L$1,INDIRECT("Table!A"&amp;$AG80):INDIRECT("Table!" &amp; $AJ$86 &amp; $AG80),0)),"",INDIRECT(CONCATENATE("Table!",ADDRESS($AC80,MATCH(L$1,INDIRECT("Table!A" &amp; $AG80):INDIRECT("Table!" &amp; $AJ$86 &amp; $AG80),0)))))</f>
        <v>1.403114797411761</v>
      </c>
      <c r="M80" s="24">
        <f ca="1">IF(ISERROR(MATCH(M$1,INDIRECT("Table!A"&amp;$AG80):INDIRECT("Table!" &amp; $AJ$86 &amp; $AG80),0)),"",INDIRECT(CONCATENATE("Table!",ADDRESS($AC80,MATCH(M$1,INDIRECT("Table!A" &amp; $AG80):INDIRECT("Table!" &amp; $AJ$86 &amp; $AG80),0)))))</f>
        <v>2.492273041696119</v>
      </c>
      <c r="N80" s="24">
        <f ca="1">IF(ISERROR(MATCH(N$1,INDIRECT("Table!A"&amp;$AG80):INDIRECT("Table!" &amp; $AJ$86 &amp; $AG80),0)),"",INDIRECT(CONCATENATE("Table!",ADDRESS($AC80,MATCH(N$1,INDIRECT("Table!A" &amp; $AG80):INDIRECT("Table!" &amp; $AJ$86 &amp; $AG80),0)))))</f>
        <v>1.502447468338364</v>
      </c>
      <c r="O80" s="24">
        <f ca="1">IF(ISERROR(MATCH(O$1,INDIRECT("Table!A"&amp;$AG80):INDIRECT("Table!" &amp; $AJ$86 &amp; $AG80),0)),"",INDIRECT(CONCATENATE("Table!",ADDRESS($AC80,MATCH(O$1,INDIRECT("Table!A" &amp; $AG80):INDIRECT("Table!" &amp; $AJ$86 &amp; $AG80),0)))))</f>
        <v>1.4299445781371205</v>
      </c>
      <c r="P80" s="24" t="str">
        <f ca="1">IF(ISERROR(MATCH(P$1,INDIRECT("Table!A"&amp;$AG80):INDIRECT("Table!" &amp; $AJ$86 &amp; $AG80),0)),"",INDIRECT(CONCATENATE("Table!",ADDRESS($AC80,MATCH(P$1,INDIRECT("Table!A" &amp; $AG80):INDIRECT("Table!" &amp; $AJ$86 &amp; $AG80),0)))))</f>
        <v/>
      </c>
      <c r="Q80" s="273" t="str">
        <f ca="1">IF(ISERROR(MATCH(Q$1,INDIRECT("Table!A"&amp;$AG80):INDIRECT("Table!" &amp; $AJ$86 &amp; $AG80),0)),"",INDIRECT(CONCATENATE("Table!",ADDRESS($AC80,MATCH(Q$1,INDIRECT("Table!A" &amp; $AG80):INDIRECT("Table!" &amp; $AJ$86 &amp; $AG80),0)))))</f>
        <v/>
      </c>
      <c r="R80" s="273" t="str">
        <f ca="1">IF(ISERROR(MATCH(R$1,INDIRECT("Table!A"&amp;$AG80):INDIRECT("Table!" &amp; $AJ$86 &amp; $AG80),0)),"",INDIRECT(CONCATENATE("Table!",ADDRESS($AC80,MATCH(R$1,INDIRECT("Table!A" &amp; $AG80):INDIRECT("Table!" &amp; $AJ$86 &amp; $AG80),0)))))</f>
        <v/>
      </c>
      <c r="S80" s="248"/>
      <c r="T80" s="248"/>
      <c r="AC80" s="22">
        <f>MATCH($A80,Table!$A:$A,0)+$AE$2-1</f>
        <v>1010</v>
      </c>
      <c r="AD80" s="248"/>
      <c r="AE80" s="248"/>
      <c r="AF80" s="248"/>
      <c r="AG80" s="22">
        <f>MATCH($A80,Table!$A:$A,0)+$AI$2-1</f>
        <v>1001</v>
      </c>
      <c r="AH80" s="248"/>
      <c r="AI80" s="248"/>
      <c r="AJ80" s="904" t="s">
        <v>285</v>
      </c>
    </row>
    <row r="81" spans="1:52" ht="19.5" customHeight="1" x14ac:dyDescent="0.25">
      <c r="A81" s="4">
        <v>41297</v>
      </c>
      <c r="B81" s="596">
        <f ca="1">IF(ISERROR(MATCH(B$1,INDIRECT("Table!A"&amp;$AG81):INDIRECT("Table!" &amp; $AJ$86 &amp; $AG81),0)),"",INDIRECT(CONCATENATE("Table!",ADDRESS($AC81,MATCH(B$1,INDIRECT("Table!A" &amp; $AG81):INDIRECT("Table!" &amp; $AJ$86 &amp; $AG81),0)))))</f>
        <v>1.3204191022942668</v>
      </c>
      <c r="C81" s="24">
        <f ca="1">IF(ISERROR(MATCH(C$1,INDIRECT("Table!A"&amp;$AG81):INDIRECT("Table!" &amp; $AJ$86 &amp; $AG81),0)),"",INDIRECT(CONCATENATE("Table!",ADDRESS($AC81,MATCH(C$1,INDIRECT("Table!A" &amp; $AG81):INDIRECT("Table!" &amp; $AJ$86 &amp; $AG81),0)))))</f>
        <v>0.59547077449676378</v>
      </c>
      <c r="D81" s="24">
        <f ca="1">IF(ISERROR(MATCH(D$1,INDIRECT("Table!A"&amp;$AG81):INDIRECT("Table!" &amp; $AJ$86 &amp; $AG81),0)),"",INDIRECT(CONCATENATE("Table!",ADDRESS($AC81,MATCH(D$1,INDIRECT("Table!A" &amp; $AG81):INDIRECT("Table!" &amp; $AJ$86 &amp; $AG81),0)))))</f>
        <v>0.59972733759512298</v>
      </c>
      <c r="E81" s="24">
        <f ca="1">IF(ISERROR(MATCH(E$1,INDIRECT("Table!A"&amp;$AG81):INDIRECT("Table!" &amp; $AJ$86 &amp; $AG81),0)),"",INDIRECT(CONCATENATE("Table!",ADDRESS($AC81,MATCH(E$1,INDIRECT("Table!A" &amp; $AG81):INDIRECT("Table!" &amp; $AJ$86 &amp; $AG81),0)))))</f>
        <v>1.5190858351035013</v>
      </c>
      <c r="F81" s="24">
        <f ca="1">IF(ISERROR(MATCH(F$1,INDIRECT("Table!A"&amp;$AG81):INDIRECT("Table!" &amp; $AJ$86 &amp; $AG81),0)),"",INDIRECT(CONCATENATE("Table!",ADDRESS($AC81,MATCH(F$1,INDIRECT("Table!A" &amp; $AG81):INDIRECT("Table!" &amp; $AJ$86 &amp; $AG81),0)))))</f>
        <v>1.4294862876052039</v>
      </c>
      <c r="G81" s="24">
        <f ca="1">IF(ISERROR(MATCH(G$1,INDIRECT("Table!A"&amp;$AG81):INDIRECT("Table!" &amp; $AJ$86 &amp; $AG81),0)),"",INDIRECT(CONCATENATE("Table!",ADDRESS($AC81,MATCH(G$1,INDIRECT("Table!A" &amp; $AG81):INDIRECT("Table!" &amp; $AJ$86 &amp; $AG81),0)))))</f>
        <v>3.3849641267823083</v>
      </c>
      <c r="H81" s="24">
        <f ca="1">IF(ISERROR(MATCH(H$1,INDIRECT("Table!A"&amp;$AG81):INDIRECT("Table!" &amp; $AJ$86 &amp; $AG81),0)),"",INDIRECT(CONCATENATE("Table!",ADDRESS($AC81,MATCH(H$1,INDIRECT("Table!A" &amp; $AG81):INDIRECT("Table!" &amp; $AJ$86 &amp; $AG81),0)))))</f>
        <v>0.84486342409821646</v>
      </c>
      <c r="I81" s="273" t="str">
        <f ca="1">IF(ISERROR(MATCH(I$1,INDIRECT("Table!A"&amp;$AG81):INDIRECT("Table!" &amp; $AJ$86 &amp; $AG81),0)),"",INDIRECT(CONCATENATE("Table!",ADDRESS($AC81,MATCH(I$1,INDIRECT("Table!A" &amp; $AG81):INDIRECT("Table!" &amp; $AJ$86 &amp; $AG81),0)))))</f>
        <v/>
      </c>
      <c r="J81" s="273" t="str">
        <f ca="1">IF(ISERROR(MATCH(J$1,INDIRECT("Table!A"&amp;$AG81):INDIRECT("Table!" &amp; $AJ$86 &amp; $AG81),0)),"",INDIRECT(CONCATENATE("Table!",ADDRESS($AC81,MATCH(J$1,INDIRECT("Table!A" &amp; $AG81):INDIRECT("Table!" &amp; $AJ$86 &amp; $AG81),0)))))</f>
        <v/>
      </c>
      <c r="K81" s="273" t="str">
        <f ca="1">IF(ISERROR(MATCH(K$1,INDIRECT("Table!A"&amp;$AG81):INDIRECT("Table!" &amp; $AJ$86 &amp; $AG81),0)),"",INDIRECT(CONCATENATE("Table!",ADDRESS($AC81,MATCH(K$1,INDIRECT("Table!A" &amp; $AG81):INDIRECT("Table!" &amp; $AJ$86 &amp; $AG81),0)))))</f>
        <v/>
      </c>
      <c r="L81" s="24">
        <f ca="1">IF(ISERROR(MATCH(L$1,INDIRECT("Table!A"&amp;$AG81):INDIRECT("Table!" &amp; $AJ$86 &amp; $AG81),0)),"",INDIRECT(CONCATENATE("Table!",ADDRESS($AC81,MATCH(L$1,INDIRECT("Table!A" &amp; $AG81):INDIRECT("Table!" &amp; $AJ$86 &amp; $AG81),0)))))</f>
        <v>1.3863445010283535</v>
      </c>
      <c r="M81" s="24">
        <f ca="1">IF(ISERROR(MATCH(M$1,INDIRECT("Table!A"&amp;$AG81):INDIRECT("Table!" &amp; $AJ$86 &amp; $AG81),0)),"",INDIRECT(CONCATENATE("Table!",ADDRESS($AC81,MATCH(M$1,INDIRECT("Table!A" &amp; $AG81):INDIRECT("Table!" &amp; $AJ$86 &amp; $AG81),0)))))</f>
        <v>2.4792578947448085</v>
      </c>
      <c r="N81" s="24">
        <f ca="1">IF(ISERROR(MATCH(N$1,INDIRECT("Table!A"&amp;$AG81):INDIRECT("Table!" &amp; $AJ$86 &amp; $AG81),0)),"",INDIRECT(CONCATENATE("Table!",ADDRESS($AC81,MATCH(N$1,INDIRECT("Table!A" &amp; $AG81):INDIRECT("Table!" &amp; $AJ$86 &amp; $AG81),0)))))</f>
        <v>1.502447468338364</v>
      </c>
      <c r="O81" s="24">
        <f ca="1">IF(ISERROR(MATCH(O$1,INDIRECT("Table!A"&amp;$AG81):INDIRECT("Table!" &amp; $AJ$86 &amp; $AG81),0)),"",INDIRECT(CONCATENATE("Table!",ADDRESS($AC81,MATCH(O$1,INDIRECT("Table!A" &amp; $AG81):INDIRECT("Table!" &amp; $AJ$86 &amp; $AG81),0)))))</f>
        <v>1.2835873431220168</v>
      </c>
      <c r="P81" s="24" t="str">
        <f ca="1">IF(ISERROR(MATCH(P$1,INDIRECT("Table!A"&amp;$AG81):INDIRECT("Table!" &amp; $AJ$86 &amp; $AG81),0)),"",INDIRECT(CONCATENATE("Table!",ADDRESS($AC81,MATCH(P$1,INDIRECT("Table!A" &amp; $AG81):INDIRECT("Table!" &amp; $AJ$86 &amp; $AG81),0)))))</f>
        <v/>
      </c>
      <c r="Q81" s="273" t="str">
        <f ca="1">IF(ISERROR(MATCH(Q$1,INDIRECT("Table!A"&amp;$AG81):INDIRECT("Table!" &amp; $AJ$86 &amp; $AG81),0)),"",INDIRECT(CONCATENATE("Table!",ADDRESS($AC81,MATCH(Q$1,INDIRECT("Table!A" &amp; $AG81):INDIRECT("Table!" &amp; $AJ$86 &amp; $AG81),0)))))</f>
        <v/>
      </c>
      <c r="R81" s="273" t="str">
        <f ca="1">IF(ISERROR(MATCH(R$1,INDIRECT("Table!A"&amp;$AG81):INDIRECT("Table!" &amp; $AJ$86 &amp; $AG81),0)),"",INDIRECT(CONCATENATE("Table!",ADDRESS($AC81,MATCH(R$1,INDIRECT("Table!A" &amp; $AG81):INDIRECT("Table!" &amp; $AJ$86 &amp; $AG81),0)))))</f>
        <v/>
      </c>
      <c r="S81" s="252"/>
      <c r="T81" s="252"/>
      <c r="AC81" s="22">
        <f>MATCH($A81,Table!$A:$A,0)+$AE$2-1</f>
        <v>1022</v>
      </c>
      <c r="AD81" s="252"/>
      <c r="AE81" s="252"/>
      <c r="AF81" s="252"/>
      <c r="AG81" s="22">
        <f>MATCH($A81,Table!$A:$A,0)+$AI$2-1</f>
        <v>1013</v>
      </c>
      <c r="AH81" s="252"/>
      <c r="AI81" s="252"/>
      <c r="AJ81" s="904" t="s">
        <v>285</v>
      </c>
    </row>
    <row r="82" spans="1:52" ht="19.5" customHeight="1" x14ac:dyDescent="0.25">
      <c r="A82" s="4">
        <v>41296</v>
      </c>
      <c r="B82" s="596">
        <f ca="1">IF(ISERROR(MATCH(B$1,INDIRECT("Table!A"&amp;$AG82):INDIRECT("Table!" &amp; $AJ$86 &amp; $AG82),0)),"",INDIRECT(CONCATENATE("Table!",ADDRESS($AC82,MATCH(B$1,INDIRECT("Table!A" &amp; $AG82):INDIRECT("Table!" &amp; $AJ$86 &amp; $AG82),0)))))</f>
        <v>1.3204191022942668</v>
      </c>
      <c r="C82" s="24">
        <f ca="1">IF(ISERROR(MATCH(C$1,INDIRECT("Table!A"&amp;$AG82):INDIRECT("Table!" &amp; $AJ$86 &amp; $AG82),0)),"",INDIRECT(CONCATENATE("Table!",ADDRESS($AC82,MATCH(C$1,INDIRECT("Table!A" &amp; $AG82):INDIRECT("Table!" &amp; $AJ$86 &amp; $AG82),0)))))</f>
        <v>0.59547077449676378</v>
      </c>
      <c r="D82" s="24">
        <f ca="1">IF(ISERROR(MATCH(D$1,INDIRECT("Table!A"&amp;$AG82):INDIRECT("Table!" &amp; $AJ$86 &amp; $AG82),0)),"",INDIRECT(CONCATENATE("Table!",ADDRESS($AC82,MATCH(D$1,INDIRECT("Table!A" &amp; $AG82):INDIRECT("Table!" &amp; $AJ$86 &amp; $AG82),0)))))</f>
        <v>0.59972733759512298</v>
      </c>
      <c r="E82" s="24">
        <f ca="1">IF(ISERROR(MATCH(E$1,INDIRECT("Table!A"&amp;$AG82):INDIRECT("Table!" &amp; $AJ$86 &amp; $AG82),0)),"",INDIRECT(CONCATENATE("Table!",ADDRESS($AC82,MATCH(E$1,INDIRECT("Table!A" &amp; $AG82):INDIRECT("Table!" &amp; $AJ$86 &amp; $AG82),0)))))</f>
        <v>1.5190858351035013</v>
      </c>
      <c r="F82" s="24">
        <f ca="1">IF(ISERROR(MATCH(F$1,INDIRECT("Table!A"&amp;$AG82):INDIRECT("Table!" &amp; $AJ$86 &amp; $AG82),0)),"",INDIRECT(CONCATENATE("Table!",ADDRESS($AC82,MATCH(F$1,INDIRECT("Table!A" &amp; $AG82):INDIRECT("Table!" &amp; $AJ$86 &amp; $AG82),0)))))</f>
        <v>1.4294862876052039</v>
      </c>
      <c r="G82" s="24">
        <f ca="1">IF(ISERROR(MATCH(G$1,INDIRECT("Table!A"&amp;$AG82):INDIRECT("Table!" &amp; $AJ$86 &amp; $AG82),0)),"",INDIRECT(CONCATENATE("Table!",ADDRESS($AC82,MATCH(G$1,INDIRECT("Table!A" &amp; $AG82):INDIRECT("Table!" &amp; $AJ$86 &amp; $AG82),0)))))</f>
        <v>3.3849641267823083</v>
      </c>
      <c r="H82" s="24">
        <f ca="1">IF(ISERROR(MATCH(H$1,INDIRECT("Table!A"&amp;$AG82):INDIRECT("Table!" &amp; $AJ$86 &amp; $AG82),0)),"",INDIRECT(CONCATENATE("Table!",ADDRESS($AC82,MATCH(H$1,INDIRECT("Table!A" &amp; $AG82):INDIRECT("Table!" &amp; $AJ$86 &amp; $AG82),0)))))</f>
        <v>0.84486342409821646</v>
      </c>
      <c r="I82" s="273" t="str">
        <f ca="1">IF(ISERROR(MATCH(I$1,INDIRECT("Table!A"&amp;$AG82):INDIRECT("Table!" &amp; $AJ$86 &amp; $AG82),0)),"",INDIRECT(CONCATENATE("Table!",ADDRESS($AC82,MATCH(I$1,INDIRECT("Table!A" &amp; $AG82):INDIRECT("Table!" &amp; $AJ$86 &amp; $AG82),0)))))</f>
        <v/>
      </c>
      <c r="J82" s="273" t="str">
        <f ca="1">IF(ISERROR(MATCH(J$1,INDIRECT("Table!A"&amp;$AG82):INDIRECT("Table!" &amp; $AJ$86 &amp; $AG82),0)),"",INDIRECT(CONCATENATE("Table!",ADDRESS($AC82,MATCH(J$1,INDIRECT("Table!A" &amp; $AG82):INDIRECT("Table!" &amp; $AJ$86 &amp; $AG82),0)))))</f>
        <v/>
      </c>
      <c r="K82" s="273" t="str">
        <f ca="1">IF(ISERROR(MATCH(K$1,INDIRECT("Table!A"&amp;$AG82):INDIRECT("Table!" &amp; $AJ$86 &amp; $AG82),0)),"",INDIRECT(CONCATENATE("Table!",ADDRESS($AC82,MATCH(K$1,INDIRECT("Table!A" &amp; $AG82):INDIRECT("Table!" &amp; $AJ$86 &amp; $AG82),0)))))</f>
        <v/>
      </c>
      <c r="L82" s="24">
        <f ca="1">IF(ISERROR(MATCH(L$1,INDIRECT("Table!A"&amp;$AG82):INDIRECT("Table!" &amp; $AJ$86 &amp; $AG82),0)),"",INDIRECT(CONCATENATE("Table!",ADDRESS($AC82,MATCH(L$1,INDIRECT("Table!A" &amp; $AG82):INDIRECT("Table!" &amp; $AJ$86 &amp; $AG82),0)))))</f>
        <v>1.3863445010283535</v>
      </c>
      <c r="M82" s="24">
        <f ca="1">IF(ISERROR(MATCH(M$1,INDIRECT("Table!A"&amp;$AG82):INDIRECT("Table!" &amp; $AJ$86 &amp; $AG82),0)),"",INDIRECT(CONCATENATE("Table!",ADDRESS($AC82,MATCH(M$1,INDIRECT("Table!A" &amp; $AG82):INDIRECT("Table!" &amp; $AJ$86 &amp; $AG82),0)))))</f>
        <v>2.4386812601318981</v>
      </c>
      <c r="N82" s="24">
        <f ca="1">IF(ISERROR(MATCH(N$1,INDIRECT("Table!A"&amp;$AG82):INDIRECT("Table!" &amp; $AJ$86 &amp; $AG82),0)),"",INDIRECT(CONCATENATE("Table!",ADDRESS($AC82,MATCH(N$1,INDIRECT("Table!A" &amp; $AG82):INDIRECT("Table!" &amp; $AJ$86 &amp; $AG82),0)))))</f>
        <v>1.502447468338364</v>
      </c>
      <c r="O82" s="24">
        <f ca="1">IF(ISERROR(MATCH(O$1,INDIRECT("Table!A"&amp;$AG82):INDIRECT("Table!" &amp; $AJ$86 &amp; $AG82),0)),"",INDIRECT(CONCATENATE("Table!",ADDRESS($AC82,MATCH(O$1,INDIRECT("Table!A" &amp; $AG82):INDIRECT("Table!" &amp; $AJ$86 &amp; $AG82),0)))))</f>
        <v>1.2835873431220168</v>
      </c>
      <c r="P82" s="24" t="str">
        <f ca="1">IF(ISERROR(MATCH(P$1,INDIRECT("Table!A"&amp;$AG82):INDIRECT("Table!" &amp; $AJ$86 &amp; $AG82),0)),"",INDIRECT(CONCATENATE("Table!",ADDRESS($AC82,MATCH(P$1,INDIRECT("Table!A" &amp; $AG82):INDIRECT("Table!" &amp; $AJ$86 &amp; $AG82),0)))))</f>
        <v/>
      </c>
      <c r="Q82" s="273" t="str">
        <f ca="1">IF(ISERROR(MATCH(Q$1,INDIRECT("Table!A"&amp;$AG82):INDIRECT("Table!" &amp; $AJ$86 &amp; $AG82),0)),"",INDIRECT(CONCATENATE("Table!",ADDRESS($AC82,MATCH(Q$1,INDIRECT("Table!A" &amp; $AG82):INDIRECT("Table!" &amp; $AJ$86 &amp; $AG82),0)))))</f>
        <v/>
      </c>
      <c r="R82" s="273" t="str">
        <f ca="1">IF(ISERROR(MATCH(R$1,INDIRECT("Table!A"&amp;$AG82):INDIRECT("Table!" &amp; $AJ$86 &amp; $AG82),0)),"",INDIRECT(CONCATENATE("Table!",ADDRESS($AC82,MATCH(R$1,INDIRECT("Table!A" &amp; $AG82):INDIRECT("Table!" &amp; $AJ$86 &amp; $AG82),0)))))</f>
        <v/>
      </c>
      <c r="S82" s="247"/>
      <c r="T82" s="247"/>
      <c r="AC82" s="22">
        <f>MATCH($A82,Table!$A:$A,0)+$AE$2-1</f>
        <v>1034</v>
      </c>
      <c r="AD82" s="247"/>
      <c r="AE82" s="247"/>
      <c r="AF82" s="247"/>
      <c r="AG82" s="22">
        <f>MATCH($A82,Table!$A:$A,0)+$AI$2-1</f>
        <v>1025</v>
      </c>
      <c r="AH82" s="247"/>
      <c r="AI82" s="247"/>
      <c r="AJ82" s="904" t="s">
        <v>285</v>
      </c>
    </row>
    <row r="83" spans="1:52" ht="19.5" customHeight="1" x14ac:dyDescent="0.25">
      <c r="A83" s="4">
        <v>41292</v>
      </c>
      <c r="B83" s="596">
        <f ca="1">IF(ISERROR(MATCH(B$1,INDIRECT("Table!A"&amp;$AG83):INDIRECT("Table!" &amp; $AJ$86 &amp; $AG83),0)),"",INDIRECT(CONCATENATE("Table!",ADDRESS($AC83,MATCH(B$1,INDIRECT("Table!A" &amp; $AG83):INDIRECT("Table!" &amp; $AJ$86 &amp; $AG83),0)))))</f>
        <v>1.3215948984672805</v>
      </c>
      <c r="C83" s="24">
        <f ca="1">IF(ISERROR(MATCH(C$1,INDIRECT("Table!A"&amp;$AG83):INDIRECT("Table!" &amp; $AJ$86 &amp; $AG83),0)),"",INDIRECT(CONCATENATE("Table!",ADDRESS($AC83,MATCH(C$1,INDIRECT("Table!A" &amp; $AG83):INDIRECT("Table!" &amp; $AJ$86 &amp; $AG83),0)))))</f>
        <v>0.60062345614214585</v>
      </c>
      <c r="D83" s="24">
        <f ca="1">IF(ISERROR(MATCH(D$1,INDIRECT("Table!A"&amp;$AG83):INDIRECT("Table!" &amp; $AJ$86 &amp; $AG83),0)),"",INDIRECT(CONCATENATE("Table!",ADDRESS($AC83,MATCH(D$1,INDIRECT("Table!A" &amp; $AG83):INDIRECT("Table!" &amp; $AJ$86 &amp; $AG83),0)))))</f>
        <v>0.60488001924050505</v>
      </c>
      <c r="E83" s="24">
        <f ca="1">IF(ISERROR(MATCH(E$1,INDIRECT("Table!A"&amp;$AG83):INDIRECT("Table!" &amp; $AJ$86 &amp; $AG83),0)),"",INDIRECT(CONCATENATE("Table!",ADDRESS($AC83,MATCH(E$1,INDIRECT("Table!A" &amp; $AG83):INDIRECT("Table!" &amp; $AJ$86 &amp; $AG83),0)))))</f>
        <v>1.5190858351035013</v>
      </c>
      <c r="F83" s="24">
        <f ca="1">IF(ISERROR(MATCH(F$1,INDIRECT("Table!A"&amp;$AG83):INDIRECT("Table!" &amp; $AJ$86 &amp; $AG83),0)),"",INDIRECT(CONCATENATE("Table!",ADDRESS($AC83,MATCH(F$1,INDIRECT("Table!A" &amp; $AG83):INDIRECT("Table!" &amp; $AJ$86 &amp; $AG83),0)))))</f>
        <v>1.4294862876052039</v>
      </c>
      <c r="G83" s="24">
        <f ca="1">IF(ISERROR(MATCH(G$1,INDIRECT("Table!A"&amp;$AG83):INDIRECT("Table!" &amp; $AJ$86 &amp; $AG83),0)),"",INDIRECT(CONCATENATE("Table!",ADDRESS($AC83,MATCH(G$1,INDIRECT("Table!A" &amp; $AG83):INDIRECT("Table!" &amp; $AJ$86 &amp; $AG83),0)))))</f>
        <v>3.3849641267823083</v>
      </c>
      <c r="H83" s="24">
        <f ca="1">IF(ISERROR(MATCH(H$1,INDIRECT("Table!A"&amp;$AG83):INDIRECT("Table!" &amp; $AJ$86 &amp; $AG83),0)),"",INDIRECT(CONCATENATE("Table!",ADDRESS($AC83,MATCH(H$1,INDIRECT("Table!A" &amp; $AG83):INDIRECT("Table!" &amp; $AJ$86 &amp; $AG83),0)))))</f>
        <v>0.84486342409821646</v>
      </c>
      <c r="I83" s="273" t="str">
        <f ca="1">IF(ISERROR(MATCH(I$1,INDIRECT("Table!A"&amp;$AG83):INDIRECT("Table!" &amp; $AJ$86 &amp; $AG83),0)),"",INDIRECT(CONCATENATE("Table!",ADDRESS($AC83,MATCH(I$1,INDIRECT("Table!A" &amp; $AG83):INDIRECT("Table!" &amp; $AJ$86 &amp; $AG83),0)))))</f>
        <v/>
      </c>
      <c r="J83" s="273" t="str">
        <f ca="1">IF(ISERROR(MATCH(J$1,INDIRECT("Table!A"&amp;$AG83):INDIRECT("Table!" &amp; $AJ$86 &amp; $AG83),0)),"",INDIRECT(CONCATENATE("Table!",ADDRESS($AC83,MATCH(J$1,INDIRECT("Table!A" &amp; $AG83):INDIRECT("Table!" &amp; $AJ$86 &amp; $AG83),0)))))</f>
        <v/>
      </c>
      <c r="K83" s="273" t="str">
        <f ca="1">IF(ISERROR(MATCH(K$1,INDIRECT("Table!A"&amp;$AG83):INDIRECT("Table!" &amp; $AJ$86 &amp; $AG83),0)),"",INDIRECT(CONCATENATE("Table!",ADDRESS($AC83,MATCH(K$1,INDIRECT("Table!A" &amp; $AG83):INDIRECT("Table!" &amp; $AJ$86 &amp; $AG83),0)))))</f>
        <v/>
      </c>
      <c r="L83" s="24">
        <f ca="1">IF(ISERROR(MATCH(L$1,INDIRECT("Table!A"&amp;$AG83):INDIRECT("Table!" &amp; $AJ$86 &amp; $AG83),0)),"",INDIRECT(CONCATENATE("Table!",ADDRESS($AC83,MATCH(L$1,INDIRECT("Table!A" &amp; $AG83):INDIRECT("Table!" &amp; $AJ$86 &amp; $AG83),0)))))</f>
        <v>1.3863445010283535</v>
      </c>
      <c r="M83" s="24">
        <f ca="1">IF(ISERROR(MATCH(M$1,INDIRECT("Table!A"&amp;$AG83):INDIRECT("Table!" &amp; $AJ$86 &amp; $AG83),0)),"",INDIRECT(CONCATENATE("Table!",ADDRESS($AC83,MATCH(M$1,INDIRECT("Table!A" &amp; $AG83):INDIRECT("Table!" &amp; $AJ$86 &amp; $AG83),0)))))</f>
        <v>2.4386812601318981</v>
      </c>
      <c r="N83" s="24">
        <f ca="1">IF(ISERROR(MATCH(N$1,INDIRECT("Table!A"&amp;$AG83):INDIRECT("Table!" &amp; $AJ$86 &amp; $AG83),0)),"",INDIRECT(CONCATENATE("Table!",ADDRESS($AC83,MATCH(N$1,INDIRECT("Table!A" &amp; $AG83):INDIRECT("Table!" &amp; $AJ$86 &amp; $AG83),0)))))</f>
        <v>1.502447468338364</v>
      </c>
      <c r="O83" s="24">
        <f ca="1">IF(ISERROR(MATCH(O$1,INDIRECT("Table!A"&amp;$AG83):INDIRECT("Table!" &amp; $AJ$86 &amp; $AG83),0)),"",INDIRECT(CONCATENATE("Table!",ADDRESS($AC83,MATCH(O$1,INDIRECT("Table!A" &amp; $AG83):INDIRECT("Table!" &amp; $AJ$86 &amp; $AG83),0)))))</f>
        <v>1.2835873431220168</v>
      </c>
      <c r="P83" s="24" t="str">
        <f ca="1">IF(ISERROR(MATCH(P$1,INDIRECT("Table!A"&amp;$AG83):INDIRECT("Table!" &amp; $AJ$86 &amp; $AG83),0)),"",INDIRECT(CONCATENATE("Table!",ADDRESS($AC83,MATCH(P$1,INDIRECT("Table!A" &amp; $AG83):INDIRECT("Table!" &amp; $AJ$86 &amp; $AG83),0)))))</f>
        <v/>
      </c>
      <c r="Q83" s="273" t="str">
        <f ca="1">IF(ISERROR(MATCH(Q$1,INDIRECT("Table!A"&amp;$AG83):INDIRECT("Table!" &amp; $AJ$86 &amp; $AG83),0)),"",INDIRECT(CONCATENATE("Table!",ADDRESS($AC83,MATCH(Q$1,INDIRECT("Table!A" &amp; $AG83):INDIRECT("Table!" &amp; $AJ$86 &amp; $AG83),0)))))</f>
        <v/>
      </c>
      <c r="R83" s="273" t="str">
        <f ca="1">IF(ISERROR(MATCH(R$1,INDIRECT("Table!A"&amp;$AG83):INDIRECT("Table!" &amp; $AJ$86 &amp; $AG83),0)),"",INDIRECT(CONCATENATE("Table!",ADDRESS($AC83,MATCH(R$1,INDIRECT("Table!A" &amp; $AG83):INDIRECT("Table!" &amp; $AJ$86 &amp; $AG83),0)))))</f>
        <v/>
      </c>
      <c r="S83" s="246"/>
      <c r="T83" s="246"/>
      <c r="AC83" s="22">
        <f>MATCH($A83,Table!$A:$A,0)+$AE$2-1</f>
        <v>1046</v>
      </c>
      <c r="AD83" s="246"/>
      <c r="AE83" s="246"/>
      <c r="AF83" s="246"/>
      <c r="AG83" s="22">
        <f>MATCH($A83,Table!$A:$A,0)+$AI$2-1</f>
        <v>1037</v>
      </c>
      <c r="AH83" s="246"/>
      <c r="AI83" s="246"/>
      <c r="AJ83" s="904" t="s">
        <v>285</v>
      </c>
    </row>
    <row r="84" spans="1:52" ht="19.5" customHeight="1" x14ac:dyDescent="0.25">
      <c r="A84" s="4">
        <v>41289</v>
      </c>
      <c r="B84" s="596">
        <f ca="1">IF(ISERROR(MATCH(B$1,INDIRECT("Table!A"&amp;$AG84):INDIRECT("Table!" &amp; $AJ$86 &amp; $AG84),0)),"",INDIRECT(CONCATENATE("Table!",ADDRESS($AC84,MATCH(B$1,INDIRECT("Table!A" &amp; $AG84):INDIRECT("Table!" &amp; $AJ$86 &amp; $AG84),0)))))</f>
        <v>1.3215948984672805</v>
      </c>
      <c r="C84" s="24">
        <f ca="1">IF(ISERROR(MATCH(C$1,INDIRECT("Table!A"&amp;$AG84):INDIRECT("Table!" &amp; $AJ$86 &amp; $AG84),0)),"",INDIRECT(CONCATENATE("Table!",ADDRESS($AC84,MATCH(C$1,INDIRECT("Table!A" &amp; $AG84):INDIRECT("Table!" &amp; $AJ$86 &amp; $AG84),0)))))</f>
        <v>0.60062345614214585</v>
      </c>
      <c r="D84" s="24">
        <f ca="1">IF(ISERROR(MATCH(D$1,INDIRECT("Table!A"&amp;$AG84):INDIRECT("Table!" &amp; $AJ$86 &amp; $AG84),0)),"",INDIRECT(CONCATENATE("Table!",ADDRESS($AC84,MATCH(D$1,INDIRECT("Table!A" &amp; $AG84):INDIRECT("Table!" &amp; $AJ$86 &amp; $AG84),0)))))</f>
        <v>0.60488001924050505</v>
      </c>
      <c r="E84" s="24">
        <f ca="1">IF(ISERROR(MATCH(E$1,INDIRECT("Table!A"&amp;$AG84):INDIRECT("Table!" &amp; $AJ$86 &amp; $AG84),0)),"",INDIRECT(CONCATENATE("Table!",ADDRESS($AC84,MATCH(E$1,INDIRECT("Table!A" &amp; $AG84):INDIRECT("Table!" &amp; $AJ$86 &amp; $AG84),0)))))</f>
        <v>1.5190858351035013</v>
      </c>
      <c r="F84" s="24">
        <f ca="1">IF(ISERROR(MATCH(F$1,INDIRECT("Table!A"&amp;$AG84):INDIRECT("Table!" &amp; $AJ$86 &amp; $AG84),0)),"",INDIRECT(CONCATENATE("Table!",ADDRESS($AC84,MATCH(F$1,INDIRECT("Table!A" &amp; $AG84):INDIRECT("Table!" &amp; $AJ$86 &amp; $AG84),0)))))</f>
        <v>1.4294862876052039</v>
      </c>
      <c r="G84" s="24">
        <f ca="1">IF(ISERROR(MATCH(G$1,INDIRECT("Table!A"&amp;$AG84):INDIRECT("Table!" &amp; $AJ$86 &amp; $AG84),0)),"",INDIRECT(CONCATENATE("Table!",ADDRESS($AC84,MATCH(G$1,INDIRECT("Table!A" &amp; $AG84):INDIRECT("Table!" &amp; $AJ$86 &amp; $AG84),0)))))</f>
        <v>3.3849641267823083</v>
      </c>
      <c r="H84" s="24">
        <f ca="1">IF(ISERROR(MATCH(H$1,INDIRECT("Table!A"&amp;$AG84):INDIRECT("Table!" &amp; $AJ$86 &amp; $AG84),0)),"",INDIRECT(CONCATENATE("Table!",ADDRESS($AC84,MATCH(H$1,INDIRECT("Table!A" &amp; $AG84):INDIRECT("Table!" &amp; $AJ$86 &amp; $AG84),0)))))</f>
        <v>0.84486342409821646</v>
      </c>
      <c r="I84" s="273" t="str">
        <f ca="1">IF(ISERROR(MATCH(I$1,INDIRECT("Table!A"&amp;$AG84):INDIRECT("Table!" &amp; $AJ$86 &amp; $AG84),0)),"",INDIRECT(CONCATENATE("Table!",ADDRESS($AC84,MATCH(I$1,INDIRECT("Table!A" &amp; $AG84):INDIRECT("Table!" &amp; $AJ$86 &amp; $AG84),0)))))</f>
        <v/>
      </c>
      <c r="J84" s="273" t="str">
        <f ca="1">IF(ISERROR(MATCH(J$1,INDIRECT("Table!A"&amp;$AG84):INDIRECT("Table!" &amp; $AJ$86 &amp; $AG84),0)),"",INDIRECT(CONCATENATE("Table!",ADDRESS($AC84,MATCH(J$1,INDIRECT("Table!A" &amp; $AG84):INDIRECT("Table!" &amp; $AJ$86 &amp; $AG84),0)))))</f>
        <v/>
      </c>
      <c r="K84" s="273" t="str">
        <f ca="1">IF(ISERROR(MATCH(K$1,INDIRECT("Table!A"&amp;$AG84):INDIRECT("Table!" &amp; $AJ$86 &amp; $AG84),0)),"",INDIRECT(CONCATENATE("Table!",ADDRESS($AC84,MATCH(K$1,INDIRECT("Table!A" &amp; $AG84):INDIRECT("Table!" &amp; $AJ$86 &amp; $AG84),0)))))</f>
        <v/>
      </c>
      <c r="L84" s="24">
        <f ca="1">IF(ISERROR(MATCH(L$1,INDIRECT("Table!A"&amp;$AG84):INDIRECT("Table!" &amp; $AJ$86 &amp; $AG84),0)),"",INDIRECT(CONCATENATE("Table!",ADDRESS($AC84,MATCH(L$1,INDIRECT("Table!A" &amp; $AG84):INDIRECT("Table!" &amp; $AJ$86 &amp; $AG84),0)))))</f>
        <v>1.3863445010283535</v>
      </c>
      <c r="M84" s="24">
        <f ca="1">IF(ISERROR(MATCH(M$1,INDIRECT("Table!A"&amp;$AG84):INDIRECT("Table!" &amp; $AJ$86 &amp; $AG84),0)),"",INDIRECT(CONCATENATE("Table!",ADDRESS($AC84,MATCH(M$1,INDIRECT("Table!A" &amp; $AG84):INDIRECT("Table!" &amp; $AJ$86 &amp; $AG84),0)))))</f>
        <v>2.4386812601318981</v>
      </c>
      <c r="N84" s="24">
        <f ca="1">IF(ISERROR(MATCH(N$1,INDIRECT("Table!A"&amp;$AG84):INDIRECT("Table!" &amp; $AJ$86 &amp; $AG84),0)),"",INDIRECT(CONCATENATE("Table!",ADDRESS($AC84,MATCH(N$1,INDIRECT("Table!A" &amp; $AG84):INDIRECT("Table!" &amp; $AJ$86 &amp; $AG84),0)))))</f>
        <v>1.502447468338364</v>
      </c>
      <c r="O84" s="24">
        <f ca="1">IF(ISERROR(MATCH(O$1,INDIRECT("Table!A"&amp;$AG84):INDIRECT("Table!" &amp; $AJ$86 &amp; $AG84),0)),"",INDIRECT(CONCATENATE("Table!",ADDRESS($AC84,MATCH(O$1,INDIRECT("Table!A" &amp; $AG84):INDIRECT("Table!" &amp; $AJ$86 &amp; $AG84),0)))))</f>
        <v>1.2835873431220168</v>
      </c>
      <c r="P84" s="24" t="str">
        <f ca="1">IF(ISERROR(MATCH(P$1,INDIRECT("Table!A"&amp;$AG84):INDIRECT("Table!" &amp; $AJ$86 &amp; $AG84),0)),"",INDIRECT(CONCATENATE("Table!",ADDRESS($AC84,MATCH(P$1,INDIRECT("Table!A" &amp; $AG84):INDIRECT("Table!" &amp; $AJ$86 &amp; $AG84),0)))))</f>
        <v/>
      </c>
      <c r="Q84" s="273" t="str">
        <f ca="1">IF(ISERROR(MATCH(Q$1,INDIRECT("Table!A"&amp;$AG84):INDIRECT("Table!" &amp; $AJ$86 &amp; $AG84),0)),"",INDIRECT(CONCATENATE("Table!",ADDRESS($AC84,MATCH(Q$1,INDIRECT("Table!A" &amp; $AG84):INDIRECT("Table!" &amp; $AJ$86 &amp; $AG84),0)))))</f>
        <v/>
      </c>
      <c r="R84" s="273" t="str">
        <f ca="1">IF(ISERROR(MATCH(R$1,INDIRECT("Table!A"&amp;$AG84):INDIRECT("Table!" &amp; $AJ$86 &amp; $AG84),0)),"",INDIRECT(CONCATENATE("Table!",ADDRESS($AC84,MATCH(R$1,INDIRECT("Table!A" &amp; $AG84):INDIRECT("Table!" &amp; $AJ$86 &amp; $AG84),0)))))</f>
        <v/>
      </c>
      <c r="S84" s="246"/>
      <c r="T84" s="246"/>
      <c r="AC84" s="22">
        <f>MATCH($A84,Table!$A:$A,0)+$AE$2-1</f>
        <v>1058</v>
      </c>
      <c r="AD84" s="246"/>
      <c r="AE84" s="246"/>
      <c r="AF84" s="246"/>
      <c r="AG84" s="22">
        <f>MATCH($A84,Table!$A:$A,0)+$AI$2-1</f>
        <v>1049</v>
      </c>
      <c r="AH84" s="246"/>
      <c r="AI84" s="246"/>
      <c r="AJ84" s="904" t="s">
        <v>285</v>
      </c>
    </row>
    <row r="85" spans="1:52" ht="19.5" customHeight="1" x14ac:dyDescent="0.25">
      <c r="A85" s="4">
        <v>41285</v>
      </c>
      <c r="B85" s="596">
        <f ca="1">IF(ISERROR(MATCH(B$1,INDIRECT("Table!A"&amp;$AG85):INDIRECT("Table!" &amp; $AJ$86 &amp; $AG85),0)),"",INDIRECT(CONCATENATE("Table!",ADDRESS($AC85,MATCH(B$1,INDIRECT("Table!A" &amp; $AG85):INDIRECT("Table!" &amp; $AJ$86 &amp; $AG85),0)))))</f>
        <v>1.2938461087841597</v>
      </c>
      <c r="C85" s="24">
        <f ca="1">IF(ISERROR(MATCH(C$1,INDIRECT("Table!A"&amp;$AG85):INDIRECT("Table!" &amp; $AJ$86 &amp; $AG85),0)),"",INDIRECT(CONCATENATE("Table!",ADDRESS($AC85,MATCH(C$1,INDIRECT("Table!A" &amp; $AG85):INDIRECT("Table!" &amp; $AJ$86 &amp; $AG85),0)))))</f>
        <v>0.60532807851401649</v>
      </c>
      <c r="D85" s="24">
        <f ca="1">IF(ISERROR(MATCH(D$1,INDIRECT("Table!A"&amp;$AG85):INDIRECT("Table!" &amp; $AJ$86 &amp; $AG85),0)),"",INDIRECT(CONCATENATE("Table!",ADDRESS($AC85,MATCH(D$1,INDIRECT("Table!A" &amp; $AG85):INDIRECT("Table!" &amp; $AJ$86 &amp; $AG85),0)))))</f>
        <v>0.60868852306535259</v>
      </c>
      <c r="E85" s="24">
        <f ca="1">IF(ISERROR(MATCH(E$1,INDIRECT("Table!A"&amp;$AG85):INDIRECT("Table!" &amp; $AJ$86 &amp; $AG85),0)),"",INDIRECT(CONCATENATE("Table!",ADDRESS($AC85,MATCH(E$1,INDIRECT("Table!A" &amp; $AG85):INDIRECT("Table!" &amp; $AJ$86 &amp; $AG85),0)))))</f>
        <v>1.5213091586821379</v>
      </c>
      <c r="F85" s="24">
        <f ca="1">IF(ISERROR(MATCH(F$1,INDIRECT("Table!A"&amp;$AG85):INDIRECT("Table!" &amp; $AJ$86 &amp; $AG85),0)),"",INDIRECT(CONCATENATE("Table!",ADDRESS($AC85,MATCH(F$1,INDIRECT("Table!A" &amp; $AG85):INDIRECT("Table!" &amp; $AJ$86 &amp; $AG85),0)))))</f>
        <v>1.4294862876052039</v>
      </c>
      <c r="G85" s="24">
        <f ca="1">IF(ISERROR(MATCH(G$1,INDIRECT("Table!A"&amp;$AG85):INDIRECT("Table!" &amp; $AJ$86 &amp; $AG85),0)),"",INDIRECT(CONCATENATE("Table!",ADDRESS($AC85,MATCH(G$1,INDIRECT("Table!A" &amp; $AG85):INDIRECT("Table!" &amp; $AJ$86 &amp; $AG85),0)))))</f>
        <v>3.3852193261284169</v>
      </c>
      <c r="H85" s="24">
        <f ca="1">IF(ISERROR(MATCH(H$1,INDIRECT("Table!A"&amp;$AG85):INDIRECT("Table!" &amp; $AJ$86 &amp; $AG85),0)),"",INDIRECT(CONCATENATE("Table!",ADDRESS($AC85,MATCH(H$1,INDIRECT("Table!A" &amp; $AG85):INDIRECT("Table!" &amp; $AJ$86 &amp; $AG85),0)))))</f>
        <v>0.84486342409821646</v>
      </c>
      <c r="I85" s="273" t="str">
        <f ca="1">IF(ISERROR(MATCH(I$1,INDIRECT("Table!A"&amp;$AG85):INDIRECT("Table!" &amp; $AJ$86 &amp; $AG85),0)),"",INDIRECT(CONCATENATE("Table!",ADDRESS($AC85,MATCH(I$1,INDIRECT("Table!A" &amp; $AG85):INDIRECT("Table!" &amp; $AJ$86 &amp; $AG85),0)))))</f>
        <v/>
      </c>
      <c r="J85" s="273" t="str">
        <f ca="1">IF(ISERROR(MATCH(J$1,INDIRECT("Table!A"&amp;$AG85):INDIRECT("Table!" &amp; $AJ$86 &amp; $AG85),0)),"",INDIRECT(CONCATENATE("Table!",ADDRESS($AC85,MATCH(J$1,INDIRECT("Table!A" &amp; $AG85):INDIRECT("Table!" &amp; $AJ$86 &amp; $AG85),0)))))</f>
        <v/>
      </c>
      <c r="K85" s="273" t="str">
        <f ca="1">IF(ISERROR(MATCH(K$1,INDIRECT("Table!A"&amp;$AG85):INDIRECT("Table!" &amp; $AJ$86 &amp; $AG85),0)),"",INDIRECT(CONCATENATE("Table!",ADDRESS($AC85,MATCH(K$1,INDIRECT("Table!A" &amp; $AG85):INDIRECT("Table!" &amp; $AJ$86 &amp; $AG85),0)))))</f>
        <v/>
      </c>
      <c r="L85" s="24">
        <f ca="1">IF(ISERROR(MATCH(L$1,INDIRECT("Table!A"&amp;$AG85):INDIRECT("Table!" &amp; $AJ$86 &amp; $AG85),0)),"",INDIRECT(CONCATENATE("Table!",ADDRESS($AC85,MATCH(L$1,INDIRECT("Table!A" &amp; $AG85):INDIRECT("Table!" &amp; $AJ$86 &amp; $AG85),0)))))</f>
        <v>1.3873926445523164</v>
      </c>
      <c r="M85" s="24">
        <f ca="1">IF(ISERROR(MATCH(M$1,INDIRECT("Table!A"&amp;$AG85):INDIRECT("Table!" &amp; $AJ$86 &amp; $AG85),0)),"",INDIRECT(CONCATENATE("Table!",ADDRESS($AC85,MATCH(M$1,INDIRECT("Table!A" &amp; $AG85):INDIRECT("Table!" &amp; $AJ$86 &amp; $AG85),0)))))</f>
        <v>2.4389364590917273</v>
      </c>
      <c r="N85" s="24">
        <f ca="1">IF(ISERROR(MATCH(N$1,INDIRECT("Table!A"&amp;$AG85):INDIRECT("Table!" &amp; $AJ$86 &amp; $AG85),0)),"",INDIRECT(CONCATENATE("Table!",ADDRESS($AC85,MATCH(N$1,INDIRECT("Table!A" &amp; $AG85):INDIRECT("Table!" &amp; $AJ$86 &amp; $AG85),0)))))</f>
        <v>1.502447468338364</v>
      </c>
      <c r="O85" s="24">
        <f ca="1">IF(ISERROR(MATCH(O$1,INDIRECT("Table!A"&amp;$AG85):INDIRECT("Table!" &amp; $AJ$86 &amp; $AG85),0)),"",INDIRECT(CONCATENATE("Table!",ADDRESS($AC85,MATCH(O$1,INDIRECT("Table!A" &amp; $AG85):INDIRECT("Table!" &amp; $AJ$86 &amp; $AG85),0)))))</f>
        <v>1.2835873431220168</v>
      </c>
      <c r="P85" s="24" t="str">
        <f ca="1">IF(ISERROR(MATCH(P$1,INDIRECT("Table!A"&amp;$AG85):INDIRECT("Table!" &amp; $AJ$86 &amp; $AG85),0)),"",INDIRECT(CONCATENATE("Table!",ADDRESS($AC85,MATCH(P$1,INDIRECT("Table!A" &amp; $AG85):INDIRECT("Table!" &amp; $AJ$86 &amp; $AG85),0)))))</f>
        <v/>
      </c>
      <c r="Q85" s="273" t="str">
        <f ca="1">IF(ISERROR(MATCH(Q$1,INDIRECT("Table!A"&amp;$AG85):INDIRECT("Table!" &amp; $AJ$86 &amp; $AG85),0)),"",INDIRECT(CONCATENATE("Table!",ADDRESS($AC85,MATCH(Q$1,INDIRECT("Table!A" &amp; $AG85):INDIRECT("Table!" &amp; $AJ$86 &amp; $AG85),0)))))</f>
        <v/>
      </c>
      <c r="R85" s="273" t="str">
        <f ca="1">IF(ISERROR(MATCH(R$1,INDIRECT("Table!A"&amp;$AG85):INDIRECT("Table!" &amp; $AJ$86 &amp; $AG85),0)),"",INDIRECT(CONCATENATE("Table!",ADDRESS($AC85,MATCH(R$1,INDIRECT("Table!A" &amp; $AG85):INDIRECT("Table!" &amp; $AJ$86 &amp; $AG85),0)))))</f>
        <v/>
      </c>
      <c r="S85" s="245"/>
      <c r="T85" s="245"/>
      <c r="AC85" s="22">
        <f>MATCH($A85,Table!$A:$A,0)+$AE$2-1</f>
        <v>1070</v>
      </c>
      <c r="AD85" s="245"/>
      <c r="AE85" s="245"/>
      <c r="AF85" s="245"/>
      <c r="AG85" s="22">
        <f>MATCH($A85,Table!$A:$A,0)+$AI$2-1</f>
        <v>1061</v>
      </c>
      <c r="AH85" s="245"/>
      <c r="AI85" s="245"/>
      <c r="AJ85" s="904" t="s">
        <v>285</v>
      </c>
    </row>
    <row r="86" spans="1:52" ht="19.5" customHeight="1" x14ac:dyDescent="0.25">
      <c r="A86" s="4">
        <v>41283</v>
      </c>
      <c r="B86" s="596">
        <f ca="1">IF(ISERROR(MATCH(B$1,INDIRECT("Table!A"&amp;$AG86):INDIRECT("Table!" &amp; $AJ$86 &amp; $AG86),0)),"",INDIRECT(CONCATENATE("Table!",ADDRESS($AC86,MATCH(B$1,INDIRECT("Table!A" &amp; $AG86):INDIRECT("Table!" &amp; $AJ$86 &amp; $AG86),0)))))</f>
        <v>1.2938461087841597</v>
      </c>
      <c r="C86" s="24">
        <f ca="1">IF(ISERROR(MATCH(C$1,INDIRECT("Table!A"&amp;$AG86):INDIRECT("Table!" &amp; $AJ$86 &amp; $AG86),0)),"",INDIRECT(CONCATENATE("Table!",ADDRESS($AC86,MATCH(C$1,INDIRECT("Table!A" &amp; $AG86):INDIRECT("Table!" &amp; $AJ$86 &amp; $AG86),0)))))</f>
        <v>0.60532807851401649</v>
      </c>
      <c r="D86" s="24">
        <f ca="1">IF(ISERROR(MATCH(D$1,INDIRECT("Table!A"&amp;$AG86):INDIRECT("Table!" &amp; $AJ$86 &amp; $AG86),0)),"",INDIRECT(CONCATENATE("Table!",ADDRESS($AC86,MATCH(D$1,INDIRECT("Table!A" &amp; $AG86):INDIRECT("Table!" &amp; $AJ$86 &amp; $AG86),0)))))</f>
        <v>0.60868852306535259</v>
      </c>
      <c r="E86" s="24">
        <f ca="1">IF(ISERROR(MATCH(E$1,INDIRECT("Table!A"&amp;$AG86):INDIRECT("Table!" &amp; $AJ$86 &amp; $AG86),0)),"",INDIRECT(CONCATENATE("Table!",ADDRESS($AC86,MATCH(E$1,INDIRECT("Table!A" &amp; $AG86):INDIRECT("Table!" &amp; $AJ$86 &amp; $AG86),0)))))</f>
        <v>1.5213091586821379</v>
      </c>
      <c r="F86" s="24">
        <f ca="1">IF(ISERROR(MATCH(F$1,INDIRECT("Table!A"&amp;$AG86):INDIRECT("Table!" &amp; $AJ$86 &amp; $AG86),0)),"",INDIRECT(CONCATENATE("Table!",ADDRESS($AC86,MATCH(F$1,INDIRECT("Table!A" &amp; $AG86):INDIRECT("Table!" &amp; $AJ$86 &amp; $AG86),0)))))</f>
        <v>1.4294862876052039</v>
      </c>
      <c r="G86" s="24">
        <f ca="1">IF(ISERROR(MATCH(G$1,INDIRECT("Table!A"&amp;$AG86):INDIRECT("Table!" &amp; $AJ$86 &amp; $AG86),0)),"",INDIRECT(CONCATENATE("Table!",ADDRESS($AC86,MATCH(G$1,INDIRECT("Table!A" &amp; $AG86):INDIRECT("Table!" &amp; $AJ$86 &amp; $AG86),0)))))</f>
        <v>3.2941131595677051</v>
      </c>
      <c r="H86" s="24">
        <f ca="1">IF(ISERROR(MATCH(H$1,INDIRECT("Table!A"&amp;$AG86):INDIRECT("Table!" &amp; $AJ$86 &amp; $AG86),0)),"",INDIRECT(CONCATENATE("Table!",ADDRESS($AC86,MATCH(H$1,INDIRECT("Table!A" &amp; $AG86):INDIRECT("Table!" &amp; $AJ$86 &amp; $AG86),0)))))</f>
        <v>0.84486342409821646</v>
      </c>
      <c r="I86" s="273" t="str">
        <f ca="1">IF(ISERROR(MATCH(I$1,INDIRECT("Table!A"&amp;$AG86):INDIRECT("Table!" &amp; $AJ$86 &amp; $AG86),0)),"",INDIRECT(CONCATENATE("Table!",ADDRESS($AC86,MATCH(I$1,INDIRECT("Table!A" &amp; $AG86):INDIRECT("Table!" &amp; $AJ$86 &amp; $AG86),0)))))</f>
        <v/>
      </c>
      <c r="J86" s="273" t="str">
        <f ca="1">IF(ISERROR(MATCH(J$1,INDIRECT("Table!A"&amp;$AG86):INDIRECT("Table!" &amp; $AJ$86 &amp; $AG86),0)),"",INDIRECT(CONCATENATE("Table!",ADDRESS($AC86,MATCH(J$1,INDIRECT("Table!A" &amp; $AG86):INDIRECT("Table!" &amp; $AJ$86 &amp; $AG86),0)))))</f>
        <v/>
      </c>
      <c r="K86" s="273" t="str">
        <f ca="1">IF(ISERROR(MATCH(K$1,INDIRECT("Table!A"&amp;$AG86):INDIRECT("Table!" &amp; $AJ$86 &amp; $AG86),0)),"",INDIRECT(CONCATENATE("Table!",ADDRESS($AC86,MATCH(K$1,INDIRECT("Table!A" &amp; $AG86):INDIRECT("Table!" &amp; $AJ$86 &amp; $AG86),0)))))</f>
        <v/>
      </c>
      <c r="L86" s="24">
        <f ca="1">IF(ISERROR(MATCH(L$1,INDIRECT("Table!A"&amp;$AG86):INDIRECT("Table!" &amp; $AJ$86 &amp; $AG86),0)),"",INDIRECT(CONCATENATE("Table!",ADDRESS($AC86,MATCH(L$1,INDIRECT("Table!A" &amp; $AG86):INDIRECT("Table!" &amp; $AJ$86 &amp; $AG86),0)))))</f>
        <v>1.3873926445523164</v>
      </c>
      <c r="M86" s="24">
        <f ca="1">IF(ISERROR(MATCH(M$1,INDIRECT("Table!A"&amp;$AG86):INDIRECT("Table!" &amp; $AJ$86 &amp; $AG86),0)),"",INDIRECT(CONCATENATE("Table!",ADDRESS($AC86,MATCH(M$1,INDIRECT("Table!A" &amp; $AG86):INDIRECT("Table!" &amp; $AJ$86 &amp; $AG86),0)))))</f>
        <v>2.4389364590917273</v>
      </c>
      <c r="N86" s="24">
        <f ca="1">IF(ISERROR(MATCH(N$1,INDIRECT("Table!A"&amp;$AG86):INDIRECT("Table!" &amp; $AJ$86 &amp; $AG86),0)),"",INDIRECT(CONCATENATE("Table!",ADDRESS($AC86,MATCH(N$1,INDIRECT("Table!A" &amp; $AG86):INDIRECT("Table!" &amp; $AJ$86 &amp; $AG86),0)))))</f>
        <v>1.502447468338364</v>
      </c>
      <c r="O86" s="24">
        <f ca="1">IF(ISERROR(MATCH(O$1,INDIRECT("Table!A"&amp;$AG86):INDIRECT("Table!" &amp; $AJ$86 &amp; $AG86),0)),"",INDIRECT(CONCATENATE("Table!",ADDRESS($AC86,MATCH(O$1,INDIRECT("Table!A" &amp; $AG86):INDIRECT("Table!" &amp; $AJ$86 &amp; $AG86),0)))))</f>
        <v>1.2835873431220168</v>
      </c>
      <c r="P86" s="24" t="str">
        <f ca="1">IF(ISERROR(MATCH(P$1,INDIRECT("Table!A"&amp;$AG86):INDIRECT("Table!" &amp; $AJ$86 &amp; $AG86),0)),"",INDIRECT(CONCATENATE("Table!",ADDRESS($AC86,MATCH(P$1,INDIRECT("Table!A" &amp; $AG86):INDIRECT("Table!" &amp; $AJ$86 &amp; $AG86),0)))))</f>
        <v/>
      </c>
      <c r="Q86" s="273" t="str">
        <f ca="1">IF(ISERROR(MATCH(Q$1,INDIRECT("Table!A"&amp;$AG86):INDIRECT("Table!" &amp; $AJ$86 &amp; $AG86),0)),"",INDIRECT(CONCATENATE("Table!",ADDRESS($AC86,MATCH(Q$1,INDIRECT("Table!A" &amp; $AG86):INDIRECT("Table!" &amp; $AJ$86 &amp; $AG86),0)))))</f>
        <v/>
      </c>
      <c r="R86" s="273" t="str">
        <f ca="1">IF(ISERROR(MATCH(R$1,INDIRECT("Table!A"&amp;$AG86):INDIRECT("Table!" &amp; $AJ$86 &amp; $AG86),0)),"",INDIRECT(CONCATENATE("Table!",ADDRESS($AC86,MATCH(R$1,INDIRECT("Table!A" &amp; $AG86):INDIRECT("Table!" &amp; $AJ$86 &amp; $AG86),0)))))</f>
        <v/>
      </c>
      <c r="S86" s="244"/>
      <c r="T86" s="244"/>
      <c r="AC86" s="22">
        <f>MATCH($A86,Table!$A:$A,0)+$AE$2-1</f>
        <v>1082</v>
      </c>
      <c r="AD86" s="244"/>
      <c r="AE86" s="244"/>
      <c r="AF86" s="244"/>
      <c r="AG86" s="22">
        <f>MATCH($A86,Table!$A:$A,0)+$AI$2-1</f>
        <v>1073</v>
      </c>
      <c r="AH86" s="244"/>
      <c r="AI86" s="244"/>
      <c r="AJ86" s="904" t="s">
        <v>285</v>
      </c>
    </row>
    <row r="87" spans="1:52" ht="19.5" customHeight="1" x14ac:dyDescent="0.25">
      <c r="A87" s="4">
        <v>41281</v>
      </c>
      <c r="B87" s="596">
        <f ca="1">IF(ISERROR(MATCH(B$1,INDIRECT("Table!A"&amp;$AG87):INDIRECT("Table!" &amp; $AJ$86 &amp; $AG87),0)),"",INDIRECT(CONCATENATE("Table!",ADDRESS($AC87,MATCH(B$1,INDIRECT("Table!A" &amp; $AG87):INDIRECT("Table!" &amp; $AJ$86 &amp; $AG87),0)))))</f>
        <v>1.2938461087841597</v>
      </c>
      <c r="C87" s="24">
        <f ca="1">IF(ISERROR(MATCH(C$1,INDIRECT("Table!A"&amp;$AG87):INDIRECT("Table!" &amp; $AJ$86 &amp; $AG87),0)),"",INDIRECT(CONCATENATE("Table!",ADDRESS($AC87,MATCH(C$1,INDIRECT("Table!A" &amp; $AG87):INDIRECT("Table!" &amp; $AJ$86 &amp; $AG87),0)))))</f>
        <v>0.60532807851401649</v>
      </c>
      <c r="D87" s="24">
        <f ca="1">IF(ISERROR(MATCH(D$1,INDIRECT("Table!A"&amp;$AG87):INDIRECT("Table!" &amp; $AJ$86 &amp; $AG87),0)),"",INDIRECT(CONCATENATE("Table!",ADDRESS($AC87,MATCH(D$1,INDIRECT("Table!A" &amp; $AG87):INDIRECT("Table!" &amp; $AJ$86 &amp; $AG87),0)))))</f>
        <v>0.60868852306535259</v>
      </c>
      <c r="E87" s="24">
        <f ca="1">IF(ISERROR(MATCH(E$1,INDIRECT("Table!A"&amp;$AG87):INDIRECT("Table!" &amp; $AJ$86 &amp; $AG87),0)),"",INDIRECT(CONCATENATE("Table!",ADDRESS($AC87,MATCH(E$1,INDIRECT("Table!A" &amp; $AG87):INDIRECT("Table!" &amp; $AJ$86 &amp; $AG87),0)))))</f>
        <v>1.5213091586821379</v>
      </c>
      <c r="F87" s="24">
        <f ca="1">IF(ISERROR(MATCH(F$1,INDIRECT("Table!A"&amp;$AG87):INDIRECT("Table!" &amp; $AJ$86 &amp; $AG87),0)),"",INDIRECT(CONCATENATE("Table!",ADDRESS($AC87,MATCH(F$1,INDIRECT("Table!A" &amp; $AG87):INDIRECT("Table!" &amp; $AJ$86 &amp; $AG87),0)))))</f>
        <v>1.4294862876052039</v>
      </c>
      <c r="G87" s="24">
        <f ca="1">IF(ISERROR(MATCH(G$1,INDIRECT("Table!A"&amp;$AG87):INDIRECT("Table!" &amp; $AJ$86 &amp; $AG87),0)),"",INDIRECT(CONCATENATE("Table!",ADDRESS($AC87,MATCH(G$1,INDIRECT("Table!A" &amp; $AG87):INDIRECT("Table!" &amp; $AJ$86 &amp; $AG87),0)))))</f>
        <v>3.2920715647988374</v>
      </c>
      <c r="H87" s="24">
        <f ca="1">IF(ISERROR(MATCH(H$1,INDIRECT("Table!A"&amp;$AG87):INDIRECT("Table!" &amp; $AJ$86 &amp; $AG87),0)),"",INDIRECT(CONCATENATE("Table!",ADDRESS($AC87,MATCH(H$1,INDIRECT("Table!A" &amp; $AG87):INDIRECT("Table!" &amp; $AJ$86 &amp; $AG87),0)))))</f>
        <v>0.82763265689621357</v>
      </c>
      <c r="I87" s="273" t="str">
        <f ca="1">IF(ISERROR(MATCH(I$1,INDIRECT("Table!A"&amp;$AG87):INDIRECT("Table!" &amp; $AJ$86 &amp; $AG87),0)),"",INDIRECT(CONCATENATE("Table!",ADDRESS($AC87,MATCH(I$1,INDIRECT("Table!A" &amp; $AG87):INDIRECT("Table!" &amp; $AJ$86 &amp; $AG87),0)))))</f>
        <v/>
      </c>
      <c r="J87" s="273" t="str">
        <f ca="1">IF(ISERROR(MATCH(J$1,INDIRECT("Table!A"&amp;$AG87):INDIRECT("Table!" &amp; $AJ$86 &amp; $AG87),0)),"",INDIRECT(CONCATENATE("Table!",ADDRESS($AC87,MATCH(J$1,INDIRECT("Table!A" &amp; $AG87):INDIRECT("Table!" &amp; $AJ$86 &amp; $AG87),0)))))</f>
        <v/>
      </c>
      <c r="K87" s="273" t="str">
        <f ca="1">IF(ISERROR(MATCH(K$1,INDIRECT("Table!A"&amp;$AG87):INDIRECT("Table!" &amp; $AJ$86 &amp; $AG87),0)),"",INDIRECT(CONCATENATE("Table!",ADDRESS($AC87,MATCH(K$1,INDIRECT("Table!A" &amp; $AG87):INDIRECT("Table!" &amp; $AJ$86 &amp; $AG87),0)))))</f>
        <v/>
      </c>
      <c r="L87" s="24">
        <f ca="1">IF(ISERROR(MATCH(L$1,INDIRECT("Table!A"&amp;$AG87):INDIRECT("Table!" &amp; $AJ$86 &amp; $AG87),0)),"",INDIRECT(CONCATENATE("Table!",ADDRESS($AC87,MATCH(L$1,INDIRECT("Table!A" &amp; $AG87):INDIRECT("Table!" &amp; $AJ$86 &amp; $AG87),0)))))</f>
        <v>1.3873926445523164</v>
      </c>
      <c r="M87" s="24">
        <f ca="1">IF(ISERROR(MATCH(M$1,INDIRECT("Table!A"&amp;$AG87):INDIRECT("Table!" &amp; $AJ$86 &amp; $AG87),0)),"",INDIRECT(CONCATENATE("Table!",ADDRESS($AC87,MATCH(M$1,INDIRECT("Table!A" &amp; $AG87):INDIRECT("Table!" &amp; $AJ$86 &amp; $AG87),0)))))</f>
        <v>2.4389364590917273</v>
      </c>
      <c r="N87" s="24">
        <f ca="1">IF(ISERROR(MATCH(N$1,INDIRECT("Table!A"&amp;$AG87):INDIRECT("Table!" &amp; $AJ$86 &amp; $AG87),0)),"",INDIRECT(CONCATENATE("Table!",ADDRESS($AC87,MATCH(N$1,INDIRECT("Table!A" &amp; $AG87):INDIRECT("Table!" &amp; $AJ$86 &amp; $AG87),0)))))</f>
        <v>1.502447468338364</v>
      </c>
      <c r="O87" s="24">
        <f ca="1">IF(ISERROR(MATCH(O$1,INDIRECT("Table!A"&amp;$AG87):INDIRECT("Table!" &amp; $AJ$86 &amp; $AG87),0)),"",INDIRECT(CONCATENATE("Table!",ADDRESS($AC87,MATCH(O$1,INDIRECT("Table!A" &amp; $AG87):INDIRECT("Table!" &amp; $AJ$86 &amp; $AG87),0)))))</f>
        <v>1.2598950492031227</v>
      </c>
      <c r="P87" s="24" t="str">
        <f ca="1">IF(ISERROR(MATCH(P$1,INDIRECT("Table!A"&amp;$AG87):INDIRECT("Table!" &amp; $AJ$86 &amp; $AG87),0)),"",INDIRECT(CONCATENATE("Table!",ADDRESS($AC87,MATCH(P$1,INDIRECT("Table!A" &amp; $AG87):INDIRECT("Table!" &amp; $AJ$86 &amp; $AG87),0)))))</f>
        <v/>
      </c>
      <c r="Q87" s="273" t="str">
        <f ca="1">IF(ISERROR(MATCH(Q$1,INDIRECT("Table!A"&amp;$AG87):INDIRECT("Table!" &amp; $AJ$86 &amp; $AG87),0)),"",INDIRECT(CONCATENATE("Table!",ADDRESS($AC87,MATCH(Q$1,INDIRECT("Table!A" &amp; $AG87):INDIRECT("Table!" &amp; $AJ$86 &amp; $AG87),0)))))</f>
        <v/>
      </c>
      <c r="R87" s="273" t="str">
        <f ca="1">IF(ISERROR(MATCH(R$1,INDIRECT("Table!A"&amp;$AG87):INDIRECT("Table!" &amp; $AJ$86 &amp; $AG87),0)),"",INDIRECT(CONCATENATE("Table!",ADDRESS($AC87,MATCH(R$1,INDIRECT("Table!A" &amp; $AG87):INDIRECT("Table!" &amp; $AJ$86 &amp; $AG87),0)))))</f>
        <v/>
      </c>
      <c r="S87" s="243"/>
      <c r="T87" s="243"/>
      <c r="AC87" s="22">
        <f>MATCH($A87,Table!$A:$A,0)+$AE$2-1</f>
        <v>1094</v>
      </c>
      <c r="AD87" s="243"/>
      <c r="AE87" s="243"/>
      <c r="AF87" s="243"/>
      <c r="AG87" s="22">
        <f>MATCH($A87,Table!$A:$A,0)+$AI$2-1</f>
        <v>1085</v>
      </c>
      <c r="AH87" s="243"/>
      <c r="AI87" s="243"/>
      <c r="AJ87" s="904" t="s">
        <v>285</v>
      </c>
    </row>
    <row r="88" spans="1:52" ht="19.5" customHeight="1" x14ac:dyDescent="0.25">
      <c r="B88" s="24"/>
      <c r="C88" s="24"/>
      <c r="D88" s="24"/>
      <c r="E88" s="24"/>
      <c r="F88" s="24"/>
      <c r="G88" s="24"/>
      <c r="H88" s="24"/>
      <c r="I88" s="273"/>
      <c r="J88" s="273"/>
      <c r="K88" s="592"/>
      <c r="L88" s="24"/>
      <c r="M88" s="24"/>
      <c r="N88" s="24"/>
      <c r="O88" s="24"/>
      <c r="P88" s="273"/>
      <c r="Q88" s="242"/>
      <c r="R88" s="242"/>
      <c r="S88" s="242"/>
      <c r="T88" s="22"/>
      <c r="AC88" s="242"/>
      <c r="AD88" s="242"/>
      <c r="AE88" s="22"/>
      <c r="AF88" s="242"/>
      <c r="AG88" s="242"/>
      <c r="AH88" s="242"/>
    </row>
    <row r="89" spans="1:52" ht="19.5" customHeight="1" x14ac:dyDescent="0.25">
      <c r="B89" s="24"/>
      <c r="C89" s="24"/>
      <c r="D89" s="24"/>
      <c r="E89" s="24"/>
      <c r="F89" s="24"/>
      <c r="G89" s="24"/>
      <c r="H89" s="24"/>
      <c r="I89" s="273"/>
      <c r="J89" s="273"/>
      <c r="K89" s="592"/>
      <c r="L89" s="24"/>
      <c r="M89" s="24"/>
      <c r="N89" s="24"/>
      <c r="O89" s="24"/>
      <c r="P89" s="273"/>
      <c r="Q89" s="241"/>
      <c r="R89" s="241"/>
      <c r="S89" s="241"/>
      <c r="T89" s="22"/>
      <c r="AC89" s="241"/>
      <c r="AD89" s="241"/>
      <c r="AE89" s="22"/>
      <c r="AF89" s="241"/>
      <c r="AG89" s="241"/>
      <c r="AH89" s="241"/>
    </row>
    <row r="90" spans="1:52" ht="19.5" customHeight="1" x14ac:dyDescent="0.25">
      <c r="B90" s="24"/>
      <c r="C90" s="24"/>
      <c r="D90" s="24"/>
      <c r="E90" s="24"/>
      <c r="F90" s="24"/>
      <c r="G90" s="24"/>
      <c r="H90" s="24"/>
      <c r="I90" s="273"/>
      <c r="J90" s="273"/>
      <c r="K90" s="592"/>
      <c r="L90" s="24"/>
      <c r="M90" s="24"/>
      <c r="N90" s="24"/>
      <c r="O90" s="24"/>
      <c r="P90" s="273"/>
      <c r="Q90" s="240"/>
      <c r="R90" s="240"/>
      <c r="S90" s="240"/>
      <c r="T90" s="22"/>
      <c r="AC90" s="240"/>
      <c r="AD90" s="240"/>
      <c r="AE90" s="22"/>
      <c r="AF90" s="240"/>
      <c r="AG90" s="240"/>
      <c r="AH90" s="240"/>
    </row>
    <row r="91" spans="1:52" ht="19.5" customHeight="1" x14ac:dyDescent="0.25">
      <c r="B91" s="24"/>
      <c r="C91" s="24"/>
      <c r="D91" s="24"/>
      <c r="E91" s="24"/>
      <c r="F91" s="24"/>
      <c r="G91" s="24"/>
      <c r="H91" s="24"/>
      <c r="I91" s="273"/>
      <c r="J91" s="273"/>
      <c r="K91" s="592"/>
      <c r="L91" s="24"/>
      <c r="M91" s="24"/>
      <c r="N91" s="24"/>
      <c r="O91" s="24"/>
      <c r="P91" s="273"/>
      <c r="Q91" s="239"/>
      <c r="R91" s="239"/>
      <c r="S91" s="239"/>
      <c r="T91" s="22"/>
      <c r="AC91" s="239"/>
      <c r="AD91" s="239"/>
      <c r="AE91" s="22"/>
      <c r="AF91" s="239"/>
      <c r="AG91" s="239"/>
      <c r="AH91" s="239"/>
      <c r="AU91" s="45"/>
      <c r="AV91" s="45"/>
      <c r="AW91" s="22"/>
      <c r="AX91" s="45"/>
      <c r="AY91" s="45"/>
      <c r="AZ91" s="45"/>
    </row>
    <row r="92" spans="1:52" ht="19.5" customHeight="1" x14ac:dyDescent="0.25">
      <c r="B92" s="24"/>
      <c r="C92" s="24" t="str">
        <f ca="1">IF(ISERROR(MATCH(C$1,INDIRECT("Table!A"&amp;$AE92):INDIRECT("Table!" &amp; $AH$253 &amp; $AE92),0)),"",INDIRECT(CONCATENATE("Table!",ADDRESS($T92,MATCH(C$1,INDIRECT("Table!A" &amp; $AE92):INDIRECT("Table!" &amp; $AH$253 &amp; $AE92),0)))))</f>
        <v/>
      </c>
      <c r="D92" s="24" t="str">
        <f ca="1">IF(ISERROR(MATCH(D$1,INDIRECT("Table!A"&amp;$AE92):INDIRECT("Table!" &amp; $AH$253 &amp; $AE92),0)),"",INDIRECT(CONCATENATE("Table!",ADDRESS($T92,MATCH(D$1,INDIRECT("Table!A" &amp; $AE92):INDIRECT("Table!" &amp; $AH$253 &amp; $AE92),0)))))</f>
        <v/>
      </c>
      <c r="E92" s="24" t="str">
        <f ca="1">IF(ISERROR(MATCH(E$1,INDIRECT("Table!A"&amp;$AE92):INDIRECT("Table!" &amp; $AH$253 &amp; $AE92),0)),"",INDIRECT(CONCATENATE("Table!",ADDRESS($T92,MATCH(E$1,INDIRECT("Table!A" &amp; $AE92):INDIRECT("Table!" &amp; $AH$253 &amp; $AE92),0)))))</f>
        <v/>
      </c>
      <c r="F92" s="24" t="str">
        <f ca="1">IF(ISERROR(MATCH(F$1,INDIRECT("Table!A"&amp;$AE92):INDIRECT("Table!" &amp; $AH$253 &amp; $AE92),0)),"",INDIRECT(CONCATENATE("Table!",ADDRESS($T92,MATCH(F$1,INDIRECT("Table!A" &amp; $AE92):INDIRECT("Table!" &amp; $AH$253 &amp; $AE92),0)))))</f>
        <v/>
      </c>
      <c r="G92" s="24" t="str">
        <f ca="1">IF(ISERROR(MATCH(G$1,INDIRECT("Table!A"&amp;$AE92):INDIRECT("Table!" &amp; $AH$253 &amp; $AE92),0)),"",INDIRECT(CONCATENATE("Table!",ADDRESS($T92,MATCH(G$1,INDIRECT("Table!A" &amp; $AE92):INDIRECT("Table!" &amp; $AH$253 &amp; $AE92),0)))))</f>
        <v/>
      </c>
      <c r="H92" s="24" t="str">
        <f ca="1">IF(ISERROR(MATCH(H$1,INDIRECT("Table!A"&amp;$AE92):INDIRECT("Table!" &amp; $AH$253 &amp; $AE92),0)),"",INDIRECT(CONCATENATE("Table!",ADDRESS($T92,MATCH(H$1,INDIRECT("Table!A" &amp; $AE92):INDIRECT("Table!" &amp; $AH$253 &amp; $AE92),0)))))</f>
        <v/>
      </c>
      <c r="I92" s="273"/>
      <c r="J92" s="273"/>
      <c r="K92" s="24" t="str">
        <f ca="1">IF(ISERROR(MATCH(L$1,INDIRECT("Table!A"&amp;$AE92):INDIRECT("Table!" &amp; $AH$253 &amp; $AE92),0)),"",INDIRECT(CONCATENATE("Table!",ADDRESS($T92,MATCH(L$1,INDIRECT("Table!A" &amp; $AE92):INDIRECT("Table!" &amp; $AH$253 &amp; $AE92),0)))))</f>
        <v/>
      </c>
      <c r="L92" s="24" t="str">
        <f ca="1">IF(ISERROR(MATCH(M$1,INDIRECT("Table!A"&amp;$AE92):INDIRECT("Table!" &amp; $AH$253 &amp; $AE92),0)),"",INDIRECT(CONCATENATE("Table!",ADDRESS($T92,MATCH(M$1,INDIRECT("Table!A" &amp; $AE92):INDIRECT("Table!" &amp; $AH$253 &amp; $AE92),0)))))</f>
        <v/>
      </c>
      <c r="M92" s="24" t="str">
        <f ca="1">IF(ISERROR(MATCH(N$1,INDIRECT("Table!A"&amp;$AE92):INDIRECT("Table!" &amp; $AH$253 &amp; $AE92),0)),"",INDIRECT(CONCATENATE("Table!",ADDRESS($T92,MATCH(N$1,INDIRECT("Table!A" &amp; $AE92):INDIRECT("Table!" &amp; $AH$253 &amp; $AE92),0)))))</f>
        <v/>
      </c>
      <c r="N92" s="24" t="str">
        <f ca="1">IF(ISERROR(MATCH(O$1,INDIRECT("Table!A"&amp;$AE92):INDIRECT("Table!" &amp; $AH$253 &amp; $AE92),0)),"",INDIRECT(CONCATENATE("Table!",ADDRESS($T92,MATCH(O$1,INDIRECT("Table!A" &amp; $AE92):INDIRECT("Table!" &amp; $AH$253 &amp; $AE92),0)))))</f>
        <v/>
      </c>
      <c r="O92" s="24" t="str">
        <f ca="1">IF(ISERROR(MATCH(P$1,INDIRECT("Table!A"&amp;$AE92):INDIRECT("Table!" &amp; $AH$253 &amp; $AE92),0)),"",INDIRECT(CONCATENATE("Table!",ADDRESS($T92,MATCH(P$1,INDIRECT("Table!A" &amp; $AE92):INDIRECT("Table!" &amp; $AH$253 &amp; $AE92),0)))))</f>
        <v/>
      </c>
      <c r="P92" s="273" t="str">
        <f ca="1">IF(ISERROR(MATCH(Q$1,INDIRECT("Table!A"&amp;$AE92):INDIRECT("Table!" &amp; $AH$253 &amp; $AE92),0)),"",INDIRECT(CONCATENATE("Table!",ADDRESS($T92,MATCH(Q$1,INDIRECT("Table!A" &amp; $AE92):INDIRECT("Table!" &amp; $AH$253 &amp; $AE92),0)))))</f>
        <v/>
      </c>
      <c r="Q92" s="238"/>
      <c r="R92" s="238"/>
      <c r="S92" s="238"/>
      <c r="T92" s="22"/>
      <c r="AC92" s="238"/>
      <c r="AD92" s="238"/>
      <c r="AE92" s="22"/>
      <c r="AF92" s="238"/>
      <c r="AG92" s="238"/>
      <c r="AH92" s="238"/>
      <c r="AU92" s="45"/>
      <c r="AV92" s="45"/>
      <c r="AW92" s="22"/>
      <c r="AX92" s="45"/>
      <c r="AY92" s="45"/>
      <c r="AZ92" s="45"/>
    </row>
    <row r="93" spans="1:52" ht="19.5" customHeight="1" x14ac:dyDescent="0.25">
      <c r="B93" s="24"/>
      <c r="C93" s="24" t="str">
        <f ca="1">IF(ISERROR(MATCH(C$1,INDIRECT("Table!A"&amp;$AE93):INDIRECT("Table!" &amp; $AH$253 &amp; $AE93),0)),"",INDIRECT(CONCATENATE("Table!",ADDRESS($T93,MATCH(C$1,INDIRECT("Table!A" &amp; $AE93):INDIRECT("Table!" &amp; $AH$253 &amp; $AE93),0)))))</f>
        <v/>
      </c>
      <c r="D93" s="24" t="str">
        <f ca="1">IF(ISERROR(MATCH(D$1,INDIRECT("Table!A"&amp;$AE93):INDIRECT("Table!" &amp; $AH$253 &amp; $AE93),0)),"",INDIRECT(CONCATENATE("Table!",ADDRESS($T93,MATCH(D$1,INDIRECT("Table!A" &amp; $AE93):INDIRECT("Table!" &amp; $AH$253 &amp; $AE93),0)))))</f>
        <v/>
      </c>
      <c r="E93" s="24" t="str">
        <f ca="1">IF(ISERROR(MATCH(E$1,INDIRECT("Table!A"&amp;$AE93):INDIRECT("Table!" &amp; $AH$253 &amp; $AE93),0)),"",INDIRECT(CONCATENATE("Table!",ADDRESS($T93,MATCH(E$1,INDIRECT("Table!A" &amp; $AE93):INDIRECT("Table!" &amp; $AH$253 &amp; $AE93),0)))))</f>
        <v/>
      </c>
      <c r="F93" s="24" t="str">
        <f ca="1">IF(ISERROR(MATCH(F$1,INDIRECT("Table!A"&amp;$AE93):INDIRECT("Table!" &amp; $AH$253 &amp; $AE93),0)),"",INDIRECT(CONCATENATE("Table!",ADDRESS($T93,MATCH(F$1,INDIRECT("Table!A" &amp; $AE93):INDIRECT("Table!" &amp; $AH$253 &amp; $AE93),0)))))</f>
        <v/>
      </c>
      <c r="G93" s="24" t="str">
        <f ca="1">IF(ISERROR(MATCH(G$1,INDIRECT("Table!A"&amp;$AE93):INDIRECT("Table!" &amp; $AH$253 &amp; $AE93),0)),"",INDIRECT(CONCATENATE("Table!",ADDRESS($T93,MATCH(G$1,INDIRECT("Table!A" &amp; $AE93):INDIRECT("Table!" &amp; $AH$253 &amp; $AE93),0)))))</f>
        <v/>
      </c>
      <c r="H93" s="24" t="str">
        <f ca="1">IF(ISERROR(MATCH(H$1,INDIRECT("Table!A"&amp;$AE93):INDIRECT("Table!" &amp; $AH$253 &amp; $AE93),0)),"",INDIRECT(CONCATENATE("Table!",ADDRESS($T93,MATCH(H$1,INDIRECT("Table!A" &amp; $AE93):INDIRECT("Table!" &amp; $AH$253 &amp; $AE93),0)))))</f>
        <v/>
      </c>
      <c r="I93" s="273"/>
      <c r="J93" s="273"/>
      <c r="K93" s="24" t="str">
        <f ca="1">IF(ISERROR(MATCH(L$1,INDIRECT("Table!A"&amp;$AE93):INDIRECT("Table!" &amp; $AH$253 &amp; $AE93),0)),"",INDIRECT(CONCATENATE("Table!",ADDRESS($T93,MATCH(L$1,INDIRECT("Table!A" &amp; $AE93):INDIRECT("Table!" &amp; $AH$253 &amp; $AE93),0)))))</f>
        <v/>
      </c>
      <c r="L93" s="24" t="str">
        <f ca="1">IF(ISERROR(MATCH(M$1,INDIRECT("Table!A"&amp;$AE93):INDIRECT("Table!" &amp; $AH$253 &amp; $AE93),0)),"",INDIRECT(CONCATENATE("Table!",ADDRESS($T93,MATCH(M$1,INDIRECT("Table!A" &amp; $AE93):INDIRECT("Table!" &amp; $AH$253 &amp; $AE93),0)))))</f>
        <v/>
      </c>
      <c r="M93" s="24" t="str">
        <f ca="1">IF(ISERROR(MATCH(N$1,INDIRECT("Table!A"&amp;$AE93):INDIRECT("Table!" &amp; $AH$253 &amp; $AE93),0)),"",INDIRECT(CONCATENATE("Table!",ADDRESS($T93,MATCH(N$1,INDIRECT("Table!A" &amp; $AE93):INDIRECT("Table!" &amp; $AH$253 &amp; $AE93),0)))))</f>
        <v/>
      </c>
      <c r="N93" s="24" t="str">
        <f ca="1">IF(ISERROR(MATCH(O$1,INDIRECT("Table!A"&amp;$AE93):INDIRECT("Table!" &amp; $AH$253 &amp; $AE93),0)),"",INDIRECT(CONCATENATE("Table!",ADDRESS($T93,MATCH(O$1,INDIRECT("Table!A" &amp; $AE93):INDIRECT("Table!" &amp; $AH$253 &amp; $AE93),0)))))</f>
        <v/>
      </c>
      <c r="O93" s="24" t="str">
        <f ca="1">IF(ISERROR(MATCH(P$1,INDIRECT("Table!A"&amp;$AE93):INDIRECT("Table!" &amp; $AH$253 &amp; $AE93),0)),"",INDIRECT(CONCATENATE("Table!",ADDRESS($T93,MATCH(P$1,INDIRECT("Table!A" &amp; $AE93):INDIRECT("Table!" &amp; $AH$253 &amp; $AE93),0)))))</f>
        <v/>
      </c>
      <c r="P93" s="273" t="str">
        <f ca="1">IF(ISERROR(MATCH(Q$1,INDIRECT("Table!A"&amp;$AE93):INDIRECT("Table!" &amp; $AH$253 &amp; $AE93),0)),"",INDIRECT(CONCATENATE("Table!",ADDRESS($T93,MATCH(Q$1,INDIRECT("Table!A" &amp; $AE93):INDIRECT("Table!" &amp; $AH$253 &amp; $AE93),0)))))</f>
        <v/>
      </c>
      <c r="Q93" s="220"/>
      <c r="R93" s="220"/>
      <c r="S93" s="220"/>
      <c r="T93" s="22"/>
      <c r="AC93" s="220"/>
      <c r="AD93" s="220"/>
      <c r="AE93" s="22"/>
      <c r="AF93" s="220"/>
      <c r="AG93" s="220"/>
      <c r="AH93" s="22"/>
      <c r="AI93" s="27"/>
      <c r="AJ93" s="27"/>
      <c r="AK93" s="27"/>
    </row>
    <row r="94" spans="1:52" ht="19.5" customHeight="1" x14ac:dyDescent="0.25">
      <c r="B94" s="24"/>
      <c r="C94" s="24" t="str">
        <f ca="1">IF(ISERROR(MATCH(C$1,INDIRECT("Table!A"&amp;$AE94):INDIRECT("Table!" &amp; $AH$253 &amp; $AE94),0)),"",INDIRECT(CONCATENATE("Table!",ADDRESS($T94,MATCH(C$1,INDIRECT("Table!A" &amp; $AE94):INDIRECT("Table!" &amp; $AH$253 &amp; $AE94),0)))))</f>
        <v/>
      </c>
      <c r="D94" s="24" t="str">
        <f ca="1">IF(ISERROR(MATCH(D$1,INDIRECT("Table!A"&amp;$AE94):INDIRECT("Table!" &amp; $AH$253 &amp; $AE94),0)),"",INDIRECT(CONCATENATE("Table!",ADDRESS($T94,MATCH(D$1,INDIRECT("Table!A" &amp; $AE94):INDIRECT("Table!" &amp; $AH$253 &amp; $AE94),0)))))</f>
        <v/>
      </c>
      <c r="E94" s="24" t="str">
        <f ca="1">IF(ISERROR(MATCH(E$1,INDIRECT("Table!A"&amp;$AE94):INDIRECT("Table!" &amp; $AH$253 &amp; $AE94),0)),"",INDIRECT(CONCATENATE("Table!",ADDRESS($T94,MATCH(E$1,INDIRECT("Table!A" &amp; $AE94):INDIRECT("Table!" &amp; $AH$253 &amp; $AE94),0)))))</f>
        <v/>
      </c>
      <c r="F94" s="24" t="str">
        <f ca="1">IF(ISERROR(MATCH(F$1,INDIRECT("Table!A"&amp;$AE94):INDIRECT("Table!" &amp; $AH$253 &amp; $AE94),0)),"",INDIRECT(CONCATENATE("Table!",ADDRESS($T94,MATCH(F$1,INDIRECT("Table!A" &amp; $AE94):INDIRECT("Table!" &amp; $AH$253 &amp; $AE94),0)))))</f>
        <v/>
      </c>
      <c r="G94" s="24" t="str">
        <f ca="1">IF(ISERROR(MATCH(G$1,INDIRECT("Table!A"&amp;$AE94):INDIRECT("Table!" &amp; $AH$253 &amp; $AE94),0)),"",INDIRECT(CONCATENATE("Table!",ADDRESS($T94,MATCH(G$1,INDIRECT("Table!A" &amp; $AE94):INDIRECT("Table!" &amp; $AH$253 &amp; $AE94),0)))))</f>
        <v/>
      </c>
      <c r="H94" s="24" t="str">
        <f ca="1">IF(ISERROR(MATCH(H$1,INDIRECT("Table!A"&amp;$AE94):INDIRECT("Table!" &amp; $AH$253 &amp; $AE94),0)),"",INDIRECT(CONCATENATE("Table!",ADDRESS($T94,MATCH(H$1,INDIRECT("Table!A" &amp; $AE94):INDIRECT("Table!" &amp; $AH$253 &amp; $AE94),0)))))</f>
        <v/>
      </c>
      <c r="I94" s="273"/>
      <c r="J94" s="273"/>
      <c r="K94" s="24" t="str">
        <f ca="1">IF(ISERROR(MATCH(L$1,INDIRECT("Table!A"&amp;$AE94):INDIRECT("Table!" &amp; $AH$253 &amp; $AE94),0)),"",INDIRECT(CONCATENATE("Table!",ADDRESS($T94,MATCH(L$1,INDIRECT("Table!A" &amp; $AE94):INDIRECT("Table!" &amp; $AH$253 &amp; $AE94),0)))))</f>
        <v/>
      </c>
      <c r="L94" s="24" t="str">
        <f ca="1">IF(ISERROR(MATCH(M$1,INDIRECT("Table!A"&amp;$AE94):INDIRECT("Table!" &amp; $AH$253 &amp; $AE94),0)),"",INDIRECT(CONCATENATE("Table!",ADDRESS($T94,MATCH(M$1,INDIRECT("Table!A" &amp; $AE94):INDIRECT("Table!" &amp; $AH$253 &amp; $AE94),0)))))</f>
        <v/>
      </c>
      <c r="M94" s="24" t="str">
        <f ca="1">IF(ISERROR(MATCH(N$1,INDIRECT("Table!A"&amp;$AE94):INDIRECT("Table!" &amp; $AH$253 &amp; $AE94),0)),"",INDIRECT(CONCATENATE("Table!",ADDRESS($T94,MATCH(N$1,INDIRECT("Table!A" &amp; $AE94):INDIRECT("Table!" &amp; $AH$253 &amp; $AE94),0)))))</f>
        <v/>
      </c>
      <c r="N94" s="24" t="str">
        <f ca="1">IF(ISERROR(MATCH(O$1,INDIRECT("Table!A"&amp;$AE94):INDIRECT("Table!" &amp; $AH$253 &amp; $AE94),0)),"",INDIRECT(CONCATENATE("Table!",ADDRESS($T94,MATCH(O$1,INDIRECT("Table!A" &amp; $AE94):INDIRECT("Table!" &amp; $AH$253 &amp; $AE94),0)))))</f>
        <v/>
      </c>
      <c r="O94" s="24" t="str">
        <f ca="1">IF(ISERROR(MATCH(P$1,INDIRECT("Table!A"&amp;$AE94):INDIRECT("Table!" &amp; $AH$253 &amp; $AE94),0)),"",INDIRECT(CONCATENATE("Table!",ADDRESS($T94,MATCH(P$1,INDIRECT("Table!A" &amp; $AE94):INDIRECT("Table!" &amp; $AH$253 &amp; $AE94),0)))))</f>
        <v/>
      </c>
      <c r="P94" s="273" t="str">
        <f ca="1">IF(ISERROR(MATCH(Q$1,INDIRECT("Table!A"&amp;$AE94):INDIRECT("Table!" &amp; $AH$253 &amp; $AE94),0)),"",INDIRECT(CONCATENATE("Table!",ADDRESS($T94,MATCH(Q$1,INDIRECT("Table!A" &amp; $AE94):INDIRECT("Table!" &amp; $AH$253 &amp; $AE94),0)))))</f>
        <v/>
      </c>
      <c r="Q94" s="219"/>
      <c r="R94" s="219"/>
      <c r="S94" s="219"/>
      <c r="T94" s="22"/>
      <c r="AC94" s="219"/>
      <c r="AD94" s="219"/>
      <c r="AE94" s="22"/>
      <c r="AF94" s="219"/>
      <c r="AG94" s="219"/>
      <c r="AH94" s="22"/>
      <c r="AI94" s="25"/>
      <c r="AJ94" s="25"/>
      <c r="AK94" s="25"/>
    </row>
    <row r="95" spans="1:52" ht="19.5" customHeight="1" x14ac:dyDescent="0.25">
      <c r="B95" s="24"/>
      <c r="C95" s="24" t="str">
        <f ca="1">IF(ISERROR(MATCH(C$1,INDIRECT("Table!A"&amp;$AE95):INDIRECT("Table!" &amp; $AH$253 &amp; $AE95),0)),"",INDIRECT(CONCATENATE("Table!",ADDRESS($T95,MATCH(C$1,INDIRECT("Table!A" &amp; $AE95):INDIRECT("Table!" &amp; $AH$253 &amp; $AE95),0)))))</f>
        <v/>
      </c>
      <c r="D95" s="24" t="str">
        <f ca="1">IF(ISERROR(MATCH(D$1,INDIRECT("Table!A"&amp;$AE95):INDIRECT("Table!" &amp; $AH$253 &amp; $AE95),0)),"",INDIRECT(CONCATENATE("Table!",ADDRESS($T95,MATCH(D$1,INDIRECT("Table!A" &amp; $AE95):INDIRECT("Table!" &amp; $AH$253 &amp; $AE95),0)))))</f>
        <v/>
      </c>
      <c r="E95" s="24" t="str">
        <f ca="1">IF(ISERROR(MATCH(E$1,INDIRECT("Table!A"&amp;$AE95):INDIRECT("Table!" &amp; $AH$253 &amp; $AE95),0)),"",INDIRECT(CONCATENATE("Table!",ADDRESS($T95,MATCH(E$1,INDIRECT("Table!A" &amp; $AE95):INDIRECT("Table!" &amp; $AH$253 &amp; $AE95),0)))))</f>
        <v/>
      </c>
      <c r="F95" s="24" t="str">
        <f ca="1">IF(ISERROR(MATCH(F$1,INDIRECT("Table!A"&amp;$AE95):INDIRECT("Table!" &amp; $AH$253 &amp; $AE95),0)),"",INDIRECT(CONCATENATE("Table!",ADDRESS($T95,MATCH(F$1,INDIRECT("Table!A" &amp; $AE95):INDIRECT("Table!" &amp; $AH$253 &amp; $AE95),0)))))</f>
        <v/>
      </c>
      <c r="G95" s="24" t="str">
        <f ca="1">IF(ISERROR(MATCH(G$1,INDIRECT("Table!A"&amp;$AE95):INDIRECT("Table!" &amp; $AH$253 &amp; $AE95),0)),"",INDIRECT(CONCATENATE("Table!",ADDRESS($T95,MATCH(G$1,INDIRECT("Table!A" &amp; $AE95):INDIRECT("Table!" &amp; $AH$253 &amp; $AE95),0)))))</f>
        <v/>
      </c>
      <c r="H95" s="24" t="str">
        <f ca="1">IF(ISERROR(MATCH(H$1,INDIRECT("Table!A"&amp;$AE95):INDIRECT("Table!" &amp; $AH$253 &amp; $AE95),0)),"",INDIRECT(CONCATENATE("Table!",ADDRESS($T95,MATCH(H$1,INDIRECT("Table!A" &amp; $AE95):INDIRECT("Table!" &amp; $AH$253 &amp; $AE95),0)))))</f>
        <v/>
      </c>
      <c r="I95" s="273"/>
      <c r="J95" s="273"/>
      <c r="K95" s="24" t="str">
        <f ca="1">IF(ISERROR(MATCH(L$1,INDIRECT("Table!A"&amp;$AE95):INDIRECT("Table!" &amp; $AH$253 &amp; $AE95),0)),"",INDIRECT(CONCATENATE("Table!",ADDRESS($T95,MATCH(L$1,INDIRECT("Table!A" &amp; $AE95):INDIRECT("Table!" &amp; $AH$253 &amp; $AE95),0)))))</f>
        <v/>
      </c>
      <c r="L95" s="24" t="str">
        <f ca="1">IF(ISERROR(MATCH(M$1,INDIRECT("Table!A"&amp;$AE95):INDIRECT("Table!" &amp; $AH$253 &amp; $AE95),0)),"",INDIRECT(CONCATENATE("Table!",ADDRESS($T95,MATCH(M$1,INDIRECT("Table!A" &amp; $AE95):INDIRECT("Table!" &amp; $AH$253 &amp; $AE95),0)))))</f>
        <v/>
      </c>
      <c r="M95" s="24" t="str">
        <f ca="1">IF(ISERROR(MATCH(N$1,INDIRECT("Table!A"&amp;$AE95):INDIRECT("Table!" &amp; $AH$253 &amp; $AE95),0)),"",INDIRECT(CONCATENATE("Table!",ADDRESS($T95,MATCH(N$1,INDIRECT("Table!A" &amp; $AE95):INDIRECT("Table!" &amp; $AH$253 &amp; $AE95),0)))))</f>
        <v/>
      </c>
      <c r="N95" s="24" t="str">
        <f ca="1">IF(ISERROR(MATCH(O$1,INDIRECT("Table!A"&amp;$AE95):INDIRECT("Table!" &amp; $AH$253 &amp; $AE95),0)),"",INDIRECT(CONCATENATE("Table!",ADDRESS($T95,MATCH(O$1,INDIRECT("Table!A" &amp; $AE95):INDIRECT("Table!" &amp; $AH$253 &amp; $AE95),0)))))</f>
        <v/>
      </c>
      <c r="O95" s="24" t="str">
        <f ca="1">IF(ISERROR(MATCH(P$1,INDIRECT("Table!A"&amp;$AE95):INDIRECT("Table!" &amp; $AH$253 &amp; $AE95),0)),"",INDIRECT(CONCATENATE("Table!",ADDRESS($T95,MATCH(P$1,INDIRECT("Table!A" &amp; $AE95):INDIRECT("Table!" &amp; $AH$253 &amp; $AE95),0)))))</f>
        <v/>
      </c>
      <c r="P95" s="273" t="str">
        <f ca="1">IF(ISERROR(MATCH(Q$1,INDIRECT("Table!A"&amp;$AE95):INDIRECT("Table!" &amp; $AH$253 &amp; $AE95),0)),"",INDIRECT(CONCATENATE("Table!",ADDRESS($T95,MATCH(Q$1,INDIRECT("Table!A" &amp; $AE95):INDIRECT("Table!" &amp; $AH$253 &amp; $AE95),0)))))</f>
        <v/>
      </c>
      <c r="Q95" s="218"/>
      <c r="R95" s="218"/>
      <c r="S95" s="218"/>
      <c r="T95" s="22"/>
      <c r="AC95" s="218"/>
      <c r="AD95" s="218"/>
      <c r="AE95" s="22"/>
      <c r="AF95" s="218"/>
      <c r="AG95" s="218"/>
      <c r="AH95" s="22"/>
      <c r="AI95" s="25"/>
      <c r="AJ95" s="25"/>
      <c r="AK95" s="25"/>
    </row>
    <row r="96" spans="1:52" ht="19.5" customHeight="1" x14ac:dyDescent="0.25">
      <c r="B96" s="24"/>
      <c r="C96" s="24" t="str">
        <f ca="1">IF(ISERROR(MATCH(C$1,INDIRECT("Table!A"&amp;$AE96):INDIRECT("Table!" &amp; $AH$253 &amp; $AE96),0)),"",INDIRECT(CONCATENATE("Table!",ADDRESS($T96,MATCH(C$1,INDIRECT("Table!A" &amp; $AE96):INDIRECT("Table!" &amp; $AH$253 &amp; $AE96),0)))))</f>
        <v/>
      </c>
      <c r="D96" s="24" t="str">
        <f ca="1">IF(ISERROR(MATCH(D$1,INDIRECT("Table!A"&amp;$AE96):INDIRECT("Table!" &amp; $AH$253 &amp; $AE96),0)),"",INDIRECT(CONCATENATE("Table!",ADDRESS($T96,MATCH(D$1,INDIRECT("Table!A" &amp; $AE96):INDIRECT("Table!" &amp; $AH$253 &amp; $AE96),0)))))</f>
        <v/>
      </c>
      <c r="E96" s="24" t="str">
        <f ca="1">IF(ISERROR(MATCH(E$1,INDIRECT("Table!A"&amp;$AE96):INDIRECT("Table!" &amp; $AH$253 &amp; $AE96),0)),"",INDIRECT(CONCATENATE("Table!",ADDRESS($T96,MATCH(E$1,INDIRECT("Table!A" &amp; $AE96):INDIRECT("Table!" &amp; $AH$253 &amp; $AE96),0)))))</f>
        <v/>
      </c>
      <c r="F96" s="24" t="str">
        <f ca="1">IF(ISERROR(MATCH(F$1,INDIRECT("Table!A"&amp;$AE96):INDIRECT("Table!" &amp; $AH$253 &amp; $AE96),0)),"",INDIRECT(CONCATENATE("Table!",ADDRESS($T96,MATCH(F$1,INDIRECT("Table!A" &amp; $AE96):INDIRECT("Table!" &amp; $AH$253 &amp; $AE96),0)))))</f>
        <v/>
      </c>
      <c r="G96" s="24" t="str">
        <f ca="1">IF(ISERROR(MATCH(G$1,INDIRECT("Table!A"&amp;$AE96):INDIRECT("Table!" &amp; $AH$253 &amp; $AE96),0)),"",INDIRECT(CONCATENATE("Table!",ADDRESS($T96,MATCH(G$1,INDIRECT("Table!A" &amp; $AE96):INDIRECT("Table!" &amp; $AH$253 &amp; $AE96),0)))))</f>
        <v/>
      </c>
      <c r="H96" s="24" t="str">
        <f ca="1">IF(ISERROR(MATCH(H$1,INDIRECT("Table!A"&amp;$AE96):INDIRECT("Table!" &amp; $AH$253 &amp; $AE96),0)),"",INDIRECT(CONCATENATE("Table!",ADDRESS($T96,MATCH(H$1,INDIRECT("Table!A" &amp; $AE96):INDIRECT("Table!" &amp; $AH$253 &amp; $AE96),0)))))</f>
        <v/>
      </c>
      <c r="I96" s="273"/>
      <c r="J96" s="273"/>
      <c r="K96" s="24" t="str">
        <f ca="1">IF(ISERROR(MATCH(L$1,INDIRECT("Table!A"&amp;$AE96):INDIRECT("Table!" &amp; $AH$253 &amp; $AE96),0)),"",INDIRECT(CONCATENATE("Table!",ADDRESS($T96,MATCH(L$1,INDIRECT("Table!A" &amp; $AE96):INDIRECT("Table!" &amp; $AH$253 &amp; $AE96),0)))))</f>
        <v/>
      </c>
      <c r="L96" s="24" t="str">
        <f ca="1">IF(ISERROR(MATCH(M$1,INDIRECT("Table!A"&amp;$AE96):INDIRECT("Table!" &amp; $AH$253 &amp; $AE96),0)),"",INDIRECT(CONCATENATE("Table!",ADDRESS($T96,MATCH(M$1,INDIRECT("Table!A" &amp; $AE96):INDIRECT("Table!" &amp; $AH$253 &amp; $AE96),0)))))</f>
        <v/>
      </c>
      <c r="M96" s="24" t="str">
        <f ca="1">IF(ISERROR(MATCH(N$1,INDIRECT("Table!A"&amp;$AE96):INDIRECT("Table!" &amp; $AH$253 &amp; $AE96),0)),"",INDIRECT(CONCATENATE("Table!",ADDRESS($T96,MATCH(N$1,INDIRECT("Table!A" &amp; $AE96):INDIRECT("Table!" &amp; $AH$253 &amp; $AE96),0)))))</f>
        <v/>
      </c>
      <c r="N96" s="24" t="str">
        <f ca="1">IF(ISERROR(MATCH(O$1,INDIRECT("Table!A"&amp;$AE96):INDIRECT("Table!" &amp; $AH$253 &amp; $AE96),0)),"",INDIRECT(CONCATENATE("Table!",ADDRESS($T96,MATCH(O$1,INDIRECT("Table!A" &amp; $AE96):INDIRECT("Table!" &amp; $AH$253 &amp; $AE96),0)))))</f>
        <v/>
      </c>
      <c r="O96" s="24" t="str">
        <f ca="1">IF(ISERROR(MATCH(P$1,INDIRECT("Table!A"&amp;$AE96):INDIRECT("Table!" &amp; $AH$253 &amp; $AE96),0)),"",INDIRECT(CONCATENATE("Table!",ADDRESS($T96,MATCH(P$1,INDIRECT("Table!A" &amp; $AE96):INDIRECT("Table!" &amp; $AH$253 &amp; $AE96),0)))))</f>
        <v/>
      </c>
      <c r="P96" s="273" t="str">
        <f ca="1">IF(ISERROR(MATCH(Q$1,INDIRECT("Table!A"&amp;$AE96):INDIRECT("Table!" &amp; $AH$253 &amp; $AE96),0)),"",INDIRECT(CONCATENATE("Table!",ADDRESS($T96,MATCH(Q$1,INDIRECT("Table!A" &amp; $AE96):INDIRECT("Table!" &amp; $AH$253 &amp; $AE96),0)))))</f>
        <v/>
      </c>
      <c r="Q96" s="217"/>
      <c r="R96" s="217"/>
      <c r="S96" s="217"/>
      <c r="T96" s="22"/>
      <c r="AC96" s="217"/>
      <c r="AD96" s="217"/>
      <c r="AE96" s="22"/>
      <c r="AF96" s="217"/>
      <c r="AG96" s="217"/>
      <c r="AH96" s="22"/>
      <c r="AI96" s="25"/>
      <c r="AJ96" s="25"/>
      <c r="AK96" s="25"/>
    </row>
    <row r="97" spans="2:37" ht="19.5" customHeight="1" x14ac:dyDescent="0.25">
      <c r="B97" s="24"/>
      <c r="C97" s="24" t="str">
        <f ca="1">IF(ISERROR(MATCH(C$1,INDIRECT("Table!A"&amp;$AE97):INDIRECT("Table!" &amp; $AH$253 &amp; $AE97),0)),"",INDIRECT(CONCATENATE("Table!",ADDRESS($T97,MATCH(C$1,INDIRECT("Table!A" &amp; $AE97):INDIRECT("Table!" &amp; $AH$253 &amp; $AE97),0)))))</f>
        <v/>
      </c>
      <c r="D97" s="24" t="str">
        <f ca="1">IF(ISERROR(MATCH(D$1,INDIRECT("Table!A"&amp;$AE97):INDIRECT("Table!" &amp; $AH$253 &amp; $AE97),0)),"",INDIRECT(CONCATENATE("Table!",ADDRESS($T97,MATCH(D$1,INDIRECT("Table!A" &amp; $AE97):INDIRECT("Table!" &amp; $AH$253 &amp; $AE97),0)))))</f>
        <v/>
      </c>
      <c r="E97" s="24" t="str">
        <f ca="1">IF(ISERROR(MATCH(E$1,INDIRECT("Table!A"&amp;$AE97):INDIRECT("Table!" &amp; $AH$253 &amp; $AE97),0)),"",INDIRECT(CONCATENATE("Table!",ADDRESS($T97,MATCH(E$1,INDIRECT("Table!A" &amp; $AE97):INDIRECT("Table!" &amp; $AH$253 &amp; $AE97),0)))))</f>
        <v/>
      </c>
      <c r="F97" s="24" t="str">
        <f ca="1">IF(ISERROR(MATCH(F$1,INDIRECT("Table!A"&amp;$AE97):INDIRECT("Table!" &amp; $AH$253 &amp; $AE97),0)),"",INDIRECT(CONCATENATE("Table!",ADDRESS($T97,MATCH(F$1,INDIRECT("Table!A" &amp; $AE97):INDIRECT("Table!" &amp; $AH$253 &amp; $AE97),0)))))</f>
        <v/>
      </c>
      <c r="G97" s="24" t="str">
        <f ca="1">IF(ISERROR(MATCH(G$1,INDIRECT("Table!A"&amp;$AE97):INDIRECT("Table!" &amp; $AH$253 &amp; $AE97),0)),"",INDIRECT(CONCATENATE("Table!",ADDRESS($T97,MATCH(G$1,INDIRECT("Table!A" &amp; $AE97):INDIRECT("Table!" &amp; $AH$253 &amp; $AE97),0)))))</f>
        <v/>
      </c>
      <c r="H97" s="24" t="str">
        <f ca="1">IF(ISERROR(MATCH(H$1,INDIRECT("Table!A"&amp;$AE97):INDIRECT("Table!" &amp; $AH$253 &amp; $AE97),0)),"",INDIRECT(CONCATENATE("Table!",ADDRESS($T97,MATCH(H$1,INDIRECT("Table!A" &amp; $AE97):INDIRECT("Table!" &amp; $AH$253 &amp; $AE97),0)))))</f>
        <v/>
      </c>
      <c r="I97" s="273"/>
      <c r="J97" s="273"/>
      <c r="K97" s="24" t="str">
        <f ca="1">IF(ISERROR(MATCH(L$1,INDIRECT("Table!A"&amp;$AE97):INDIRECT("Table!" &amp; $AH$253 &amp; $AE97),0)),"",INDIRECT(CONCATENATE("Table!",ADDRESS($T97,MATCH(L$1,INDIRECT("Table!A" &amp; $AE97):INDIRECT("Table!" &amp; $AH$253 &amp; $AE97),0)))))</f>
        <v/>
      </c>
      <c r="L97" s="24" t="str">
        <f ca="1">IF(ISERROR(MATCH(M$1,INDIRECT("Table!A"&amp;$AE97):INDIRECT("Table!" &amp; $AH$253 &amp; $AE97),0)),"",INDIRECT(CONCATENATE("Table!",ADDRESS($T97,MATCH(M$1,INDIRECT("Table!A" &amp; $AE97):INDIRECT("Table!" &amp; $AH$253 &amp; $AE97),0)))))</f>
        <v/>
      </c>
      <c r="M97" s="24" t="str">
        <f ca="1">IF(ISERROR(MATCH(N$1,INDIRECT("Table!A"&amp;$AE97):INDIRECT("Table!" &amp; $AH$253 &amp; $AE97),0)),"",INDIRECT(CONCATENATE("Table!",ADDRESS($T97,MATCH(N$1,INDIRECT("Table!A" &amp; $AE97):INDIRECT("Table!" &amp; $AH$253 &amp; $AE97),0)))))</f>
        <v/>
      </c>
      <c r="N97" s="24" t="str">
        <f ca="1">IF(ISERROR(MATCH(O$1,INDIRECT("Table!A"&amp;$AE97):INDIRECT("Table!" &amp; $AH$253 &amp; $AE97),0)),"",INDIRECT(CONCATENATE("Table!",ADDRESS($T97,MATCH(O$1,INDIRECT("Table!A" &amp; $AE97):INDIRECT("Table!" &amp; $AH$253 &amp; $AE97),0)))))</f>
        <v/>
      </c>
      <c r="O97" s="24" t="str">
        <f ca="1">IF(ISERROR(MATCH(P$1,INDIRECT("Table!A"&amp;$AE97):INDIRECT("Table!" &amp; $AH$253 &amp; $AE97),0)),"",INDIRECT(CONCATENATE("Table!",ADDRESS($T97,MATCH(P$1,INDIRECT("Table!A" &amp; $AE97):INDIRECT("Table!" &amp; $AH$253 &amp; $AE97),0)))))</f>
        <v/>
      </c>
      <c r="P97" s="273" t="str">
        <f ca="1">IF(ISERROR(MATCH(Q$1,INDIRECT("Table!A"&amp;$AE97):INDIRECT("Table!" &amp; $AH$253 &amp; $AE97),0)),"",INDIRECT(CONCATENATE("Table!",ADDRESS($T97,MATCH(Q$1,INDIRECT("Table!A" &amp; $AE97):INDIRECT("Table!" &amp; $AH$253 &amp; $AE97),0)))))</f>
        <v/>
      </c>
      <c r="Q97" s="216"/>
      <c r="R97" s="216"/>
      <c r="S97" s="216"/>
      <c r="T97" s="22"/>
      <c r="AC97" s="216"/>
      <c r="AD97" s="216"/>
      <c r="AE97" s="22"/>
      <c r="AF97" s="216"/>
      <c r="AG97" s="216"/>
      <c r="AH97" s="22"/>
      <c r="AI97" s="25"/>
      <c r="AJ97" s="25"/>
      <c r="AK97" s="25"/>
    </row>
    <row r="98" spans="2:37" ht="19.5" customHeight="1" x14ac:dyDescent="0.25">
      <c r="B98" s="24"/>
      <c r="C98" s="24" t="str">
        <f ca="1">IF(ISERROR(MATCH(C$1,INDIRECT("Table!A"&amp;$AE98):INDIRECT("Table!" &amp; $AH$253 &amp; $AE98),0)),"",INDIRECT(CONCATENATE("Table!",ADDRESS($T98,MATCH(C$1,INDIRECT("Table!A" &amp; $AE98):INDIRECT("Table!" &amp; $AH$253 &amp; $AE98),0)))))</f>
        <v/>
      </c>
      <c r="D98" s="24" t="str">
        <f ca="1">IF(ISERROR(MATCH(D$1,INDIRECT("Table!A"&amp;$AE98):INDIRECT("Table!" &amp; $AH$253 &amp; $AE98),0)),"",INDIRECT(CONCATENATE("Table!",ADDRESS($T98,MATCH(D$1,INDIRECT("Table!A" &amp; $AE98):INDIRECT("Table!" &amp; $AH$253 &amp; $AE98),0)))))</f>
        <v/>
      </c>
      <c r="E98" s="24" t="str">
        <f ca="1">IF(ISERROR(MATCH(E$1,INDIRECT("Table!A"&amp;$AE98):INDIRECT("Table!" &amp; $AH$253 &amp; $AE98),0)),"",INDIRECT(CONCATENATE("Table!",ADDRESS($T98,MATCH(E$1,INDIRECT("Table!A" &amp; $AE98):INDIRECT("Table!" &amp; $AH$253 &amp; $AE98),0)))))</f>
        <v/>
      </c>
      <c r="F98" s="24" t="str">
        <f ca="1">IF(ISERROR(MATCH(F$1,INDIRECT("Table!A"&amp;$AE98):INDIRECT("Table!" &amp; $AH$253 &amp; $AE98),0)),"",INDIRECT(CONCATENATE("Table!",ADDRESS($T98,MATCH(F$1,INDIRECT("Table!A" &amp; $AE98):INDIRECT("Table!" &amp; $AH$253 &amp; $AE98),0)))))</f>
        <v/>
      </c>
      <c r="G98" s="24" t="str">
        <f ca="1">IF(ISERROR(MATCH(G$1,INDIRECT("Table!A"&amp;$AE98):INDIRECT("Table!" &amp; $AH$253 &amp; $AE98),0)),"",INDIRECT(CONCATENATE("Table!",ADDRESS($T98,MATCH(G$1,INDIRECT("Table!A" &amp; $AE98):INDIRECT("Table!" &amp; $AH$253 &amp; $AE98),0)))))</f>
        <v/>
      </c>
      <c r="H98" s="24" t="str">
        <f ca="1">IF(ISERROR(MATCH(H$1,INDIRECT("Table!A"&amp;$AE98):INDIRECT("Table!" &amp; $AH$253 &amp; $AE98),0)),"",INDIRECT(CONCATENATE("Table!",ADDRESS($T98,MATCH(H$1,INDIRECT("Table!A" &amp; $AE98):INDIRECT("Table!" &amp; $AH$253 &amp; $AE98),0)))))</f>
        <v/>
      </c>
      <c r="I98" s="273"/>
      <c r="J98" s="273"/>
      <c r="K98" s="24" t="str">
        <f ca="1">IF(ISERROR(MATCH(L$1,INDIRECT("Table!A"&amp;$AE98):INDIRECT("Table!" &amp; $AH$253 &amp; $AE98),0)),"",INDIRECT(CONCATENATE("Table!",ADDRESS($T98,MATCH(L$1,INDIRECT("Table!A" &amp; $AE98):INDIRECT("Table!" &amp; $AH$253 &amp; $AE98),0)))))</f>
        <v/>
      </c>
      <c r="L98" s="24" t="str">
        <f ca="1">IF(ISERROR(MATCH(M$1,INDIRECT("Table!A"&amp;$AE98):INDIRECT("Table!" &amp; $AH$253 &amp; $AE98),0)),"",INDIRECT(CONCATENATE("Table!",ADDRESS($T98,MATCH(M$1,INDIRECT("Table!A" &amp; $AE98):INDIRECT("Table!" &amp; $AH$253 &amp; $AE98),0)))))</f>
        <v/>
      </c>
      <c r="M98" s="24" t="str">
        <f ca="1">IF(ISERROR(MATCH(N$1,INDIRECT("Table!A"&amp;$AE98):INDIRECT("Table!" &amp; $AH$253 &amp; $AE98),0)),"",INDIRECT(CONCATENATE("Table!",ADDRESS($T98,MATCH(N$1,INDIRECT("Table!A" &amp; $AE98):INDIRECT("Table!" &amp; $AH$253 &amp; $AE98),0)))))</f>
        <v/>
      </c>
      <c r="N98" s="24" t="str">
        <f ca="1">IF(ISERROR(MATCH(O$1,INDIRECT("Table!A"&amp;$AE98):INDIRECT("Table!" &amp; $AH$253 &amp; $AE98),0)),"",INDIRECT(CONCATENATE("Table!",ADDRESS($T98,MATCH(O$1,INDIRECT("Table!A" &amp; $AE98):INDIRECT("Table!" &amp; $AH$253 &amp; $AE98),0)))))</f>
        <v/>
      </c>
      <c r="O98" s="24" t="str">
        <f ca="1">IF(ISERROR(MATCH(P$1,INDIRECT("Table!A"&amp;$AE98):INDIRECT("Table!" &amp; $AH$253 &amp; $AE98),0)),"",INDIRECT(CONCATENATE("Table!",ADDRESS($T98,MATCH(P$1,INDIRECT("Table!A" &amp; $AE98):INDIRECT("Table!" &amp; $AH$253 &amp; $AE98),0)))))</f>
        <v/>
      </c>
      <c r="P98" s="273" t="str">
        <f ca="1">IF(ISERROR(MATCH(Q$1,INDIRECT("Table!A"&amp;$AE98):INDIRECT("Table!" &amp; $AH$253 &amp; $AE98),0)),"",INDIRECT(CONCATENATE("Table!",ADDRESS($T98,MATCH(Q$1,INDIRECT("Table!A" &amp; $AE98):INDIRECT("Table!" &amp; $AH$253 &amp; $AE98),0)))))</f>
        <v/>
      </c>
      <c r="Q98" s="215"/>
      <c r="R98" s="215"/>
      <c r="S98" s="215"/>
      <c r="T98" s="22"/>
      <c r="AC98" s="215"/>
      <c r="AD98" s="215"/>
      <c r="AE98" s="22"/>
      <c r="AF98" s="215"/>
      <c r="AG98" s="215"/>
      <c r="AH98" s="22"/>
      <c r="AI98" s="25"/>
      <c r="AJ98" s="25"/>
      <c r="AK98" s="25"/>
    </row>
    <row r="99" spans="2:37" ht="19.5" customHeight="1" x14ac:dyDescent="0.25">
      <c r="B99" s="24"/>
      <c r="C99" s="24" t="str">
        <f ca="1">IF(ISERROR(MATCH(C$1,INDIRECT("Table!A"&amp;$AE99):INDIRECT("Table!" &amp; $AH$253 &amp; $AE99),0)),"",INDIRECT(CONCATENATE("Table!",ADDRESS($T99,MATCH(C$1,INDIRECT("Table!A" &amp; $AE99):INDIRECT("Table!" &amp; $AH$253 &amp; $AE99),0)))))</f>
        <v/>
      </c>
      <c r="D99" s="24" t="str">
        <f ca="1">IF(ISERROR(MATCH(D$1,INDIRECT("Table!A"&amp;$AE99):INDIRECT("Table!" &amp; $AH$253 &amp; $AE99),0)),"",INDIRECT(CONCATENATE("Table!",ADDRESS($T99,MATCH(D$1,INDIRECT("Table!A" &amp; $AE99):INDIRECT("Table!" &amp; $AH$253 &amp; $AE99),0)))))</f>
        <v/>
      </c>
      <c r="E99" s="24" t="str">
        <f ca="1">IF(ISERROR(MATCH(E$1,INDIRECT("Table!A"&amp;$AE99):INDIRECT("Table!" &amp; $AH$253 &amp; $AE99),0)),"",INDIRECT(CONCATENATE("Table!",ADDRESS($T99,MATCH(E$1,INDIRECT("Table!A" &amp; $AE99):INDIRECT("Table!" &amp; $AH$253 &amp; $AE99),0)))))</f>
        <v/>
      </c>
      <c r="F99" s="24" t="str">
        <f ca="1">IF(ISERROR(MATCH(F$1,INDIRECT("Table!A"&amp;$AE99):INDIRECT("Table!" &amp; $AH$253 &amp; $AE99),0)),"",INDIRECT(CONCATENATE("Table!",ADDRESS($T99,MATCH(F$1,INDIRECT("Table!A" &amp; $AE99):INDIRECT("Table!" &amp; $AH$253 &amp; $AE99),0)))))</f>
        <v/>
      </c>
      <c r="G99" s="24" t="str">
        <f ca="1">IF(ISERROR(MATCH(G$1,INDIRECT("Table!A"&amp;$AE99):INDIRECT("Table!" &amp; $AH$253 &amp; $AE99),0)),"",INDIRECT(CONCATENATE("Table!",ADDRESS($T99,MATCH(G$1,INDIRECT("Table!A" &amp; $AE99):INDIRECT("Table!" &amp; $AH$253 &amp; $AE99),0)))))</f>
        <v/>
      </c>
      <c r="H99" s="24" t="str">
        <f ca="1">IF(ISERROR(MATCH(H$1,INDIRECT("Table!A"&amp;$AE99):INDIRECT("Table!" &amp; $AH$253 &amp; $AE99),0)),"",INDIRECT(CONCATENATE("Table!",ADDRESS($T99,MATCH(H$1,INDIRECT("Table!A" &amp; $AE99):INDIRECT("Table!" &amp; $AH$253 &amp; $AE99),0)))))</f>
        <v/>
      </c>
      <c r="I99" s="273"/>
      <c r="J99" s="273"/>
      <c r="K99" s="24" t="str">
        <f ca="1">IF(ISERROR(MATCH(L$1,INDIRECT("Table!A"&amp;$AE99):INDIRECT("Table!" &amp; $AH$253 &amp; $AE99),0)),"",INDIRECT(CONCATENATE("Table!",ADDRESS($T99,MATCH(L$1,INDIRECT("Table!A" &amp; $AE99):INDIRECT("Table!" &amp; $AH$253 &amp; $AE99),0)))))</f>
        <v/>
      </c>
      <c r="L99" s="24" t="str">
        <f ca="1">IF(ISERROR(MATCH(M$1,INDIRECT("Table!A"&amp;$AE99):INDIRECT("Table!" &amp; $AH$253 &amp; $AE99),0)),"",INDIRECT(CONCATENATE("Table!",ADDRESS($T99,MATCH(M$1,INDIRECT("Table!A" &amp; $AE99):INDIRECT("Table!" &amp; $AH$253 &amp; $AE99),0)))))</f>
        <v/>
      </c>
      <c r="M99" s="24" t="str">
        <f ca="1">IF(ISERROR(MATCH(N$1,INDIRECT("Table!A"&amp;$AE99):INDIRECT("Table!" &amp; $AH$253 &amp; $AE99),0)),"",INDIRECT(CONCATENATE("Table!",ADDRESS($T99,MATCH(N$1,INDIRECT("Table!A" &amp; $AE99):INDIRECT("Table!" &amp; $AH$253 &amp; $AE99),0)))))</f>
        <v/>
      </c>
      <c r="N99" s="24" t="str">
        <f ca="1">IF(ISERROR(MATCH(O$1,INDIRECT("Table!A"&amp;$AE99):INDIRECT("Table!" &amp; $AH$253 &amp; $AE99),0)),"",INDIRECT(CONCATENATE("Table!",ADDRESS($T99,MATCH(O$1,INDIRECT("Table!A" &amp; $AE99):INDIRECT("Table!" &amp; $AH$253 &amp; $AE99),0)))))</f>
        <v/>
      </c>
      <c r="O99" s="24" t="str">
        <f ca="1">IF(ISERROR(MATCH(P$1,INDIRECT("Table!A"&amp;$AE99):INDIRECT("Table!" &amp; $AH$253 &amp; $AE99),0)),"",INDIRECT(CONCATENATE("Table!",ADDRESS($T99,MATCH(P$1,INDIRECT("Table!A" &amp; $AE99):INDIRECT("Table!" &amp; $AH$253 &amp; $AE99),0)))))</f>
        <v/>
      </c>
      <c r="P99" s="273" t="str">
        <f ca="1">IF(ISERROR(MATCH(Q$1,INDIRECT("Table!A"&amp;$AE99):INDIRECT("Table!" &amp; $AH$253 &amp; $AE99),0)),"",INDIRECT(CONCATENATE("Table!",ADDRESS($T99,MATCH(Q$1,INDIRECT("Table!A" &amp; $AE99):INDIRECT("Table!" &amp; $AH$253 &amp; $AE99),0)))))</f>
        <v/>
      </c>
      <c r="Q99" s="214"/>
      <c r="R99" s="214"/>
      <c r="S99" s="214"/>
      <c r="T99" s="22"/>
      <c r="AC99" s="214"/>
      <c r="AD99" s="214"/>
      <c r="AE99" s="22"/>
      <c r="AF99" s="214"/>
      <c r="AG99" s="214"/>
      <c r="AH99" s="22"/>
      <c r="AI99" s="25"/>
      <c r="AJ99" s="25"/>
      <c r="AK99" s="25"/>
    </row>
    <row r="100" spans="2:37" ht="19.5" customHeight="1" x14ac:dyDescent="0.25">
      <c r="B100" s="24"/>
      <c r="C100" s="24" t="str">
        <f ca="1">IF(ISERROR(MATCH(C$1,INDIRECT("Table!A"&amp;$AE100):INDIRECT("Table!" &amp; $AH$253 &amp; $AE100),0)),"",INDIRECT(CONCATENATE("Table!",ADDRESS($T100,MATCH(C$1,INDIRECT("Table!A" &amp; $AE100):INDIRECT("Table!" &amp; $AH$253 &amp; $AE100),0)))))</f>
        <v/>
      </c>
      <c r="D100" s="24" t="str">
        <f ca="1">IF(ISERROR(MATCH(D$1,INDIRECT("Table!A"&amp;$AE100):INDIRECT("Table!" &amp; $AH$253 &amp; $AE100),0)),"",INDIRECT(CONCATENATE("Table!",ADDRESS($T100,MATCH(D$1,INDIRECT("Table!A" &amp; $AE100):INDIRECT("Table!" &amp; $AH$253 &amp; $AE100),0)))))</f>
        <v/>
      </c>
      <c r="E100" s="24" t="str">
        <f ca="1">IF(ISERROR(MATCH(E$1,INDIRECT("Table!A"&amp;$AE100):INDIRECT("Table!" &amp; $AH$253 &amp; $AE100),0)),"",INDIRECT(CONCATENATE("Table!",ADDRESS($T100,MATCH(E$1,INDIRECT("Table!A" &amp; $AE100):INDIRECT("Table!" &amp; $AH$253 &amp; $AE100),0)))))</f>
        <v/>
      </c>
      <c r="F100" s="24" t="str">
        <f ca="1">IF(ISERROR(MATCH(F$1,INDIRECT("Table!A"&amp;$AE100):INDIRECT("Table!" &amp; $AH$253 &amp; $AE100),0)),"",INDIRECT(CONCATENATE("Table!",ADDRESS($T100,MATCH(F$1,INDIRECT("Table!A" &amp; $AE100):INDIRECT("Table!" &amp; $AH$253 &amp; $AE100),0)))))</f>
        <v/>
      </c>
      <c r="G100" s="24" t="str">
        <f ca="1">IF(ISERROR(MATCH(G$1,INDIRECT("Table!A"&amp;$AE100):INDIRECT("Table!" &amp; $AH$253 &amp; $AE100),0)),"",INDIRECT(CONCATENATE("Table!",ADDRESS($T100,MATCH(G$1,INDIRECT("Table!A" &amp; $AE100):INDIRECT("Table!" &amp; $AH$253 &amp; $AE100),0)))))</f>
        <v/>
      </c>
      <c r="H100" s="24" t="str">
        <f ca="1">IF(ISERROR(MATCH(H$1,INDIRECT("Table!A"&amp;$AE100):INDIRECT("Table!" &amp; $AH$253 &amp; $AE100),0)),"",INDIRECT(CONCATENATE("Table!",ADDRESS($T100,MATCH(H$1,INDIRECT("Table!A" &amp; $AE100):INDIRECT("Table!" &amp; $AH$253 &amp; $AE100),0)))))</f>
        <v/>
      </c>
      <c r="I100" s="273"/>
      <c r="J100" s="273"/>
      <c r="K100" s="24" t="str">
        <f ca="1">IF(ISERROR(MATCH(L$1,INDIRECT("Table!A"&amp;$AE100):INDIRECT("Table!" &amp; $AH$253 &amp; $AE100),0)),"",INDIRECT(CONCATENATE("Table!",ADDRESS($T100,MATCH(L$1,INDIRECT("Table!A" &amp; $AE100):INDIRECT("Table!" &amp; $AH$253 &amp; $AE100),0)))))</f>
        <v/>
      </c>
      <c r="L100" s="24" t="str">
        <f ca="1">IF(ISERROR(MATCH(M$1,INDIRECT("Table!A"&amp;$AE100):INDIRECT("Table!" &amp; $AH$253 &amp; $AE100),0)),"",INDIRECT(CONCATENATE("Table!",ADDRESS($T100,MATCH(M$1,INDIRECT("Table!A" &amp; $AE100):INDIRECT("Table!" &amp; $AH$253 &amp; $AE100),0)))))</f>
        <v/>
      </c>
      <c r="M100" s="24" t="str">
        <f ca="1">IF(ISERROR(MATCH(N$1,INDIRECT("Table!A"&amp;$AE100):INDIRECT("Table!" &amp; $AH$253 &amp; $AE100),0)),"",INDIRECT(CONCATENATE("Table!",ADDRESS($T100,MATCH(N$1,INDIRECT("Table!A" &amp; $AE100):INDIRECT("Table!" &amp; $AH$253 &amp; $AE100),0)))))</f>
        <v/>
      </c>
      <c r="N100" s="24" t="str">
        <f ca="1">IF(ISERROR(MATCH(O$1,INDIRECT("Table!A"&amp;$AE100):INDIRECT("Table!" &amp; $AH$253 &amp; $AE100),0)),"",INDIRECT(CONCATENATE("Table!",ADDRESS($T100,MATCH(O$1,INDIRECT("Table!A" &amp; $AE100):INDIRECT("Table!" &amp; $AH$253 &amp; $AE100),0)))))</f>
        <v/>
      </c>
      <c r="O100" s="24" t="str">
        <f ca="1">IF(ISERROR(MATCH(P$1,INDIRECT("Table!A"&amp;$AE100):INDIRECT("Table!" &amp; $AH$253 &amp; $AE100),0)),"",INDIRECT(CONCATENATE("Table!",ADDRESS($T100,MATCH(P$1,INDIRECT("Table!A" &amp; $AE100):INDIRECT("Table!" &amp; $AH$253 &amp; $AE100),0)))))</f>
        <v/>
      </c>
      <c r="P100" s="273" t="str">
        <f ca="1">IF(ISERROR(MATCH(Q$1,INDIRECT("Table!A"&amp;$AE100):INDIRECT("Table!" &amp; $AH$253 &amp; $AE100),0)),"",INDIRECT(CONCATENATE("Table!",ADDRESS($T100,MATCH(Q$1,INDIRECT("Table!A" &amp; $AE100):INDIRECT("Table!" &amp; $AH$253 &amp; $AE100),0)))))</f>
        <v/>
      </c>
      <c r="Q100" s="213"/>
      <c r="R100" s="213"/>
      <c r="S100" s="213"/>
      <c r="T100" s="22"/>
      <c r="AC100" s="213"/>
      <c r="AD100" s="213"/>
      <c r="AE100" s="22"/>
      <c r="AF100" s="213"/>
      <c r="AG100" s="213"/>
      <c r="AH100" s="22"/>
      <c r="AI100" s="25"/>
      <c r="AJ100" s="25"/>
      <c r="AK100" s="25"/>
    </row>
    <row r="101" spans="2:37" ht="19.5" customHeight="1" x14ac:dyDescent="0.25">
      <c r="B101" s="24"/>
      <c r="C101" s="24" t="str">
        <f ca="1">IF(ISERROR(MATCH(C$1,INDIRECT("Table!A"&amp;$AE101):INDIRECT("Table!" &amp; $AH$253 &amp; $AE101),0)),"",INDIRECT(CONCATENATE("Table!",ADDRESS($T101,MATCH(C$1,INDIRECT("Table!A" &amp; $AE101):INDIRECT("Table!" &amp; $AH$253 &amp; $AE101),0)))))</f>
        <v/>
      </c>
      <c r="D101" s="24" t="str">
        <f ca="1">IF(ISERROR(MATCH(D$1,INDIRECT("Table!A"&amp;$AE101):INDIRECT("Table!" &amp; $AH$253 &amp; $AE101),0)),"",INDIRECT(CONCATENATE("Table!",ADDRESS($T101,MATCH(D$1,INDIRECT("Table!A" &amp; $AE101):INDIRECT("Table!" &amp; $AH$253 &amp; $AE101),0)))))</f>
        <v/>
      </c>
      <c r="E101" s="24" t="str">
        <f ca="1">IF(ISERROR(MATCH(E$1,INDIRECT("Table!A"&amp;$AE101):INDIRECT("Table!" &amp; $AH$253 &amp; $AE101),0)),"",INDIRECT(CONCATENATE("Table!",ADDRESS($T101,MATCH(E$1,INDIRECT("Table!A" &amp; $AE101):INDIRECT("Table!" &amp; $AH$253 &amp; $AE101),0)))))</f>
        <v/>
      </c>
      <c r="F101" s="24" t="str">
        <f ca="1">IF(ISERROR(MATCH(F$1,INDIRECT("Table!A"&amp;$AE101):INDIRECT("Table!" &amp; $AH$253 &amp; $AE101),0)),"",INDIRECT(CONCATENATE("Table!",ADDRESS($T101,MATCH(F$1,INDIRECT("Table!A" &amp; $AE101):INDIRECT("Table!" &amp; $AH$253 &amp; $AE101),0)))))</f>
        <v/>
      </c>
      <c r="G101" s="24" t="str">
        <f ca="1">IF(ISERROR(MATCH(G$1,INDIRECT("Table!A"&amp;$AE101):INDIRECT("Table!" &amp; $AH$253 &amp; $AE101),0)),"",INDIRECT(CONCATENATE("Table!",ADDRESS($T101,MATCH(G$1,INDIRECT("Table!A" &amp; $AE101):INDIRECT("Table!" &amp; $AH$253 &amp; $AE101),0)))))</f>
        <v/>
      </c>
      <c r="H101" s="24" t="str">
        <f ca="1">IF(ISERROR(MATCH(H$1,INDIRECT("Table!A"&amp;$AE101):INDIRECT("Table!" &amp; $AH$253 &amp; $AE101),0)),"",INDIRECT(CONCATENATE("Table!",ADDRESS($T101,MATCH(H$1,INDIRECT("Table!A" &amp; $AE101):INDIRECT("Table!" &amp; $AH$253 &amp; $AE101),0)))))</f>
        <v/>
      </c>
      <c r="I101" s="273"/>
      <c r="J101" s="273"/>
      <c r="K101" s="24" t="str">
        <f ca="1">IF(ISERROR(MATCH(L$1,INDIRECT("Table!A"&amp;$AE101):INDIRECT("Table!" &amp; $AH$253 &amp; $AE101),0)),"",INDIRECT(CONCATENATE("Table!",ADDRESS($T101,MATCH(L$1,INDIRECT("Table!A" &amp; $AE101):INDIRECT("Table!" &amp; $AH$253 &amp; $AE101),0)))))</f>
        <v/>
      </c>
      <c r="L101" s="24" t="str">
        <f ca="1">IF(ISERROR(MATCH(M$1,INDIRECT("Table!A"&amp;$AE101):INDIRECT("Table!" &amp; $AH$253 &amp; $AE101),0)),"",INDIRECT(CONCATENATE("Table!",ADDRESS($T101,MATCH(M$1,INDIRECT("Table!A" &amp; $AE101):INDIRECT("Table!" &amp; $AH$253 &amp; $AE101),0)))))</f>
        <v/>
      </c>
      <c r="M101" s="24" t="str">
        <f ca="1">IF(ISERROR(MATCH(N$1,INDIRECT("Table!A"&amp;$AE101):INDIRECT("Table!" &amp; $AH$253 &amp; $AE101),0)),"",INDIRECT(CONCATENATE("Table!",ADDRESS($T101,MATCH(N$1,INDIRECT("Table!A" &amp; $AE101):INDIRECT("Table!" &amp; $AH$253 &amp; $AE101),0)))))</f>
        <v/>
      </c>
      <c r="N101" s="24" t="str">
        <f ca="1">IF(ISERROR(MATCH(O$1,INDIRECT("Table!A"&amp;$AE101):INDIRECT("Table!" &amp; $AH$253 &amp; $AE101),0)),"",INDIRECT(CONCATENATE("Table!",ADDRESS($T101,MATCH(O$1,INDIRECT("Table!A" &amp; $AE101):INDIRECT("Table!" &amp; $AH$253 &amp; $AE101),0)))))</f>
        <v/>
      </c>
      <c r="O101" s="24" t="str">
        <f ca="1">IF(ISERROR(MATCH(P$1,INDIRECT("Table!A"&amp;$AE101):INDIRECT("Table!" &amp; $AH$253 &amp; $AE101),0)),"",INDIRECT(CONCATENATE("Table!",ADDRESS($T101,MATCH(P$1,INDIRECT("Table!A" &amp; $AE101):INDIRECT("Table!" &amp; $AH$253 &amp; $AE101),0)))))</f>
        <v/>
      </c>
      <c r="P101" s="273" t="str">
        <f ca="1">IF(ISERROR(MATCH(Q$1,INDIRECT("Table!A"&amp;$AE101):INDIRECT("Table!" &amp; $AH$253 &amp; $AE101),0)),"",INDIRECT(CONCATENATE("Table!",ADDRESS($T101,MATCH(Q$1,INDIRECT("Table!A" &amp; $AE101):INDIRECT("Table!" &amp; $AH$253 &amp; $AE101),0)))))</f>
        <v/>
      </c>
      <c r="Q101" s="212"/>
      <c r="R101" s="212"/>
      <c r="S101" s="212"/>
      <c r="T101" s="22"/>
      <c r="AC101" s="212"/>
      <c r="AD101" s="212"/>
      <c r="AE101" s="22"/>
      <c r="AF101" s="212"/>
      <c r="AG101" s="212"/>
      <c r="AH101" s="22"/>
      <c r="AI101" s="25"/>
      <c r="AJ101" s="25"/>
      <c r="AK101" s="25"/>
    </row>
    <row r="102" spans="2:37" ht="19.5" customHeight="1" x14ac:dyDescent="0.25">
      <c r="B102" s="24"/>
      <c r="C102" s="24" t="str">
        <f ca="1">IF(ISERROR(MATCH(C$1,INDIRECT("Table!A"&amp;$AE102):INDIRECT("Table!" &amp; $AH$253 &amp; $AE102),0)),"",INDIRECT(CONCATENATE("Table!",ADDRESS($T102,MATCH(C$1,INDIRECT("Table!A" &amp; $AE102):INDIRECT("Table!" &amp; $AH$253 &amp; $AE102),0)))))</f>
        <v/>
      </c>
      <c r="D102" s="24" t="str">
        <f ca="1">IF(ISERROR(MATCH(D$1,INDIRECT("Table!A"&amp;$AE102):INDIRECT("Table!" &amp; $AH$253 &amp; $AE102),0)),"",INDIRECT(CONCATENATE("Table!",ADDRESS($T102,MATCH(D$1,INDIRECT("Table!A" &amp; $AE102):INDIRECT("Table!" &amp; $AH$253 &amp; $AE102),0)))))</f>
        <v/>
      </c>
      <c r="E102" s="24" t="str">
        <f ca="1">IF(ISERROR(MATCH(E$1,INDIRECT("Table!A"&amp;$AE102):INDIRECT("Table!" &amp; $AH$253 &amp; $AE102),0)),"",INDIRECT(CONCATENATE("Table!",ADDRESS($T102,MATCH(E$1,INDIRECT("Table!A" &amp; $AE102):INDIRECT("Table!" &amp; $AH$253 &amp; $AE102),0)))))</f>
        <v/>
      </c>
      <c r="F102" s="24" t="str">
        <f ca="1">IF(ISERROR(MATCH(F$1,INDIRECT("Table!A"&amp;$AE102):INDIRECT("Table!" &amp; $AH$253 &amp; $AE102),0)),"",INDIRECT(CONCATENATE("Table!",ADDRESS($T102,MATCH(F$1,INDIRECT("Table!A" &amp; $AE102):INDIRECT("Table!" &amp; $AH$253 &amp; $AE102),0)))))</f>
        <v/>
      </c>
      <c r="G102" s="24" t="str">
        <f ca="1">IF(ISERROR(MATCH(G$1,INDIRECT("Table!A"&amp;$AE102):INDIRECT("Table!" &amp; $AH$253 &amp; $AE102),0)),"",INDIRECT(CONCATENATE("Table!",ADDRESS($T102,MATCH(G$1,INDIRECT("Table!A" &amp; $AE102):INDIRECT("Table!" &amp; $AH$253 &amp; $AE102),0)))))</f>
        <v/>
      </c>
      <c r="H102" s="24" t="str">
        <f ca="1">IF(ISERROR(MATCH(H$1,INDIRECT("Table!A"&amp;$AE102):INDIRECT("Table!" &amp; $AH$253 &amp; $AE102),0)),"",INDIRECT(CONCATENATE("Table!",ADDRESS($T102,MATCH(H$1,INDIRECT("Table!A" &amp; $AE102):INDIRECT("Table!" &amp; $AH$253 &amp; $AE102),0)))))</f>
        <v/>
      </c>
      <c r="I102" s="273"/>
      <c r="J102" s="273"/>
      <c r="K102" s="24" t="str">
        <f ca="1">IF(ISERROR(MATCH(L$1,INDIRECT("Table!A"&amp;$AE102):INDIRECT("Table!" &amp; $AH$253 &amp; $AE102),0)),"",INDIRECT(CONCATENATE("Table!",ADDRESS($T102,MATCH(L$1,INDIRECT("Table!A" &amp; $AE102):INDIRECT("Table!" &amp; $AH$253 &amp; $AE102),0)))))</f>
        <v/>
      </c>
      <c r="L102" s="24" t="str">
        <f ca="1">IF(ISERROR(MATCH(M$1,INDIRECT("Table!A"&amp;$AE102):INDIRECT("Table!" &amp; $AH$253 &amp; $AE102),0)),"",INDIRECT(CONCATENATE("Table!",ADDRESS($T102,MATCH(M$1,INDIRECT("Table!A" &amp; $AE102):INDIRECT("Table!" &amp; $AH$253 &amp; $AE102),0)))))</f>
        <v/>
      </c>
      <c r="M102" s="24" t="str">
        <f ca="1">IF(ISERROR(MATCH(N$1,INDIRECT("Table!A"&amp;$AE102):INDIRECT("Table!" &amp; $AH$253 &amp; $AE102),0)),"",INDIRECT(CONCATENATE("Table!",ADDRESS($T102,MATCH(N$1,INDIRECT("Table!A" &amp; $AE102):INDIRECT("Table!" &amp; $AH$253 &amp; $AE102),0)))))</f>
        <v/>
      </c>
      <c r="N102" s="24" t="str">
        <f ca="1">IF(ISERROR(MATCH(O$1,INDIRECT("Table!A"&amp;$AE102):INDIRECT("Table!" &amp; $AH$253 &amp; $AE102),0)),"",INDIRECT(CONCATENATE("Table!",ADDRESS($T102,MATCH(O$1,INDIRECT("Table!A" &amp; $AE102):INDIRECT("Table!" &amp; $AH$253 &amp; $AE102),0)))))</f>
        <v/>
      </c>
      <c r="O102" s="24" t="str">
        <f ca="1">IF(ISERROR(MATCH(P$1,INDIRECT("Table!A"&amp;$AE102):INDIRECT("Table!" &amp; $AH$253 &amp; $AE102),0)),"",INDIRECT(CONCATENATE("Table!",ADDRESS($T102,MATCH(P$1,INDIRECT("Table!A" &amp; $AE102):INDIRECT("Table!" &amp; $AH$253 &amp; $AE102),0)))))</f>
        <v/>
      </c>
      <c r="P102" s="273" t="str">
        <f ca="1">IF(ISERROR(MATCH(Q$1,INDIRECT("Table!A"&amp;$AE102):INDIRECT("Table!" &amp; $AH$253 &amp; $AE102),0)),"",INDIRECT(CONCATENATE("Table!",ADDRESS($T102,MATCH(Q$1,INDIRECT("Table!A" &amp; $AE102):INDIRECT("Table!" &amp; $AH$253 &amp; $AE102),0)))))</f>
        <v/>
      </c>
      <c r="Q102" s="211"/>
      <c r="R102" s="211"/>
      <c r="S102" s="211"/>
      <c r="T102" s="22"/>
      <c r="AC102" s="211"/>
      <c r="AD102" s="211"/>
      <c r="AE102" s="22"/>
      <c r="AF102" s="211"/>
      <c r="AG102" s="211"/>
      <c r="AH102" s="22"/>
      <c r="AI102" s="25"/>
      <c r="AJ102" s="25"/>
      <c r="AK102" s="25"/>
    </row>
    <row r="103" spans="2:37" ht="19.5" customHeight="1" x14ac:dyDescent="0.25">
      <c r="B103" s="24"/>
      <c r="C103" s="24" t="str">
        <f ca="1">IF(ISERROR(MATCH(C$1,INDIRECT("Table!A"&amp;$AE103):INDIRECT("Table!" &amp; $AH$253 &amp; $AE103),0)),"",INDIRECT(CONCATENATE("Table!",ADDRESS($T103,MATCH(C$1,INDIRECT("Table!A" &amp; $AE103):INDIRECT("Table!" &amp; $AH$253 &amp; $AE103),0)))))</f>
        <v/>
      </c>
      <c r="D103" s="24" t="str">
        <f ca="1">IF(ISERROR(MATCH(D$1,INDIRECT("Table!A"&amp;$AE103):INDIRECT("Table!" &amp; $AH$253 &amp; $AE103),0)),"",INDIRECT(CONCATENATE("Table!",ADDRESS($T103,MATCH(D$1,INDIRECT("Table!A" &amp; $AE103):INDIRECT("Table!" &amp; $AH$253 &amp; $AE103),0)))))</f>
        <v/>
      </c>
      <c r="E103" s="24" t="str">
        <f ca="1">IF(ISERROR(MATCH(E$1,INDIRECT("Table!A"&amp;$AE103):INDIRECT("Table!" &amp; $AH$253 &amp; $AE103),0)),"",INDIRECT(CONCATENATE("Table!",ADDRESS($T103,MATCH(E$1,INDIRECT("Table!A" &amp; $AE103):INDIRECT("Table!" &amp; $AH$253 &amp; $AE103),0)))))</f>
        <v/>
      </c>
      <c r="F103" s="24" t="str">
        <f ca="1">IF(ISERROR(MATCH(F$1,INDIRECT("Table!A"&amp;$AE103):INDIRECT("Table!" &amp; $AH$253 &amp; $AE103),0)),"",INDIRECT(CONCATENATE("Table!",ADDRESS($T103,MATCH(F$1,INDIRECT("Table!A" &amp; $AE103):INDIRECT("Table!" &amp; $AH$253 &amp; $AE103),0)))))</f>
        <v/>
      </c>
      <c r="G103" s="24" t="str">
        <f ca="1">IF(ISERROR(MATCH(G$1,INDIRECT("Table!A"&amp;$AE103):INDIRECT("Table!" &amp; $AH$253 &amp; $AE103),0)),"",INDIRECT(CONCATENATE("Table!",ADDRESS($T103,MATCH(G$1,INDIRECT("Table!A" &amp; $AE103):INDIRECT("Table!" &amp; $AH$253 &amp; $AE103),0)))))</f>
        <v/>
      </c>
      <c r="H103" s="24" t="str">
        <f ca="1">IF(ISERROR(MATCH(H$1,INDIRECT("Table!A"&amp;$AE103):INDIRECT("Table!" &amp; $AH$253 &amp; $AE103),0)),"",INDIRECT(CONCATENATE("Table!",ADDRESS($T103,MATCH(H$1,INDIRECT("Table!A" &amp; $AE103):INDIRECT("Table!" &amp; $AH$253 &amp; $AE103),0)))))</f>
        <v/>
      </c>
      <c r="I103" s="273"/>
      <c r="J103" s="273"/>
      <c r="K103" s="24" t="str">
        <f ca="1">IF(ISERROR(MATCH(L$1,INDIRECT("Table!A"&amp;$AE103):INDIRECT("Table!" &amp; $AH$253 &amp; $AE103),0)),"",INDIRECT(CONCATENATE("Table!",ADDRESS($T103,MATCH(L$1,INDIRECT("Table!A" &amp; $AE103):INDIRECT("Table!" &amp; $AH$253 &amp; $AE103),0)))))</f>
        <v/>
      </c>
      <c r="L103" s="24" t="str">
        <f ca="1">IF(ISERROR(MATCH(M$1,INDIRECT("Table!A"&amp;$AE103):INDIRECT("Table!" &amp; $AH$253 &amp; $AE103),0)),"",INDIRECT(CONCATENATE("Table!",ADDRESS($T103,MATCH(M$1,INDIRECT("Table!A" &amp; $AE103):INDIRECT("Table!" &amp; $AH$253 &amp; $AE103),0)))))</f>
        <v/>
      </c>
      <c r="M103" s="24" t="str">
        <f ca="1">IF(ISERROR(MATCH(N$1,INDIRECT("Table!A"&amp;$AE103):INDIRECT("Table!" &amp; $AH$253 &amp; $AE103),0)),"",INDIRECT(CONCATENATE("Table!",ADDRESS($T103,MATCH(N$1,INDIRECT("Table!A" &amp; $AE103):INDIRECT("Table!" &amp; $AH$253 &amp; $AE103),0)))))</f>
        <v/>
      </c>
      <c r="N103" s="24" t="str">
        <f ca="1">IF(ISERROR(MATCH(O$1,INDIRECT("Table!A"&amp;$AE103):INDIRECT("Table!" &amp; $AH$253 &amp; $AE103),0)),"",INDIRECT(CONCATENATE("Table!",ADDRESS($T103,MATCH(O$1,INDIRECT("Table!A" &amp; $AE103):INDIRECT("Table!" &amp; $AH$253 &amp; $AE103),0)))))</f>
        <v/>
      </c>
      <c r="O103" s="24" t="str">
        <f ca="1">IF(ISERROR(MATCH(P$1,INDIRECT("Table!A"&amp;$AE103):INDIRECT("Table!" &amp; $AH$253 &amp; $AE103),0)),"",INDIRECT(CONCATENATE("Table!",ADDRESS($T103,MATCH(P$1,INDIRECT("Table!A" &amp; $AE103):INDIRECT("Table!" &amp; $AH$253 &amp; $AE103),0)))))</f>
        <v/>
      </c>
      <c r="P103" s="273" t="str">
        <f ca="1">IF(ISERROR(MATCH(Q$1,INDIRECT("Table!A"&amp;$AE103):INDIRECT("Table!" &amp; $AH$253 &amp; $AE103),0)),"",INDIRECT(CONCATENATE("Table!",ADDRESS($T103,MATCH(Q$1,INDIRECT("Table!A" &amp; $AE103):INDIRECT("Table!" &amp; $AH$253 &amp; $AE103),0)))))</f>
        <v/>
      </c>
      <c r="Q103" s="210"/>
      <c r="R103" s="210"/>
      <c r="S103" s="210"/>
      <c r="T103" s="22"/>
      <c r="AC103" s="210"/>
      <c r="AD103" s="210"/>
      <c r="AE103" s="22"/>
      <c r="AF103" s="210"/>
      <c r="AG103" s="210"/>
      <c r="AH103" s="22"/>
      <c r="AI103" s="25"/>
      <c r="AJ103" s="25"/>
      <c r="AK103" s="25"/>
    </row>
    <row r="104" spans="2:37" ht="19.5" customHeight="1" x14ac:dyDescent="0.25">
      <c r="B104" s="24"/>
      <c r="C104" s="24" t="str">
        <f ca="1">IF(ISERROR(MATCH(C$1,INDIRECT("Table!A"&amp;$AE104):INDIRECT("Table!" &amp; $AH$253 &amp; $AE104),0)),"",INDIRECT(CONCATENATE("Table!",ADDRESS($T104,MATCH(C$1,INDIRECT("Table!A" &amp; $AE104):INDIRECT("Table!" &amp; $AH$253 &amp; $AE104),0)))))</f>
        <v/>
      </c>
      <c r="D104" s="24" t="str">
        <f ca="1">IF(ISERROR(MATCH(D$1,INDIRECT("Table!A"&amp;$AE104):INDIRECT("Table!" &amp; $AH$253 &amp; $AE104),0)),"",INDIRECT(CONCATENATE("Table!",ADDRESS($T104,MATCH(D$1,INDIRECT("Table!A" &amp; $AE104):INDIRECT("Table!" &amp; $AH$253 &amp; $AE104),0)))))</f>
        <v/>
      </c>
      <c r="E104" s="24" t="str">
        <f ca="1">IF(ISERROR(MATCH(E$1,INDIRECT("Table!A"&amp;$AE104):INDIRECT("Table!" &amp; $AH$253 &amp; $AE104),0)),"",INDIRECT(CONCATENATE("Table!",ADDRESS($T104,MATCH(E$1,INDIRECT("Table!A" &amp; $AE104):INDIRECT("Table!" &amp; $AH$253 &amp; $AE104),0)))))</f>
        <v/>
      </c>
      <c r="F104" s="24" t="str">
        <f ca="1">IF(ISERROR(MATCH(F$1,INDIRECT("Table!A"&amp;$AE104):INDIRECT("Table!" &amp; $AH$253 &amp; $AE104),0)),"",INDIRECT(CONCATENATE("Table!",ADDRESS($T104,MATCH(F$1,INDIRECT("Table!A" &amp; $AE104):INDIRECT("Table!" &amp; $AH$253 &amp; $AE104),0)))))</f>
        <v/>
      </c>
      <c r="G104" s="24" t="str">
        <f ca="1">IF(ISERROR(MATCH(G$1,INDIRECT("Table!A"&amp;$AE104):INDIRECT("Table!" &amp; $AH$253 &amp; $AE104),0)),"",INDIRECT(CONCATENATE("Table!",ADDRESS($T104,MATCH(G$1,INDIRECT("Table!A" &amp; $AE104):INDIRECT("Table!" &amp; $AH$253 &amp; $AE104),0)))))</f>
        <v/>
      </c>
      <c r="H104" s="24" t="str">
        <f ca="1">IF(ISERROR(MATCH(H$1,INDIRECT("Table!A"&amp;$AE104):INDIRECT("Table!" &amp; $AH$253 &amp; $AE104),0)),"",INDIRECT(CONCATENATE("Table!",ADDRESS($T104,MATCH(H$1,INDIRECT("Table!A" &amp; $AE104):INDIRECT("Table!" &amp; $AH$253 &amp; $AE104),0)))))</f>
        <v/>
      </c>
      <c r="I104" s="273"/>
      <c r="J104" s="273"/>
      <c r="K104" s="24" t="str">
        <f ca="1">IF(ISERROR(MATCH(L$1,INDIRECT("Table!A"&amp;$AE104):INDIRECT("Table!" &amp; $AH$253 &amp; $AE104),0)),"",INDIRECT(CONCATENATE("Table!",ADDRESS($T104,MATCH(L$1,INDIRECT("Table!A" &amp; $AE104):INDIRECT("Table!" &amp; $AH$253 &amp; $AE104),0)))))</f>
        <v/>
      </c>
      <c r="L104" s="24" t="str">
        <f ca="1">IF(ISERROR(MATCH(M$1,INDIRECT("Table!A"&amp;$AE104):INDIRECT("Table!" &amp; $AH$253 &amp; $AE104),0)),"",INDIRECT(CONCATENATE("Table!",ADDRESS($T104,MATCH(M$1,INDIRECT("Table!A" &amp; $AE104):INDIRECT("Table!" &amp; $AH$253 &amp; $AE104),0)))))</f>
        <v/>
      </c>
      <c r="M104" s="24" t="str">
        <f ca="1">IF(ISERROR(MATCH(N$1,INDIRECT("Table!A"&amp;$AE104):INDIRECT("Table!" &amp; $AH$253 &amp; $AE104),0)),"",INDIRECT(CONCATENATE("Table!",ADDRESS($T104,MATCH(N$1,INDIRECT("Table!A" &amp; $AE104):INDIRECT("Table!" &amp; $AH$253 &amp; $AE104),0)))))</f>
        <v/>
      </c>
      <c r="N104" s="24" t="str">
        <f ca="1">IF(ISERROR(MATCH(O$1,INDIRECT("Table!A"&amp;$AE104):INDIRECT("Table!" &amp; $AH$253 &amp; $AE104),0)),"",INDIRECT(CONCATENATE("Table!",ADDRESS($T104,MATCH(O$1,INDIRECT("Table!A" &amp; $AE104):INDIRECT("Table!" &amp; $AH$253 &amp; $AE104),0)))))</f>
        <v/>
      </c>
      <c r="O104" s="24" t="str">
        <f ca="1">IF(ISERROR(MATCH(P$1,INDIRECT("Table!A"&amp;$AE104):INDIRECT("Table!" &amp; $AH$253 &amp; $AE104),0)),"",INDIRECT(CONCATENATE("Table!",ADDRESS($T104,MATCH(P$1,INDIRECT("Table!A" &amp; $AE104):INDIRECT("Table!" &amp; $AH$253 &amp; $AE104),0)))))</f>
        <v/>
      </c>
      <c r="P104" s="273" t="str">
        <f ca="1">IF(ISERROR(MATCH(Q$1,INDIRECT("Table!A"&amp;$AE104):INDIRECT("Table!" &amp; $AH$253 &amp; $AE104),0)),"",INDIRECT(CONCATENATE("Table!",ADDRESS($T104,MATCH(Q$1,INDIRECT("Table!A" &amp; $AE104):INDIRECT("Table!" &amp; $AH$253 &amp; $AE104),0)))))</f>
        <v/>
      </c>
      <c r="Q104" s="209"/>
      <c r="R104" s="209"/>
      <c r="S104" s="209"/>
      <c r="T104" s="22"/>
      <c r="AC104" s="209"/>
      <c r="AD104" s="209"/>
      <c r="AE104" s="22"/>
      <c r="AF104" s="209"/>
      <c r="AG104" s="209"/>
      <c r="AH104" s="22"/>
      <c r="AI104" s="25"/>
      <c r="AJ104" s="25"/>
      <c r="AK104" s="25"/>
    </row>
    <row r="105" spans="2:37" ht="19.5" customHeight="1" x14ac:dyDescent="0.25">
      <c r="B105" s="24"/>
      <c r="C105" s="24" t="str">
        <f ca="1">IF(ISERROR(MATCH(C$1,INDIRECT("Table!A"&amp;$AE105):INDIRECT("Table!" &amp; $AH$253 &amp; $AE105),0)),"",INDIRECT(CONCATENATE("Table!",ADDRESS($T105,MATCH(C$1,INDIRECT("Table!A" &amp; $AE105):INDIRECT("Table!" &amp; $AH$253 &amp; $AE105),0)))))</f>
        <v/>
      </c>
      <c r="D105" s="24" t="str">
        <f ca="1">IF(ISERROR(MATCH(D$1,INDIRECT("Table!A"&amp;$AE105):INDIRECT("Table!" &amp; $AH$253 &amp; $AE105),0)),"",INDIRECT(CONCATENATE("Table!",ADDRESS($T105,MATCH(D$1,INDIRECT("Table!A" &amp; $AE105):INDIRECT("Table!" &amp; $AH$253 &amp; $AE105),0)))))</f>
        <v/>
      </c>
      <c r="E105" s="24" t="str">
        <f ca="1">IF(ISERROR(MATCH(E$1,INDIRECT("Table!A"&amp;$AE105):INDIRECT("Table!" &amp; $AH$253 &amp; $AE105),0)),"",INDIRECT(CONCATENATE("Table!",ADDRESS($T105,MATCH(E$1,INDIRECT("Table!A" &amp; $AE105):INDIRECT("Table!" &amp; $AH$253 &amp; $AE105),0)))))</f>
        <v/>
      </c>
      <c r="F105" s="24" t="str">
        <f ca="1">IF(ISERROR(MATCH(F$1,INDIRECT("Table!A"&amp;$AE105):INDIRECT("Table!" &amp; $AH$253 &amp; $AE105),0)),"",INDIRECT(CONCATENATE("Table!",ADDRESS($T105,MATCH(F$1,INDIRECT("Table!A" &amp; $AE105):INDIRECT("Table!" &amp; $AH$253 &amp; $AE105),0)))))</f>
        <v/>
      </c>
      <c r="G105" s="24" t="str">
        <f ca="1">IF(ISERROR(MATCH(G$1,INDIRECT("Table!A"&amp;$AE105):INDIRECT("Table!" &amp; $AH$253 &amp; $AE105),0)),"",INDIRECT(CONCATENATE("Table!",ADDRESS($T105,MATCH(G$1,INDIRECT("Table!A" &amp; $AE105):INDIRECT("Table!" &amp; $AH$253 &amp; $AE105),0)))))</f>
        <v/>
      </c>
      <c r="H105" s="24" t="str">
        <f ca="1">IF(ISERROR(MATCH(H$1,INDIRECT("Table!A"&amp;$AE105):INDIRECT("Table!" &amp; $AH$253 &amp; $AE105),0)),"",INDIRECT(CONCATENATE("Table!",ADDRESS($T105,MATCH(H$1,INDIRECT("Table!A" &amp; $AE105):INDIRECT("Table!" &amp; $AH$253 &amp; $AE105),0)))))</f>
        <v/>
      </c>
      <c r="I105" s="273"/>
      <c r="J105" s="273"/>
      <c r="K105" s="24" t="str">
        <f ca="1">IF(ISERROR(MATCH(L$1,INDIRECT("Table!A"&amp;$AE105):INDIRECT("Table!" &amp; $AH$253 &amp; $AE105),0)),"",INDIRECT(CONCATENATE("Table!",ADDRESS($T105,MATCH(L$1,INDIRECT("Table!A" &amp; $AE105):INDIRECT("Table!" &amp; $AH$253 &amp; $AE105),0)))))</f>
        <v/>
      </c>
      <c r="L105" s="24" t="str">
        <f ca="1">IF(ISERROR(MATCH(M$1,INDIRECT("Table!A"&amp;$AE105):INDIRECT("Table!" &amp; $AH$253 &amp; $AE105),0)),"",INDIRECT(CONCATENATE("Table!",ADDRESS($T105,MATCH(M$1,INDIRECT("Table!A" &amp; $AE105):INDIRECT("Table!" &amp; $AH$253 &amp; $AE105),0)))))</f>
        <v/>
      </c>
      <c r="M105" s="24" t="str">
        <f ca="1">IF(ISERROR(MATCH(N$1,INDIRECT("Table!A"&amp;$AE105):INDIRECT("Table!" &amp; $AH$253 &amp; $AE105),0)),"",INDIRECT(CONCATENATE("Table!",ADDRESS($T105,MATCH(N$1,INDIRECT("Table!A" &amp; $AE105):INDIRECT("Table!" &amp; $AH$253 &amp; $AE105),0)))))</f>
        <v/>
      </c>
      <c r="N105" s="24" t="str">
        <f ca="1">IF(ISERROR(MATCH(O$1,INDIRECT("Table!A"&amp;$AE105):INDIRECT("Table!" &amp; $AH$253 &amp; $AE105),0)),"",INDIRECT(CONCATENATE("Table!",ADDRESS($T105,MATCH(O$1,INDIRECT("Table!A" &amp; $AE105):INDIRECT("Table!" &amp; $AH$253 &amp; $AE105),0)))))</f>
        <v/>
      </c>
      <c r="O105" s="24" t="str">
        <f ca="1">IF(ISERROR(MATCH(P$1,INDIRECT("Table!A"&amp;$AE105):INDIRECT("Table!" &amp; $AH$253 &amp; $AE105),0)),"",INDIRECT(CONCATENATE("Table!",ADDRESS($T105,MATCH(P$1,INDIRECT("Table!A" &amp; $AE105):INDIRECT("Table!" &amp; $AH$253 &amp; $AE105),0)))))</f>
        <v/>
      </c>
      <c r="P105" s="273" t="str">
        <f ca="1">IF(ISERROR(MATCH(Q$1,INDIRECT("Table!A"&amp;$AE105):INDIRECT("Table!" &amp; $AH$253 &amp; $AE105),0)),"",INDIRECT(CONCATENATE("Table!",ADDRESS($T105,MATCH(Q$1,INDIRECT("Table!A" &amp; $AE105):INDIRECT("Table!" &amp; $AH$253 &amp; $AE105),0)))))</f>
        <v/>
      </c>
      <c r="Q105" s="208"/>
      <c r="R105" s="208"/>
      <c r="S105" s="208"/>
      <c r="T105" s="22"/>
      <c r="AC105" s="208"/>
      <c r="AD105" s="208"/>
      <c r="AE105" s="22"/>
      <c r="AF105" s="208"/>
      <c r="AG105" s="208"/>
      <c r="AH105" s="22"/>
      <c r="AI105" s="25"/>
      <c r="AJ105" s="25"/>
      <c r="AK105" s="25"/>
    </row>
    <row r="106" spans="2:37" ht="19.5" customHeight="1" x14ac:dyDescent="0.25">
      <c r="B106" s="24"/>
      <c r="C106" s="24" t="str">
        <f ca="1">IF(ISERROR(MATCH(C$1,INDIRECT("Table!A"&amp;$AE106):INDIRECT("Table!" &amp; $AH$253 &amp; $AE106),0)),"",INDIRECT(CONCATENATE("Table!",ADDRESS($T106,MATCH(C$1,INDIRECT("Table!A" &amp; $AE106):INDIRECT("Table!" &amp; $AH$253 &amp; $AE106),0)))))</f>
        <v/>
      </c>
      <c r="D106" s="24" t="str">
        <f ca="1">IF(ISERROR(MATCH(D$1,INDIRECT("Table!A"&amp;$AE106):INDIRECT("Table!" &amp; $AH$253 &amp; $AE106),0)),"",INDIRECT(CONCATENATE("Table!",ADDRESS($T106,MATCH(D$1,INDIRECT("Table!A" &amp; $AE106):INDIRECT("Table!" &amp; $AH$253 &amp; $AE106),0)))))</f>
        <v/>
      </c>
      <c r="E106" s="24" t="str">
        <f ca="1">IF(ISERROR(MATCH(E$1,INDIRECT("Table!A"&amp;$AE106):INDIRECT("Table!" &amp; $AH$253 &amp; $AE106),0)),"",INDIRECT(CONCATENATE("Table!",ADDRESS($T106,MATCH(E$1,INDIRECT("Table!A" &amp; $AE106):INDIRECT("Table!" &amp; $AH$253 &amp; $AE106),0)))))</f>
        <v/>
      </c>
      <c r="F106" s="24" t="str">
        <f ca="1">IF(ISERROR(MATCH(F$1,INDIRECT("Table!A"&amp;$AE106):INDIRECT("Table!" &amp; $AH$253 &amp; $AE106),0)),"",INDIRECT(CONCATENATE("Table!",ADDRESS($T106,MATCH(F$1,INDIRECT("Table!A" &amp; $AE106):INDIRECT("Table!" &amp; $AH$253 &amp; $AE106),0)))))</f>
        <v/>
      </c>
      <c r="G106" s="24" t="str">
        <f ca="1">IF(ISERROR(MATCH(G$1,INDIRECT("Table!A"&amp;$AE106):INDIRECT("Table!" &amp; $AH$253 &amp; $AE106),0)),"",INDIRECT(CONCATENATE("Table!",ADDRESS($T106,MATCH(G$1,INDIRECT("Table!A" &amp; $AE106):INDIRECT("Table!" &amp; $AH$253 &amp; $AE106),0)))))</f>
        <v/>
      </c>
      <c r="H106" s="24" t="str">
        <f ca="1">IF(ISERROR(MATCH(H$1,INDIRECT("Table!A"&amp;$AE106):INDIRECT("Table!" &amp; $AH$253 &amp; $AE106),0)),"",INDIRECT(CONCATENATE("Table!",ADDRESS($T106,MATCH(H$1,INDIRECT("Table!A" &amp; $AE106):INDIRECT("Table!" &amp; $AH$253 &amp; $AE106),0)))))</f>
        <v/>
      </c>
      <c r="I106" s="273"/>
      <c r="J106" s="273"/>
      <c r="K106" s="24" t="str">
        <f ca="1">IF(ISERROR(MATCH(L$1,INDIRECT("Table!A"&amp;$AE106):INDIRECT("Table!" &amp; $AH$253 &amp; $AE106),0)),"",INDIRECT(CONCATENATE("Table!",ADDRESS($T106,MATCH(L$1,INDIRECT("Table!A" &amp; $AE106):INDIRECT("Table!" &amp; $AH$253 &amp; $AE106),0)))))</f>
        <v/>
      </c>
      <c r="L106" s="24" t="str">
        <f ca="1">IF(ISERROR(MATCH(M$1,INDIRECT("Table!A"&amp;$AE106):INDIRECT("Table!" &amp; $AH$253 &amp; $AE106),0)),"",INDIRECT(CONCATENATE("Table!",ADDRESS($T106,MATCH(M$1,INDIRECT("Table!A" &amp; $AE106):INDIRECT("Table!" &amp; $AH$253 &amp; $AE106),0)))))</f>
        <v/>
      </c>
      <c r="M106" s="24" t="str">
        <f ca="1">IF(ISERROR(MATCH(N$1,INDIRECT("Table!A"&amp;$AE106):INDIRECT("Table!" &amp; $AH$253 &amp; $AE106),0)),"",INDIRECT(CONCATENATE("Table!",ADDRESS($T106,MATCH(N$1,INDIRECT("Table!A" &amp; $AE106):INDIRECT("Table!" &amp; $AH$253 &amp; $AE106),0)))))</f>
        <v/>
      </c>
      <c r="N106" s="24" t="str">
        <f ca="1">IF(ISERROR(MATCH(O$1,INDIRECT("Table!A"&amp;$AE106):INDIRECT("Table!" &amp; $AH$253 &amp; $AE106),0)),"",INDIRECT(CONCATENATE("Table!",ADDRESS($T106,MATCH(O$1,INDIRECT("Table!A" &amp; $AE106):INDIRECT("Table!" &amp; $AH$253 &amp; $AE106),0)))))</f>
        <v/>
      </c>
      <c r="O106" s="24" t="str">
        <f ca="1">IF(ISERROR(MATCH(P$1,INDIRECT("Table!A"&amp;$AE106):INDIRECT("Table!" &amp; $AH$253 &amp; $AE106),0)),"",INDIRECT(CONCATENATE("Table!",ADDRESS($T106,MATCH(P$1,INDIRECT("Table!A" &amp; $AE106):INDIRECT("Table!" &amp; $AH$253 &amp; $AE106),0)))))</f>
        <v/>
      </c>
      <c r="P106" s="273" t="str">
        <f ca="1">IF(ISERROR(MATCH(Q$1,INDIRECT("Table!A"&amp;$AE106):INDIRECT("Table!" &amp; $AH$253 &amp; $AE106),0)),"",INDIRECT(CONCATENATE("Table!",ADDRESS($T106,MATCH(Q$1,INDIRECT("Table!A" &amp; $AE106):INDIRECT("Table!" &amp; $AH$253 &amp; $AE106),0)))))</f>
        <v/>
      </c>
      <c r="Q106" s="208"/>
      <c r="R106" s="208"/>
      <c r="S106" s="208"/>
      <c r="T106" s="22"/>
      <c r="AC106" s="208"/>
      <c r="AD106" s="208"/>
      <c r="AE106" s="22"/>
      <c r="AF106" s="208"/>
      <c r="AG106" s="208"/>
      <c r="AH106" s="22"/>
      <c r="AI106" s="25"/>
      <c r="AJ106" s="25"/>
      <c r="AK106" s="25"/>
    </row>
    <row r="107" spans="2:37" ht="19.5" customHeight="1" x14ac:dyDescent="0.25">
      <c r="B107" s="24"/>
      <c r="C107" s="24" t="str">
        <f ca="1">IF(ISERROR(MATCH(C$1,INDIRECT("Table!A"&amp;$AE107):INDIRECT("Table!" &amp; $AH$253 &amp; $AE107),0)),"",INDIRECT(CONCATENATE("Table!",ADDRESS($T107,MATCH(C$1,INDIRECT("Table!A" &amp; $AE107):INDIRECT("Table!" &amp; $AH$253 &amp; $AE107),0)))))</f>
        <v/>
      </c>
      <c r="D107" s="24" t="str">
        <f ca="1">IF(ISERROR(MATCH(D$1,INDIRECT("Table!A"&amp;$AE107):INDIRECT("Table!" &amp; $AH$253 &amp; $AE107),0)),"",INDIRECT(CONCATENATE("Table!",ADDRESS($T107,MATCH(D$1,INDIRECT("Table!A" &amp; $AE107):INDIRECT("Table!" &amp; $AH$253 &amp; $AE107),0)))))</f>
        <v/>
      </c>
      <c r="E107" s="24" t="str">
        <f ca="1">IF(ISERROR(MATCH(E$1,INDIRECT("Table!A"&amp;$AE107):INDIRECT("Table!" &amp; $AH$253 &amp; $AE107),0)),"",INDIRECT(CONCATENATE("Table!",ADDRESS($T107,MATCH(E$1,INDIRECT("Table!A" &amp; $AE107):INDIRECT("Table!" &amp; $AH$253 &amp; $AE107),0)))))</f>
        <v/>
      </c>
      <c r="F107" s="24" t="str">
        <f ca="1">IF(ISERROR(MATCH(F$1,INDIRECT("Table!A"&amp;$AE107):INDIRECT("Table!" &amp; $AH$253 &amp; $AE107),0)),"",INDIRECT(CONCATENATE("Table!",ADDRESS($T107,MATCH(F$1,INDIRECT("Table!A" &amp; $AE107):INDIRECT("Table!" &amp; $AH$253 &amp; $AE107),0)))))</f>
        <v/>
      </c>
      <c r="G107" s="24" t="str">
        <f ca="1">IF(ISERROR(MATCH(G$1,INDIRECT("Table!A"&amp;$AE107):INDIRECT("Table!" &amp; $AH$253 &amp; $AE107),0)),"",INDIRECT(CONCATENATE("Table!",ADDRESS($T107,MATCH(G$1,INDIRECT("Table!A" &amp; $AE107):INDIRECT("Table!" &amp; $AH$253 &amp; $AE107),0)))))</f>
        <v/>
      </c>
      <c r="H107" s="24" t="str">
        <f ca="1">IF(ISERROR(MATCH(H$1,INDIRECT("Table!A"&amp;$AE107):INDIRECT("Table!" &amp; $AH$253 &amp; $AE107),0)),"",INDIRECT(CONCATENATE("Table!",ADDRESS($T107,MATCH(H$1,INDIRECT("Table!A" &amp; $AE107):INDIRECT("Table!" &amp; $AH$253 &amp; $AE107),0)))))</f>
        <v/>
      </c>
      <c r="I107" s="273"/>
      <c r="J107" s="273"/>
      <c r="K107" s="24" t="str">
        <f ca="1">IF(ISERROR(MATCH(L$1,INDIRECT("Table!A"&amp;$AE107):INDIRECT("Table!" &amp; $AH$253 &amp; $AE107),0)),"",INDIRECT(CONCATENATE("Table!",ADDRESS($T107,MATCH(L$1,INDIRECT("Table!A" &amp; $AE107):INDIRECT("Table!" &amp; $AH$253 &amp; $AE107),0)))))</f>
        <v/>
      </c>
      <c r="L107" s="24" t="str">
        <f ca="1">IF(ISERROR(MATCH(M$1,INDIRECT("Table!A"&amp;$AE107):INDIRECT("Table!" &amp; $AH$253 &amp; $AE107),0)),"",INDIRECT(CONCATENATE("Table!",ADDRESS($T107,MATCH(M$1,INDIRECT("Table!A" &amp; $AE107):INDIRECT("Table!" &amp; $AH$253 &amp; $AE107),0)))))</f>
        <v/>
      </c>
      <c r="M107" s="24" t="str">
        <f ca="1">IF(ISERROR(MATCH(N$1,INDIRECT("Table!A"&amp;$AE107):INDIRECT("Table!" &amp; $AH$253 &amp; $AE107),0)),"",INDIRECT(CONCATENATE("Table!",ADDRESS($T107,MATCH(N$1,INDIRECT("Table!A" &amp; $AE107):INDIRECT("Table!" &amp; $AH$253 &amp; $AE107),0)))))</f>
        <v/>
      </c>
      <c r="N107" s="24" t="str">
        <f ca="1">IF(ISERROR(MATCH(O$1,INDIRECT("Table!A"&amp;$AE107):INDIRECT("Table!" &amp; $AH$253 &amp; $AE107),0)),"",INDIRECT(CONCATENATE("Table!",ADDRESS($T107,MATCH(O$1,INDIRECT("Table!A" &amp; $AE107):INDIRECT("Table!" &amp; $AH$253 &amp; $AE107),0)))))</f>
        <v/>
      </c>
      <c r="O107" s="24" t="str">
        <f ca="1">IF(ISERROR(MATCH(P$1,INDIRECT("Table!A"&amp;$AE107):INDIRECT("Table!" &amp; $AH$253 &amp; $AE107),0)),"",INDIRECT(CONCATENATE("Table!",ADDRESS($T107,MATCH(P$1,INDIRECT("Table!A" &amp; $AE107):INDIRECT("Table!" &amp; $AH$253 &amp; $AE107),0)))))</f>
        <v/>
      </c>
      <c r="P107" s="273" t="str">
        <f ca="1">IF(ISERROR(MATCH(Q$1,INDIRECT("Table!A"&amp;$AE107):INDIRECT("Table!" &amp; $AH$253 &amp; $AE107),0)),"",INDIRECT(CONCATENATE("Table!",ADDRESS($T107,MATCH(Q$1,INDIRECT("Table!A" &amp; $AE107):INDIRECT("Table!" &amp; $AH$253 &amp; $AE107),0)))))</f>
        <v/>
      </c>
      <c r="Q107" s="207"/>
      <c r="R107" s="207"/>
      <c r="S107" s="207"/>
      <c r="T107" s="22"/>
      <c r="AC107" s="207"/>
      <c r="AD107" s="207"/>
      <c r="AE107" s="22"/>
      <c r="AF107" s="207"/>
      <c r="AG107" s="207"/>
      <c r="AH107" s="22"/>
      <c r="AI107" s="25"/>
      <c r="AJ107" s="25"/>
      <c r="AK107" s="25"/>
    </row>
    <row r="108" spans="2:37" ht="19.5" customHeight="1" x14ac:dyDescent="0.25">
      <c r="B108" s="24"/>
      <c r="C108" s="24" t="str">
        <f ca="1">IF(ISERROR(MATCH(C$1,INDIRECT("Table!A"&amp;$AE108):INDIRECT("Table!" &amp; $AH$253 &amp; $AE108),0)),"",INDIRECT(CONCATENATE("Table!",ADDRESS($T108,MATCH(C$1,INDIRECT("Table!A" &amp; $AE108):INDIRECT("Table!" &amp; $AH$253 &amp; $AE108),0)))))</f>
        <v/>
      </c>
      <c r="D108" s="24" t="str">
        <f ca="1">IF(ISERROR(MATCH(D$1,INDIRECT("Table!A"&amp;$AE108):INDIRECT("Table!" &amp; $AH$253 &amp; $AE108),0)),"",INDIRECT(CONCATENATE("Table!",ADDRESS($T108,MATCH(D$1,INDIRECT("Table!A" &amp; $AE108):INDIRECT("Table!" &amp; $AH$253 &amp; $AE108),0)))))</f>
        <v/>
      </c>
      <c r="E108" s="24" t="str">
        <f ca="1">IF(ISERROR(MATCH(E$1,INDIRECT("Table!A"&amp;$AE108):INDIRECT("Table!" &amp; $AH$253 &amp; $AE108),0)),"",INDIRECT(CONCATENATE("Table!",ADDRESS($T108,MATCH(E$1,INDIRECT("Table!A" &amp; $AE108):INDIRECT("Table!" &amp; $AH$253 &amp; $AE108),0)))))</f>
        <v/>
      </c>
      <c r="F108" s="24" t="str">
        <f ca="1">IF(ISERROR(MATCH(F$1,INDIRECT("Table!A"&amp;$AE108):INDIRECT("Table!" &amp; $AH$253 &amp; $AE108),0)),"",INDIRECT(CONCATENATE("Table!",ADDRESS($T108,MATCH(F$1,INDIRECT("Table!A" &amp; $AE108):INDIRECT("Table!" &amp; $AH$253 &amp; $AE108),0)))))</f>
        <v/>
      </c>
      <c r="G108" s="24" t="str">
        <f ca="1">IF(ISERROR(MATCH(G$1,INDIRECT("Table!A"&amp;$AE108):INDIRECT("Table!" &amp; $AH$253 &amp; $AE108),0)),"",INDIRECT(CONCATENATE("Table!",ADDRESS($T108,MATCH(G$1,INDIRECT("Table!A" &amp; $AE108):INDIRECT("Table!" &amp; $AH$253 &amp; $AE108),0)))))</f>
        <v/>
      </c>
      <c r="H108" s="24" t="str">
        <f ca="1">IF(ISERROR(MATCH(H$1,INDIRECT("Table!A"&amp;$AE108):INDIRECT("Table!" &amp; $AH$253 &amp; $AE108),0)),"",INDIRECT(CONCATENATE("Table!",ADDRESS($T108,MATCH(H$1,INDIRECT("Table!A" &amp; $AE108):INDIRECT("Table!" &amp; $AH$253 &amp; $AE108),0)))))</f>
        <v/>
      </c>
      <c r="I108" s="273"/>
      <c r="J108" s="273"/>
      <c r="K108" s="24" t="str">
        <f ca="1">IF(ISERROR(MATCH(L$1,INDIRECT("Table!A"&amp;$AE108):INDIRECT("Table!" &amp; $AH$253 &amp; $AE108),0)),"",INDIRECT(CONCATENATE("Table!",ADDRESS($T108,MATCH(L$1,INDIRECT("Table!A" &amp; $AE108):INDIRECT("Table!" &amp; $AH$253 &amp; $AE108),0)))))</f>
        <v/>
      </c>
      <c r="L108" s="24" t="str">
        <f ca="1">IF(ISERROR(MATCH(M$1,INDIRECT("Table!A"&amp;$AE108):INDIRECT("Table!" &amp; $AH$253 &amp; $AE108),0)),"",INDIRECT(CONCATENATE("Table!",ADDRESS($T108,MATCH(M$1,INDIRECT("Table!A" &amp; $AE108):INDIRECT("Table!" &amp; $AH$253 &amp; $AE108),0)))))</f>
        <v/>
      </c>
      <c r="M108" s="24" t="str">
        <f ca="1">IF(ISERROR(MATCH(N$1,INDIRECT("Table!A"&amp;$AE108):INDIRECT("Table!" &amp; $AH$253 &amp; $AE108),0)),"",INDIRECT(CONCATENATE("Table!",ADDRESS($T108,MATCH(N$1,INDIRECT("Table!A" &amp; $AE108):INDIRECT("Table!" &amp; $AH$253 &amp; $AE108),0)))))</f>
        <v/>
      </c>
      <c r="N108" s="24" t="str">
        <f ca="1">IF(ISERROR(MATCH(O$1,INDIRECT("Table!A"&amp;$AE108):INDIRECT("Table!" &amp; $AH$253 &amp; $AE108),0)),"",INDIRECT(CONCATENATE("Table!",ADDRESS($T108,MATCH(O$1,INDIRECT("Table!A" &amp; $AE108):INDIRECT("Table!" &amp; $AH$253 &amp; $AE108),0)))))</f>
        <v/>
      </c>
      <c r="O108" s="24" t="str">
        <f ca="1">IF(ISERROR(MATCH(P$1,INDIRECT("Table!A"&amp;$AE108):INDIRECT("Table!" &amp; $AH$253 &amp; $AE108),0)),"",INDIRECT(CONCATENATE("Table!",ADDRESS($T108,MATCH(P$1,INDIRECT("Table!A" &amp; $AE108):INDIRECT("Table!" &amp; $AH$253 &amp; $AE108),0)))))</f>
        <v/>
      </c>
      <c r="P108" s="273" t="str">
        <f ca="1">IF(ISERROR(MATCH(Q$1,INDIRECT("Table!A"&amp;$AE108):INDIRECT("Table!" &amp; $AH$253 &amp; $AE108),0)),"",INDIRECT(CONCATENATE("Table!",ADDRESS($T108,MATCH(Q$1,INDIRECT("Table!A" &amp; $AE108):INDIRECT("Table!" &amp; $AH$253 &amp; $AE108),0)))))</f>
        <v/>
      </c>
      <c r="Q108" s="206"/>
      <c r="R108" s="206"/>
      <c r="S108" s="206"/>
      <c r="T108" s="22"/>
      <c r="AC108" s="206"/>
      <c r="AD108" s="206"/>
      <c r="AE108" s="22"/>
      <c r="AF108" s="206"/>
      <c r="AG108" s="206"/>
      <c r="AH108" s="22"/>
      <c r="AI108" s="25"/>
      <c r="AJ108" s="25"/>
      <c r="AK108" s="25"/>
    </row>
    <row r="109" spans="2:37" ht="19.5" customHeight="1" x14ac:dyDescent="0.25">
      <c r="B109" s="24"/>
      <c r="C109" s="24" t="str">
        <f ca="1">IF(ISERROR(MATCH(C$1,INDIRECT("Table!A"&amp;$AE109):INDIRECT("Table!" &amp; $AH$253 &amp; $AE109),0)),"",INDIRECT(CONCATENATE("Table!",ADDRESS($T109,MATCH(C$1,INDIRECT("Table!A" &amp; $AE109):INDIRECT("Table!" &amp; $AH$253 &amp; $AE109),0)))))</f>
        <v/>
      </c>
      <c r="D109" s="24" t="str">
        <f ca="1">IF(ISERROR(MATCH(D$1,INDIRECT("Table!A"&amp;$AE109):INDIRECT("Table!" &amp; $AH$253 &amp; $AE109),0)),"",INDIRECT(CONCATENATE("Table!",ADDRESS($T109,MATCH(D$1,INDIRECT("Table!A" &amp; $AE109):INDIRECT("Table!" &amp; $AH$253 &amp; $AE109),0)))))</f>
        <v/>
      </c>
      <c r="E109" s="24" t="str">
        <f ca="1">IF(ISERROR(MATCH(E$1,INDIRECT("Table!A"&amp;$AE109):INDIRECT("Table!" &amp; $AH$253 &amp; $AE109),0)),"",INDIRECT(CONCATENATE("Table!",ADDRESS($T109,MATCH(E$1,INDIRECT("Table!A" &amp; $AE109):INDIRECT("Table!" &amp; $AH$253 &amp; $AE109),0)))))</f>
        <v/>
      </c>
      <c r="F109" s="24" t="str">
        <f ca="1">IF(ISERROR(MATCH(F$1,INDIRECT("Table!A"&amp;$AE109):INDIRECT("Table!" &amp; $AH$253 &amp; $AE109),0)),"",INDIRECT(CONCATENATE("Table!",ADDRESS($T109,MATCH(F$1,INDIRECT("Table!A" &amp; $AE109):INDIRECT("Table!" &amp; $AH$253 &amp; $AE109),0)))))</f>
        <v/>
      </c>
      <c r="G109" s="24" t="str">
        <f ca="1">IF(ISERROR(MATCH(G$1,INDIRECT("Table!A"&amp;$AE109):INDIRECT("Table!" &amp; $AH$253 &amp; $AE109),0)),"",INDIRECT(CONCATENATE("Table!",ADDRESS($T109,MATCH(G$1,INDIRECT("Table!A" &amp; $AE109):INDIRECT("Table!" &amp; $AH$253 &amp; $AE109),0)))))</f>
        <v/>
      </c>
      <c r="H109" s="24" t="str">
        <f ca="1">IF(ISERROR(MATCH(H$1,INDIRECT("Table!A"&amp;$AE109):INDIRECT("Table!" &amp; $AH$253 &amp; $AE109),0)),"",INDIRECT(CONCATENATE("Table!",ADDRESS($T109,MATCH(H$1,INDIRECT("Table!A" &amp; $AE109):INDIRECT("Table!" &amp; $AH$253 &amp; $AE109),0)))))</f>
        <v/>
      </c>
      <c r="I109" s="273"/>
      <c r="J109" s="273"/>
      <c r="K109" s="24" t="str">
        <f ca="1">IF(ISERROR(MATCH(L$1,INDIRECT("Table!A"&amp;$AE109):INDIRECT("Table!" &amp; $AH$253 &amp; $AE109),0)),"",INDIRECT(CONCATENATE("Table!",ADDRESS($T109,MATCH(L$1,INDIRECT("Table!A" &amp; $AE109):INDIRECT("Table!" &amp; $AH$253 &amp; $AE109),0)))))</f>
        <v/>
      </c>
      <c r="L109" s="24" t="str">
        <f ca="1">IF(ISERROR(MATCH(M$1,INDIRECT("Table!A"&amp;$AE109):INDIRECT("Table!" &amp; $AH$253 &amp; $AE109),0)),"",INDIRECT(CONCATENATE("Table!",ADDRESS($T109,MATCH(M$1,INDIRECT("Table!A" &amp; $AE109):INDIRECT("Table!" &amp; $AH$253 &amp; $AE109),0)))))</f>
        <v/>
      </c>
      <c r="M109" s="24" t="str">
        <f ca="1">IF(ISERROR(MATCH(N$1,INDIRECT("Table!A"&amp;$AE109):INDIRECT("Table!" &amp; $AH$253 &amp; $AE109),0)),"",INDIRECT(CONCATENATE("Table!",ADDRESS($T109,MATCH(N$1,INDIRECT("Table!A" &amp; $AE109):INDIRECT("Table!" &amp; $AH$253 &amp; $AE109),0)))))</f>
        <v/>
      </c>
      <c r="N109" s="24" t="str">
        <f ca="1">IF(ISERROR(MATCH(O$1,INDIRECT("Table!A"&amp;$AE109):INDIRECT("Table!" &amp; $AH$253 &amp; $AE109),0)),"",INDIRECT(CONCATENATE("Table!",ADDRESS($T109,MATCH(O$1,INDIRECT("Table!A" &amp; $AE109):INDIRECT("Table!" &amp; $AH$253 &amp; $AE109),0)))))</f>
        <v/>
      </c>
      <c r="O109" s="24" t="str">
        <f ca="1">IF(ISERROR(MATCH(P$1,INDIRECT("Table!A"&amp;$AE109):INDIRECT("Table!" &amp; $AH$253 &amp; $AE109),0)),"",INDIRECT(CONCATENATE("Table!",ADDRESS($T109,MATCH(P$1,INDIRECT("Table!A" &amp; $AE109):INDIRECT("Table!" &amp; $AH$253 &amp; $AE109),0)))))</f>
        <v/>
      </c>
      <c r="P109" s="273" t="str">
        <f ca="1">IF(ISERROR(MATCH(Q$1,INDIRECT("Table!A"&amp;$AE109):INDIRECT("Table!" &amp; $AH$253 &amp; $AE109),0)),"",INDIRECT(CONCATENATE("Table!",ADDRESS($T109,MATCH(Q$1,INDIRECT("Table!A" &amp; $AE109):INDIRECT("Table!" &amp; $AH$253 &amp; $AE109),0)))))</f>
        <v/>
      </c>
      <c r="Q109" s="205"/>
      <c r="R109" s="205"/>
      <c r="S109" s="205"/>
      <c r="T109" s="22"/>
      <c r="AC109" s="205"/>
      <c r="AD109" s="205"/>
      <c r="AE109" s="22"/>
      <c r="AF109" s="205"/>
      <c r="AG109" s="205"/>
      <c r="AH109" s="22"/>
      <c r="AI109" s="25"/>
      <c r="AJ109" s="25"/>
      <c r="AK109" s="25"/>
    </row>
    <row r="110" spans="2:37" ht="19.5" customHeight="1" x14ac:dyDescent="0.25">
      <c r="B110" s="24"/>
      <c r="C110" s="24" t="str">
        <f ca="1">IF(ISERROR(MATCH(C$1,INDIRECT("Table!A"&amp;$AE110):INDIRECT("Table!" &amp; $AH$253 &amp; $AE110),0)),"",INDIRECT(CONCATENATE("Table!",ADDRESS($T110,MATCH(C$1,INDIRECT("Table!A" &amp; $AE110):INDIRECT("Table!" &amp; $AH$253 &amp; $AE110),0)))))</f>
        <v/>
      </c>
      <c r="D110" s="24" t="str">
        <f ca="1">IF(ISERROR(MATCH(D$1,INDIRECT("Table!A"&amp;$AE110):INDIRECT("Table!" &amp; $AH$253 &amp; $AE110),0)),"",INDIRECT(CONCATENATE("Table!",ADDRESS($T110,MATCH(D$1,INDIRECT("Table!A" &amp; $AE110):INDIRECT("Table!" &amp; $AH$253 &amp; $AE110),0)))))</f>
        <v/>
      </c>
      <c r="E110" s="24" t="str">
        <f ca="1">IF(ISERROR(MATCH(E$1,INDIRECT("Table!A"&amp;$AE110):INDIRECT("Table!" &amp; $AH$253 &amp; $AE110),0)),"",INDIRECT(CONCATENATE("Table!",ADDRESS($T110,MATCH(E$1,INDIRECT("Table!A" &amp; $AE110):INDIRECT("Table!" &amp; $AH$253 &amp; $AE110),0)))))</f>
        <v/>
      </c>
      <c r="F110" s="24" t="str">
        <f ca="1">IF(ISERROR(MATCH(F$1,INDIRECT("Table!A"&amp;$AE110):INDIRECT("Table!" &amp; $AH$253 &amp; $AE110),0)),"",INDIRECT(CONCATENATE("Table!",ADDRESS($T110,MATCH(F$1,INDIRECT("Table!A" &amp; $AE110):INDIRECT("Table!" &amp; $AH$253 &amp; $AE110),0)))))</f>
        <v/>
      </c>
      <c r="G110" s="24" t="str">
        <f ca="1">IF(ISERROR(MATCH(G$1,INDIRECT("Table!A"&amp;$AE110):INDIRECT("Table!" &amp; $AH$253 &amp; $AE110),0)),"",INDIRECT(CONCATENATE("Table!",ADDRESS($T110,MATCH(G$1,INDIRECT("Table!A" &amp; $AE110):INDIRECT("Table!" &amp; $AH$253 &amp; $AE110),0)))))</f>
        <v/>
      </c>
      <c r="H110" s="24" t="str">
        <f ca="1">IF(ISERROR(MATCH(H$1,INDIRECT("Table!A"&amp;$AE110):INDIRECT("Table!" &amp; $AH$253 &amp; $AE110),0)),"",INDIRECT(CONCATENATE("Table!",ADDRESS($T110,MATCH(H$1,INDIRECT("Table!A" &amp; $AE110):INDIRECT("Table!" &amp; $AH$253 &amp; $AE110),0)))))</f>
        <v/>
      </c>
      <c r="I110" s="273"/>
      <c r="J110" s="273"/>
      <c r="K110" s="24" t="str">
        <f ca="1">IF(ISERROR(MATCH(L$1,INDIRECT("Table!A"&amp;$AE110):INDIRECT("Table!" &amp; $AH$253 &amp; $AE110),0)),"",INDIRECT(CONCATENATE("Table!",ADDRESS($T110,MATCH(L$1,INDIRECT("Table!A" &amp; $AE110):INDIRECT("Table!" &amp; $AH$253 &amp; $AE110),0)))))</f>
        <v/>
      </c>
      <c r="L110" s="24" t="str">
        <f ca="1">IF(ISERROR(MATCH(M$1,INDIRECT("Table!A"&amp;$AE110):INDIRECT("Table!" &amp; $AH$253 &amp; $AE110),0)),"",INDIRECT(CONCATENATE("Table!",ADDRESS($T110,MATCH(M$1,INDIRECT("Table!A" &amp; $AE110):INDIRECT("Table!" &amp; $AH$253 &amp; $AE110),0)))))</f>
        <v/>
      </c>
      <c r="M110" s="24" t="str">
        <f ca="1">IF(ISERROR(MATCH(N$1,INDIRECT("Table!A"&amp;$AE110):INDIRECT("Table!" &amp; $AH$253 &amp; $AE110),0)),"",INDIRECT(CONCATENATE("Table!",ADDRESS($T110,MATCH(N$1,INDIRECT("Table!A" &amp; $AE110):INDIRECT("Table!" &amp; $AH$253 &amp; $AE110),0)))))</f>
        <v/>
      </c>
      <c r="N110" s="24" t="str">
        <f ca="1">IF(ISERROR(MATCH(O$1,INDIRECT("Table!A"&amp;$AE110):INDIRECT("Table!" &amp; $AH$253 &amp; $AE110),0)),"",INDIRECT(CONCATENATE("Table!",ADDRESS($T110,MATCH(O$1,INDIRECT("Table!A" &amp; $AE110):INDIRECT("Table!" &amp; $AH$253 &amp; $AE110),0)))))</f>
        <v/>
      </c>
      <c r="O110" s="24" t="str">
        <f ca="1">IF(ISERROR(MATCH(P$1,INDIRECT("Table!A"&amp;$AE110):INDIRECT("Table!" &amp; $AH$253 &amp; $AE110),0)),"",INDIRECT(CONCATENATE("Table!",ADDRESS($T110,MATCH(P$1,INDIRECT("Table!A" &amp; $AE110):INDIRECT("Table!" &amp; $AH$253 &amp; $AE110),0)))))</f>
        <v/>
      </c>
      <c r="P110" s="273" t="str">
        <f ca="1">IF(ISERROR(MATCH(Q$1,INDIRECT("Table!A"&amp;$AE110):INDIRECT("Table!" &amp; $AH$253 &amp; $AE110),0)),"",INDIRECT(CONCATENATE("Table!",ADDRESS($T110,MATCH(Q$1,INDIRECT("Table!A" &amp; $AE110):INDIRECT("Table!" &amp; $AH$253 &amp; $AE110),0)))))</f>
        <v/>
      </c>
      <c r="Q110" s="204"/>
      <c r="R110" s="204"/>
      <c r="S110" s="204"/>
      <c r="T110" s="22"/>
      <c r="AC110" s="204"/>
      <c r="AD110" s="204"/>
      <c r="AE110" s="22"/>
      <c r="AF110" s="204"/>
      <c r="AG110" s="204"/>
      <c r="AH110" s="22"/>
      <c r="AI110" s="25"/>
      <c r="AJ110" s="25"/>
      <c r="AK110" s="25"/>
    </row>
    <row r="111" spans="2:37" ht="19.5" customHeight="1" x14ac:dyDescent="0.25">
      <c r="B111" s="24"/>
      <c r="C111" s="24" t="str">
        <f ca="1">IF(ISERROR(MATCH(C$1,INDIRECT("Table!A"&amp;$AE111):INDIRECT("Table!" &amp; $AH$253 &amp; $AE111),0)),"",INDIRECT(CONCATENATE("Table!",ADDRESS($T111,MATCH(C$1,INDIRECT("Table!A" &amp; $AE111):INDIRECT("Table!" &amp; $AH$253 &amp; $AE111),0)))))</f>
        <v/>
      </c>
      <c r="D111" s="24" t="str">
        <f ca="1">IF(ISERROR(MATCH(D$1,INDIRECT("Table!A"&amp;$AE111):INDIRECT("Table!" &amp; $AH$253 &amp; $AE111),0)),"",INDIRECT(CONCATENATE("Table!",ADDRESS($T111,MATCH(D$1,INDIRECT("Table!A" &amp; $AE111):INDIRECT("Table!" &amp; $AH$253 &amp; $AE111),0)))))</f>
        <v/>
      </c>
      <c r="E111" s="24" t="str">
        <f ca="1">IF(ISERROR(MATCH(E$1,INDIRECT("Table!A"&amp;$AE111):INDIRECT("Table!" &amp; $AH$253 &amp; $AE111),0)),"",INDIRECT(CONCATENATE("Table!",ADDRESS($T111,MATCH(E$1,INDIRECT("Table!A" &amp; $AE111):INDIRECT("Table!" &amp; $AH$253 &amp; $AE111),0)))))</f>
        <v/>
      </c>
      <c r="F111" s="24" t="str">
        <f ca="1">IF(ISERROR(MATCH(F$1,INDIRECT("Table!A"&amp;$AE111):INDIRECT("Table!" &amp; $AH$253 &amp; $AE111),0)),"",INDIRECT(CONCATENATE("Table!",ADDRESS($T111,MATCH(F$1,INDIRECT("Table!A" &amp; $AE111):INDIRECT("Table!" &amp; $AH$253 &amp; $AE111),0)))))</f>
        <v/>
      </c>
      <c r="G111" s="24" t="str">
        <f ca="1">IF(ISERROR(MATCH(G$1,INDIRECT("Table!A"&amp;$AE111):INDIRECT("Table!" &amp; $AH$253 &amp; $AE111),0)),"",INDIRECT(CONCATENATE("Table!",ADDRESS($T111,MATCH(G$1,INDIRECT("Table!A" &amp; $AE111):INDIRECT("Table!" &amp; $AH$253 &amp; $AE111),0)))))</f>
        <v/>
      </c>
      <c r="H111" s="24" t="str">
        <f ca="1">IF(ISERROR(MATCH(H$1,INDIRECT("Table!A"&amp;$AE111):INDIRECT("Table!" &amp; $AH$253 &amp; $AE111),0)),"",INDIRECT(CONCATENATE("Table!",ADDRESS($T111,MATCH(H$1,INDIRECT("Table!A" &amp; $AE111):INDIRECT("Table!" &amp; $AH$253 &amp; $AE111),0)))))</f>
        <v/>
      </c>
      <c r="I111" s="273"/>
      <c r="J111" s="273"/>
      <c r="K111" s="24" t="str">
        <f ca="1">IF(ISERROR(MATCH(L$1,INDIRECT("Table!A"&amp;$AE111):INDIRECT("Table!" &amp; $AH$253 &amp; $AE111),0)),"",INDIRECT(CONCATENATE("Table!",ADDRESS($T111,MATCH(L$1,INDIRECT("Table!A" &amp; $AE111):INDIRECT("Table!" &amp; $AH$253 &amp; $AE111),0)))))</f>
        <v/>
      </c>
      <c r="L111" s="24" t="str">
        <f ca="1">IF(ISERROR(MATCH(M$1,INDIRECT("Table!A"&amp;$AE111):INDIRECT("Table!" &amp; $AH$253 &amp; $AE111),0)),"",INDIRECT(CONCATENATE("Table!",ADDRESS($T111,MATCH(M$1,INDIRECT("Table!A" &amp; $AE111):INDIRECT("Table!" &amp; $AH$253 &amp; $AE111),0)))))</f>
        <v/>
      </c>
      <c r="M111" s="24" t="str">
        <f ca="1">IF(ISERROR(MATCH(N$1,INDIRECT("Table!A"&amp;$AE111):INDIRECT("Table!" &amp; $AH$253 &amp; $AE111),0)),"",INDIRECT(CONCATENATE("Table!",ADDRESS($T111,MATCH(N$1,INDIRECT("Table!A" &amp; $AE111):INDIRECT("Table!" &amp; $AH$253 &amp; $AE111),0)))))</f>
        <v/>
      </c>
      <c r="N111" s="24" t="str">
        <f ca="1">IF(ISERROR(MATCH(O$1,INDIRECT("Table!A"&amp;$AE111):INDIRECT("Table!" &amp; $AH$253 &amp; $AE111),0)),"",INDIRECT(CONCATENATE("Table!",ADDRESS($T111,MATCH(O$1,INDIRECT("Table!A" &amp; $AE111):INDIRECT("Table!" &amp; $AH$253 &amp; $AE111),0)))))</f>
        <v/>
      </c>
      <c r="O111" s="24" t="str">
        <f ca="1">IF(ISERROR(MATCH(P$1,INDIRECT("Table!A"&amp;$AE111):INDIRECT("Table!" &amp; $AH$253 &amp; $AE111),0)),"",INDIRECT(CONCATENATE("Table!",ADDRESS($T111,MATCH(P$1,INDIRECT("Table!A" &amp; $AE111):INDIRECT("Table!" &amp; $AH$253 &amp; $AE111),0)))))</f>
        <v/>
      </c>
      <c r="P111" s="273" t="str">
        <f ca="1">IF(ISERROR(MATCH(Q$1,INDIRECT("Table!A"&amp;$AE111):INDIRECT("Table!" &amp; $AH$253 &amp; $AE111),0)),"",INDIRECT(CONCATENATE("Table!",ADDRESS($T111,MATCH(Q$1,INDIRECT("Table!A" &amp; $AE111):INDIRECT("Table!" &amp; $AH$253 &amp; $AE111),0)))))</f>
        <v/>
      </c>
      <c r="Q111" s="203"/>
      <c r="R111" s="203"/>
      <c r="S111" s="203"/>
      <c r="T111" s="22"/>
      <c r="AC111" s="203"/>
      <c r="AD111" s="203"/>
      <c r="AE111" s="22"/>
      <c r="AF111" s="203"/>
      <c r="AG111" s="203"/>
      <c r="AH111" s="22"/>
      <c r="AI111" s="25"/>
      <c r="AJ111" s="25"/>
      <c r="AK111" s="25"/>
    </row>
    <row r="112" spans="2:37" ht="19.5" customHeight="1" x14ac:dyDescent="0.25">
      <c r="B112" s="24"/>
      <c r="C112" s="24" t="str">
        <f ca="1">IF(ISERROR(MATCH(C$1,INDIRECT("Table!A"&amp;$AE112):INDIRECT("Table!" &amp; $AH$253 &amp; $AE112),0)),"",INDIRECT(CONCATENATE("Table!",ADDRESS($T112,MATCH(C$1,INDIRECT("Table!A" &amp; $AE112):INDIRECT("Table!" &amp; $AH$253 &amp; $AE112),0)))))</f>
        <v/>
      </c>
      <c r="D112" s="24" t="str">
        <f ca="1">IF(ISERROR(MATCH(D$1,INDIRECT("Table!A"&amp;$AE112):INDIRECT("Table!" &amp; $AH$253 &amp; $AE112),0)),"",INDIRECT(CONCATENATE("Table!",ADDRESS($T112,MATCH(D$1,INDIRECT("Table!A" &amp; $AE112):INDIRECT("Table!" &amp; $AH$253 &amp; $AE112),0)))))</f>
        <v/>
      </c>
      <c r="E112" s="24" t="str">
        <f ca="1">IF(ISERROR(MATCH(E$1,INDIRECT("Table!A"&amp;$AE112):INDIRECT("Table!" &amp; $AH$253 &amp; $AE112),0)),"",INDIRECT(CONCATENATE("Table!",ADDRESS($T112,MATCH(E$1,INDIRECT("Table!A" &amp; $AE112):INDIRECT("Table!" &amp; $AH$253 &amp; $AE112),0)))))</f>
        <v/>
      </c>
      <c r="F112" s="24" t="str">
        <f ca="1">IF(ISERROR(MATCH(F$1,INDIRECT("Table!A"&amp;$AE112):INDIRECT("Table!" &amp; $AH$253 &amp; $AE112),0)),"",INDIRECT(CONCATENATE("Table!",ADDRESS($T112,MATCH(F$1,INDIRECT("Table!A" &amp; $AE112):INDIRECT("Table!" &amp; $AH$253 &amp; $AE112),0)))))</f>
        <v/>
      </c>
      <c r="G112" s="24" t="str">
        <f ca="1">IF(ISERROR(MATCH(G$1,INDIRECT("Table!A"&amp;$AE112):INDIRECT("Table!" &amp; $AH$253 &amp; $AE112),0)),"",INDIRECT(CONCATENATE("Table!",ADDRESS($T112,MATCH(G$1,INDIRECT("Table!A" &amp; $AE112):INDIRECT("Table!" &amp; $AH$253 &amp; $AE112),0)))))</f>
        <v/>
      </c>
      <c r="H112" s="24" t="str">
        <f ca="1">IF(ISERROR(MATCH(H$1,INDIRECT("Table!A"&amp;$AE112):INDIRECT("Table!" &amp; $AH$253 &amp; $AE112),0)),"",INDIRECT(CONCATENATE("Table!",ADDRESS($T112,MATCH(H$1,INDIRECT("Table!A" &amp; $AE112):INDIRECT("Table!" &amp; $AH$253 &amp; $AE112),0)))))</f>
        <v/>
      </c>
      <c r="I112" s="273"/>
      <c r="J112" s="273"/>
      <c r="K112" s="24" t="str">
        <f ca="1">IF(ISERROR(MATCH(L$1,INDIRECT("Table!A"&amp;$AE112):INDIRECT("Table!" &amp; $AH$253 &amp; $AE112),0)),"",INDIRECT(CONCATENATE("Table!",ADDRESS($T112,MATCH(L$1,INDIRECT("Table!A" &amp; $AE112):INDIRECT("Table!" &amp; $AH$253 &amp; $AE112),0)))))</f>
        <v/>
      </c>
      <c r="L112" s="24" t="str">
        <f ca="1">IF(ISERROR(MATCH(M$1,INDIRECT("Table!A"&amp;$AE112):INDIRECT("Table!" &amp; $AH$253 &amp; $AE112),0)),"",INDIRECT(CONCATENATE("Table!",ADDRESS($T112,MATCH(M$1,INDIRECT("Table!A" &amp; $AE112):INDIRECT("Table!" &amp; $AH$253 &amp; $AE112),0)))))</f>
        <v/>
      </c>
      <c r="M112" s="24" t="str">
        <f ca="1">IF(ISERROR(MATCH(N$1,INDIRECT("Table!A"&amp;$AE112):INDIRECT("Table!" &amp; $AH$253 &amp; $AE112),0)),"",INDIRECT(CONCATENATE("Table!",ADDRESS($T112,MATCH(N$1,INDIRECT("Table!A" &amp; $AE112):INDIRECT("Table!" &amp; $AH$253 &amp; $AE112),0)))))</f>
        <v/>
      </c>
      <c r="N112" s="24" t="str">
        <f ca="1">IF(ISERROR(MATCH(O$1,INDIRECT("Table!A"&amp;$AE112):INDIRECT("Table!" &amp; $AH$253 &amp; $AE112),0)),"",INDIRECT(CONCATENATE("Table!",ADDRESS($T112,MATCH(O$1,INDIRECT("Table!A" &amp; $AE112):INDIRECT("Table!" &amp; $AH$253 &amp; $AE112),0)))))</f>
        <v/>
      </c>
      <c r="O112" s="24" t="str">
        <f ca="1">IF(ISERROR(MATCH(P$1,INDIRECT("Table!A"&amp;$AE112):INDIRECT("Table!" &amp; $AH$253 &amp; $AE112),0)),"",INDIRECT(CONCATENATE("Table!",ADDRESS($T112,MATCH(P$1,INDIRECT("Table!A" &amp; $AE112):INDIRECT("Table!" &amp; $AH$253 &amp; $AE112),0)))))</f>
        <v/>
      </c>
      <c r="P112" s="273" t="str">
        <f ca="1">IF(ISERROR(MATCH(Q$1,INDIRECT("Table!A"&amp;$AE112):INDIRECT("Table!" &amp; $AH$253 &amp; $AE112),0)),"",INDIRECT(CONCATENATE("Table!",ADDRESS($T112,MATCH(Q$1,INDIRECT("Table!A" &amp; $AE112):INDIRECT("Table!" &amp; $AH$253 &amp; $AE112),0)))))</f>
        <v/>
      </c>
      <c r="Q112" s="202"/>
      <c r="R112" s="202"/>
      <c r="S112" s="202"/>
      <c r="T112" s="22"/>
      <c r="AC112" s="202"/>
      <c r="AD112" s="202"/>
      <c r="AE112" s="22"/>
      <c r="AF112" s="202"/>
      <c r="AG112" s="202"/>
      <c r="AH112" s="22"/>
      <c r="AI112" s="25"/>
      <c r="AJ112" s="25"/>
      <c r="AK112" s="25"/>
    </row>
    <row r="113" spans="2:37" ht="19.5" customHeight="1" x14ac:dyDescent="0.25">
      <c r="B113" s="24"/>
      <c r="C113" s="24" t="str">
        <f ca="1">IF(ISERROR(MATCH(C$1,INDIRECT("Table!A"&amp;$AE113):INDIRECT("Table!" &amp; $AH$253 &amp; $AE113),0)),"",INDIRECT(CONCATENATE("Table!",ADDRESS($T113,MATCH(C$1,INDIRECT("Table!A" &amp; $AE113):INDIRECT("Table!" &amp; $AH$253 &amp; $AE113),0)))))</f>
        <v/>
      </c>
      <c r="D113" s="24" t="str">
        <f ca="1">IF(ISERROR(MATCH(D$1,INDIRECT("Table!A"&amp;$AE113):INDIRECT("Table!" &amp; $AH$253 &amp; $AE113),0)),"",INDIRECT(CONCATENATE("Table!",ADDRESS($T113,MATCH(D$1,INDIRECT("Table!A" &amp; $AE113):INDIRECT("Table!" &amp; $AH$253 &amp; $AE113),0)))))</f>
        <v/>
      </c>
      <c r="E113" s="24" t="str">
        <f ca="1">IF(ISERROR(MATCH(E$1,INDIRECT("Table!A"&amp;$AE113):INDIRECT("Table!" &amp; $AH$253 &amp; $AE113),0)),"",INDIRECT(CONCATENATE("Table!",ADDRESS($T113,MATCH(E$1,INDIRECT("Table!A" &amp; $AE113):INDIRECT("Table!" &amp; $AH$253 &amp; $AE113),0)))))</f>
        <v/>
      </c>
      <c r="F113" s="24" t="str">
        <f ca="1">IF(ISERROR(MATCH(F$1,INDIRECT("Table!A"&amp;$AE113):INDIRECT("Table!" &amp; $AH$253 &amp; $AE113),0)),"",INDIRECT(CONCATENATE("Table!",ADDRESS($T113,MATCH(F$1,INDIRECT("Table!A" &amp; $AE113):INDIRECT("Table!" &amp; $AH$253 &amp; $AE113),0)))))</f>
        <v/>
      </c>
      <c r="G113" s="24" t="str">
        <f ca="1">IF(ISERROR(MATCH(G$1,INDIRECT("Table!A"&amp;$AE113):INDIRECT("Table!" &amp; $AH$253 &amp; $AE113),0)),"",INDIRECT(CONCATENATE("Table!",ADDRESS($T113,MATCH(G$1,INDIRECT("Table!A" &amp; $AE113):INDIRECT("Table!" &amp; $AH$253 &amp; $AE113),0)))))</f>
        <v/>
      </c>
      <c r="H113" s="24" t="str">
        <f ca="1">IF(ISERROR(MATCH(H$1,INDIRECT("Table!A"&amp;$AE113):INDIRECT("Table!" &amp; $AH$253 &amp; $AE113),0)),"",INDIRECT(CONCATENATE("Table!",ADDRESS($T113,MATCH(H$1,INDIRECT("Table!A" &amp; $AE113):INDIRECT("Table!" &amp; $AH$253 &amp; $AE113),0)))))</f>
        <v/>
      </c>
      <c r="I113" s="273"/>
      <c r="J113" s="273"/>
      <c r="K113" s="24" t="str">
        <f ca="1">IF(ISERROR(MATCH(L$1,INDIRECT("Table!A"&amp;$AE113):INDIRECT("Table!" &amp; $AH$253 &amp; $AE113),0)),"",INDIRECT(CONCATENATE("Table!",ADDRESS($T113,MATCH(L$1,INDIRECT("Table!A" &amp; $AE113):INDIRECT("Table!" &amp; $AH$253 &amp; $AE113),0)))))</f>
        <v/>
      </c>
      <c r="L113" s="24" t="str">
        <f ca="1">IF(ISERROR(MATCH(M$1,INDIRECT("Table!A"&amp;$AE113):INDIRECT("Table!" &amp; $AH$253 &amp; $AE113),0)),"",INDIRECT(CONCATENATE("Table!",ADDRESS($T113,MATCH(M$1,INDIRECT("Table!A" &amp; $AE113):INDIRECT("Table!" &amp; $AH$253 &amp; $AE113),0)))))</f>
        <v/>
      </c>
      <c r="M113" s="24" t="str">
        <f ca="1">IF(ISERROR(MATCH(N$1,INDIRECT("Table!A"&amp;$AE113):INDIRECT("Table!" &amp; $AH$253 &amp; $AE113),0)),"",INDIRECT(CONCATENATE("Table!",ADDRESS($T113,MATCH(N$1,INDIRECT("Table!A" &amp; $AE113):INDIRECT("Table!" &amp; $AH$253 &amp; $AE113),0)))))</f>
        <v/>
      </c>
      <c r="N113" s="24" t="str">
        <f ca="1">IF(ISERROR(MATCH(O$1,INDIRECT("Table!A"&amp;$AE113):INDIRECT("Table!" &amp; $AH$253 &amp; $AE113),0)),"",INDIRECT(CONCATENATE("Table!",ADDRESS($T113,MATCH(O$1,INDIRECT("Table!A" &amp; $AE113):INDIRECT("Table!" &amp; $AH$253 &amp; $AE113),0)))))</f>
        <v/>
      </c>
      <c r="O113" s="24" t="str">
        <f ca="1">IF(ISERROR(MATCH(P$1,INDIRECT("Table!A"&amp;$AE113):INDIRECT("Table!" &amp; $AH$253 &amp; $AE113),0)),"",INDIRECT(CONCATENATE("Table!",ADDRESS($T113,MATCH(P$1,INDIRECT("Table!A" &amp; $AE113):INDIRECT("Table!" &amp; $AH$253 &amp; $AE113),0)))))</f>
        <v/>
      </c>
      <c r="P113" s="273" t="str">
        <f ca="1">IF(ISERROR(MATCH(Q$1,INDIRECT("Table!A"&amp;$AE113):INDIRECT("Table!" &amp; $AH$253 &amp; $AE113),0)),"",INDIRECT(CONCATENATE("Table!",ADDRESS($T113,MATCH(Q$1,INDIRECT("Table!A" &amp; $AE113):INDIRECT("Table!" &amp; $AH$253 &amp; $AE113),0)))))</f>
        <v/>
      </c>
      <c r="Q113" s="202"/>
      <c r="R113" s="202"/>
      <c r="S113" s="202"/>
      <c r="T113" s="22"/>
      <c r="AC113" s="202"/>
      <c r="AD113" s="202"/>
      <c r="AE113" s="22"/>
      <c r="AF113" s="202"/>
      <c r="AG113" s="202"/>
      <c r="AH113" s="22"/>
      <c r="AI113" s="25"/>
      <c r="AJ113" s="25"/>
      <c r="AK113" s="25"/>
    </row>
    <row r="114" spans="2:37" ht="19.5" customHeight="1" x14ac:dyDescent="0.25">
      <c r="B114" s="24"/>
      <c r="C114" s="24" t="str">
        <f ca="1">IF(ISERROR(MATCH(C$1,INDIRECT("Table!A"&amp;$AE114):INDIRECT("Table!" &amp; $AH$253 &amp; $AE114),0)),"",INDIRECT(CONCATENATE("Table!",ADDRESS($T114,MATCH(C$1,INDIRECT("Table!A" &amp; $AE114):INDIRECT("Table!" &amp; $AH$253 &amp; $AE114),0)))))</f>
        <v/>
      </c>
      <c r="D114" s="24" t="str">
        <f ca="1">IF(ISERROR(MATCH(D$1,INDIRECT("Table!A"&amp;$AE114):INDIRECT("Table!" &amp; $AH$253 &amp; $AE114),0)),"",INDIRECT(CONCATENATE("Table!",ADDRESS($T114,MATCH(D$1,INDIRECT("Table!A" &amp; $AE114):INDIRECT("Table!" &amp; $AH$253 &amp; $AE114),0)))))</f>
        <v/>
      </c>
      <c r="E114" s="24" t="str">
        <f ca="1">IF(ISERROR(MATCH(E$1,INDIRECT("Table!A"&amp;$AE114):INDIRECT("Table!" &amp; $AH$253 &amp; $AE114),0)),"",INDIRECT(CONCATENATE("Table!",ADDRESS($T114,MATCH(E$1,INDIRECT("Table!A" &amp; $AE114):INDIRECT("Table!" &amp; $AH$253 &amp; $AE114),0)))))</f>
        <v/>
      </c>
      <c r="F114" s="24" t="str">
        <f ca="1">IF(ISERROR(MATCH(F$1,INDIRECT("Table!A"&amp;$AE114):INDIRECT("Table!" &amp; $AH$253 &amp; $AE114),0)),"",INDIRECT(CONCATENATE("Table!",ADDRESS($T114,MATCH(F$1,INDIRECT("Table!A" &amp; $AE114):INDIRECT("Table!" &amp; $AH$253 &amp; $AE114),0)))))</f>
        <v/>
      </c>
      <c r="G114" s="24" t="str">
        <f ca="1">IF(ISERROR(MATCH(G$1,INDIRECT("Table!A"&amp;$AE114):INDIRECT("Table!" &amp; $AH$253 &amp; $AE114),0)),"",INDIRECT(CONCATENATE("Table!",ADDRESS($T114,MATCH(G$1,INDIRECT("Table!A" &amp; $AE114):INDIRECT("Table!" &amp; $AH$253 &amp; $AE114),0)))))</f>
        <v/>
      </c>
      <c r="H114" s="24" t="str">
        <f ca="1">IF(ISERROR(MATCH(H$1,INDIRECT("Table!A"&amp;$AE114):INDIRECT("Table!" &amp; $AH$253 &amp; $AE114),0)),"",INDIRECT(CONCATENATE("Table!",ADDRESS($T114,MATCH(H$1,INDIRECT("Table!A" &amp; $AE114):INDIRECT("Table!" &amp; $AH$253 &amp; $AE114),0)))))</f>
        <v/>
      </c>
      <c r="I114" s="273"/>
      <c r="J114" s="273"/>
      <c r="K114" s="24" t="str">
        <f ca="1">IF(ISERROR(MATCH(L$1,INDIRECT("Table!A"&amp;$AE114):INDIRECT("Table!" &amp; $AH$253 &amp; $AE114),0)),"",INDIRECT(CONCATENATE("Table!",ADDRESS($T114,MATCH(L$1,INDIRECT("Table!A" &amp; $AE114):INDIRECT("Table!" &amp; $AH$253 &amp; $AE114),0)))))</f>
        <v/>
      </c>
      <c r="L114" s="24" t="str">
        <f ca="1">IF(ISERROR(MATCH(M$1,INDIRECT("Table!A"&amp;$AE114):INDIRECT("Table!" &amp; $AH$253 &amp; $AE114),0)),"",INDIRECT(CONCATENATE("Table!",ADDRESS($T114,MATCH(M$1,INDIRECT("Table!A" &amp; $AE114):INDIRECT("Table!" &amp; $AH$253 &amp; $AE114),0)))))</f>
        <v/>
      </c>
      <c r="M114" s="24" t="str">
        <f ca="1">IF(ISERROR(MATCH(N$1,INDIRECT("Table!A"&amp;$AE114):INDIRECT("Table!" &amp; $AH$253 &amp; $AE114),0)),"",INDIRECT(CONCATENATE("Table!",ADDRESS($T114,MATCH(N$1,INDIRECT("Table!A" &amp; $AE114):INDIRECT("Table!" &amp; $AH$253 &amp; $AE114),0)))))</f>
        <v/>
      </c>
      <c r="N114" s="24" t="str">
        <f ca="1">IF(ISERROR(MATCH(O$1,INDIRECT("Table!A"&amp;$AE114):INDIRECT("Table!" &amp; $AH$253 &amp; $AE114),0)),"",INDIRECT(CONCATENATE("Table!",ADDRESS($T114,MATCH(O$1,INDIRECT("Table!A" &amp; $AE114):INDIRECT("Table!" &amp; $AH$253 &amp; $AE114),0)))))</f>
        <v/>
      </c>
      <c r="O114" s="24" t="str">
        <f ca="1">IF(ISERROR(MATCH(P$1,INDIRECT("Table!A"&amp;$AE114):INDIRECT("Table!" &amp; $AH$253 &amp; $AE114),0)),"",INDIRECT(CONCATENATE("Table!",ADDRESS($T114,MATCH(P$1,INDIRECT("Table!A" &amp; $AE114):INDIRECT("Table!" &amp; $AH$253 &amp; $AE114),0)))))</f>
        <v/>
      </c>
      <c r="P114" s="273" t="str">
        <f ca="1">IF(ISERROR(MATCH(Q$1,INDIRECT("Table!A"&amp;$AE114):INDIRECT("Table!" &amp; $AH$253 &amp; $AE114),0)),"",INDIRECT(CONCATENATE("Table!",ADDRESS($T114,MATCH(Q$1,INDIRECT("Table!A" &amp; $AE114):INDIRECT("Table!" &amp; $AH$253 &amp; $AE114),0)))))</f>
        <v/>
      </c>
      <c r="Q114" s="200"/>
      <c r="R114" s="200"/>
      <c r="S114" s="200"/>
      <c r="T114" s="22"/>
      <c r="AC114" s="200"/>
      <c r="AD114" s="200"/>
      <c r="AE114" s="22"/>
      <c r="AF114" s="200"/>
      <c r="AG114" s="200"/>
      <c r="AH114" s="22"/>
      <c r="AI114" s="25"/>
      <c r="AJ114" s="25"/>
      <c r="AK114" s="25"/>
    </row>
    <row r="115" spans="2:37" ht="19.5" customHeight="1" x14ac:dyDescent="0.25">
      <c r="B115" s="24"/>
      <c r="C115" s="24" t="str">
        <f ca="1">IF(ISERROR(MATCH(C$1,INDIRECT("Table!A"&amp;$AE115):INDIRECT("Table!" &amp; $AH$253 &amp; $AE115),0)),"",INDIRECT(CONCATENATE("Table!",ADDRESS($T115,MATCH(C$1,INDIRECT("Table!A" &amp; $AE115):INDIRECT("Table!" &amp; $AH$253 &amp; $AE115),0)))))</f>
        <v/>
      </c>
      <c r="D115" s="24" t="str">
        <f ca="1">IF(ISERROR(MATCH(D$1,INDIRECT("Table!A"&amp;$AE115):INDIRECT("Table!" &amp; $AH$253 &amp; $AE115),0)),"",INDIRECT(CONCATENATE("Table!",ADDRESS($T115,MATCH(D$1,INDIRECT("Table!A" &amp; $AE115):INDIRECT("Table!" &amp; $AH$253 &amp; $AE115),0)))))</f>
        <v/>
      </c>
      <c r="E115" s="24" t="str">
        <f ca="1">IF(ISERROR(MATCH(E$1,INDIRECT("Table!A"&amp;$AE115):INDIRECT("Table!" &amp; $AH$253 &amp; $AE115),0)),"",INDIRECT(CONCATENATE("Table!",ADDRESS($T115,MATCH(E$1,INDIRECT("Table!A" &amp; $AE115):INDIRECT("Table!" &amp; $AH$253 &amp; $AE115),0)))))</f>
        <v/>
      </c>
      <c r="F115" s="24" t="str">
        <f ca="1">IF(ISERROR(MATCH(F$1,INDIRECT("Table!A"&amp;$AE115):INDIRECT("Table!" &amp; $AH$253 &amp; $AE115),0)),"",INDIRECT(CONCATENATE("Table!",ADDRESS($T115,MATCH(F$1,INDIRECT("Table!A" &amp; $AE115):INDIRECT("Table!" &amp; $AH$253 &amp; $AE115),0)))))</f>
        <v/>
      </c>
      <c r="G115" s="24" t="str">
        <f ca="1">IF(ISERROR(MATCH(G$1,INDIRECT("Table!A"&amp;$AE115):INDIRECT("Table!" &amp; $AH$253 &amp; $AE115),0)),"",INDIRECT(CONCATENATE("Table!",ADDRESS($T115,MATCH(G$1,INDIRECT("Table!A" &amp; $AE115):INDIRECT("Table!" &amp; $AH$253 &amp; $AE115),0)))))</f>
        <v/>
      </c>
      <c r="H115" s="24" t="str">
        <f ca="1">IF(ISERROR(MATCH(H$1,INDIRECT("Table!A"&amp;$AE115):INDIRECT("Table!" &amp; $AH$253 &amp; $AE115),0)),"",INDIRECT(CONCATENATE("Table!",ADDRESS($T115,MATCH(H$1,INDIRECT("Table!A" &amp; $AE115):INDIRECT("Table!" &amp; $AH$253 &amp; $AE115),0)))))</f>
        <v/>
      </c>
      <c r="I115" s="273"/>
      <c r="J115" s="273"/>
      <c r="K115" s="24" t="str">
        <f ca="1">IF(ISERROR(MATCH(L$1,INDIRECT("Table!A"&amp;$AE115):INDIRECT("Table!" &amp; $AH$253 &amp; $AE115),0)),"",INDIRECT(CONCATENATE("Table!",ADDRESS($T115,MATCH(L$1,INDIRECT("Table!A" &amp; $AE115):INDIRECT("Table!" &amp; $AH$253 &amp; $AE115),0)))))</f>
        <v/>
      </c>
      <c r="L115" s="24" t="str">
        <f ca="1">IF(ISERROR(MATCH(M$1,INDIRECT("Table!A"&amp;$AE115):INDIRECT("Table!" &amp; $AH$253 &amp; $AE115),0)),"",INDIRECT(CONCATENATE("Table!",ADDRESS($T115,MATCH(M$1,INDIRECT("Table!A" &amp; $AE115):INDIRECT("Table!" &amp; $AH$253 &amp; $AE115),0)))))</f>
        <v/>
      </c>
      <c r="M115" s="24" t="str">
        <f ca="1">IF(ISERROR(MATCH(N$1,INDIRECT("Table!A"&amp;$AE115):INDIRECT("Table!" &amp; $AH$253 &amp; $AE115),0)),"",INDIRECT(CONCATENATE("Table!",ADDRESS($T115,MATCH(N$1,INDIRECT("Table!A" &amp; $AE115):INDIRECT("Table!" &amp; $AH$253 &amp; $AE115),0)))))</f>
        <v/>
      </c>
      <c r="N115" s="24" t="str">
        <f ca="1">IF(ISERROR(MATCH(O$1,INDIRECT("Table!A"&amp;$AE115):INDIRECT("Table!" &amp; $AH$253 &amp; $AE115),0)),"",INDIRECT(CONCATENATE("Table!",ADDRESS($T115,MATCH(O$1,INDIRECT("Table!A" &amp; $AE115):INDIRECT("Table!" &amp; $AH$253 &amp; $AE115),0)))))</f>
        <v/>
      </c>
      <c r="O115" s="24" t="str">
        <f ca="1">IF(ISERROR(MATCH(P$1,INDIRECT("Table!A"&amp;$AE115):INDIRECT("Table!" &amp; $AH$253 &amp; $AE115),0)),"",INDIRECT(CONCATENATE("Table!",ADDRESS($T115,MATCH(P$1,INDIRECT("Table!A" &amp; $AE115):INDIRECT("Table!" &amp; $AH$253 &amp; $AE115),0)))))</f>
        <v/>
      </c>
      <c r="P115" s="273" t="str">
        <f ca="1">IF(ISERROR(MATCH(Q$1,INDIRECT("Table!A"&amp;$AE115):INDIRECT("Table!" &amp; $AH$253 &amp; $AE115),0)),"",INDIRECT(CONCATENATE("Table!",ADDRESS($T115,MATCH(Q$1,INDIRECT("Table!A" &amp; $AE115):INDIRECT("Table!" &amp; $AH$253 &amp; $AE115),0)))))</f>
        <v/>
      </c>
      <c r="Q115" s="200"/>
      <c r="R115" s="200"/>
      <c r="S115" s="200"/>
      <c r="T115" s="22"/>
      <c r="AC115" s="200"/>
      <c r="AD115" s="200"/>
      <c r="AE115" s="22"/>
      <c r="AF115" s="200"/>
      <c r="AG115" s="200"/>
      <c r="AH115" s="22"/>
      <c r="AI115" s="25"/>
      <c r="AJ115" s="25"/>
      <c r="AK115" s="25"/>
    </row>
    <row r="116" spans="2:37" ht="19.5" customHeight="1" x14ac:dyDescent="0.25">
      <c r="B116" s="24"/>
      <c r="C116" s="24" t="str">
        <f ca="1">IF(ISERROR(MATCH(C$1,INDIRECT("Table!A"&amp;$AE116):INDIRECT("Table!" &amp; $AH$253 &amp; $AE116),0)),"",INDIRECT(CONCATENATE("Table!",ADDRESS($T116,MATCH(C$1,INDIRECT("Table!A" &amp; $AE116):INDIRECT("Table!" &amp; $AH$253 &amp; $AE116),0)))))</f>
        <v/>
      </c>
      <c r="D116" s="24" t="str">
        <f ca="1">IF(ISERROR(MATCH(D$1,INDIRECT("Table!A"&amp;$AE116):INDIRECT("Table!" &amp; $AH$253 &amp; $AE116),0)),"",INDIRECT(CONCATENATE("Table!",ADDRESS($T116,MATCH(D$1,INDIRECT("Table!A" &amp; $AE116):INDIRECT("Table!" &amp; $AH$253 &amp; $AE116),0)))))</f>
        <v/>
      </c>
      <c r="E116" s="24" t="str">
        <f ca="1">IF(ISERROR(MATCH(E$1,INDIRECT("Table!A"&amp;$AE116):INDIRECT("Table!" &amp; $AH$253 &amp; $AE116),0)),"",INDIRECT(CONCATENATE("Table!",ADDRESS($T116,MATCH(E$1,INDIRECT("Table!A" &amp; $AE116):INDIRECT("Table!" &amp; $AH$253 &amp; $AE116),0)))))</f>
        <v/>
      </c>
      <c r="F116" s="24" t="str">
        <f ca="1">IF(ISERROR(MATCH(F$1,INDIRECT("Table!A"&amp;$AE116):INDIRECT("Table!" &amp; $AH$253 &amp; $AE116),0)),"",INDIRECT(CONCATENATE("Table!",ADDRESS($T116,MATCH(F$1,INDIRECT("Table!A" &amp; $AE116):INDIRECT("Table!" &amp; $AH$253 &amp; $AE116),0)))))</f>
        <v/>
      </c>
      <c r="G116" s="24" t="str">
        <f ca="1">IF(ISERROR(MATCH(G$1,INDIRECT("Table!A"&amp;$AE116):INDIRECT("Table!" &amp; $AH$253 &amp; $AE116),0)),"",INDIRECT(CONCATENATE("Table!",ADDRESS($T116,MATCH(G$1,INDIRECT("Table!A" &amp; $AE116):INDIRECT("Table!" &amp; $AH$253 &amp; $AE116),0)))))</f>
        <v/>
      </c>
      <c r="H116" s="24" t="str">
        <f ca="1">IF(ISERROR(MATCH(H$1,INDIRECT("Table!A"&amp;$AE116):INDIRECT("Table!" &amp; $AH$253 &amp; $AE116),0)),"",INDIRECT(CONCATENATE("Table!",ADDRESS($T116,MATCH(H$1,INDIRECT("Table!A" &amp; $AE116):INDIRECT("Table!" &amp; $AH$253 &amp; $AE116),0)))))</f>
        <v/>
      </c>
      <c r="I116" s="273"/>
      <c r="J116" s="273"/>
      <c r="K116" s="24" t="str">
        <f ca="1">IF(ISERROR(MATCH(L$1,INDIRECT("Table!A"&amp;$AE116):INDIRECT("Table!" &amp; $AH$253 &amp; $AE116),0)),"",INDIRECT(CONCATENATE("Table!",ADDRESS($T116,MATCH(L$1,INDIRECT("Table!A" &amp; $AE116):INDIRECT("Table!" &amp; $AH$253 &amp; $AE116),0)))))</f>
        <v/>
      </c>
      <c r="L116" s="24" t="str">
        <f ca="1">IF(ISERROR(MATCH(M$1,INDIRECT("Table!A"&amp;$AE116):INDIRECT("Table!" &amp; $AH$253 &amp; $AE116),0)),"",INDIRECT(CONCATENATE("Table!",ADDRESS($T116,MATCH(M$1,INDIRECT("Table!A" &amp; $AE116):INDIRECT("Table!" &amp; $AH$253 &amp; $AE116),0)))))</f>
        <v/>
      </c>
      <c r="M116" s="24" t="str">
        <f ca="1">IF(ISERROR(MATCH(N$1,INDIRECT("Table!A"&amp;$AE116):INDIRECT("Table!" &amp; $AH$253 &amp; $AE116),0)),"",INDIRECT(CONCATENATE("Table!",ADDRESS($T116,MATCH(N$1,INDIRECT("Table!A" &amp; $AE116):INDIRECT("Table!" &amp; $AH$253 &amp; $AE116),0)))))</f>
        <v/>
      </c>
      <c r="N116" s="24" t="str">
        <f ca="1">IF(ISERROR(MATCH(O$1,INDIRECT("Table!A"&amp;$AE116):INDIRECT("Table!" &amp; $AH$253 &amp; $AE116),0)),"",INDIRECT(CONCATENATE("Table!",ADDRESS($T116,MATCH(O$1,INDIRECT("Table!A" &amp; $AE116):INDIRECT("Table!" &amp; $AH$253 &amp; $AE116),0)))))</f>
        <v/>
      </c>
      <c r="O116" s="24" t="str">
        <f ca="1">IF(ISERROR(MATCH(P$1,INDIRECT("Table!A"&amp;$AE116):INDIRECT("Table!" &amp; $AH$253 &amp; $AE116),0)),"",INDIRECT(CONCATENATE("Table!",ADDRESS($T116,MATCH(P$1,INDIRECT("Table!A" &amp; $AE116):INDIRECT("Table!" &amp; $AH$253 &amp; $AE116),0)))))</f>
        <v/>
      </c>
      <c r="P116" s="273" t="str">
        <f ca="1">IF(ISERROR(MATCH(Q$1,INDIRECT("Table!A"&amp;$AE116):INDIRECT("Table!" &amp; $AH$253 &amp; $AE116),0)),"",INDIRECT(CONCATENATE("Table!",ADDRESS($T116,MATCH(Q$1,INDIRECT("Table!A" &amp; $AE116):INDIRECT("Table!" &amp; $AH$253 &amp; $AE116),0)))))</f>
        <v/>
      </c>
      <c r="Q116" s="200"/>
      <c r="R116" s="200"/>
      <c r="S116" s="200"/>
      <c r="T116" s="22"/>
      <c r="AC116" s="200"/>
      <c r="AD116" s="200"/>
      <c r="AE116" s="22"/>
      <c r="AF116" s="200"/>
      <c r="AG116" s="200"/>
      <c r="AH116" s="22"/>
      <c r="AI116" s="25"/>
      <c r="AJ116" s="25"/>
      <c r="AK116" s="25"/>
    </row>
    <row r="117" spans="2:37" ht="19.5" customHeight="1" x14ac:dyDescent="0.25">
      <c r="B117" s="24"/>
      <c r="C117" s="24" t="str">
        <f ca="1">IF(ISERROR(MATCH(C$1,INDIRECT("Table!A"&amp;$AE117):INDIRECT("Table!" &amp; $AH$253 &amp; $AE117),0)),"",INDIRECT(CONCATENATE("Table!",ADDRESS($T117,MATCH(C$1,INDIRECT("Table!A" &amp; $AE117):INDIRECT("Table!" &amp; $AH$253 &amp; $AE117),0)))))</f>
        <v/>
      </c>
      <c r="D117" s="24" t="str">
        <f ca="1">IF(ISERROR(MATCH(D$1,INDIRECT("Table!A"&amp;$AE117):INDIRECT("Table!" &amp; $AH$253 &amp; $AE117),0)),"",INDIRECT(CONCATENATE("Table!",ADDRESS($T117,MATCH(D$1,INDIRECT("Table!A" &amp; $AE117):INDIRECT("Table!" &amp; $AH$253 &amp; $AE117),0)))))</f>
        <v/>
      </c>
      <c r="E117" s="24" t="str">
        <f ca="1">IF(ISERROR(MATCH(E$1,INDIRECT("Table!A"&amp;$AE117):INDIRECT("Table!" &amp; $AH$253 &amp; $AE117),0)),"",INDIRECT(CONCATENATE("Table!",ADDRESS($T117,MATCH(E$1,INDIRECT("Table!A" &amp; $AE117):INDIRECT("Table!" &amp; $AH$253 &amp; $AE117),0)))))</f>
        <v/>
      </c>
      <c r="F117" s="24" t="str">
        <f ca="1">IF(ISERROR(MATCH(F$1,INDIRECT("Table!A"&amp;$AE117):INDIRECT("Table!" &amp; $AH$253 &amp; $AE117),0)),"",INDIRECT(CONCATENATE("Table!",ADDRESS($T117,MATCH(F$1,INDIRECT("Table!A" &amp; $AE117):INDIRECT("Table!" &amp; $AH$253 &amp; $AE117),0)))))</f>
        <v/>
      </c>
      <c r="G117" s="24" t="str">
        <f ca="1">IF(ISERROR(MATCH(G$1,INDIRECT("Table!A"&amp;$AE117):INDIRECT("Table!" &amp; $AH$253 &amp; $AE117),0)),"",INDIRECT(CONCATENATE("Table!",ADDRESS($T117,MATCH(G$1,INDIRECT("Table!A" &amp; $AE117):INDIRECT("Table!" &amp; $AH$253 &amp; $AE117),0)))))</f>
        <v/>
      </c>
      <c r="H117" s="24" t="str">
        <f ca="1">IF(ISERROR(MATCH(H$1,INDIRECT("Table!A"&amp;$AE117):INDIRECT("Table!" &amp; $AH$253 &amp; $AE117),0)),"",INDIRECT(CONCATENATE("Table!",ADDRESS($T117,MATCH(H$1,INDIRECT("Table!A" &amp; $AE117):INDIRECT("Table!" &amp; $AH$253 &amp; $AE117),0)))))</f>
        <v/>
      </c>
      <c r="I117" s="273"/>
      <c r="J117" s="273"/>
      <c r="K117" s="24" t="str">
        <f ca="1">IF(ISERROR(MATCH(L$1,INDIRECT("Table!A"&amp;$AE117):INDIRECT("Table!" &amp; $AH$253 &amp; $AE117),0)),"",INDIRECT(CONCATENATE("Table!",ADDRESS($T117,MATCH(L$1,INDIRECT("Table!A" &amp; $AE117):INDIRECT("Table!" &amp; $AH$253 &amp; $AE117),0)))))</f>
        <v/>
      </c>
      <c r="L117" s="24" t="str">
        <f ca="1">IF(ISERROR(MATCH(M$1,INDIRECT("Table!A"&amp;$AE117):INDIRECT("Table!" &amp; $AH$253 &amp; $AE117),0)),"",INDIRECT(CONCATENATE("Table!",ADDRESS($T117,MATCH(M$1,INDIRECT("Table!A" &amp; $AE117):INDIRECT("Table!" &amp; $AH$253 &amp; $AE117),0)))))</f>
        <v/>
      </c>
      <c r="M117" s="24" t="str">
        <f ca="1">IF(ISERROR(MATCH(N$1,INDIRECT("Table!A"&amp;$AE117):INDIRECT("Table!" &amp; $AH$253 &amp; $AE117),0)),"",INDIRECT(CONCATENATE("Table!",ADDRESS($T117,MATCH(N$1,INDIRECT("Table!A" &amp; $AE117):INDIRECT("Table!" &amp; $AH$253 &amp; $AE117),0)))))</f>
        <v/>
      </c>
      <c r="N117" s="24" t="str">
        <f ca="1">IF(ISERROR(MATCH(O$1,INDIRECT("Table!A"&amp;$AE117):INDIRECT("Table!" &amp; $AH$253 &amp; $AE117),0)),"",INDIRECT(CONCATENATE("Table!",ADDRESS($T117,MATCH(O$1,INDIRECT("Table!A" &amp; $AE117):INDIRECT("Table!" &amp; $AH$253 &amp; $AE117),0)))))</f>
        <v/>
      </c>
      <c r="O117" s="24" t="str">
        <f ca="1">IF(ISERROR(MATCH(P$1,INDIRECT("Table!A"&amp;$AE117):INDIRECT("Table!" &amp; $AH$253 &amp; $AE117),0)),"",INDIRECT(CONCATENATE("Table!",ADDRESS($T117,MATCH(P$1,INDIRECT("Table!A" &amp; $AE117):INDIRECT("Table!" &amp; $AH$253 &amp; $AE117),0)))))</f>
        <v/>
      </c>
      <c r="P117" s="273" t="str">
        <f ca="1">IF(ISERROR(MATCH(Q$1,INDIRECT("Table!A"&amp;$AE117):INDIRECT("Table!" &amp; $AH$253 &amp; $AE117),0)),"",INDIRECT(CONCATENATE("Table!",ADDRESS($T117,MATCH(Q$1,INDIRECT("Table!A" &amp; $AE117):INDIRECT("Table!" &amp; $AH$253 &amp; $AE117),0)))))</f>
        <v/>
      </c>
      <c r="Q117" s="199"/>
      <c r="R117" s="199"/>
      <c r="S117" s="199"/>
      <c r="T117" s="22"/>
      <c r="AC117" s="199"/>
      <c r="AD117" s="199"/>
      <c r="AE117" s="22"/>
      <c r="AF117" s="199"/>
      <c r="AG117" s="199"/>
      <c r="AH117" s="22"/>
      <c r="AI117" s="25"/>
      <c r="AJ117" s="25"/>
      <c r="AK117" s="25"/>
    </row>
    <row r="118" spans="2:37" ht="19.5" customHeight="1" x14ac:dyDescent="0.25">
      <c r="B118" s="24"/>
      <c r="C118" s="24" t="str">
        <f ca="1">IF(ISERROR(MATCH(C$1,INDIRECT("Table!A"&amp;$AE118):INDIRECT("Table!" &amp; $AH$253 &amp; $AE118),0)),"",INDIRECT(CONCATENATE("Table!",ADDRESS($T118,MATCH(C$1,INDIRECT("Table!A" &amp; $AE118):INDIRECT("Table!" &amp; $AH$253 &amp; $AE118),0)))))</f>
        <v/>
      </c>
      <c r="D118" s="24" t="str">
        <f ca="1">IF(ISERROR(MATCH(D$1,INDIRECT("Table!A"&amp;$AE118):INDIRECT("Table!" &amp; $AH$253 &amp; $AE118),0)),"",INDIRECT(CONCATENATE("Table!",ADDRESS($T118,MATCH(D$1,INDIRECT("Table!A" &amp; $AE118):INDIRECT("Table!" &amp; $AH$253 &amp; $AE118),0)))))</f>
        <v/>
      </c>
      <c r="E118" s="24" t="str">
        <f ca="1">IF(ISERROR(MATCH(E$1,INDIRECT("Table!A"&amp;$AE118):INDIRECT("Table!" &amp; $AH$253 &amp; $AE118),0)),"",INDIRECT(CONCATENATE("Table!",ADDRESS($T118,MATCH(E$1,INDIRECT("Table!A" &amp; $AE118):INDIRECT("Table!" &amp; $AH$253 &amp; $AE118),0)))))</f>
        <v/>
      </c>
      <c r="F118" s="24" t="str">
        <f ca="1">IF(ISERROR(MATCH(F$1,INDIRECT("Table!A"&amp;$AE118):INDIRECT("Table!" &amp; $AH$253 &amp; $AE118),0)),"",INDIRECT(CONCATENATE("Table!",ADDRESS($T118,MATCH(F$1,INDIRECT("Table!A" &amp; $AE118):INDIRECT("Table!" &amp; $AH$253 &amp; $AE118),0)))))</f>
        <v/>
      </c>
      <c r="G118" s="24" t="str">
        <f ca="1">IF(ISERROR(MATCH(G$1,INDIRECT("Table!A"&amp;$AE118):INDIRECT("Table!" &amp; $AH$253 &amp; $AE118),0)),"",INDIRECT(CONCATENATE("Table!",ADDRESS($T118,MATCH(G$1,INDIRECT("Table!A" &amp; $AE118):INDIRECT("Table!" &amp; $AH$253 &amp; $AE118),0)))))</f>
        <v/>
      </c>
      <c r="H118" s="24" t="str">
        <f ca="1">IF(ISERROR(MATCH(H$1,INDIRECT("Table!A"&amp;$AE118):INDIRECT("Table!" &amp; $AH$253 &amp; $AE118),0)),"",INDIRECT(CONCATENATE("Table!",ADDRESS($T118,MATCH(H$1,INDIRECT("Table!A" &amp; $AE118):INDIRECT("Table!" &amp; $AH$253 &amp; $AE118),0)))))</f>
        <v/>
      </c>
      <c r="I118" s="273"/>
      <c r="J118" s="273"/>
      <c r="K118" s="24" t="str">
        <f ca="1">IF(ISERROR(MATCH(L$1,INDIRECT("Table!A"&amp;$AE118):INDIRECT("Table!" &amp; $AH$253 &amp; $AE118),0)),"",INDIRECT(CONCATENATE("Table!",ADDRESS($T118,MATCH(L$1,INDIRECT("Table!A" &amp; $AE118):INDIRECT("Table!" &amp; $AH$253 &amp; $AE118),0)))))</f>
        <v/>
      </c>
      <c r="L118" s="24" t="str">
        <f ca="1">IF(ISERROR(MATCH(M$1,INDIRECT("Table!A"&amp;$AE118):INDIRECT("Table!" &amp; $AH$253 &amp; $AE118),0)),"",INDIRECT(CONCATENATE("Table!",ADDRESS($T118,MATCH(M$1,INDIRECT("Table!A" &amp; $AE118):INDIRECT("Table!" &amp; $AH$253 &amp; $AE118),0)))))</f>
        <v/>
      </c>
      <c r="M118" s="24" t="str">
        <f ca="1">IF(ISERROR(MATCH(N$1,INDIRECT("Table!A"&amp;$AE118):INDIRECT("Table!" &amp; $AH$253 &amp; $AE118),0)),"",INDIRECT(CONCATENATE("Table!",ADDRESS($T118,MATCH(N$1,INDIRECT("Table!A" &amp; $AE118):INDIRECT("Table!" &amp; $AH$253 &amp; $AE118),0)))))</f>
        <v/>
      </c>
      <c r="N118" s="24" t="str">
        <f ca="1">IF(ISERROR(MATCH(O$1,INDIRECT("Table!A"&amp;$AE118):INDIRECT("Table!" &amp; $AH$253 &amp; $AE118),0)),"",INDIRECT(CONCATENATE("Table!",ADDRESS($T118,MATCH(O$1,INDIRECT("Table!A" &amp; $AE118):INDIRECT("Table!" &amp; $AH$253 &amp; $AE118),0)))))</f>
        <v/>
      </c>
      <c r="O118" s="24" t="str">
        <f ca="1">IF(ISERROR(MATCH(P$1,INDIRECT("Table!A"&amp;$AE118):INDIRECT("Table!" &amp; $AH$253 &amp; $AE118),0)),"",INDIRECT(CONCATENATE("Table!",ADDRESS($T118,MATCH(P$1,INDIRECT("Table!A" &amp; $AE118):INDIRECT("Table!" &amp; $AH$253 &amp; $AE118),0)))))</f>
        <v/>
      </c>
      <c r="P118" s="273" t="str">
        <f ca="1">IF(ISERROR(MATCH(Q$1,INDIRECT("Table!A"&amp;$AE118):INDIRECT("Table!" &amp; $AH$253 &amp; $AE118),0)),"",INDIRECT(CONCATENATE("Table!",ADDRESS($T118,MATCH(Q$1,INDIRECT("Table!A" &amp; $AE118):INDIRECT("Table!" &amp; $AH$253 &amp; $AE118),0)))))</f>
        <v/>
      </c>
      <c r="Q118" s="198"/>
      <c r="R118" s="198"/>
      <c r="S118" s="198"/>
      <c r="T118" s="22"/>
      <c r="AC118" s="198"/>
      <c r="AD118" s="198"/>
      <c r="AE118" s="22"/>
      <c r="AF118" s="198"/>
      <c r="AG118" s="198"/>
      <c r="AH118" s="22"/>
      <c r="AI118" s="25"/>
      <c r="AJ118" s="25"/>
      <c r="AK118" s="25"/>
    </row>
    <row r="119" spans="2:37" ht="19.5" customHeight="1" x14ac:dyDescent="0.25">
      <c r="B119" s="24"/>
      <c r="C119" s="24" t="str">
        <f ca="1">IF(ISERROR(MATCH(C$1,INDIRECT("Table!A"&amp;$AE119):INDIRECT("Table!" &amp; $AH$253 &amp; $AE119),0)),"",INDIRECT(CONCATENATE("Table!",ADDRESS($T119,MATCH(C$1,INDIRECT("Table!A" &amp; $AE119):INDIRECT("Table!" &amp; $AH$253 &amp; $AE119),0)))))</f>
        <v/>
      </c>
      <c r="D119" s="24" t="str">
        <f ca="1">IF(ISERROR(MATCH(D$1,INDIRECT("Table!A"&amp;$AE119):INDIRECT("Table!" &amp; $AH$253 &amp; $AE119),0)),"",INDIRECT(CONCATENATE("Table!",ADDRESS($T119,MATCH(D$1,INDIRECT("Table!A" &amp; $AE119):INDIRECT("Table!" &amp; $AH$253 &amp; $AE119),0)))))</f>
        <v/>
      </c>
      <c r="E119" s="24" t="str">
        <f ca="1">IF(ISERROR(MATCH(E$1,INDIRECT("Table!A"&amp;$AE119):INDIRECT("Table!" &amp; $AH$253 &amp; $AE119),0)),"",INDIRECT(CONCATENATE("Table!",ADDRESS($T119,MATCH(E$1,INDIRECT("Table!A" &amp; $AE119):INDIRECT("Table!" &amp; $AH$253 &amp; $AE119),0)))))</f>
        <v/>
      </c>
      <c r="F119" s="24" t="str">
        <f ca="1">IF(ISERROR(MATCH(F$1,INDIRECT("Table!A"&amp;$AE119):INDIRECT("Table!" &amp; $AH$253 &amp; $AE119),0)),"",INDIRECT(CONCATENATE("Table!",ADDRESS($T119,MATCH(F$1,INDIRECT("Table!A" &amp; $AE119):INDIRECT("Table!" &amp; $AH$253 &amp; $AE119),0)))))</f>
        <v/>
      </c>
      <c r="G119" s="24" t="str">
        <f ca="1">IF(ISERROR(MATCH(G$1,INDIRECT("Table!A"&amp;$AE119):INDIRECT("Table!" &amp; $AH$253 &amp; $AE119),0)),"",INDIRECT(CONCATENATE("Table!",ADDRESS($T119,MATCH(G$1,INDIRECT("Table!A" &amp; $AE119):INDIRECT("Table!" &amp; $AH$253 &amp; $AE119),0)))))</f>
        <v/>
      </c>
      <c r="H119" s="24" t="str">
        <f ca="1">IF(ISERROR(MATCH(H$1,INDIRECT("Table!A"&amp;$AE119):INDIRECT("Table!" &amp; $AH$253 &amp; $AE119),0)),"",INDIRECT(CONCATENATE("Table!",ADDRESS($T119,MATCH(H$1,INDIRECT("Table!A" &amp; $AE119):INDIRECT("Table!" &amp; $AH$253 &amp; $AE119),0)))))</f>
        <v/>
      </c>
      <c r="I119" s="273"/>
      <c r="J119" s="273"/>
      <c r="K119" s="24" t="str">
        <f ca="1">IF(ISERROR(MATCH(L$1,INDIRECT("Table!A"&amp;$AE119):INDIRECT("Table!" &amp; $AH$253 &amp; $AE119),0)),"",INDIRECT(CONCATENATE("Table!",ADDRESS($T119,MATCH(L$1,INDIRECT("Table!A" &amp; $AE119):INDIRECT("Table!" &amp; $AH$253 &amp; $AE119),0)))))</f>
        <v/>
      </c>
      <c r="L119" s="24" t="str">
        <f ca="1">IF(ISERROR(MATCH(M$1,INDIRECT("Table!A"&amp;$AE119):INDIRECT("Table!" &amp; $AH$253 &amp; $AE119),0)),"",INDIRECT(CONCATENATE("Table!",ADDRESS($T119,MATCH(M$1,INDIRECT("Table!A" &amp; $AE119):INDIRECT("Table!" &amp; $AH$253 &amp; $AE119),0)))))</f>
        <v/>
      </c>
      <c r="M119" s="24" t="str">
        <f ca="1">IF(ISERROR(MATCH(N$1,INDIRECT("Table!A"&amp;$AE119):INDIRECT("Table!" &amp; $AH$253 &amp; $AE119),0)),"",INDIRECT(CONCATENATE("Table!",ADDRESS($T119,MATCH(N$1,INDIRECT("Table!A" &amp; $AE119):INDIRECT("Table!" &amp; $AH$253 &amp; $AE119),0)))))</f>
        <v/>
      </c>
      <c r="N119" s="24" t="str">
        <f ca="1">IF(ISERROR(MATCH(O$1,INDIRECT("Table!A"&amp;$AE119):INDIRECT("Table!" &amp; $AH$253 &amp; $AE119),0)),"",INDIRECT(CONCATENATE("Table!",ADDRESS($T119,MATCH(O$1,INDIRECT("Table!A" &amp; $AE119):INDIRECT("Table!" &amp; $AH$253 &amp; $AE119),0)))))</f>
        <v/>
      </c>
      <c r="O119" s="24" t="str">
        <f ca="1">IF(ISERROR(MATCH(P$1,INDIRECT("Table!A"&amp;$AE119):INDIRECT("Table!" &amp; $AH$253 &amp; $AE119),0)),"",INDIRECT(CONCATENATE("Table!",ADDRESS($T119,MATCH(P$1,INDIRECT("Table!A" &amp; $AE119):INDIRECT("Table!" &amp; $AH$253 &amp; $AE119),0)))))</f>
        <v/>
      </c>
      <c r="P119" s="273" t="str">
        <f ca="1">IF(ISERROR(MATCH(Q$1,INDIRECT("Table!A"&amp;$AE119):INDIRECT("Table!" &amp; $AH$253 &amp; $AE119),0)),"",INDIRECT(CONCATENATE("Table!",ADDRESS($T119,MATCH(Q$1,INDIRECT("Table!A" &amp; $AE119):INDIRECT("Table!" &amp; $AH$253 &amp; $AE119),0)))))</f>
        <v/>
      </c>
      <c r="Q119" s="197"/>
      <c r="R119" s="197"/>
      <c r="S119" s="197"/>
      <c r="T119" s="22"/>
      <c r="AC119" s="197"/>
      <c r="AD119" s="197"/>
      <c r="AE119" s="22"/>
      <c r="AF119" s="197"/>
      <c r="AG119" s="197"/>
      <c r="AH119" s="22"/>
      <c r="AI119" s="25"/>
      <c r="AJ119" s="25"/>
      <c r="AK119" s="25"/>
    </row>
    <row r="120" spans="2:37" ht="19.5" customHeight="1" x14ac:dyDescent="0.25">
      <c r="B120" s="24"/>
      <c r="C120" s="24" t="str">
        <f ca="1">IF(ISERROR(MATCH(C$1,INDIRECT("Table!A"&amp;$AE120):INDIRECT("Table!" &amp; $AH$253 &amp; $AE120),0)),"",INDIRECT(CONCATENATE("Table!",ADDRESS($T120,MATCH(C$1,INDIRECT("Table!A" &amp; $AE120):INDIRECT("Table!" &amp; $AH$253 &amp; $AE120),0)))))</f>
        <v/>
      </c>
      <c r="D120" s="24" t="str">
        <f ca="1">IF(ISERROR(MATCH(D$1,INDIRECT("Table!A"&amp;$AE120):INDIRECT("Table!" &amp; $AH$253 &amp; $AE120),0)),"",INDIRECT(CONCATENATE("Table!",ADDRESS($T120,MATCH(D$1,INDIRECT("Table!A" &amp; $AE120):INDIRECT("Table!" &amp; $AH$253 &amp; $AE120),0)))))</f>
        <v/>
      </c>
      <c r="E120" s="24" t="str">
        <f ca="1">IF(ISERROR(MATCH(E$1,INDIRECT("Table!A"&amp;$AE120):INDIRECT("Table!" &amp; $AH$253 &amp; $AE120),0)),"",INDIRECT(CONCATENATE("Table!",ADDRESS($T120,MATCH(E$1,INDIRECT("Table!A" &amp; $AE120):INDIRECT("Table!" &amp; $AH$253 &amp; $AE120),0)))))</f>
        <v/>
      </c>
      <c r="F120" s="24" t="str">
        <f ca="1">IF(ISERROR(MATCH(F$1,INDIRECT("Table!A"&amp;$AE120):INDIRECT("Table!" &amp; $AH$253 &amp; $AE120),0)),"",INDIRECT(CONCATENATE("Table!",ADDRESS($T120,MATCH(F$1,INDIRECT("Table!A" &amp; $AE120):INDIRECT("Table!" &amp; $AH$253 &amp; $AE120),0)))))</f>
        <v/>
      </c>
      <c r="G120" s="24" t="str">
        <f ca="1">IF(ISERROR(MATCH(G$1,INDIRECT("Table!A"&amp;$AE120):INDIRECT("Table!" &amp; $AH$253 &amp; $AE120),0)),"",INDIRECT(CONCATENATE("Table!",ADDRESS($T120,MATCH(G$1,INDIRECT("Table!A" &amp; $AE120):INDIRECT("Table!" &amp; $AH$253 &amp; $AE120),0)))))</f>
        <v/>
      </c>
      <c r="H120" s="24" t="str">
        <f ca="1">IF(ISERROR(MATCH(H$1,INDIRECT("Table!A"&amp;$AE120):INDIRECT("Table!" &amp; $AH$253 &amp; $AE120),0)),"",INDIRECT(CONCATENATE("Table!",ADDRESS($T120,MATCH(H$1,INDIRECT("Table!A" &amp; $AE120):INDIRECT("Table!" &amp; $AH$253 &amp; $AE120),0)))))</f>
        <v/>
      </c>
      <c r="I120" s="273"/>
      <c r="J120" s="273"/>
      <c r="K120" s="24" t="str">
        <f ca="1">IF(ISERROR(MATCH(L$1,INDIRECT("Table!A"&amp;$AE120):INDIRECT("Table!" &amp; $AH$253 &amp; $AE120),0)),"",INDIRECT(CONCATENATE("Table!",ADDRESS($T120,MATCH(L$1,INDIRECT("Table!A" &amp; $AE120):INDIRECT("Table!" &amp; $AH$253 &amp; $AE120),0)))))</f>
        <v/>
      </c>
      <c r="L120" s="24" t="str">
        <f ca="1">IF(ISERROR(MATCH(M$1,INDIRECT("Table!A"&amp;$AE120):INDIRECT("Table!" &amp; $AH$253 &amp; $AE120),0)),"",INDIRECT(CONCATENATE("Table!",ADDRESS($T120,MATCH(M$1,INDIRECT("Table!A" &amp; $AE120):INDIRECT("Table!" &amp; $AH$253 &amp; $AE120),0)))))</f>
        <v/>
      </c>
      <c r="M120" s="24" t="str">
        <f ca="1">IF(ISERROR(MATCH(N$1,INDIRECT("Table!A"&amp;$AE120):INDIRECT("Table!" &amp; $AH$253 &amp; $AE120),0)),"",INDIRECT(CONCATENATE("Table!",ADDRESS($T120,MATCH(N$1,INDIRECT("Table!A" &amp; $AE120):INDIRECT("Table!" &amp; $AH$253 &amp; $AE120),0)))))</f>
        <v/>
      </c>
      <c r="N120" s="24" t="str">
        <f ca="1">IF(ISERROR(MATCH(O$1,INDIRECT("Table!A"&amp;$AE120):INDIRECT("Table!" &amp; $AH$253 &amp; $AE120),0)),"",INDIRECT(CONCATENATE("Table!",ADDRESS($T120,MATCH(O$1,INDIRECT("Table!A" &amp; $AE120):INDIRECT("Table!" &amp; $AH$253 &amp; $AE120),0)))))</f>
        <v/>
      </c>
      <c r="O120" s="24" t="str">
        <f ca="1">IF(ISERROR(MATCH(P$1,INDIRECT("Table!A"&amp;$AE120):INDIRECT("Table!" &amp; $AH$253 &amp; $AE120),0)),"",INDIRECT(CONCATENATE("Table!",ADDRESS($T120,MATCH(P$1,INDIRECT("Table!A" &amp; $AE120):INDIRECT("Table!" &amp; $AH$253 &amp; $AE120),0)))))</f>
        <v/>
      </c>
      <c r="P120" s="273" t="str">
        <f ca="1">IF(ISERROR(MATCH(Q$1,INDIRECT("Table!A"&amp;$AE120):INDIRECT("Table!" &amp; $AH$253 &amp; $AE120),0)),"",INDIRECT(CONCATENATE("Table!",ADDRESS($T120,MATCH(Q$1,INDIRECT("Table!A" &amp; $AE120):INDIRECT("Table!" &amp; $AH$253 &amp; $AE120),0)))))</f>
        <v/>
      </c>
      <c r="Q120" s="196"/>
      <c r="R120" s="196"/>
      <c r="S120" s="196"/>
      <c r="T120" s="22"/>
      <c r="AC120" s="196"/>
      <c r="AD120" s="196"/>
      <c r="AE120" s="22"/>
      <c r="AF120" s="196"/>
      <c r="AG120" s="196"/>
      <c r="AH120" s="22"/>
      <c r="AI120" s="25"/>
      <c r="AJ120" s="25"/>
      <c r="AK120" s="25"/>
    </row>
    <row r="121" spans="2:37" ht="19.5" customHeight="1" x14ac:dyDescent="0.25">
      <c r="B121" s="24"/>
      <c r="C121" s="24" t="str">
        <f ca="1">IF(ISERROR(MATCH(C$1,INDIRECT("Table!A"&amp;$AE121):INDIRECT("Table!" &amp; $AH$253 &amp; $AE121),0)),"",INDIRECT(CONCATENATE("Table!",ADDRESS($T121,MATCH(C$1,INDIRECT("Table!A" &amp; $AE121):INDIRECT("Table!" &amp; $AH$253 &amp; $AE121),0)))))</f>
        <v/>
      </c>
      <c r="D121" s="24" t="str">
        <f ca="1">IF(ISERROR(MATCH(D$1,INDIRECT("Table!A"&amp;$AE121):INDIRECT("Table!" &amp; $AH$253 &amp; $AE121),0)),"",INDIRECT(CONCATENATE("Table!",ADDRESS($T121,MATCH(D$1,INDIRECT("Table!A" &amp; $AE121):INDIRECT("Table!" &amp; $AH$253 &amp; $AE121),0)))))</f>
        <v/>
      </c>
      <c r="E121" s="24" t="str">
        <f ca="1">IF(ISERROR(MATCH(E$1,INDIRECT("Table!A"&amp;$AE121):INDIRECT("Table!" &amp; $AH$253 &amp; $AE121),0)),"",INDIRECT(CONCATENATE("Table!",ADDRESS($T121,MATCH(E$1,INDIRECT("Table!A" &amp; $AE121):INDIRECT("Table!" &amp; $AH$253 &amp; $AE121),0)))))</f>
        <v/>
      </c>
      <c r="F121" s="24" t="str">
        <f ca="1">IF(ISERROR(MATCH(F$1,INDIRECT("Table!A"&amp;$AE121):INDIRECT("Table!" &amp; $AH$253 &amp; $AE121),0)),"",INDIRECT(CONCATENATE("Table!",ADDRESS($T121,MATCH(F$1,INDIRECT("Table!A" &amp; $AE121):INDIRECT("Table!" &amp; $AH$253 &amp; $AE121),0)))))</f>
        <v/>
      </c>
      <c r="G121" s="24" t="str">
        <f ca="1">IF(ISERROR(MATCH(G$1,INDIRECT("Table!A"&amp;$AE121):INDIRECT("Table!" &amp; $AH$253 &amp; $AE121),0)),"",INDIRECT(CONCATENATE("Table!",ADDRESS($T121,MATCH(G$1,INDIRECT("Table!A" &amp; $AE121):INDIRECT("Table!" &amp; $AH$253 &amp; $AE121),0)))))</f>
        <v/>
      </c>
      <c r="H121" s="24" t="str">
        <f ca="1">IF(ISERROR(MATCH(H$1,INDIRECT("Table!A"&amp;$AE121):INDIRECT("Table!" &amp; $AH$253 &amp; $AE121),0)),"",INDIRECT(CONCATENATE("Table!",ADDRESS($T121,MATCH(H$1,INDIRECT("Table!A" &amp; $AE121):INDIRECT("Table!" &amp; $AH$253 &amp; $AE121),0)))))</f>
        <v/>
      </c>
      <c r="I121" s="273"/>
      <c r="J121" s="273"/>
      <c r="K121" s="24" t="str">
        <f ca="1">IF(ISERROR(MATCH(L$1,INDIRECT("Table!A"&amp;$AE121):INDIRECT("Table!" &amp; $AH$253 &amp; $AE121),0)),"",INDIRECT(CONCATENATE("Table!",ADDRESS($T121,MATCH(L$1,INDIRECT("Table!A" &amp; $AE121):INDIRECT("Table!" &amp; $AH$253 &amp; $AE121),0)))))</f>
        <v/>
      </c>
      <c r="L121" s="24" t="str">
        <f ca="1">IF(ISERROR(MATCH(M$1,INDIRECT("Table!A"&amp;$AE121):INDIRECT("Table!" &amp; $AH$253 &amp; $AE121),0)),"",INDIRECT(CONCATENATE("Table!",ADDRESS($T121,MATCH(M$1,INDIRECT("Table!A" &amp; $AE121):INDIRECT("Table!" &amp; $AH$253 &amp; $AE121),0)))))</f>
        <v/>
      </c>
      <c r="M121" s="24" t="str">
        <f ca="1">IF(ISERROR(MATCH(N$1,INDIRECT("Table!A"&amp;$AE121):INDIRECT("Table!" &amp; $AH$253 &amp; $AE121),0)),"",INDIRECT(CONCATENATE("Table!",ADDRESS($T121,MATCH(N$1,INDIRECT("Table!A" &amp; $AE121):INDIRECT("Table!" &amp; $AH$253 &amp; $AE121),0)))))</f>
        <v/>
      </c>
      <c r="N121" s="24" t="str">
        <f ca="1">IF(ISERROR(MATCH(O$1,INDIRECT("Table!A"&amp;$AE121):INDIRECT("Table!" &amp; $AH$253 &amp; $AE121),0)),"",INDIRECT(CONCATENATE("Table!",ADDRESS($T121,MATCH(O$1,INDIRECT("Table!A" &amp; $AE121):INDIRECT("Table!" &amp; $AH$253 &amp; $AE121),0)))))</f>
        <v/>
      </c>
      <c r="O121" s="24" t="str">
        <f ca="1">IF(ISERROR(MATCH(P$1,INDIRECT("Table!A"&amp;$AE121):INDIRECT("Table!" &amp; $AH$253 &amp; $AE121),0)),"",INDIRECT(CONCATENATE("Table!",ADDRESS($T121,MATCH(P$1,INDIRECT("Table!A" &amp; $AE121):INDIRECT("Table!" &amp; $AH$253 &amp; $AE121),0)))))</f>
        <v/>
      </c>
      <c r="P121" s="273" t="str">
        <f ca="1">IF(ISERROR(MATCH(Q$1,INDIRECT("Table!A"&amp;$AE121):INDIRECT("Table!" &amp; $AH$253 &amp; $AE121),0)),"",INDIRECT(CONCATENATE("Table!",ADDRESS($T121,MATCH(Q$1,INDIRECT("Table!A" &amp; $AE121):INDIRECT("Table!" &amp; $AH$253 &amp; $AE121),0)))))</f>
        <v/>
      </c>
      <c r="Q121" s="195"/>
      <c r="R121" s="195"/>
      <c r="S121" s="195"/>
      <c r="T121" s="22"/>
      <c r="AC121" s="195"/>
      <c r="AD121" s="195"/>
      <c r="AE121" s="22"/>
      <c r="AF121" s="195"/>
      <c r="AG121" s="195"/>
      <c r="AH121" s="22"/>
      <c r="AI121" s="25"/>
      <c r="AJ121" s="25"/>
      <c r="AK121" s="25"/>
    </row>
    <row r="122" spans="2:37" ht="19.5" customHeight="1" x14ac:dyDescent="0.25">
      <c r="B122" s="24"/>
      <c r="C122" s="24" t="str">
        <f ca="1">IF(ISERROR(MATCH(C$1,INDIRECT("Table!A"&amp;$AE122):INDIRECT("Table!" &amp; $AH$253 &amp; $AE122),0)),"",INDIRECT(CONCATENATE("Table!",ADDRESS($T122,MATCH(C$1,INDIRECT("Table!A" &amp; $AE122):INDIRECT("Table!" &amp; $AH$253 &amp; $AE122),0)))))</f>
        <v/>
      </c>
      <c r="D122" s="24" t="str">
        <f ca="1">IF(ISERROR(MATCH(D$1,INDIRECT("Table!A"&amp;$AE122):INDIRECT("Table!" &amp; $AH$253 &amp; $AE122),0)),"",INDIRECT(CONCATENATE("Table!",ADDRESS($T122,MATCH(D$1,INDIRECT("Table!A" &amp; $AE122):INDIRECT("Table!" &amp; $AH$253 &amp; $AE122),0)))))</f>
        <v/>
      </c>
      <c r="E122" s="24" t="str">
        <f ca="1">IF(ISERROR(MATCH(E$1,INDIRECT("Table!A"&amp;$AE122):INDIRECT("Table!" &amp; $AH$253 &amp; $AE122),0)),"",INDIRECT(CONCATENATE("Table!",ADDRESS($T122,MATCH(E$1,INDIRECT("Table!A" &amp; $AE122):INDIRECT("Table!" &amp; $AH$253 &amp; $AE122),0)))))</f>
        <v/>
      </c>
      <c r="F122" s="24" t="str">
        <f ca="1">IF(ISERROR(MATCH(F$1,INDIRECT("Table!A"&amp;$AE122):INDIRECT("Table!" &amp; $AH$253 &amp; $AE122),0)),"",INDIRECT(CONCATENATE("Table!",ADDRESS($T122,MATCH(F$1,INDIRECT("Table!A" &amp; $AE122):INDIRECT("Table!" &amp; $AH$253 &amp; $AE122),0)))))</f>
        <v/>
      </c>
      <c r="G122" s="24" t="str">
        <f ca="1">IF(ISERROR(MATCH(G$1,INDIRECT("Table!A"&amp;$AE122):INDIRECT("Table!" &amp; $AH$253 &amp; $AE122),0)),"",INDIRECT(CONCATENATE("Table!",ADDRESS($T122,MATCH(G$1,INDIRECT("Table!A" &amp; $AE122):INDIRECT("Table!" &amp; $AH$253 &amp; $AE122),0)))))</f>
        <v/>
      </c>
      <c r="H122" s="24" t="str">
        <f ca="1">IF(ISERROR(MATCH(H$1,INDIRECT("Table!A"&amp;$AE122):INDIRECT("Table!" &amp; $AH$253 &amp; $AE122),0)),"",INDIRECT(CONCATENATE("Table!",ADDRESS($T122,MATCH(H$1,INDIRECT("Table!A" &amp; $AE122):INDIRECT("Table!" &amp; $AH$253 &amp; $AE122),0)))))</f>
        <v/>
      </c>
      <c r="I122" s="273"/>
      <c r="J122" s="273"/>
      <c r="K122" s="24" t="str">
        <f ca="1">IF(ISERROR(MATCH(L$1,INDIRECT("Table!A"&amp;$AE122):INDIRECT("Table!" &amp; $AH$253 &amp; $AE122),0)),"",INDIRECT(CONCATENATE("Table!",ADDRESS($T122,MATCH(L$1,INDIRECT("Table!A" &amp; $AE122):INDIRECT("Table!" &amp; $AH$253 &amp; $AE122),0)))))</f>
        <v/>
      </c>
      <c r="L122" s="24" t="str">
        <f ca="1">IF(ISERROR(MATCH(M$1,INDIRECT("Table!A"&amp;$AE122):INDIRECT("Table!" &amp; $AH$253 &amp; $AE122),0)),"",INDIRECT(CONCATENATE("Table!",ADDRESS($T122,MATCH(M$1,INDIRECT("Table!A" &amp; $AE122):INDIRECT("Table!" &amp; $AH$253 &amp; $AE122),0)))))</f>
        <v/>
      </c>
      <c r="M122" s="24" t="str">
        <f ca="1">IF(ISERROR(MATCH(N$1,INDIRECT("Table!A"&amp;$AE122):INDIRECT("Table!" &amp; $AH$253 &amp; $AE122),0)),"",INDIRECT(CONCATENATE("Table!",ADDRESS($T122,MATCH(N$1,INDIRECT("Table!A" &amp; $AE122):INDIRECT("Table!" &amp; $AH$253 &amp; $AE122),0)))))</f>
        <v/>
      </c>
      <c r="N122" s="24" t="str">
        <f ca="1">IF(ISERROR(MATCH(O$1,INDIRECT("Table!A"&amp;$AE122):INDIRECT("Table!" &amp; $AH$253 &amp; $AE122),0)),"",INDIRECT(CONCATENATE("Table!",ADDRESS($T122,MATCH(O$1,INDIRECT("Table!A" &amp; $AE122):INDIRECT("Table!" &amp; $AH$253 &amp; $AE122),0)))))</f>
        <v/>
      </c>
      <c r="O122" s="24" t="str">
        <f ca="1">IF(ISERROR(MATCH(P$1,INDIRECT("Table!A"&amp;$AE122):INDIRECT("Table!" &amp; $AH$253 &amp; $AE122),0)),"",INDIRECT(CONCATENATE("Table!",ADDRESS($T122,MATCH(P$1,INDIRECT("Table!A" &amp; $AE122):INDIRECT("Table!" &amp; $AH$253 &amp; $AE122),0)))))</f>
        <v/>
      </c>
      <c r="P122" s="273" t="str">
        <f ca="1">IF(ISERROR(MATCH(Q$1,INDIRECT("Table!A"&amp;$AE122):INDIRECT("Table!" &amp; $AH$253 &amp; $AE122),0)),"",INDIRECT(CONCATENATE("Table!",ADDRESS($T122,MATCH(Q$1,INDIRECT("Table!A" &amp; $AE122):INDIRECT("Table!" &amp; $AH$253 &amp; $AE122),0)))))</f>
        <v/>
      </c>
      <c r="Q122" s="195"/>
      <c r="R122" s="195"/>
      <c r="S122" s="195"/>
      <c r="T122" s="22"/>
      <c r="AC122" s="195"/>
      <c r="AD122" s="195"/>
      <c r="AE122" s="22"/>
      <c r="AF122" s="195"/>
      <c r="AG122" s="195"/>
      <c r="AH122" s="22"/>
      <c r="AI122" s="25"/>
      <c r="AJ122" s="25"/>
      <c r="AK122" s="25"/>
    </row>
    <row r="123" spans="2:37" ht="19.5" customHeight="1" x14ac:dyDescent="0.25">
      <c r="B123" s="24"/>
      <c r="C123" s="24" t="str">
        <f ca="1">IF(ISERROR(MATCH(C$1,INDIRECT("Table!A"&amp;$AE123):INDIRECT("Table!" &amp; $AH$253 &amp; $AE123),0)),"",INDIRECT(CONCATENATE("Table!",ADDRESS($T123,MATCH(C$1,INDIRECT("Table!A" &amp; $AE123):INDIRECT("Table!" &amp; $AH$253 &amp; $AE123),0)))))</f>
        <v/>
      </c>
      <c r="D123" s="24" t="str">
        <f ca="1">IF(ISERROR(MATCH(D$1,INDIRECT("Table!A"&amp;$AE123):INDIRECT("Table!" &amp; $AH$253 &amp; $AE123),0)),"",INDIRECT(CONCATENATE("Table!",ADDRESS($T123,MATCH(D$1,INDIRECT("Table!A" &amp; $AE123):INDIRECT("Table!" &amp; $AH$253 &amp; $AE123),0)))))</f>
        <v/>
      </c>
      <c r="E123" s="24" t="str">
        <f ca="1">IF(ISERROR(MATCH(E$1,INDIRECT("Table!A"&amp;$AE123):INDIRECT("Table!" &amp; $AH$253 &amp; $AE123),0)),"",INDIRECT(CONCATENATE("Table!",ADDRESS($T123,MATCH(E$1,INDIRECT("Table!A" &amp; $AE123):INDIRECT("Table!" &amp; $AH$253 &amp; $AE123),0)))))</f>
        <v/>
      </c>
      <c r="F123" s="24" t="str">
        <f ca="1">IF(ISERROR(MATCH(F$1,INDIRECT("Table!A"&amp;$AE123):INDIRECT("Table!" &amp; $AH$253 &amp; $AE123),0)),"",INDIRECT(CONCATENATE("Table!",ADDRESS($T123,MATCH(F$1,INDIRECT("Table!A" &amp; $AE123):INDIRECT("Table!" &amp; $AH$253 &amp; $AE123),0)))))</f>
        <v/>
      </c>
      <c r="G123" s="24" t="str">
        <f ca="1">IF(ISERROR(MATCH(G$1,INDIRECT("Table!A"&amp;$AE123):INDIRECT("Table!" &amp; $AH$253 &amp; $AE123),0)),"",INDIRECT(CONCATENATE("Table!",ADDRESS($T123,MATCH(G$1,INDIRECT("Table!A" &amp; $AE123):INDIRECT("Table!" &amp; $AH$253 &amp; $AE123),0)))))</f>
        <v/>
      </c>
      <c r="H123" s="24" t="str">
        <f ca="1">IF(ISERROR(MATCH(H$1,INDIRECT("Table!A"&amp;$AE123):INDIRECT("Table!" &amp; $AH$253 &amp; $AE123),0)),"",INDIRECT(CONCATENATE("Table!",ADDRESS($T123,MATCH(H$1,INDIRECT("Table!A" &amp; $AE123):INDIRECT("Table!" &amp; $AH$253 &amp; $AE123),0)))))</f>
        <v/>
      </c>
      <c r="I123" s="273"/>
      <c r="J123" s="273"/>
      <c r="K123" s="24" t="str">
        <f ca="1">IF(ISERROR(MATCH(L$1,INDIRECT("Table!A"&amp;$AE123):INDIRECT("Table!" &amp; $AH$253 &amp; $AE123),0)),"",INDIRECT(CONCATENATE("Table!",ADDRESS($T123,MATCH(L$1,INDIRECT("Table!A" &amp; $AE123):INDIRECT("Table!" &amp; $AH$253 &amp; $AE123),0)))))</f>
        <v/>
      </c>
      <c r="L123" s="24" t="str">
        <f ca="1">IF(ISERROR(MATCH(M$1,INDIRECT("Table!A"&amp;$AE123):INDIRECT("Table!" &amp; $AH$253 &amp; $AE123),0)),"",INDIRECT(CONCATENATE("Table!",ADDRESS($T123,MATCH(M$1,INDIRECT("Table!A" &amp; $AE123):INDIRECT("Table!" &amp; $AH$253 &amp; $AE123),0)))))</f>
        <v/>
      </c>
      <c r="M123" s="24" t="str">
        <f ca="1">IF(ISERROR(MATCH(N$1,INDIRECT("Table!A"&amp;$AE123):INDIRECT("Table!" &amp; $AH$253 &amp; $AE123),0)),"",INDIRECT(CONCATENATE("Table!",ADDRESS($T123,MATCH(N$1,INDIRECT("Table!A" &amp; $AE123):INDIRECT("Table!" &amp; $AH$253 &amp; $AE123),0)))))</f>
        <v/>
      </c>
      <c r="N123" s="24" t="str">
        <f ca="1">IF(ISERROR(MATCH(O$1,INDIRECT("Table!A"&amp;$AE123):INDIRECT("Table!" &amp; $AH$253 &amp; $AE123),0)),"",INDIRECT(CONCATENATE("Table!",ADDRESS($T123,MATCH(O$1,INDIRECT("Table!A" &amp; $AE123):INDIRECT("Table!" &amp; $AH$253 &amp; $AE123),0)))))</f>
        <v/>
      </c>
      <c r="O123" s="24" t="str">
        <f ca="1">IF(ISERROR(MATCH(P$1,INDIRECT("Table!A"&amp;$AE123):INDIRECT("Table!" &amp; $AH$253 &amp; $AE123),0)),"",INDIRECT(CONCATENATE("Table!",ADDRESS($T123,MATCH(P$1,INDIRECT("Table!A" &amp; $AE123):INDIRECT("Table!" &amp; $AH$253 &amp; $AE123),0)))))</f>
        <v/>
      </c>
      <c r="P123" s="273" t="str">
        <f ca="1">IF(ISERROR(MATCH(Q$1,INDIRECT("Table!A"&amp;$AE123):INDIRECT("Table!" &amp; $AH$253 &amp; $AE123),0)),"",INDIRECT(CONCATENATE("Table!",ADDRESS($T123,MATCH(Q$1,INDIRECT("Table!A" &amp; $AE123):INDIRECT("Table!" &amp; $AH$253 &amp; $AE123),0)))))</f>
        <v/>
      </c>
      <c r="Q123" s="194"/>
      <c r="R123" s="194"/>
      <c r="S123" s="194"/>
      <c r="T123" s="22"/>
      <c r="AC123" s="194"/>
      <c r="AD123" s="194"/>
      <c r="AE123" s="22"/>
      <c r="AF123" s="194"/>
      <c r="AG123" s="194"/>
      <c r="AH123" s="22"/>
      <c r="AI123" s="25"/>
      <c r="AJ123" s="25"/>
      <c r="AK123" s="25"/>
    </row>
    <row r="124" spans="2:37" ht="19.5" customHeight="1" x14ac:dyDescent="0.25">
      <c r="B124" s="24"/>
      <c r="C124" s="24" t="str">
        <f ca="1">IF(ISERROR(MATCH(C$1,INDIRECT("Table!A"&amp;$AE124):INDIRECT("Table!" &amp; $AH$253 &amp; $AE124),0)),"",INDIRECT(CONCATENATE("Table!",ADDRESS($T124,MATCH(C$1,INDIRECT("Table!A" &amp; $AE124):INDIRECT("Table!" &amp; $AH$253 &amp; $AE124),0)))))</f>
        <v/>
      </c>
      <c r="D124" s="24" t="str">
        <f ca="1">IF(ISERROR(MATCH(D$1,INDIRECT("Table!A"&amp;$AE124):INDIRECT("Table!" &amp; $AH$253 &amp; $AE124),0)),"",INDIRECT(CONCATENATE("Table!",ADDRESS($T124,MATCH(D$1,INDIRECT("Table!A" &amp; $AE124):INDIRECT("Table!" &amp; $AH$253 &amp; $AE124),0)))))</f>
        <v/>
      </c>
      <c r="E124" s="24" t="str">
        <f ca="1">IF(ISERROR(MATCH(E$1,INDIRECT("Table!A"&amp;$AE124):INDIRECT("Table!" &amp; $AH$253 &amp; $AE124),0)),"",INDIRECT(CONCATENATE("Table!",ADDRESS($T124,MATCH(E$1,INDIRECT("Table!A" &amp; $AE124):INDIRECT("Table!" &amp; $AH$253 &amp; $AE124),0)))))</f>
        <v/>
      </c>
      <c r="F124" s="24" t="str">
        <f ca="1">IF(ISERROR(MATCH(F$1,INDIRECT("Table!A"&amp;$AE124):INDIRECT("Table!" &amp; $AH$253 &amp; $AE124),0)),"",INDIRECT(CONCATENATE("Table!",ADDRESS($T124,MATCH(F$1,INDIRECT("Table!A" &amp; $AE124):INDIRECT("Table!" &amp; $AH$253 &amp; $AE124),0)))))</f>
        <v/>
      </c>
      <c r="G124" s="24" t="str">
        <f ca="1">IF(ISERROR(MATCH(G$1,INDIRECT("Table!A"&amp;$AE124):INDIRECT("Table!" &amp; $AH$253 &amp; $AE124),0)),"",INDIRECT(CONCATENATE("Table!",ADDRESS($T124,MATCH(G$1,INDIRECT("Table!A" &amp; $AE124):INDIRECT("Table!" &amp; $AH$253 &amp; $AE124),0)))))</f>
        <v/>
      </c>
      <c r="H124" s="24" t="str">
        <f ca="1">IF(ISERROR(MATCH(H$1,INDIRECT("Table!A"&amp;$AE124):INDIRECT("Table!" &amp; $AH$253 &amp; $AE124),0)),"",INDIRECT(CONCATENATE("Table!",ADDRESS($T124,MATCH(H$1,INDIRECT("Table!A" &amp; $AE124):INDIRECT("Table!" &amp; $AH$253 &amp; $AE124),0)))))</f>
        <v/>
      </c>
      <c r="I124" s="273"/>
      <c r="J124" s="273"/>
      <c r="K124" s="24" t="str">
        <f ca="1">IF(ISERROR(MATCH(L$1,INDIRECT("Table!A"&amp;$AE124):INDIRECT("Table!" &amp; $AH$253 &amp; $AE124),0)),"",INDIRECT(CONCATENATE("Table!",ADDRESS($T124,MATCH(L$1,INDIRECT("Table!A" &amp; $AE124):INDIRECT("Table!" &amp; $AH$253 &amp; $AE124),0)))))</f>
        <v/>
      </c>
      <c r="L124" s="24" t="str">
        <f ca="1">IF(ISERROR(MATCH(M$1,INDIRECT("Table!A"&amp;$AE124):INDIRECT("Table!" &amp; $AH$253 &amp; $AE124),0)),"",INDIRECT(CONCATENATE("Table!",ADDRESS($T124,MATCH(M$1,INDIRECT("Table!A" &amp; $AE124):INDIRECT("Table!" &amp; $AH$253 &amp; $AE124),0)))))</f>
        <v/>
      </c>
      <c r="M124" s="24" t="str">
        <f ca="1">IF(ISERROR(MATCH(N$1,INDIRECT("Table!A"&amp;$AE124):INDIRECT("Table!" &amp; $AH$253 &amp; $AE124),0)),"",INDIRECT(CONCATENATE("Table!",ADDRESS($T124,MATCH(N$1,INDIRECT("Table!A" &amp; $AE124):INDIRECT("Table!" &amp; $AH$253 &amp; $AE124),0)))))</f>
        <v/>
      </c>
      <c r="N124" s="24" t="str">
        <f ca="1">IF(ISERROR(MATCH(O$1,INDIRECT("Table!A"&amp;$AE124):INDIRECT("Table!" &amp; $AH$253 &amp; $AE124),0)),"",INDIRECT(CONCATENATE("Table!",ADDRESS($T124,MATCH(O$1,INDIRECT("Table!A" &amp; $AE124):INDIRECT("Table!" &amp; $AH$253 &amp; $AE124),0)))))</f>
        <v/>
      </c>
      <c r="O124" s="24" t="str">
        <f ca="1">IF(ISERROR(MATCH(P$1,INDIRECT("Table!A"&amp;$AE124):INDIRECT("Table!" &amp; $AH$253 &amp; $AE124),0)),"",INDIRECT(CONCATENATE("Table!",ADDRESS($T124,MATCH(P$1,INDIRECT("Table!A" &amp; $AE124):INDIRECT("Table!" &amp; $AH$253 &amp; $AE124),0)))))</f>
        <v/>
      </c>
      <c r="P124" s="273" t="str">
        <f ca="1">IF(ISERROR(MATCH(Q$1,INDIRECT("Table!A"&amp;$AE124):INDIRECT("Table!" &amp; $AH$253 &amp; $AE124),0)),"",INDIRECT(CONCATENATE("Table!",ADDRESS($T124,MATCH(Q$1,INDIRECT("Table!A" &amp; $AE124):INDIRECT("Table!" &amp; $AH$253 &amp; $AE124),0)))))</f>
        <v/>
      </c>
      <c r="Q124" s="193"/>
      <c r="R124" s="193"/>
      <c r="S124" s="193"/>
      <c r="T124" s="22"/>
      <c r="AC124" s="193"/>
      <c r="AD124" s="193"/>
      <c r="AE124" s="22"/>
      <c r="AF124" s="193"/>
      <c r="AG124" s="193"/>
      <c r="AH124" s="22"/>
      <c r="AI124" s="25"/>
      <c r="AJ124" s="25"/>
      <c r="AK124" s="25"/>
    </row>
    <row r="125" spans="2:37" ht="19.5" customHeight="1" x14ac:dyDescent="0.25">
      <c r="B125" s="24"/>
      <c r="C125" s="24" t="str">
        <f ca="1">IF(ISERROR(MATCH(C$1,INDIRECT("Table!A"&amp;$AE125):INDIRECT("Table!" &amp; $AH$253 &amp; $AE125),0)),"",INDIRECT(CONCATENATE("Table!",ADDRESS($T125,MATCH(C$1,INDIRECT("Table!A" &amp; $AE125):INDIRECT("Table!" &amp; $AH$253 &amp; $AE125),0)))))</f>
        <v/>
      </c>
      <c r="D125" s="24" t="str">
        <f ca="1">IF(ISERROR(MATCH(D$1,INDIRECT("Table!A"&amp;$AE125):INDIRECT("Table!" &amp; $AH$253 &amp; $AE125),0)),"",INDIRECT(CONCATENATE("Table!",ADDRESS($T125,MATCH(D$1,INDIRECT("Table!A" &amp; $AE125):INDIRECT("Table!" &amp; $AH$253 &amp; $AE125),0)))))</f>
        <v/>
      </c>
      <c r="E125" s="24" t="str">
        <f ca="1">IF(ISERROR(MATCH(E$1,INDIRECT("Table!A"&amp;$AE125):INDIRECT("Table!" &amp; $AH$253 &amp; $AE125),0)),"",INDIRECT(CONCATENATE("Table!",ADDRESS($T125,MATCH(E$1,INDIRECT("Table!A" &amp; $AE125):INDIRECT("Table!" &amp; $AH$253 &amp; $AE125),0)))))</f>
        <v/>
      </c>
      <c r="F125" s="24" t="str">
        <f ca="1">IF(ISERROR(MATCH(F$1,INDIRECT("Table!A"&amp;$AE125):INDIRECT("Table!" &amp; $AH$253 &amp; $AE125),0)),"",INDIRECT(CONCATENATE("Table!",ADDRESS($T125,MATCH(F$1,INDIRECT("Table!A" &amp; $AE125):INDIRECT("Table!" &amp; $AH$253 &amp; $AE125),0)))))</f>
        <v/>
      </c>
      <c r="G125" s="24" t="str">
        <f ca="1">IF(ISERROR(MATCH(G$1,INDIRECT("Table!A"&amp;$AE125):INDIRECT("Table!" &amp; $AH$253 &amp; $AE125),0)),"",INDIRECT(CONCATENATE("Table!",ADDRESS($T125,MATCH(G$1,INDIRECT("Table!A" &amp; $AE125):INDIRECT("Table!" &amp; $AH$253 &amp; $AE125),0)))))</f>
        <v/>
      </c>
      <c r="H125" s="24" t="str">
        <f ca="1">IF(ISERROR(MATCH(H$1,INDIRECT("Table!A"&amp;$AE125):INDIRECT("Table!" &amp; $AH$253 &amp; $AE125),0)),"",INDIRECT(CONCATENATE("Table!",ADDRESS($T125,MATCH(H$1,INDIRECT("Table!A" &amp; $AE125):INDIRECT("Table!" &amp; $AH$253 &amp; $AE125),0)))))</f>
        <v/>
      </c>
      <c r="I125" s="273"/>
      <c r="J125" s="273"/>
      <c r="K125" s="24" t="str">
        <f ca="1">IF(ISERROR(MATCH(L$1,INDIRECT("Table!A"&amp;$AE125):INDIRECT("Table!" &amp; $AH$253 &amp; $AE125),0)),"",INDIRECT(CONCATENATE("Table!",ADDRESS($T125,MATCH(L$1,INDIRECT("Table!A" &amp; $AE125):INDIRECT("Table!" &amp; $AH$253 &amp; $AE125),0)))))</f>
        <v/>
      </c>
      <c r="L125" s="24" t="str">
        <f ca="1">IF(ISERROR(MATCH(M$1,INDIRECT("Table!A"&amp;$AE125):INDIRECT("Table!" &amp; $AH$253 &amp; $AE125),0)),"",INDIRECT(CONCATENATE("Table!",ADDRESS($T125,MATCH(M$1,INDIRECT("Table!A" &amp; $AE125):INDIRECT("Table!" &amp; $AH$253 &amp; $AE125),0)))))</f>
        <v/>
      </c>
      <c r="M125" s="24" t="str">
        <f ca="1">IF(ISERROR(MATCH(N$1,INDIRECT("Table!A"&amp;$AE125):INDIRECT("Table!" &amp; $AH$253 &amp; $AE125),0)),"",INDIRECT(CONCATENATE("Table!",ADDRESS($T125,MATCH(N$1,INDIRECT("Table!A" &amp; $AE125):INDIRECT("Table!" &amp; $AH$253 &amp; $AE125),0)))))</f>
        <v/>
      </c>
      <c r="N125" s="24" t="str">
        <f ca="1">IF(ISERROR(MATCH(O$1,INDIRECT("Table!A"&amp;$AE125):INDIRECT("Table!" &amp; $AH$253 &amp; $AE125),0)),"",INDIRECT(CONCATENATE("Table!",ADDRESS($T125,MATCH(O$1,INDIRECT("Table!A" &amp; $AE125):INDIRECT("Table!" &amp; $AH$253 &amp; $AE125),0)))))</f>
        <v/>
      </c>
      <c r="O125" s="24" t="str">
        <f ca="1">IF(ISERROR(MATCH(P$1,INDIRECT("Table!A"&amp;$AE125):INDIRECT("Table!" &amp; $AH$253 &amp; $AE125),0)),"",INDIRECT(CONCATENATE("Table!",ADDRESS($T125,MATCH(P$1,INDIRECT("Table!A" &amp; $AE125):INDIRECT("Table!" &amp; $AH$253 &amp; $AE125),0)))))</f>
        <v/>
      </c>
      <c r="P125" s="273" t="str">
        <f ca="1">IF(ISERROR(MATCH(Q$1,INDIRECT("Table!A"&amp;$AE125):INDIRECT("Table!" &amp; $AH$253 &amp; $AE125),0)),"",INDIRECT(CONCATENATE("Table!",ADDRESS($T125,MATCH(Q$1,INDIRECT("Table!A" &amp; $AE125):INDIRECT("Table!" &amp; $AH$253 &amp; $AE125),0)))))</f>
        <v/>
      </c>
      <c r="Q125" s="192"/>
      <c r="R125" s="192"/>
      <c r="S125" s="192"/>
      <c r="T125" s="22"/>
      <c r="AC125" s="192"/>
      <c r="AD125" s="192"/>
      <c r="AE125" s="22"/>
      <c r="AF125" s="192"/>
      <c r="AG125" s="192"/>
      <c r="AH125" s="22"/>
      <c r="AI125" s="25"/>
      <c r="AJ125" s="25"/>
      <c r="AK125" s="25"/>
    </row>
    <row r="126" spans="2:37" ht="19.5" customHeight="1" x14ac:dyDescent="0.25">
      <c r="B126" s="24"/>
      <c r="C126" s="24" t="str">
        <f ca="1">IF(ISERROR(MATCH(C$1,INDIRECT("Table!A"&amp;$AE126):INDIRECT("Table!" &amp; $AH$253 &amp; $AE126),0)),"",INDIRECT(CONCATENATE("Table!",ADDRESS($T126,MATCH(C$1,INDIRECT("Table!A" &amp; $AE126):INDIRECT("Table!" &amp; $AH$253 &amp; $AE126),0)))))</f>
        <v/>
      </c>
      <c r="D126" s="24" t="str">
        <f ca="1">IF(ISERROR(MATCH(D$1,INDIRECT("Table!A"&amp;$AE126):INDIRECT("Table!" &amp; $AH$253 &amp; $AE126),0)),"",INDIRECT(CONCATENATE("Table!",ADDRESS($T126,MATCH(D$1,INDIRECT("Table!A" &amp; $AE126):INDIRECT("Table!" &amp; $AH$253 &amp; $AE126),0)))))</f>
        <v/>
      </c>
      <c r="E126" s="24" t="str">
        <f ca="1">IF(ISERROR(MATCH(E$1,INDIRECT("Table!A"&amp;$AE126):INDIRECT("Table!" &amp; $AH$253 &amp; $AE126),0)),"",INDIRECT(CONCATENATE("Table!",ADDRESS($T126,MATCH(E$1,INDIRECT("Table!A" &amp; $AE126):INDIRECT("Table!" &amp; $AH$253 &amp; $AE126),0)))))</f>
        <v/>
      </c>
      <c r="F126" s="24" t="str">
        <f ca="1">IF(ISERROR(MATCH(F$1,INDIRECT("Table!A"&amp;$AE126):INDIRECT("Table!" &amp; $AH$253 &amp; $AE126),0)),"",INDIRECT(CONCATENATE("Table!",ADDRESS($T126,MATCH(F$1,INDIRECT("Table!A" &amp; $AE126):INDIRECT("Table!" &amp; $AH$253 &amp; $AE126),0)))))</f>
        <v/>
      </c>
      <c r="G126" s="24" t="str">
        <f ca="1">IF(ISERROR(MATCH(G$1,INDIRECT("Table!A"&amp;$AE126):INDIRECT("Table!" &amp; $AH$253 &amp; $AE126),0)),"",INDIRECT(CONCATENATE("Table!",ADDRESS($T126,MATCH(G$1,INDIRECT("Table!A" &amp; $AE126):INDIRECT("Table!" &amp; $AH$253 &amp; $AE126),0)))))</f>
        <v/>
      </c>
      <c r="H126" s="24" t="str">
        <f ca="1">IF(ISERROR(MATCH(H$1,INDIRECT("Table!A"&amp;$AE126):INDIRECT("Table!" &amp; $AH$253 &amp; $AE126),0)),"",INDIRECT(CONCATENATE("Table!",ADDRESS($T126,MATCH(H$1,INDIRECT("Table!A" &amp; $AE126):INDIRECT("Table!" &amp; $AH$253 &amp; $AE126),0)))))</f>
        <v/>
      </c>
      <c r="I126" s="273"/>
      <c r="J126" s="273"/>
      <c r="K126" s="24" t="str">
        <f ca="1">IF(ISERROR(MATCH(L$1,INDIRECT("Table!A"&amp;$AE126):INDIRECT("Table!" &amp; $AH$253 &amp; $AE126),0)),"",INDIRECT(CONCATENATE("Table!",ADDRESS($T126,MATCH(L$1,INDIRECT("Table!A" &amp; $AE126):INDIRECT("Table!" &amp; $AH$253 &amp; $AE126),0)))))</f>
        <v/>
      </c>
      <c r="L126" s="24" t="str">
        <f ca="1">IF(ISERROR(MATCH(M$1,INDIRECT("Table!A"&amp;$AE126):INDIRECT("Table!" &amp; $AH$253 &amp; $AE126),0)),"",INDIRECT(CONCATENATE("Table!",ADDRESS($T126,MATCH(M$1,INDIRECT("Table!A" &amp; $AE126):INDIRECT("Table!" &amp; $AH$253 &amp; $AE126),0)))))</f>
        <v/>
      </c>
      <c r="M126" s="24" t="str">
        <f ca="1">IF(ISERROR(MATCH(N$1,INDIRECT("Table!A"&amp;$AE126):INDIRECT("Table!" &amp; $AH$253 &amp; $AE126),0)),"",INDIRECT(CONCATENATE("Table!",ADDRESS($T126,MATCH(N$1,INDIRECT("Table!A" &amp; $AE126):INDIRECT("Table!" &amp; $AH$253 &amp; $AE126),0)))))</f>
        <v/>
      </c>
      <c r="N126" s="24" t="str">
        <f ca="1">IF(ISERROR(MATCH(O$1,INDIRECT("Table!A"&amp;$AE126):INDIRECT("Table!" &amp; $AH$253 &amp; $AE126),0)),"",INDIRECT(CONCATENATE("Table!",ADDRESS($T126,MATCH(O$1,INDIRECT("Table!A" &amp; $AE126):INDIRECT("Table!" &amp; $AH$253 &amp; $AE126),0)))))</f>
        <v/>
      </c>
      <c r="O126" s="24" t="str">
        <f ca="1">IF(ISERROR(MATCH(P$1,INDIRECT("Table!A"&amp;$AE126):INDIRECT("Table!" &amp; $AH$253 &amp; $AE126),0)),"",INDIRECT(CONCATENATE("Table!",ADDRESS($T126,MATCH(P$1,INDIRECT("Table!A" &amp; $AE126):INDIRECT("Table!" &amp; $AH$253 &amp; $AE126),0)))))</f>
        <v/>
      </c>
      <c r="P126" s="273" t="str">
        <f ca="1">IF(ISERROR(MATCH(Q$1,INDIRECT("Table!A"&amp;$AE126):INDIRECT("Table!" &amp; $AH$253 &amp; $AE126),0)),"",INDIRECT(CONCATENATE("Table!",ADDRESS($T126,MATCH(Q$1,INDIRECT("Table!A" &amp; $AE126):INDIRECT("Table!" &amp; $AH$253 &amp; $AE126),0)))))</f>
        <v/>
      </c>
      <c r="Q126" s="191"/>
      <c r="R126" s="191"/>
      <c r="S126" s="191"/>
      <c r="T126" s="22"/>
      <c r="AC126" s="191"/>
      <c r="AD126" s="191"/>
      <c r="AE126" s="22"/>
      <c r="AF126" s="191"/>
      <c r="AG126" s="191"/>
      <c r="AH126" s="22"/>
      <c r="AI126" s="25"/>
      <c r="AJ126" s="25"/>
      <c r="AK126" s="25"/>
    </row>
    <row r="127" spans="2:37" ht="19.5" customHeight="1" x14ac:dyDescent="0.25">
      <c r="B127" s="24"/>
      <c r="C127" s="24" t="str">
        <f ca="1">IF(ISERROR(MATCH(C$1,INDIRECT("Table!A"&amp;$AE127):INDIRECT("Table!" &amp; $AH$253 &amp; $AE127),0)),"",INDIRECT(CONCATENATE("Table!",ADDRESS($T127,MATCH(C$1,INDIRECT("Table!A" &amp; $AE127):INDIRECT("Table!" &amp; $AH$253 &amp; $AE127),0)))))</f>
        <v/>
      </c>
      <c r="D127" s="24" t="str">
        <f ca="1">IF(ISERROR(MATCH(D$1,INDIRECT("Table!A"&amp;$AE127):INDIRECT("Table!" &amp; $AH$253 &amp; $AE127),0)),"",INDIRECT(CONCATENATE("Table!",ADDRESS($T127,MATCH(D$1,INDIRECT("Table!A" &amp; $AE127):INDIRECT("Table!" &amp; $AH$253 &amp; $AE127),0)))))</f>
        <v/>
      </c>
      <c r="E127" s="24" t="str">
        <f ca="1">IF(ISERROR(MATCH(E$1,INDIRECT("Table!A"&amp;$AE127):INDIRECT("Table!" &amp; $AH$253 &amp; $AE127),0)),"",INDIRECT(CONCATENATE("Table!",ADDRESS($T127,MATCH(E$1,INDIRECT("Table!A" &amp; $AE127):INDIRECT("Table!" &amp; $AH$253 &amp; $AE127),0)))))</f>
        <v/>
      </c>
      <c r="F127" s="24" t="str">
        <f ca="1">IF(ISERROR(MATCH(F$1,INDIRECT("Table!A"&amp;$AE127):INDIRECT("Table!" &amp; $AH$253 &amp; $AE127),0)),"",INDIRECT(CONCATENATE("Table!",ADDRESS($T127,MATCH(F$1,INDIRECT("Table!A" &amp; $AE127):INDIRECT("Table!" &amp; $AH$253 &amp; $AE127),0)))))</f>
        <v/>
      </c>
      <c r="G127" s="24" t="str">
        <f ca="1">IF(ISERROR(MATCH(G$1,INDIRECT("Table!A"&amp;$AE127):INDIRECT("Table!" &amp; $AH$253 &amp; $AE127),0)),"",INDIRECT(CONCATENATE("Table!",ADDRESS($T127,MATCH(G$1,INDIRECT("Table!A" &amp; $AE127):INDIRECT("Table!" &amp; $AH$253 &amp; $AE127),0)))))</f>
        <v/>
      </c>
      <c r="H127" s="24" t="str">
        <f ca="1">IF(ISERROR(MATCH(H$1,INDIRECT("Table!A"&amp;$AE127):INDIRECT("Table!" &amp; $AH$253 &amp; $AE127),0)),"",INDIRECT(CONCATENATE("Table!",ADDRESS($T127,MATCH(H$1,INDIRECT("Table!A" &amp; $AE127):INDIRECT("Table!" &amp; $AH$253 &amp; $AE127),0)))))</f>
        <v/>
      </c>
      <c r="I127" s="273"/>
      <c r="J127" s="273"/>
      <c r="K127" s="24" t="str">
        <f ca="1">IF(ISERROR(MATCH(L$1,INDIRECT("Table!A"&amp;$AE127):INDIRECT("Table!" &amp; $AH$253 &amp; $AE127),0)),"",INDIRECT(CONCATENATE("Table!",ADDRESS($T127,MATCH(L$1,INDIRECT("Table!A" &amp; $AE127):INDIRECT("Table!" &amp; $AH$253 &amp; $AE127),0)))))</f>
        <v/>
      </c>
      <c r="L127" s="24" t="str">
        <f ca="1">IF(ISERROR(MATCH(M$1,INDIRECT("Table!A"&amp;$AE127):INDIRECT("Table!" &amp; $AH$253 &amp; $AE127),0)),"",INDIRECT(CONCATENATE("Table!",ADDRESS($T127,MATCH(M$1,INDIRECT("Table!A" &amp; $AE127):INDIRECT("Table!" &amp; $AH$253 &amp; $AE127),0)))))</f>
        <v/>
      </c>
      <c r="M127" s="24" t="str">
        <f ca="1">IF(ISERROR(MATCH(N$1,INDIRECT("Table!A"&amp;$AE127):INDIRECT("Table!" &amp; $AH$253 &amp; $AE127),0)),"",INDIRECT(CONCATENATE("Table!",ADDRESS($T127,MATCH(N$1,INDIRECT("Table!A" &amp; $AE127):INDIRECT("Table!" &amp; $AH$253 &amp; $AE127),0)))))</f>
        <v/>
      </c>
      <c r="N127" s="24" t="str">
        <f ca="1">IF(ISERROR(MATCH(O$1,INDIRECT("Table!A"&amp;$AE127):INDIRECT("Table!" &amp; $AH$253 &amp; $AE127),0)),"",INDIRECT(CONCATENATE("Table!",ADDRESS($T127,MATCH(O$1,INDIRECT("Table!A" &amp; $AE127):INDIRECT("Table!" &amp; $AH$253 &amp; $AE127),0)))))</f>
        <v/>
      </c>
      <c r="O127" s="24" t="str">
        <f ca="1">IF(ISERROR(MATCH(P$1,INDIRECT("Table!A"&amp;$AE127):INDIRECT("Table!" &amp; $AH$253 &amp; $AE127),0)),"",INDIRECT(CONCATENATE("Table!",ADDRESS($T127,MATCH(P$1,INDIRECT("Table!A" &amp; $AE127):INDIRECT("Table!" &amp; $AH$253 &amp; $AE127),0)))))</f>
        <v/>
      </c>
      <c r="P127" s="273" t="str">
        <f ca="1">IF(ISERROR(MATCH(Q$1,INDIRECT("Table!A"&amp;$AE127):INDIRECT("Table!" &amp; $AH$253 &amp; $AE127),0)),"",INDIRECT(CONCATENATE("Table!",ADDRESS($T127,MATCH(Q$1,INDIRECT("Table!A" &amp; $AE127):INDIRECT("Table!" &amp; $AH$253 &amp; $AE127),0)))))</f>
        <v/>
      </c>
      <c r="Q127" s="190"/>
      <c r="R127" s="190"/>
      <c r="S127" s="190"/>
      <c r="T127" s="22"/>
      <c r="AC127" s="190"/>
      <c r="AD127" s="190"/>
      <c r="AE127" s="22"/>
      <c r="AF127" s="190"/>
      <c r="AG127" s="190"/>
      <c r="AH127" s="22"/>
      <c r="AI127" s="25"/>
      <c r="AJ127" s="25"/>
      <c r="AK127" s="25"/>
    </row>
    <row r="128" spans="2:37" ht="19.5" customHeight="1" x14ac:dyDescent="0.25">
      <c r="B128" s="24"/>
      <c r="C128" s="24" t="str">
        <f ca="1">IF(ISERROR(MATCH(C$1,INDIRECT("Table!A"&amp;$AE128):INDIRECT("Table!" &amp; $AH$253 &amp; $AE128),0)),"",INDIRECT(CONCATENATE("Table!",ADDRESS($T128,MATCH(C$1,INDIRECT("Table!A" &amp; $AE128):INDIRECT("Table!" &amp; $AH$253 &amp; $AE128),0)))))</f>
        <v/>
      </c>
      <c r="D128" s="24" t="str">
        <f ca="1">IF(ISERROR(MATCH(D$1,INDIRECT("Table!A"&amp;$AE128):INDIRECT("Table!" &amp; $AH$253 &amp; $AE128),0)),"",INDIRECT(CONCATENATE("Table!",ADDRESS($T128,MATCH(D$1,INDIRECT("Table!A" &amp; $AE128):INDIRECT("Table!" &amp; $AH$253 &amp; $AE128),0)))))</f>
        <v/>
      </c>
      <c r="E128" s="24" t="str">
        <f ca="1">IF(ISERROR(MATCH(E$1,INDIRECT("Table!A"&amp;$AE128):INDIRECT("Table!" &amp; $AH$253 &amp; $AE128),0)),"",INDIRECT(CONCATENATE("Table!",ADDRESS($T128,MATCH(E$1,INDIRECT("Table!A" &amp; $AE128):INDIRECT("Table!" &amp; $AH$253 &amp; $AE128),0)))))</f>
        <v/>
      </c>
      <c r="F128" s="24" t="str">
        <f ca="1">IF(ISERROR(MATCH(F$1,INDIRECT("Table!A"&amp;$AE128):INDIRECT("Table!" &amp; $AH$253 &amp; $AE128),0)),"",INDIRECT(CONCATENATE("Table!",ADDRESS($T128,MATCH(F$1,INDIRECT("Table!A" &amp; $AE128):INDIRECT("Table!" &amp; $AH$253 &amp; $AE128),0)))))</f>
        <v/>
      </c>
      <c r="G128" s="24" t="str">
        <f ca="1">IF(ISERROR(MATCH(G$1,INDIRECT("Table!A"&amp;$AE128):INDIRECT("Table!" &amp; $AH$253 &amp; $AE128),0)),"",INDIRECT(CONCATENATE("Table!",ADDRESS($T128,MATCH(G$1,INDIRECT("Table!A" &amp; $AE128):INDIRECT("Table!" &amp; $AH$253 &amp; $AE128),0)))))</f>
        <v/>
      </c>
      <c r="H128" s="24" t="str">
        <f ca="1">IF(ISERROR(MATCH(H$1,INDIRECT("Table!A"&amp;$AE128):INDIRECT("Table!" &amp; $AH$253 &amp; $AE128),0)),"",INDIRECT(CONCATENATE("Table!",ADDRESS($T128,MATCH(H$1,INDIRECT("Table!A" &amp; $AE128):INDIRECT("Table!" &amp; $AH$253 &amp; $AE128),0)))))</f>
        <v/>
      </c>
      <c r="I128" s="273"/>
      <c r="J128" s="273"/>
      <c r="K128" s="24" t="str">
        <f ca="1">IF(ISERROR(MATCH(L$1,INDIRECT("Table!A"&amp;$AE128):INDIRECT("Table!" &amp; $AH$253 &amp; $AE128),0)),"",INDIRECT(CONCATENATE("Table!",ADDRESS($T128,MATCH(L$1,INDIRECT("Table!A" &amp; $AE128):INDIRECT("Table!" &amp; $AH$253 &amp; $AE128),0)))))</f>
        <v/>
      </c>
      <c r="L128" s="24" t="str">
        <f ca="1">IF(ISERROR(MATCH(M$1,INDIRECT("Table!A"&amp;$AE128):INDIRECT("Table!" &amp; $AH$253 &amp; $AE128),0)),"",INDIRECT(CONCATENATE("Table!",ADDRESS($T128,MATCH(M$1,INDIRECT("Table!A" &amp; $AE128):INDIRECT("Table!" &amp; $AH$253 &amp; $AE128),0)))))</f>
        <v/>
      </c>
      <c r="M128" s="24" t="str">
        <f ca="1">IF(ISERROR(MATCH(N$1,INDIRECT("Table!A"&amp;$AE128):INDIRECT("Table!" &amp; $AH$253 &amp; $AE128),0)),"",INDIRECT(CONCATENATE("Table!",ADDRESS($T128,MATCH(N$1,INDIRECT("Table!A" &amp; $AE128):INDIRECT("Table!" &amp; $AH$253 &amp; $AE128),0)))))</f>
        <v/>
      </c>
      <c r="N128" s="24" t="str">
        <f ca="1">IF(ISERROR(MATCH(O$1,INDIRECT("Table!A"&amp;$AE128):INDIRECT("Table!" &amp; $AH$253 &amp; $AE128),0)),"",INDIRECT(CONCATENATE("Table!",ADDRESS($T128,MATCH(O$1,INDIRECT("Table!A" &amp; $AE128):INDIRECT("Table!" &amp; $AH$253 &amp; $AE128),0)))))</f>
        <v/>
      </c>
      <c r="O128" s="24" t="str">
        <f ca="1">IF(ISERROR(MATCH(P$1,INDIRECT("Table!A"&amp;$AE128):INDIRECT("Table!" &amp; $AH$253 &amp; $AE128),0)),"",INDIRECT(CONCATENATE("Table!",ADDRESS($T128,MATCH(P$1,INDIRECT("Table!A" &amp; $AE128):INDIRECT("Table!" &amp; $AH$253 &amp; $AE128),0)))))</f>
        <v/>
      </c>
      <c r="P128" s="273" t="str">
        <f ca="1">IF(ISERROR(MATCH(Q$1,INDIRECT("Table!A"&amp;$AE128):INDIRECT("Table!" &amp; $AH$253 &amp; $AE128),0)),"",INDIRECT(CONCATENATE("Table!",ADDRESS($T128,MATCH(Q$1,INDIRECT("Table!A" &amp; $AE128):INDIRECT("Table!" &amp; $AH$253 &amp; $AE128),0)))))</f>
        <v/>
      </c>
      <c r="Q128" s="189"/>
      <c r="R128" s="189"/>
      <c r="S128" s="189"/>
      <c r="T128" s="22"/>
      <c r="AC128" s="189"/>
      <c r="AD128" s="189"/>
      <c r="AE128" s="22"/>
      <c r="AF128" s="189"/>
      <c r="AG128" s="189"/>
      <c r="AH128" s="22"/>
      <c r="AI128" s="25"/>
      <c r="AJ128" s="25"/>
      <c r="AK128" s="25"/>
    </row>
    <row r="129" spans="2:37" ht="19.5" customHeight="1" x14ac:dyDescent="0.25">
      <c r="B129" s="24"/>
      <c r="C129" s="24" t="str">
        <f ca="1">IF(ISERROR(MATCH(C$1,INDIRECT("Table!A"&amp;$AE129):INDIRECT("Table!" &amp; $AH$253 &amp; $AE129),0)),"",INDIRECT(CONCATENATE("Table!",ADDRESS($T129,MATCH(C$1,INDIRECT("Table!A" &amp; $AE129):INDIRECT("Table!" &amp; $AH$253 &amp; $AE129),0)))))</f>
        <v/>
      </c>
      <c r="D129" s="24" t="str">
        <f ca="1">IF(ISERROR(MATCH(D$1,INDIRECT("Table!A"&amp;$AE129):INDIRECT("Table!" &amp; $AH$253 &amp; $AE129),0)),"",INDIRECT(CONCATENATE("Table!",ADDRESS($T129,MATCH(D$1,INDIRECT("Table!A" &amp; $AE129):INDIRECT("Table!" &amp; $AH$253 &amp; $AE129),0)))))</f>
        <v/>
      </c>
      <c r="E129" s="24" t="str">
        <f ca="1">IF(ISERROR(MATCH(E$1,INDIRECT("Table!A"&amp;$AE129):INDIRECT("Table!" &amp; $AH$253 &amp; $AE129),0)),"",INDIRECT(CONCATENATE("Table!",ADDRESS($T129,MATCH(E$1,INDIRECT("Table!A" &amp; $AE129):INDIRECT("Table!" &amp; $AH$253 &amp; $AE129),0)))))</f>
        <v/>
      </c>
      <c r="F129" s="24" t="str">
        <f ca="1">IF(ISERROR(MATCH(F$1,INDIRECT("Table!A"&amp;$AE129):INDIRECT("Table!" &amp; $AH$253 &amp; $AE129),0)),"",INDIRECT(CONCATENATE("Table!",ADDRESS($T129,MATCH(F$1,INDIRECT("Table!A" &amp; $AE129):INDIRECT("Table!" &amp; $AH$253 &amp; $AE129),0)))))</f>
        <v/>
      </c>
      <c r="G129" s="24" t="str">
        <f ca="1">IF(ISERROR(MATCH(G$1,INDIRECT("Table!A"&amp;$AE129):INDIRECT("Table!" &amp; $AH$253 &amp; $AE129),0)),"",INDIRECT(CONCATENATE("Table!",ADDRESS($T129,MATCH(G$1,INDIRECT("Table!A" &amp; $AE129):INDIRECT("Table!" &amp; $AH$253 &amp; $AE129),0)))))</f>
        <v/>
      </c>
      <c r="H129" s="24" t="str">
        <f ca="1">IF(ISERROR(MATCH(H$1,INDIRECT("Table!A"&amp;$AE129):INDIRECT("Table!" &amp; $AH$253 &amp; $AE129),0)),"",INDIRECT(CONCATENATE("Table!",ADDRESS($T129,MATCH(H$1,INDIRECT("Table!A" &amp; $AE129):INDIRECT("Table!" &amp; $AH$253 &amp; $AE129),0)))))</f>
        <v/>
      </c>
      <c r="I129" s="273"/>
      <c r="J129" s="273"/>
      <c r="K129" s="24" t="str">
        <f ca="1">IF(ISERROR(MATCH(L$1,INDIRECT("Table!A"&amp;$AE129):INDIRECT("Table!" &amp; $AH$253 &amp; $AE129),0)),"",INDIRECT(CONCATENATE("Table!",ADDRESS($T129,MATCH(L$1,INDIRECT("Table!A" &amp; $AE129):INDIRECT("Table!" &amp; $AH$253 &amp; $AE129),0)))))</f>
        <v/>
      </c>
      <c r="L129" s="24" t="str">
        <f ca="1">IF(ISERROR(MATCH(M$1,INDIRECT("Table!A"&amp;$AE129):INDIRECT("Table!" &amp; $AH$253 &amp; $AE129),0)),"",INDIRECT(CONCATENATE("Table!",ADDRESS($T129,MATCH(M$1,INDIRECT("Table!A" &amp; $AE129):INDIRECT("Table!" &amp; $AH$253 &amp; $AE129),0)))))</f>
        <v/>
      </c>
      <c r="M129" s="24" t="str">
        <f ca="1">IF(ISERROR(MATCH(N$1,INDIRECT("Table!A"&amp;$AE129):INDIRECT("Table!" &amp; $AH$253 &amp; $AE129),0)),"",INDIRECT(CONCATENATE("Table!",ADDRESS($T129,MATCH(N$1,INDIRECT("Table!A" &amp; $AE129):INDIRECT("Table!" &amp; $AH$253 &amp; $AE129),0)))))</f>
        <v/>
      </c>
      <c r="N129" s="24" t="str">
        <f ca="1">IF(ISERROR(MATCH(O$1,INDIRECT("Table!A"&amp;$AE129):INDIRECT("Table!" &amp; $AH$253 &amp; $AE129),0)),"",INDIRECT(CONCATENATE("Table!",ADDRESS($T129,MATCH(O$1,INDIRECT("Table!A" &amp; $AE129):INDIRECT("Table!" &amp; $AH$253 &amp; $AE129),0)))))</f>
        <v/>
      </c>
      <c r="O129" s="24" t="str">
        <f ca="1">IF(ISERROR(MATCH(P$1,INDIRECT("Table!A"&amp;$AE129):INDIRECT("Table!" &amp; $AH$253 &amp; $AE129),0)),"",INDIRECT(CONCATENATE("Table!",ADDRESS($T129,MATCH(P$1,INDIRECT("Table!A" &amp; $AE129):INDIRECT("Table!" &amp; $AH$253 &amp; $AE129),0)))))</f>
        <v/>
      </c>
      <c r="P129" s="273" t="str">
        <f ca="1">IF(ISERROR(MATCH(Q$1,INDIRECT("Table!A"&amp;$AE129):INDIRECT("Table!" &amp; $AH$253 &amp; $AE129),0)),"",INDIRECT(CONCATENATE("Table!",ADDRESS($T129,MATCH(Q$1,INDIRECT("Table!A" &amp; $AE129):INDIRECT("Table!" &amp; $AH$253 &amp; $AE129),0)))))</f>
        <v/>
      </c>
      <c r="Q129" s="188"/>
      <c r="R129" s="188"/>
      <c r="S129" s="188"/>
      <c r="T129" s="22"/>
      <c r="AC129" s="188"/>
      <c r="AD129" s="188"/>
      <c r="AE129" s="22"/>
      <c r="AF129" s="188"/>
      <c r="AG129" s="188"/>
      <c r="AH129" s="22"/>
      <c r="AI129" s="25"/>
      <c r="AJ129" s="25"/>
      <c r="AK129" s="25"/>
    </row>
    <row r="130" spans="2:37" ht="19.5" customHeight="1" x14ac:dyDescent="0.25">
      <c r="B130" s="24"/>
      <c r="C130" s="24" t="str">
        <f ca="1">IF(ISERROR(MATCH(C$1,INDIRECT("Table!A"&amp;$AE130):INDIRECT("Table!" &amp; $AH$253 &amp; $AE130),0)),"",INDIRECT(CONCATENATE("Table!",ADDRESS($T130,MATCH(C$1,INDIRECT("Table!A" &amp; $AE130):INDIRECT("Table!" &amp; $AH$253 &amp; $AE130),0)))))</f>
        <v/>
      </c>
      <c r="D130" s="24" t="str">
        <f ca="1">IF(ISERROR(MATCH(D$1,INDIRECT("Table!A"&amp;$AE130):INDIRECT("Table!" &amp; $AH$253 &amp; $AE130),0)),"",INDIRECT(CONCATENATE("Table!",ADDRESS($T130,MATCH(D$1,INDIRECT("Table!A" &amp; $AE130):INDIRECT("Table!" &amp; $AH$253 &amp; $AE130),0)))))</f>
        <v/>
      </c>
      <c r="E130" s="24" t="str">
        <f ca="1">IF(ISERROR(MATCH(E$1,INDIRECT("Table!A"&amp;$AE130):INDIRECT("Table!" &amp; $AH$253 &amp; $AE130),0)),"",INDIRECT(CONCATENATE("Table!",ADDRESS($T130,MATCH(E$1,INDIRECT("Table!A" &amp; $AE130):INDIRECT("Table!" &amp; $AH$253 &amp; $AE130),0)))))</f>
        <v/>
      </c>
      <c r="F130" s="24" t="str">
        <f ca="1">IF(ISERROR(MATCH(F$1,INDIRECT("Table!A"&amp;$AE130):INDIRECT("Table!" &amp; $AH$253 &amp; $AE130),0)),"",INDIRECT(CONCATENATE("Table!",ADDRESS($T130,MATCH(F$1,INDIRECT("Table!A" &amp; $AE130):INDIRECT("Table!" &amp; $AH$253 &amp; $AE130),0)))))</f>
        <v/>
      </c>
      <c r="G130" s="24" t="str">
        <f ca="1">IF(ISERROR(MATCH(G$1,INDIRECT("Table!A"&amp;$AE130):INDIRECT("Table!" &amp; $AH$253 &amp; $AE130),0)),"",INDIRECT(CONCATENATE("Table!",ADDRESS($T130,MATCH(G$1,INDIRECT("Table!A" &amp; $AE130):INDIRECT("Table!" &amp; $AH$253 &amp; $AE130),0)))))</f>
        <v/>
      </c>
      <c r="H130" s="24" t="str">
        <f ca="1">IF(ISERROR(MATCH(H$1,INDIRECT("Table!A"&amp;$AE130):INDIRECT("Table!" &amp; $AH$253 &amp; $AE130),0)),"",INDIRECT(CONCATENATE("Table!",ADDRESS($T130,MATCH(H$1,INDIRECT("Table!A" &amp; $AE130):INDIRECT("Table!" &amp; $AH$253 &amp; $AE130),0)))))</f>
        <v/>
      </c>
      <c r="I130" s="273"/>
      <c r="J130" s="273"/>
      <c r="K130" s="24" t="str">
        <f ca="1">IF(ISERROR(MATCH(L$1,INDIRECT("Table!A"&amp;$AE130):INDIRECT("Table!" &amp; $AH$253 &amp; $AE130),0)),"",INDIRECT(CONCATENATE("Table!",ADDRESS($T130,MATCH(L$1,INDIRECT("Table!A" &amp; $AE130):INDIRECT("Table!" &amp; $AH$253 &amp; $AE130),0)))))</f>
        <v/>
      </c>
      <c r="L130" s="24" t="str">
        <f ca="1">IF(ISERROR(MATCH(M$1,INDIRECT("Table!A"&amp;$AE130):INDIRECT("Table!" &amp; $AH$253 &amp; $AE130),0)),"",INDIRECT(CONCATENATE("Table!",ADDRESS($T130,MATCH(M$1,INDIRECT("Table!A" &amp; $AE130):INDIRECT("Table!" &amp; $AH$253 &amp; $AE130),0)))))</f>
        <v/>
      </c>
      <c r="M130" s="24" t="str">
        <f ca="1">IF(ISERROR(MATCH(N$1,INDIRECT("Table!A"&amp;$AE130):INDIRECT("Table!" &amp; $AH$253 &amp; $AE130),0)),"",INDIRECT(CONCATENATE("Table!",ADDRESS($T130,MATCH(N$1,INDIRECT("Table!A" &amp; $AE130):INDIRECT("Table!" &amp; $AH$253 &amp; $AE130),0)))))</f>
        <v/>
      </c>
      <c r="N130" s="24" t="str">
        <f ca="1">IF(ISERROR(MATCH(O$1,INDIRECT("Table!A"&amp;$AE130):INDIRECT("Table!" &amp; $AH$253 &amp; $AE130),0)),"",INDIRECT(CONCATENATE("Table!",ADDRESS($T130,MATCH(O$1,INDIRECT("Table!A" &amp; $AE130):INDIRECT("Table!" &amp; $AH$253 &amp; $AE130),0)))))</f>
        <v/>
      </c>
      <c r="O130" s="24" t="str">
        <f ca="1">IF(ISERROR(MATCH(P$1,INDIRECT("Table!A"&amp;$AE130):INDIRECT("Table!" &amp; $AH$253 &amp; $AE130),0)),"",INDIRECT(CONCATENATE("Table!",ADDRESS($T130,MATCH(P$1,INDIRECT("Table!A" &amp; $AE130):INDIRECT("Table!" &amp; $AH$253 &amp; $AE130),0)))))</f>
        <v/>
      </c>
      <c r="P130" s="273" t="str">
        <f ca="1">IF(ISERROR(MATCH(Q$1,INDIRECT("Table!A"&amp;$AE130):INDIRECT("Table!" &amp; $AH$253 &amp; $AE130),0)),"",INDIRECT(CONCATENATE("Table!",ADDRESS($T130,MATCH(Q$1,INDIRECT("Table!A" &amp; $AE130):INDIRECT("Table!" &amp; $AH$253 &amp; $AE130),0)))))</f>
        <v/>
      </c>
      <c r="Q130" s="187"/>
      <c r="R130" s="187"/>
      <c r="S130" s="187"/>
      <c r="T130" s="22"/>
      <c r="AC130" s="187"/>
      <c r="AD130" s="187"/>
      <c r="AE130" s="22"/>
      <c r="AF130" s="187"/>
      <c r="AG130" s="187"/>
      <c r="AH130" s="22"/>
      <c r="AI130" s="25"/>
      <c r="AJ130" s="25"/>
      <c r="AK130" s="25"/>
    </row>
    <row r="131" spans="2:37" ht="19.5" customHeight="1" x14ac:dyDescent="0.25">
      <c r="B131" s="24"/>
      <c r="C131" s="24" t="str">
        <f ca="1">IF(ISERROR(MATCH(C$1,INDIRECT("Table!A"&amp;$AE131):INDIRECT("Table!" &amp; $AH$253 &amp; $AE131),0)),"",INDIRECT(CONCATENATE("Table!",ADDRESS($T131,MATCH(C$1,INDIRECT("Table!A" &amp; $AE131):INDIRECT("Table!" &amp; $AH$253 &amp; $AE131),0)))))</f>
        <v/>
      </c>
      <c r="D131" s="24" t="str">
        <f ca="1">IF(ISERROR(MATCH(D$1,INDIRECT("Table!A"&amp;$AE131):INDIRECT("Table!" &amp; $AH$253 &amp; $AE131),0)),"",INDIRECT(CONCATENATE("Table!",ADDRESS($T131,MATCH(D$1,INDIRECT("Table!A" &amp; $AE131):INDIRECT("Table!" &amp; $AH$253 &amp; $AE131),0)))))</f>
        <v/>
      </c>
      <c r="E131" s="24" t="str">
        <f ca="1">IF(ISERROR(MATCH(E$1,INDIRECT("Table!A"&amp;$AE131):INDIRECT("Table!" &amp; $AH$253 &amp; $AE131),0)),"",INDIRECT(CONCATENATE("Table!",ADDRESS($T131,MATCH(E$1,INDIRECT("Table!A" &amp; $AE131):INDIRECT("Table!" &amp; $AH$253 &amp; $AE131),0)))))</f>
        <v/>
      </c>
      <c r="F131" s="24" t="str">
        <f ca="1">IF(ISERROR(MATCH(F$1,INDIRECT("Table!A"&amp;$AE131):INDIRECT("Table!" &amp; $AH$253 &amp; $AE131),0)),"",INDIRECT(CONCATENATE("Table!",ADDRESS($T131,MATCH(F$1,INDIRECT("Table!A" &amp; $AE131):INDIRECT("Table!" &amp; $AH$253 &amp; $AE131),0)))))</f>
        <v/>
      </c>
      <c r="G131" s="24" t="str">
        <f ca="1">IF(ISERROR(MATCH(G$1,INDIRECT("Table!A"&amp;$AE131):INDIRECT("Table!" &amp; $AH$253 &amp; $AE131),0)),"",INDIRECT(CONCATENATE("Table!",ADDRESS($T131,MATCH(G$1,INDIRECT("Table!A" &amp; $AE131):INDIRECT("Table!" &amp; $AH$253 &amp; $AE131),0)))))</f>
        <v/>
      </c>
      <c r="H131" s="24" t="str">
        <f ca="1">IF(ISERROR(MATCH(H$1,INDIRECT("Table!A"&amp;$AE131):INDIRECT("Table!" &amp; $AH$253 &amp; $AE131),0)),"",INDIRECT(CONCATENATE("Table!",ADDRESS($T131,MATCH(H$1,INDIRECT("Table!A" &amp; $AE131):INDIRECT("Table!" &amp; $AH$253 &amp; $AE131),0)))))</f>
        <v/>
      </c>
      <c r="I131" s="273"/>
      <c r="J131" s="273"/>
      <c r="K131" s="24" t="str">
        <f ca="1">IF(ISERROR(MATCH(L$1,INDIRECT("Table!A"&amp;$AE131):INDIRECT("Table!" &amp; $AH$253 &amp; $AE131),0)),"",INDIRECT(CONCATENATE("Table!",ADDRESS($T131,MATCH(L$1,INDIRECT("Table!A" &amp; $AE131):INDIRECT("Table!" &amp; $AH$253 &amp; $AE131),0)))))</f>
        <v/>
      </c>
      <c r="L131" s="24" t="str">
        <f ca="1">IF(ISERROR(MATCH(M$1,INDIRECT("Table!A"&amp;$AE131):INDIRECT("Table!" &amp; $AH$253 &amp; $AE131),0)),"",INDIRECT(CONCATENATE("Table!",ADDRESS($T131,MATCH(M$1,INDIRECT("Table!A" &amp; $AE131):INDIRECT("Table!" &amp; $AH$253 &amp; $AE131),0)))))</f>
        <v/>
      </c>
      <c r="M131" s="24" t="str">
        <f ca="1">IF(ISERROR(MATCH(N$1,INDIRECT("Table!A"&amp;$AE131):INDIRECT("Table!" &amp; $AH$253 &amp; $AE131),0)),"",INDIRECT(CONCATENATE("Table!",ADDRESS($T131,MATCH(N$1,INDIRECT("Table!A" &amp; $AE131):INDIRECT("Table!" &amp; $AH$253 &amp; $AE131),0)))))</f>
        <v/>
      </c>
      <c r="N131" s="24" t="str">
        <f ca="1">IF(ISERROR(MATCH(O$1,INDIRECT("Table!A"&amp;$AE131):INDIRECT("Table!" &amp; $AH$253 &amp; $AE131),0)),"",INDIRECT(CONCATENATE("Table!",ADDRESS($T131,MATCH(O$1,INDIRECT("Table!A" &amp; $AE131):INDIRECT("Table!" &amp; $AH$253 &amp; $AE131),0)))))</f>
        <v/>
      </c>
      <c r="O131" s="24" t="str">
        <f ca="1">IF(ISERROR(MATCH(P$1,INDIRECT("Table!A"&amp;$AE131):INDIRECT("Table!" &amp; $AH$253 &amp; $AE131),0)),"",INDIRECT(CONCATENATE("Table!",ADDRESS($T131,MATCH(P$1,INDIRECT("Table!A" &amp; $AE131):INDIRECT("Table!" &amp; $AH$253 &amp; $AE131),0)))))</f>
        <v/>
      </c>
      <c r="P131" s="273" t="str">
        <f ca="1">IF(ISERROR(MATCH(Q$1,INDIRECT("Table!A"&amp;$AE131):INDIRECT("Table!" &amp; $AH$253 &amp; $AE131),0)),"",INDIRECT(CONCATENATE("Table!",ADDRESS($T131,MATCH(Q$1,INDIRECT("Table!A" &amp; $AE131):INDIRECT("Table!" &amp; $AH$253 &amp; $AE131),0)))))</f>
        <v/>
      </c>
      <c r="Q131" s="187"/>
      <c r="R131" s="187"/>
      <c r="S131" s="187"/>
      <c r="T131" s="22"/>
      <c r="AC131" s="187"/>
      <c r="AD131" s="187"/>
      <c r="AE131" s="22"/>
      <c r="AF131" s="187"/>
      <c r="AG131" s="187"/>
      <c r="AH131" s="22"/>
      <c r="AI131" s="25"/>
      <c r="AJ131" s="25"/>
      <c r="AK131" s="25"/>
    </row>
    <row r="132" spans="2:37" ht="19.5" customHeight="1" x14ac:dyDescent="0.25">
      <c r="B132" s="24"/>
      <c r="C132" s="24" t="str">
        <f ca="1">IF(ISERROR(MATCH(C$1,INDIRECT("Table!A"&amp;$AE132):INDIRECT("Table!" &amp; $AH$253 &amp; $AE132),0)),"",INDIRECT(CONCATENATE("Table!",ADDRESS($T132,MATCH(C$1,INDIRECT("Table!A" &amp; $AE132):INDIRECT("Table!" &amp; $AH$253 &amp; $AE132),0)))))</f>
        <v/>
      </c>
      <c r="D132" s="24" t="str">
        <f ca="1">IF(ISERROR(MATCH(D$1,INDIRECT("Table!A"&amp;$AE132):INDIRECT("Table!" &amp; $AH$253 &amp; $AE132),0)),"",INDIRECT(CONCATENATE("Table!",ADDRESS($T132,MATCH(D$1,INDIRECT("Table!A" &amp; $AE132):INDIRECT("Table!" &amp; $AH$253 &amp; $AE132),0)))))</f>
        <v/>
      </c>
      <c r="E132" s="24" t="str">
        <f ca="1">IF(ISERROR(MATCH(E$1,INDIRECT("Table!A"&amp;$AE132):INDIRECT("Table!" &amp; $AH$253 &amp; $AE132),0)),"",INDIRECT(CONCATENATE("Table!",ADDRESS($T132,MATCH(E$1,INDIRECT("Table!A" &amp; $AE132):INDIRECT("Table!" &amp; $AH$253 &amp; $AE132),0)))))</f>
        <v/>
      </c>
      <c r="F132" s="24" t="str">
        <f ca="1">IF(ISERROR(MATCH(F$1,INDIRECT("Table!A"&amp;$AE132):INDIRECT("Table!" &amp; $AH$253 &amp; $AE132),0)),"",INDIRECT(CONCATENATE("Table!",ADDRESS($T132,MATCH(F$1,INDIRECT("Table!A" &amp; $AE132):INDIRECT("Table!" &amp; $AH$253 &amp; $AE132),0)))))</f>
        <v/>
      </c>
      <c r="G132" s="24" t="str">
        <f ca="1">IF(ISERROR(MATCH(G$1,INDIRECT("Table!A"&amp;$AE132):INDIRECT("Table!" &amp; $AH$253 &amp; $AE132),0)),"",INDIRECT(CONCATENATE("Table!",ADDRESS($T132,MATCH(G$1,INDIRECT("Table!A" &amp; $AE132):INDIRECT("Table!" &amp; $AH$253 &amp; $AE132),0)))))</f>
        <v/>
      </c>
      <c r="H132" s="24" t="str">
        <f ca="1">IF(ISERROR(MATCH(H$1,INDIRECT("Table!A"&amp;$AE132):INDIRECT("Table!" &amp; $AH$253 &amp; $AE132),0)),"",INDIRECT(CONCATENATE("Table!",ADDRESS($T132,MATCH(H$1,INDIRECT("Table!A" &amp; $AE132):INDIRECT("Table!" &amp; $AH$253 &amp; $AE132),0)))))</f>
        <v/>
      </c>
      <c r="I132" s="273"/>
      <c r="J132" s="273"/>
      <c r="K132" s="24" t="str">
        <f ca="1">IF(ISERROR(MATCH(L$1,INDIRECT("Table!A"&amp;$AE132):INDIRECT("Table!" &amp; $AH$253 &amp; $AE132),0)),"",INDIRECT(CONCATENATE("Table!",ADDRESS($T132,MATCH(L$1,INDIRECT("Table!A" &amp; $AE132):INDIRECT("Table!" &amp; $AH$253 &amp; $AE132),0)))))</f>
        <v/>
      </c>
      <c r="L132" s="24" t="str">
        <f ca="1">IF(ISERROR(MATCH(M$1,INDIRECT("Table!A"&amp;$AE132):INDIRECT("Table!" &amp; $AH$253 &amp; $AE132),0)),"",INDIRECT(CONCATENATE("Table!",ADDRESS($T132,MATCH(M$1,INDIRECT("Table!A" &amp; $AE132):INDIRECT("Table!" &amp; $AH$253 &amp; $AE132),0)))))</f>
        <v/>
      </c>
      <c r="M132" s="24" t="str">
        <f ca="1">IF(ISERROR(MATCH(N$1,INDIRECT("Table!A"&amp;$AE132):INDIRECT("Table!" &amp; $AH$253 &amp; $AE132),0)),"",INDIRECT(CONCATENATE("Table!",ADDRESS($T132,MATCH(N$1,INDIRECT("Table!A" &amp; $AE132):INDIRECT("Table!" &amp; $AH$253 &amp; $AE132),0)))))</f>
        <v/>
      </c>
      <c r="N132" s="24" t="str">
        <f ca="1">IF(ISERROR(MATCH(O$1,INDIRECT("Table!A"&amp;$AE132):INDIRECT("Table!" &amp; $AH$253 &amp; $AE132),0)),"",INDIRECT(CONCATENATE("Table!",ADDRESS($T132,MATCH(O$1,INDIRECT("Table!A" &amp; $AE132):INDIRECT("Table!" &amp; $AH$253 &amp; $AE132),0)))))</f>
        <v/>
      </c>
      <c r="O132" s="24" t="str">
        <f ca="1">IF(ISERROR(MATCH(P$1,INDIRECT("Table!A"&amp;$AE132):INDIRECT("Table!" &amp; $AH$253 &amp; $AE132),0)),"",INDIRECT(CONCATENATE("Table!",ADDRESS($T132,MATCH(P$1,INDIRECT("Table!A" &amp; $AE132):INDIRECT("Table!" &amp; $AH$253 &amp; $AE132),0)))))</f>
        <v/>
      </c>
      <c r="P132" s="273" t="str">
        <f ca="1">IF(ISERROR(MATCH(Q$1,INDIRECT("Table!A"&amp;$AE132):INDIRECT("Table!" &amp; $AH$253 &amp; $AE132),0)),"",INDIRECT(CONCATENATE("Table!",ADDRESS($T132,MATCH(Q$1,INDIRECT("Table!A" &amp; $AE132):INDIRECT("Table!" &amp; $AH$253 &amp; $AE132),0)))))</f>
        <v/>
      </c>
      <c r="Q132" s="186"/>
      <c r="R132" s="186"/>
      <c r="S132" s="186"/>
      <c r="T132" s="22"/>
      <c r="AC132" s="186"/>
      <c r="AD132" s="186"/>
      <c r="AE132" s="22"/>
      <c r="AF132" s="186"/>
      <c r="AG132" s="186"/>
      <c r="AH132" s="22"/>
      <c r="AI132" s="25"/>
      <c r="AJ132" s="25"/>
      <c r="AK132" s="25"/>
    </row>
    <row r="133" spans="2:37" ht="19.5" customHeight="1" x14ac:dyDescent="0.25">
      <c r="B133" s="24"/>
      <c r="C133" s="24" t="str">
        <f ca="1">IF(ISERROR(MATCH(C$1,INDIRECT("Table!A"&amp;$AE133):INDIRECT("Table!" &amp; $AH$253 &amp; $AE133),0)),"",INDIRECT(CONCATENATE("Table!",ADDRESS($T133,MATCH(C$1,INDIRECT("Table!A" &amp; $AE133):INDIRECT("Table!" &amp; $AH$253 &amp; $AE133),0)))))</f>
        <v/>
      </c>
      <c r="D133" s="24" t="str">
        <f ca="1">IF(ISERROR(MATCH(D$1,INDIRECT("Table!A"&amp;$AE133):INDIRECT("Table!" &amp; $AH$253 &amp; $AE133),0)),"",INDIRECT(CONCATENATE("Table!",ADDRESS($T133,MATCH(D$1,INDIRECT("Table!A" &amp; $AE133):INDIRECT("Table!" &amp; $AH$253 &amp; $AE133),0)))))</f>
        <v/>
      </c>
      <c r="E133" s="24" t="str">
        <f ca="1">IF(ISERROR(MATCH(E$1,INDIRECT("Table!A"&amp;$AE133):INDIRECT("Table!" &amp; $AH$253 &amp; $AE133),0)),"",INDIRECT(CONCATENATE("Table!",ADDRESS($T133,MATCH(E$1,INDIRECT("Table!A" &amp; $AE133):INDIRECT("Table!" &amp; $AH$253 &amp; $AE133),0)))))</f>
        <v/>
      </c>
      <c r="F133" s="24" t="str">
        <f ca="1">IF(ISERROR(MATCH(F$1,INDIRECT("Table!A"&amp;$AE133):INDIRECT("Table!" &amp; $AH$253 &amp; $AE133),0)),"",INDIRECT(CONCATENATE("Table!",ADDRESS($T133,MATCH(F$1,INDIRECT("Table!A" &amp; $AE133):INDIRECT("Table!" &amp; $AH$253 &amp; $AE133),0)))))</f>
        <v/>
      </c>
      <c r="G133" s="24" t="str">
        <f ca="1">IF(ISERROR(MATCH(G$1,INDIRECT("Table!A"&amp;$AE133):INDIRECT("Table!" &amp; $AH$253 &amp; $AE133),0)),"",INDIRECT(CONCATENATE("Table!",ADDRESS($T133,MATCH(G$1,INDIRECT("Table!A" &amp; $AE133):INDIRECT("Table!" &amp; $AH$253 &amp; $AE133),0)))))</f>
        <v/>
      </c>
      <c r="H133" s="24" t="str">
        <f ca="1">IF(ISERROR(MATCH(H$1,INDIRECT("Table!A"&amp;$AE133):INDIRECT("Table!" &amp; $AH$253 &amp; $AE133),0)),"",INDIRECT(CONCATENATE("Table!",ADDRESS($T133,MATCH(H$1,INDIRECT("Table!A" &amp; $AE133):INDIRECT("Table!" &amp; $AH$253 &amp; $AE133),0)))))</f>
        <v/>
      </c>
      <c r="I133" s="273"/>
      <c r="J133" s="273"/>
      <c r="K133" s="24" t="str">
        <f ca="1">IF(ISERROR(MATCH(L$1,INDIRECT("Table!A"&amp;$AE133):INDIRECT("Table!" &amp; $AH$253 &amp; $AE133),0)),"",INDIRECT(CONCATENATE("Table!",ADDRESS($T133,MATCH(L$1,INDIRECT("Table!A" &amp; $AE133):INDIRECT("Table!" &amp; $AH$253 &amp; $AE133),0)))))</f>
        <v/>
      </c>
      <c r="L133" s="24" t="str">
        <f ca="1">IF(ISERROR(MATCH(M$1,INDIRECT("Table!A"&amp;$AE133):INDIRECT("Table!" &amp; $AH$253 &amp; $AE133),0)),"",INDIRECT(CONCATENATE("Table!",ADDRESS($T133,MATCH(M$1,INDIRECT("Table!A" &amp; $AE133):INDIRECT("Table!" &amp; $AH$253 &amp; $AE133),0)))))</f>
        <v/>
      </c>
      <c r="M133" s="24" t="str">
        <f ca="1">IF(ISERROR(MATCH(N$1,INDIRECT("Table!A"&amp;$AE133):INDIRECT("Table!" &amp; $AH$253 &amp; $AE133),0)),"",INDIRECT(CONCATENATE("Table!",ADDRESS($T133,MATCH(N$1,INDIRECT("Table!A" &amp; $AE133):INDIRECT("Table!" &amp; $AH$253 &amp; $AE133),0)))))</f>
        <v/>
      </c>
      <c r="N133" s="24" t="str">
        <f ca="1">IF(ISERROR(MATCH(O$1,INDIRECT("Table!A"&amp;$AE133):INDIRECT("Table!" &amp; $AH$253 &amp; $AE133),0)),"",INDIRECT(CONCATENATE("Table!",ADDRESS($T133,MATCH(O$1,INDIRECT("Table!A" &amp; $AE133):INDIRECT("Table!" &amp; $AH$253 &amp; $AE133),0)))))</f>
        <v/>
      </c>
      <c r="O133" s="24" t="str">
        <f ca="1">IF(ISERROR(MATCH(P$1,INDIRECT("Table!A"&amp;$AE133):INDIRECT("Table!" &amp; $AH$253 &amp; $AE133),0)),"",INDIRECT(CONCATENATE("Table!",ADDRESS($T133,MATCH(P$1,INDIRECT("Table!A" &amp; $AE133):INDIRECT("Table!" &amp; $AH$253 &amp; $AE133),0)))))</f>
        <v/>
      </c>
      <c r="P133" s="273" t="str">
        <f ca="1">IF(ISERROR(MATCH(Q$1,INDIRECT("Table!A"&amp;$AE133):INDIRECT("Table!" &amp; $AH$253 &amp; $AE133),0)),"",INDIRECT(CONCATENATE("Table!",ADDRESS($T133,MATCH(Q$1,INDIRECT("Table!A" &amp; $AE133):INDIRECT("Table!" &amp; $AH$253 &amp; $AE133),0)))))</f>
        <v/>
      </c>
      <c r="Q133" s="185"/>
      <c r="R133" s="185"/>
      <c r="S133" s="185"/>
      <c r="T133" s="22"/>
      <c r="AC133" s="185"/>
      <c r="AD133" s="185"/>
      <c r="AE133" s="22"/>
      <c r="AF133" s="185"/>
      <c r="AG133" s="185"/>
      <c r="AH133" s="22"/>
      <c r="AI133" s="25"/>
      <c r="AJ133" s="25"/>
      <c r="AK133" s="25"/>
    </row>
    <row r="134" spans="2:37" ht="19.5" customHeight="1" x14ac:dyDescent="0.25">
      <c r="B134" s="24"/>
      <c r="C134" s="24" t="str">
        <f ca="1">IF(ISERROR(MATCH(C$1,INDIRECT("Table!A"&amp;$AE134):INDIRECT("Table!" &amp; $AH$253 &amp; $AE134),0)),"",INDIRECT(CONCATENATE("Table!",ADDRESS($T134,MATCH(C$1,INDIRECT("Table!A" &amp; $AE134):INDIRECT("Table!" &amp; $AH$253 &amp; $AE134),0)))))</f>
        <v/>
      </c>
      <c r="D134" s="24" t="str">
        <f ca="1">IF(ISERROR(MATCH(D$1,INDIRECT("Table!A"&amp;$AE134):INDIRECT("Table!" &amp; $AH$253 &amp; $AE134),0)),"",INDIRECT(CONCATENATE("Table!",ADDRESS($T134,MATCH(D$1,INDIRECT("Table!A" &amp; $AE134):INDIRECT("Table!" &amp; $AH$253 &amp; $AE134),0)))))</f>
        <v/>
      </c>
      <c r="E134" s="24" t="str">
        <f ca="1">IF(ISERROR(MATCH(E$1,INDIRECT("Table!A"&amp;$AE134):INDIRECT("Table!" &amp; $AH$253 &amp; $AE134),0)),"",INDIRECT(CONCATENATE("Table!",ADDRESS($T134,MATCH(E$1,INDIRECT("Table!A" &amp; $AE134):INDIRECT("Table!" &amp; $AH$253 &amp; $AE134),0)))))</f>
        <v/>
      </c>
      <c r="F134" s="24" t="str">
        <f ca="1">IF(ISERROR(MATCH(F$1,INDIRECT("Table!A"&amp;$AE134):INDIRECT("Table!" &amp; $AH$253 &amp; $AE134),0)),"",INDIRECT(CONCATENATE("Table!",ADDRESS($T134,MATCH(F$1,INDIRECT("Table!A" &amp; $AE134):INDIRECT("Table!" &amp; $AH$253 &amp; $AE134),0)))))</f>
        <v/>
      </c>
      <c r="G134" s="24" t="str">
        <f ca="1">IF(ISERROR(MATCH(G$1,INDIRECT("Table!A"&amp;$AE134):INDIRECT("Table!" &amp; $AH$253 &amp; $AE134),0)),"",INDIRECT(CONCATENATE("Table!",ADDRESS($T134,MATCH(G$1,INDIRECT("Table!A" &amp; $AE134):INDIRECT("Table!" &amp; $AH$253 &amp; $AE134),0)))))</f>
        <v/>
      </c>
      <c r="H134" s="24" t="str">
        <f ca="1">IF(ISERROR(MATCH(H$1,INDIRECT("Table!A"&amp;$AE134):INDIRECT("Table!" &amp; $AH$253 &amp; $AE134),0)),"",INDIRECT(CONCATENATE("Table!",ADDRESS($T134,MATCH(H$1,INDIRECT("Table!A" &amp; $AE134):INDIRECT("Table!" &amp; $AH$253 &amp; $AE134),0)))))</f>
        <v/>
      </c>
      <c r="I134" s="273"/>
      <c r="J134" s="273"/>
      <c r="K134" s="24" t="str">
        <f ca="1">IF(ISERROR(MATCH(L$1,INDIRECT("Table!A"&amp;$AE134):INDIRECT("Table!" &amp; $AH$253 &amp; $AE134),0)),"",INDIRECT(CONCATENATE("Table!",ADDRESS($T134,MATCH(L$1,INDIRECT("Table!A" &amp; $AE134):INDIRECT("Table!" &amp; $AH$253 &amp; $AE134),0)))))</f>
        <v/>
      </c>
      <c r="L134" s="24" t="str">
        <f ca="1">IF(ISERROR(MATCH(M$1,INDIRECT("Table!A"&amp;$AE134):INDIRECT("Table!" &amp; $AH$253 &amp; $AE134),0)),"",INDIRECT(CONCATENATE("Table!",ADDRESS($T134,MATCH(M$1,INDIRECT("Table!A" &amp; $AE134):INDIRECT("Table!" &amp; $AH$253 &amp; $AE134),0)))))</f>
        <v/>
      </c>
      <c r="M134" s="24" t="str">
        <f ca="1">IF(ISERROR(MATCH(N$1,INDIRECT("Table!A"&amp;$AE134):INDIRECT("Table!" &amp; $AH$253 &amp; $AE134),0)),"",INDIRECT(CONCATENATE("Table!",ADDRESS($T134,MATCH(N$1,INDIRECT("Table!A" &amp; $AE134):INDIRECT("Table!" &amp; $AH$253 &amp; $AE134),0)))))</f>
        <v/>
      </c>
      <c r="N134" s="24" t="str">
        <f ca="1">IF(ISERROR(MATCH(O$1,INDIRECT("Table!A"&amp;$AE134):INDIRECT("Table!" &amp; $AH$253 &amp; $AE134),0)),"",INDIRECT(CONCATENATE("Table!",ADDRESS($T134,MATCH(O$1,INDIRECT("Table!A" &amp; $AE134):INDIRECT("Table!" &amp; $AH$253 &amp; $AE134),0)))))</f>
        <v/>
      </c>
      <c r="O134" s="24" t="str">
        <f ca="1">IF(ISERROR(MATCH(P$1,INDIRECT("Table!A"&amp;$AE134):INDIRECT("Table!" &amp; $AH$253 &amp; $AE134),0)),"",INDIRECT(CONCATENATE("Table!",ADDRESS($T134,MATCH(P$1,INDIRECT("Table!A" &amp; $AE134):INDIRECT("Table!" &amp; $AH$253 &amp; $AE134),0)))))</f>
        <v/>
      </c>
      <c r="P134" s="273" t="str">
        <f ca="1">IF(ISERROR(MATCH(Q$1,INDIRECT("Table!A"&amp;$AE134):INDIRECT("Table!" &amp; $AH$253 &amp; $AE134),0)),"",INDIRECT(CONCATENATE("Table!",ADDRESS($T134,MATCH(Q$1,INDIRECT("Table!A" &amp; $AE134):INDIRECT("Table!" &amp; $AH$253 &amp; $AE134),0)))))</f>
        <v/>
      </c>
      <c r="Q134" s="185"/>
      <c r="R134" s="185"/>
      <c r="S134" s="185"/>
      <c r="T134" s="22"/>
      <c r="AC134" s="185"/>
      <c r="AD134" s="185"/>
      <c r="AE134" s="22"/>
      <c r="AF134" s="185"/>
      <c r="AG134" s="185"/>
      <c r="AH134" s="22"/>
      <c r="AI134" s="25"/>
      <c r="AJ134" s="25"/>
      <c r="AK134" s="25"/>
    </row>
    <row r="135" spans="2:37" ht="19.5" customHeight="1" x14ac:dyDescent="0.25">
      <c r="B135" s="24"/>
      <c r="C135" s="24" t="str">
        <f ca="1">IF(ISERROR(MATCH(C$1,INDIRECT("Table!A"&amp;$AE135):INDIRECT("Table!" &amp; $AH$253 &amp; $AE135),0)),"",INDIRECT(CONCATENATE("Table!",ADDRESS($T135,MATCH(C$1,INDIRECT("Table!A" &amp; $AE135):INDIRECT("Table!" &amp; $AH$253 &amp; $AE135),0)))))</f>
        <v/>
      </c>
      <c r="D135" s="24" t="str">
        <f ca="1">IF(ISERROR(MATCH(D$1,INDIRECT("Table!A"&amp;$AE135):INDIRECT("Table!" &amp; $AH$253 &amp; $AE135),0)),"",INDIRECT(CONCATENATE("Table!",ADDRESS($T135,MATCH(D$1,INDIRECT("Table!A" &amp; $AE135):INDIRECT("Table!" &amp; $AH$253 &amp; $AE135),0)))))</f>
        <v/>
      </c>
      <c r="E135" s="24" t="str">
        <f ca="1">IF(ISERROR(MATCH(E$1,INDIRECT("Table!A"&amp;$AE135):INDIRECT("Table!" &amp; $AH$253 &amp; $AE135),0)),"",INDIRECT(CONCATENATE("Table!",ADDRESS($T135,MATCH(E$1,INDIRECT("Table!A" &amp; $AE135):INDIRECT("Table!" &amp; $AH$253 &amp; $AE135),0)))))</f>
        <v/>
      </c>
      <c r="F135" s="24" t="str">
        <f ca="1">IF(ISERROR(MATCH(F$1,INDIRECT("Table!A"&amp;$AE135):INDIRECT("Table!" &amp; $AH$253 &amp; $AE135),0)),"",INDIRECT(CONCATENATE("Table!",ADDRESS($T135,MATCH(F$1,INDIRECT("Table!A" &amp; $AE135):INDIRECT("Table!" &amp; $AH$253 &amp; $AE135),0)))))</f>
        <v/>
      </c>
      <c r="G135" s="24" t="str">
        <f ca="1">IF(ISERROR(MATCH(G$1,INDIRECT("Table!A"&amp;$AE135):INDIRECT("Table!" &amp; $AH$253 &amp; $AE135),0)),"",INDIRECT(CONCATENATE("Table!",ADDRESS($T135,MATCH(G$1,INDIRECT("Table!A" &amp; $AE135):INDIRECT("Table!" &amp; $AH$253 &amp; $AE135),0)))))</f>
        <v/>
      </c>
      <c r="H135" s="24" t="str">
        <f ca="1">IF(ISERROR(MATCH(H$1,INDIRECT("Table!A"&amp;$AE135):INDIRECT("Table!" &amp; $AH$253 &amp; $AE135),0)),"",INDIRECT(CONCATENATE("Table!",ADDRESS($T135,MATCH(H$1,INDIRECT("Table!A" &amp; $AE135):INDIRECT("Table!" &amp; $AH$253 &amp; $AE135),0)))))</f>
        <v/>
      </c>
      <c r="I135" s="273"/>
      <c r="J135" s="273"/>
      <c r="K135" s="24" t="str">
        <f ca="1">IF(ISERROR(MATCH(L$1,INDIRECT("Table!A"&amp;$AE135):INDIRECT("Table!" &amp; $AH$253 &amp; $AE135),0)),"",INDIRECT(CONCATENATE("Table!",ADDRESS($T135,MATCH(L$1,INDIRECT("Table!A" &amp; $AE135):INDIRECT("Table!" &amp; $AH$253 &amp; $AE135),0)))))</f>
        <v/>
      </c>
      <c r="L135" s="24" t="str">
        <f ca="1">IF(ISERROR(MATCH(M$1,INDIRECT("Table!A"&amp;$AE135):INDIRECT("Table!" &amp; $AH$253 &amp; $AE135),0)),"",INDIRECT(CONCATENATE("Table!",ADDRESS($T135,MATCH(M$1,INDIRECT("Table!A" &amp; $AE135):INDIRECT("Table!" &amp; $AH$253 &amp; $AE135),0)))))</f>
        <v/>
      </c>
      <c r="M135" s="24" t="str">
        <f ca="1">IF(ISERROR(MATCH(N$1,INDIRECT("Table!A"&amp;$AE135):INDIRECT("Table!" &amp; $AH$253 &amp; $AE135),0)),"",INDIRECT(CONCATENATE("Table!",ADDRESS($T135,MATCH(N$1,INDIRECT("Table!A" &amp; $AE135):INDIRECT("Table!" &amp; $AH$253 &amp; $AE135),0)))))</f>
        <v/>
      </c>
      <c r="N135" s="24" t="str">
        <f ca="1">IF(ISERROR(MATCH(O$1,INDIRECT("Table!A"&amp;$AE135):INDIRECT("Table!" &amp; $AH$253 &amp; $AE135),0)),"",INDIRECT(CONCATENATE("Table!",ADDRESS($T135,MATCH(O$1,INDIRECT("Table!A" &amp; $AE135):INDIRECT("Table!" &amp; $AH$253 &amp; $AE135),0)))))</f>
        <v/>
      </c>
      <c r="O135" s="24" t="str">
        <f ca="1">IF(ISERROR(MATCH(P$1,INDIRECT("Table!A"&amp;$AE135):INDIRECT("Table!" &amp; $AH$253 &amp; $AE135),0)),"",INDIRECT(CONCATENATE("Table!",ADDRESS($T135,MATCH(P$1,INDIRECT("Table!A" &amp; $AE135):INDIRECT("Table!" &amp; $AH$253 &amp; $AE135),0)))))</f>
        <v/>
      </c>
      <c r="P135" s="273" t="str">
        <f ca="1">IF(ISERROR(MATCH(Q$1,INDIRECT("Table!A"&amp;$AE135):INDIRECT("Table!" &amp; $AH$253 &amp; $AE135),0)),"",INDIRECT(CONCATENATE("Table!",ADDRESS($T135,MATCH(Q$1,INDIRECT("Table!A" &amp; $AE135):INDIRECT("Table!" &amp; $AH$253 &amp; $AE135),0)))))</f>
        <v/>
      </c>
      <c r="Q135" s="184"/>
      <c r="R135" s="184"/>
      <c r="S135" s="184"/>
      <c r="T135" s="22"/>
      <c r="AC135" s="184"/>
      <c r="AD135" s="184"/>
      <c r="AE135" s="22"/>
      <c r="AF135" s="184"/>
      <c r="AG135" s="184"/>
      <c r="AH135" s="22"/>
      <c r="AI135" s="25"/>
      <c r="AJ135" s="25"/>
      <c r="AK135" s="25"/>
    </row>
    <row r="136" spans="2:37" ht="19.5" customHeight="1" x14ac:dyDescent="0.25">
      <c r="B136" s="24"/>
      <c r="C136" s="24" t="str">
        <f ca="1">IF(ISERROR(MATCH(C$1,INDIRECT("Table!A"&amp;$AE136):INDIRECT("Table!" &amp; $AH$253 &amp; $AE136),0)),"",INDIRECT(CONCATENATE("Table!",ADDRESS($T136,MATCH(C$1,INDIRECT("Table!A" &amp; $AE136):INDIRECT("Table!" &amp; $AH$253 &amp; $AE136),0)))))</f>
        <v/>
      </c>
      <c r="D136" s="24" t="str">
        <f ca="1">IF(ISERROR(MATCH(D$1,INDIRECT("Table!A"&amp;$AE136):INDIRECT("Table!" &amp; $AH$253 &amp; $AE136),0)),"",INDIRECT(CONCATENATE("Table!",ADDRESS($T136,MATCH(D$1,INDIRECT("Table!A" &amp; $AE136):INDIRECT("Table!" &amp; $AH$253 &amp; $AE136),0)))))</f>
        <v/>
      </c>
      <c r="E136" s="24" t="str">
        <f ca="1">IF(ISERROR(MATCH(E$1,INDIRECT("Table!A"&amp;$AE136):INDIRECT("Table!" &amp; $AH$253 &amp; $AE136),0)),"",INDIRECT(CONCATENATE("Table!",ADDRESS($T136,MATCH(E$1,INDIRECT("Table!A" &amp; $AE136):INDIRECT("Table!" &amp; $AH$253 &amp; $AE136),0)))))</f>
        <v/>
      </c>
      <c r="F136" s="24" t="str">
        <f ca="1">IF(ISERROR(MATCH(F$1,INDIRECT("Table!A"&amp;$AE136):INDIRECT("Table!" &amp; $AH$253 &amp; $AE136),0)),"",INDIRECT(CONCATENATE("Table!",ADDRESS($T136,MATCH(F$1,INDIRECT("Table!A" &amp; $AE136):INDIRECT("Table!" &amp; $AH$253 &amp; $AE136),0)))))</f>
        <v/>
      </c>
      <c r="G136" s="24" t="str">
        <f ca="1">IF(ISERROR(MATCH(G$1,INDIRECT("Table!A"&amp;$AE136):INDIRECT("Table!" &amp; $AH$253 &amp; $AE136),0)),"",INDIRECT(CONCATENATE("Table!",ADDRESS($T136,MATCH(G$1,INDIRECT("Table!A" &amp; $AE136):INDIRECT("Table!" &amp; $AH$253 &amp; $AE136),0)))))</f>
        <v/>
      </c>
      <c r="H136" s="24" t="str">
        <f ca="1">IF(ISERROR(MATCH(H$1,INDIRECT("Table!A"&amp;$AE136):INDIRECT("Table!" &amp; $AH$253 &amp; $AE136),0)),"",INDIRECT(CONCATENATE("Table!",ADDRESS($T136,MATCH(H$1,INDIRECT("Table!A" &amp; $AE136):INDIRECT("Table!" &amp; $AH$253 &amp; $AE136),0)))))</f>
        <v/>
      </c>
      <c r="I136" s="273"/>
      <c r="J136" s="273"/>
      <c r="K136" s="24" t="str">
        <f ca="1">IF(ISERROR(MATCH(L$1,INDIRECT("Table!A"&amp;$AE136):INDIRECT("Table!" &amp; $AH$253 &amp; $AE136),0)),"",INDIRECT(CONCATENATE("Table!",ADDRESS($T136,MATCH(L$1,INDIRECT("Table!A" &amp; $AE136):INDIRECT("Table!" &amp; $AH$253 &amp; $AE136),0)))))</f>
        <v/>
      </c>
      <c r="L136" s="24" t="str">
        <f ca="1">IF(ISERROR(MATCH(M$1,INDIRECT("Table!A"&amp;$AE136):INDIRECT("Table!" &amp; $AH$253 &amp; $AE136),0)),"",INDIRECT(CONCATENATE("Table!",ADDRESS($T136,MATCH(M$1,INDIRECT("Table!A" &amp; $AE136):INDIRECT("Table!" &amp; $AH$253 &amp; $AE136),0)))))</f>
        <v/>
      </c>
      <c r="M136" s="24" t="str">
        <f ca="1">IF(ISERROR(MATCH(N$1,INDIRECT("Table!A"&amp;$AE136):INDIRECT("Table!" &amp; $AH$253 &amp; $AE136),0)),"",INDIRECT(CONCATENATE("Table!",ADDRESS($T136,MATCH(N$1,INDIRECT("Table!A" &amp; $AE136):INDIRECT("Table!" &amp; $AH$253 &amp; $AE136),0)))))</f>
        <v/>
      </c>
      <c r="N136" s="24" t="str">
        <f ca="1">IF(ISERROR(MATCH(O$1,INDIRECT("Table!A"&amp;$AE136):INDIRECT("Table!" &amp; $AH$253 &amp; $AE136),0)),"",INDIRECT(CONCATENATE("Table!",ADDRESS($T136,MATCH(O$1,INDIRECT("Table!A" &amp; $AE136):INDIRECT("Table!" &amp; $AH$253 &amp; $AE136),0)))))</f>
        <v/>
      </c>
      <c r="O136" s="24" t="str">
        <f ca="1">IF(ISERROR(MATCH(P$1,INDIRECT("Table!A"&amp;$AE136):INDIRECT("Table!" &amp; $AH$253 &amp; $AE136),0)),"",INDIRECT(CONCATENATE("Table!",ADDRESS($T136,MATCH(P$1,INDIRECT("Table!A" &amp; $AE136):INDIRECT("Table!" &amp; $AH$253 &amp; $AE136),0)))))</f>
        <v/>
      </c>
      <c r="P136" s="273" t="str">
        <f ca="1">IF(ISERROR(MATCH(Q$1,INDIRECT("Table!A"&amp;$AE136):INDIRECT("Table!" &amp; $AH$253 &amp; $AE136),0)),"",INDIRECT(CONCATENATE("Table!",ADDRESS($T136,MATCH(Q$1,INDIRECT("Table!A" &amp; $AE136):INDIRECT("Table!" &amp; $AH$253 &amp; $AE136),0)))))</f>
        <v/>
      </c>
      <c r="Q136" s="183"/>
      <c r="R136" s="183"/>
      <c r="S136" s="183"/>
      <c r="T136" s="22"/>
      <c r="AC136" s="183"/>
      <c r="AD136" s="183"/>
      <c r="AE136" s="22"/>
      <c r="AF136" s="183"/>
      <c r="AG136" s="183"/>
      <c r="AH136" s="22"/>
      <c r="AI136" s="25"/>
      <c r="AJ136" s="25"/>
      <c r="AK136" s="25"/>
    </row>
    <row r="137" spans="2:37" ht="19.5" customHeight="1" x14ac:dyDescent="0.25">
      <c r="B137" s="24"/>
      <c r="C137" s="24" t="str">
        <f ca="1">IF(ISERROR(MATCH(C$1,INDIRECT("Table!A"&amp;$AE137):INDIRECT("Table!" &amp; $AH$253 &amp; $AE137),0)),"",INDIRECT(CONCATENATE("Table!",ADDRESS($T137,MATCH(C$1,INDIRECT("Table!A" &amp; $AE137):INDIRECT("Table!" &amp; $AH$253 &amp; $AE137),0)))))</f>
        <v/>
      </c>
      <c r="D137" s="24" t="str">
        <f ca="1">IF(ISERROR(MATCH(D$1,INDIRECT("Table!A"&amp;$AE137):INDIRECT("Table!" &amp; $AH$253 &amp; $AE137),0)),"",INDIRECT(CONCATENATE("Table!",ADDRESS($T137,MATCH(D$1,INDIRECT("Table!A" &amp; $AE137):INDIRECT("Table!" &amp; $AH$253 &amp; $AE137),0)))))</f>
        <v/>
      </c>
      <c r="E137" s="24" t="str">
        <f ca="1">IF(ISERROR(MATCH(E$1,INDIRECT("Table!A"&amp;$AE137):INDIRECT("Table!" &amp; $AH$253 &amp; $AE137),0)),"",INDIRECT(CONCATENATE("Table!",ADDRESS($T137,MATCH(E$1,INDIRECT("Table!A" &amp; $AE137):INDIRECT("Table!" &amp; $AH$253 &amp; $AE137),0)))))</f>
        <v/>
      </c>
      <c r="F137" s="24" t="str">
        <f ca="1">IF(ISERROR(MATCH(F$1,INDIRECT("Table!A"&amp;$AE137):INDIRECT("Table!" &amp; $AH$253 &amp; $AE137),0)),"",INDIRECT(CONCATENATE("Table!",ADDRESS($T137,MATCH(F$1,INDIRECT("Table!A" &amp; $AE137):INDIRECT("Table!" &amp; $AH$253 &amp; $AE137),0)))))</f>
        <v/>
      </c>
      <c r="G137" s="24" t="str">
        <f ca="1">IF(ISERROR(MATCH(G$1,INDIRECT("Table!A"&amp;$AE137):INDIRECT("Table!" &amp; $AH$253 &amp; $AE137),0)),"",INDIRECT(CONCATENATE("Table!",ADDRESS($T137,MATCH(G$1,INDIRECT("Table!A" &amp; $AE137):INDIRECT("Table!" &amp; $AH$253 &amp; $AE137),0)))))</f>
        <v/>
      </c>
      <c r="H137" s="24" t="str">
        <f ca="1">IF(ISERROR(MATCH(H$1,INDIRECT("Table!A"&amp;$AE137):INDIRECT("Table!" &amp; $AH$253 &amp; $AE137),0)),"",INDIRECT(CONCATENATE("Table!",ADDRESS($T137,MATCH(H$1,INDIRECT("Table!A" &amp; $AE137):INDIRECT("Table!" &amp; $AH$253 &amp; $AE137),0)))))</f>
        <v/>
      </c>
      <c r="I137" s="273"/>
      <c r="J137" s="273"/>
      <c r="K137" s="24" t="str">
        <f ca="1">IF(ISERROR(MATCH(L$1,INDIRECT("Table!A"&amp;$AE137):INDIRECT("Table!" &amp; $AH$253 &amp; $AE137),0)),"",INDIRECT(CONCATENATE("Table!",ADDRESS($T137,MATCH(L$1,INDIRECT("Table!A" &amp; $AE137):INDIRECT("Table!" &amp; $AH$253 &amp; $AE137),0)))))</f>
        <v/>
      </c>
      <c r="L137" s="24" t="str">
        <f ca="1">IF(ISERROR(MATCH(M$1,INDIRECT("Table!A"&amp;$AE137):INDIRECT("Table!" &amp; $AH$253 &amp; $AE137),0)),"",INDIRECT(CONCATENATE("Table!",ADDRESS($T137,MATCH(M$1,INDIRECT("Table!A" &amp; $AE137):INDIRECT("Table!" &amp; $AH$253 &amp; $AE137),0)))))</f>
        <v/>
      </c>
      <c r="M137" s="24" t="str">
        <f ca="1">IF(ISERROR(MATCH(N$1,INDIRECT("Table!A"&amp;$AE137):INDIRECT("Table!" &amp; $AH$253 &amp; $AE137),0)),"",INDIRECT(CONCATENATE("Table!",ADDRESS($T137,MATCH(N$1,INDIRECT("Table!A" &amp; $AE137):INDIRECT("Table!" &amp; $AH$253 &amp; $AE137),0)))))</f>
        <v/>
      </c>
      <c r="N137" s="24" t="str">
        <f ca="1">IF(ISERROR(MATCH(O$1,INDIRECT("Table!A"&amp;$AE137):INDIRECT("Table!" &amp; $AH$253 &amp; $AE137),0)),"",INDIRECT(CONCATENATE("Table!",ADDRESS($T137,MATCH(O$1,INDIRECT("Table!A" &amp; $AE137):INDIRECT("Table!" &amp; $AH$253 &amp; $AE137),0)))))</f>
        <v/>
      </c>
      <c r="O137" s="24" t="str">
        <f ca="1">IF(ISERROR(MATCH(P$1,INDIRECT("Table!A"&amp;$AE137):INDIRECT("Table!" &amp; $AH$253 &amp; $AE137),0)),"",INDIRECT(CONCATENATE("Table!",ADDRESS($T137,MATCH(P$1,INDIRECT("Table!A" &amp; $AE137):INDIRECT("Table!" &amp; $AH$253 &amp; $AE137),0)))))</f>
        <v/>
      </c>
      <c r="P137" s="273" t="str">
        <f ca="1">IF(ISERROR(MATCH(Q$1,INDIRECT("Table!A"&amp;$AE137):INDIRECT("Table!" &amp; $AH$253 &amp; $AE137),0)),"",INDIRECT(CONCATENATE("Table!",ADDRESS($T137,MATCH(Q$1,INDIRECT("Table!A" &amp; $AE137):INDIRECT("Table!" &amp; $AH$253 &amp; $AE137),0)))))</f>
        <v/>
      </c>
      <c r="Q137" s="182"/>
      <c r="R137" s="182"/>
      <c r="S137" s="182"/>
      <c r="T137" s="22"/>
      <c r="AC137" s="182"/>
      <c r="AD137" s="182"/>
      <c r="AE137" s="22"/>
      <c r="AF137" s="182"/>
      <c r="AG137" s="182"/>
      <c r="AH137" s="22"/>
      <c r="AI137" s="25"/>
      <c r="AJ137" s="25"/>
      <c r="AK137" s="25"/>
    </row>
    <row r="138" spans="2:37" ht="19.5" customHeight="1" x14ac:dyDescent="0.25">
      <c r="B138" s="24"/>
      <c r="C138" s="24" t="str">
        <f ca="1">IF(ISERROR(MATCH(C$1,INDIRECT("Table!A"&amp;$AE138):INDIRECT("Table!" &amp; $AH$253 &amp; $AE138),0)),"",INDIRECT(CONCATENATE("Table!",ADDRESS($T138,MATCH(C$1,INDIRECT("Table!A" &amp; $AE138):INDIRECT("Table!" &amp; $AH$253 &amp; $AE138),0)))))</f>
        <v/>
      </c>
      <c r="D138" s="24" t="str">
        <f ca="1">IF(ISERROR(MATCH(D$1,INDIRECT("Table!A"&amp;$AE138):INDIRECT("Table!" &amp; $AH$253 &amp; $AE138),0)),"",INDIRECT(CONCATENATE("Table!",ADDRESS($T138,MATCH(D$1,INDIRECT("Table!A" &amp; $AE138):INDIRECT("Table!" &amp; $AH$253 &amp; $AE138),0)))))</f>
        <v/>
      </c>
      <c r="E138" s="24" t="str">
        <f ca="1">IF(ISERROR(MATCH(E$1,INDIRECT("Table!A"&amp;$AE138):INDIRECT("Table!" &amp; $AH$253 &amp; $AE138),0)),"",INDIRECT(CONCATENATE("Table!",ADDRESS($T138,MATCH(E$1,INDIRECT("Table!A" &amp; $AE138):INDIRECT("Table!" &amp; $AH$253 &amp; $AE138),0)))))</f>
        <v/>
      </c>
      <c r="F138" s="24" t="str">
        <f ca="1">IF(ISERROR(MATCH(F$1,INDIRECT("Table!A"&amp;$AE138):INDIRECT("Table!" &amp; $AH$253 &amp; $AE138),0)),"",INDIRECT(CONCATENATE("Table!",ADDRESS($T138,MATCH(F$1,INDIRECT("Table!A" &amp; $AE138):INDIRECT("Table!" &amp; $AH$253 &amp; $AE138),0)))))</f>
        <v/>
      </c>
      <c r="G138" s="24" t="str">
        <f ca="1">IF(ISERROR(MATCH(G$1,INDIRECT("Table!A"&amp;$AE138):INDIRECT("Table!" &amp; $AH$253 &amp; $AE138),0)),"",INDIRECT(CONCATENATE("Table!",ADDRESS($T138,MATCH(G$1,INDIRECT("Table!A" &amp; $AE138):INDIRECT("Table!" &amp; $AH$253 &amp; $AE138),0)))))</f>
        <v/>
      </c>
      <c r="H138" s="24" t="str">
        <f ca="1">IF(ISERROR(MATCH(H$1,INDIRECT("Table!A"&amp;$AE138):INDIRECT("Table!" &amp; $AH$253 &amp; $AE138),0)),"",INDIRECT(CONCATENATE("Table!",ADDRESS($T138,MATCH(H$1,INDIRECT("Table!A" &amp; $AE138):INDIRECT("Table!" &amp; $AH$253 &amp; $AE138),0)))))</f>
        <v/>
      </c>
      <c r="I138" s="273"/>
      <c r="J138" s="273"/>
      <c r="K138" s="24" t="str">
        <f ca="1">IF(ISERROR(MATCH(L$1,INDIRECT("Table!A"&amp;$AE138):INDIRECT("Table!" &amp; $AH$253 &amp; $AE138),0)),"",INDIRECT(CONCATENATE("Table!",ADDRESS($T138,MATCH(L$1,INDIRECT("Table!A" &amp; $AE138):INDIRECT("Table!" &amp; $AH$253 &amp; $AE138),0)))))</f>
        <v/>
      </c>
      <c r="L138" s="24" t="str">
        <f ca="1">IF(ISERROR(MATCH(M$1,INDIRECT("Table!A"&amp;$AE138):INDIRECT("Table!" &amp; $AH$253 &amp; $AE138),0)),"",INDIRECT(CONCATENATE("Table!",ADDRESS($T138,MATCH(M$1,INDIRECT("Table!A" &amp; $AE138):INDIRECT("Table!" &amp; $AH$253 &amp; $AE138),0)))))</f>
        <v/>
      </c>
      <c r="M138" s="24" t="str">
        <f ca="1">IF(ISERROR(MATCH(N$1,INDIRECT("Table!A"&amp;$AE138):INDIRECT("Table!" &amp; $AH$253 &amp; $AE138),0)),"",INDIRECT(CONCATENATE("Table!",ADDRESS($T138,MATCH(N$1,INDIRECT("Table!A" &amp; $AE138):INDIRECT("Table!" &amp; $AH$253 &amp; $AE138),0)))))</f>
        <v/>
      </c>
      <c r="N138" s="24" t="str">
        <f ca="1">IF(ISERROR(MATCH(O$1,INDIRECT("Table!A"&amp;$AE138):INDIRECT("Table!" &amp; $AH$253 &amp; $AE138),0)),"",INDIRECT(CONCATENATE("Table!",ADDRESS($T138,MATCH(O$1,INDIRECT("Table!A" &amp; $AE138):INDIRECT("Table!" &amp; $AH$253 &amp; $AE138),0)))))</f>
        <v/>
      </c>
      <c r="O138" s="24" t="str">
        <f ca="1">IF(ISERROR(MATCH(P$1,INDIRECT("Table!A"&amp;$AE138):INDIRECT("Table!" &amp; $AH$253 &amp; $AE138),0)),"",INDIRECT(CONCATENATE("Table!",ADDRESS($T138,MATCH(P$1,INDIRECT("Table!A" &amp; $AE138):INDIRECT("Table!" &amp; $AH$253 &amp; $AE138),0)))))</f>
        <v/>
      </c>
      <c r="P138" s="273" t="str">
        <f ca="1">IF(ISERROR(MATCH(Q$1,INDIRECT("Table!A"&amp;$AE138):INDIRECT("Table!" &amp; $AH$253 &amp; $AE138),0)),"",INDIRECT(CONCATENATE("Table!",ADDRESS($T138,MATCH(Q$1,INDIRECT("Table!A" &amp; $AE138):INDIRECT("Table!" &amp; $AH$253 &amp; $AE138),0)))))</f>
        <v/>
      </c>
      <c r="Q138" s="181"/>
      <c r="R138" s="181"/>
      <c r="S138" s="181"/>
      <c r="T138" s="22"/>
      <c r="AC138" s="181"/>
      <c r="AD138" s="181"/>
      <c r="AE138" s="22"/>
      <c r="AF138" s="181"/>
      <c r="AG138" s="181"/>
      <c r="AH138" s="22"/>
      <c r="AI138" s="25"/>
      <c r="AJ138" s="25"/>
      <c r="AK138" s="25"/>
    </row>
    <row r="139" spans="2:37" ht="19.5" customHeight="1" x14ac:dyDescent="0.25">
      <c r="B139" s="24"/>
      <c r="C139" s="24" t="str">
        <f ca="1">IF(ISERROR(MATCH(C$1,INDIRECT("Table!A"&amp;$AE139):INDIRECT("Table!" &amp; $AH$253 &amp; $AE139),0)),"",INDIRECT(CONCATENATE("Table!",ADDRESS($T139,MATCH(C$1,INDIRECT("Table!A" &amp; $AE139):INDIRECT("Table!" &amp; $AH$253 &amp; $AE139),0)))))</f>
        <v/>
      </c>
      <c r="D139" s="24" t="str">
        <f ca="1">IF(ISERROR(MATCH(D$1,INDIRECT("Table!A"&amp;$AE139):INDIRECT("Table!" &amp; $AH$253 &amp; $AE139),0)),"",INDIRECT(CONCATENATE("Table!",ADDRESS($T139,MATCH(D$1,INDIRECT("Table!A" &amp; $AE139):INDIRECT("Table!" &amp; $AH$253 &amp; $AE139),0)))))</f>
        <v/>
      </c>
      <c r="E139" s="24" t="str">
        <f ca="1">IF(ISERROR(MATCH(E$1,INDIRECT("Table!A"&amp;$AE139):INDIRECT("Table!" &amp; $AH$253 &amp; $AE139),0)),"",INDIRECT(CONCATENATE("Table!",ADDRESS($T139,MATCH(E$1,INDIRECT("Table!A" &amp; $AE139):INDIRECT("Table!" &amp; $AH$253 &amp; $AE139),0)))))</f>
        <v/>
      </c>
      <c r="F139" s="24" t="str">
        <f ca="1">IF(ISERROR(MATCH(F$1,INDIRECT("Table!A"&amp;$AE139):INDIRECT("Table!" &amp; $AH$253 &amp; $AE139),0)),"",INDIRECT(CONCATENATE("Table!",ADDRESS($T139,MATCH(F$1,INDIRECT("Table!A" &amp; $AE139):INDIRECT("Table!" &amp; $AH$253 &amp; $AE139),0)))))</f>
        <v/>
      </c>
      <c r="G139" s="24" t="str">
        <f ca="1">IF(ISERROR(MATCH(G$1,INDIRECT("Table!A"&amp;$AE139):INDIRECT("Table!" &amp; $AH$253 &amp; $AE139),0)),"",INDIRECT(CONCATENATE("Table!",ADDRESS($T139,MATCH(G$1,INDIRECT("Table!A" &amp; $AE139):INDIRECT("Table!" &amp; $AH$253 &amp; $AE139),0)))))</f>
        <v/>
      </c>
      <c r="H139" s="24" t="str">
        <f ca="1">IF(ISERROR(MATCH(H$1,INDIRECT("Table!A"&amp;$AE139):INDIRECT("Table!" &amp; $AH$253 &amp; $AE139),0)),"",INDIRECT(CONCATENATE("Table!",ADDRESS($T139,MATCH(H$1,INDIRECT("Table!A" &amp; $AE139):INDIRECT("Table!" &amp; $AH$253 &amp; $AE139),0)))))</f>
        <v/>
      </c>
      <c r="I139" s="273"/>
      <c r="J139" s="273"/>
      <c r="K139" s="24" t="str">
        <f ca="1">IF(ISERROR(MATCH(L$1,INDIRECT("Table!A"&amp;$AE139):INDIRECT("Table!" &amp; $AH$253 &amp; $AE139),0)),"",INDIRECT(CONCATENATE("Table!",ADDRESS($T139,MATCH(L$1,INDIRECT("Table!A" &amp; $AE139):INDIRECT("Table!" &amp; $AH$253 &amp; $AE139),0)))))</f>
        <v/>
      </c>
      <c r="L139" s="24" t="str">
        <f ca="1">IF(ISERROR(MATCH(M$1,INDIRECT("Table!A"&amp;$AE139):INDIRECT("Table!" &amp; $AH$253 &amp; $AE139),0)),"",INDIRECT(CONCATENATE("Table!",ADDRESS($T139,MATCH(M$1,INDIRECT("Table!A" &amp; $AE139):INDIRECT("Table!" &amp; $AH$253 &amp; $AE139),0)))))</f>
        <v/>
      </c>
      <c r="M139" s="24" t="str">
        <f ca="1">IF(ISERROR(MATCH(N$1,INDIRECT("Table!A"&amp;$AE139):INDIRECT("Table!" &amp; $AH$253 &amp; $AE139),0)),"",INDIRECT(CONCATENATE("Table!",ADDRESS($T139,MATCH(N$1,INDIRECT("Table!A" &amp; $AE139):INDIRECT("Table!" &amp; $AH$253 &amp; $AE139),0)))))</f>
        <v/>
      </c>
      <c r="N139" s="24" t="str">
        <f ca="1">IF(ISERROR(MATCH(O$1,INDIRECT("Table!A"&amp;$AE139):INDIRECT("Table!" &amp; $AH$253 &amp; $AE139),0)),"",INDIRECT(CONCATENATE("Table!",ADDRESS($T139,MATCH(O$1,INDIRECT("Table!A" &amp; $AE139):INDIRECT("Table!" &amp; $AH$253 &amp; $AE139),0)))))</f>
        <v/>
      </c>
      <c r="O139" s="24" t="str">
        <f ca="1">IF(ISERROR(MATCH(P$1,INDIRECT("Table!A"&amp;$AE139):INDIRECT("Table!" &amp; $AH$253 &amp; $AE139),0)),"",INDIRECT(CONCATENATE("Table!",ADDRESS($T139,MATCH(P$1,INDIRECT("Table!A" &amp; $AE139):INDIRECT("Table!" &amp; $AH$253 &amp; $AE139),0)))))</f>
        <v/>
      </c>
      <c r="P139" s="273" t="str">
        <f ca="1">IF(ISERROR(MATCH(Q$1,INDIRECT("Table!A"&amp;$AE139):INDIRECT("Table!" &amp; $AH$253 &amp; $AE139),0)),"",INDIRECT(CONCATENATE("Table!",ADDRESS($T139,MATCH(Q$1,INDIRECT("Table!A" &amp; $AE139):INDIRECT("Table!" &amp; $AH$253 &amp; $AE139),0)))))</f>
        <v/>
      </c>
      <c r="Q139" s="180"/>
      <c r="R139" s="180"/>
      <c r="S139" s="180"/>
      <c r="T139" s="22"/>
      <c r="AC139" s="180"/>
      <c r="AD139" s="180"/>
      <c r="AE139" s="22"/>
      <c r="AF139" s="180"/>
      <c r="AG139" s="180"/>
      <c r="AH139" s="22"/>
      <c r="AI139" s="25"/>
      <c r="AJ139" s="25"/>
      <c r="AK139" s="25"/>
    </row>
    <row r="140" spans="2:37" ht="19.5" customHeight="1" x14ac:dyDescent="0.25">
      <c r="B140" s="24"/>
      <c r="C140" s="24" t="str">
        <f ca="1">IF(ISERROR(MATCH(C$1,INDIRECT("Table!A"&amp;$AE140):INDIRECT("Table!" &amp; $AH$253 &amp; $AE140),0)),"",INDIRECT(CONCATENATE("Table!",ADDRESS($T140,MATCH(C$1,INDIRECT("Table!A" &amp; $AE140):INDIRECT("Table!" &amp; $AH$253 &amp; $AE140),0)))))</f>
        <v/>
      </c>
      <c r="D140" s="24" t="str">
        <f ca="1">IF(ISERROR(MATCH(D$1,INDIRECT("Table!A"&amp;$AE140):INDIRECT("Table!" &amp; $AH$253 &amp; $AE140),0)),"",INDIRECT(CONCATENATE("Table!",ADDRESS($T140,MATCH(D$1,INDIRECT("Table!A" &amp; $AE140):INDIRECT("Table!" &amp; $AH$253 &amp; $AE140),0)))))</f>
        <v/>
      </c>
      <c r="E140" s="24" t="str">
        <f ca="1">IF(ISERROR(MATCH(E$1,INDIRECT("Table!A"&amp;$AE140):INDIRECT("Table!" &amp; $AH$253 &amp; $AE140),0)),"",INDIRECT(CONCATENATE("Table!",ADDRESS($T140,MATCH(E$1,INDIRECT("Table!A" &amp; $AE140):INDIRECT("Table!" &amp; $AH$253 &amp; $AE140),0)))))</f>
        <v/>
      </c>
      <c r="F140" s="24" t="str">
        <f ca="1">IF(ISERROR(MATCH(F$1,INDIRECT("Table!A"&amp;$AE140):INDIRECT("Table!" &amp; $AH$253 &amp; $AE140),0)),"",INDIRECT(CONCATENATE("Table!",ADDRESS($T140,MATCH(F$1,INDIRECT("Table!A" &amp; $AE140):INDIRECT("Table!" &amp; $AH$253 &amp; $AE140),0)))))</f>
        <v/>
      </c>
      <c r="G140" s="24" t="str">
        <f ca="1">IF(ISERROR(MATCH(G$1,INDIRECT("Table!A"&amp;$AE140):INDIRECT("Table!" &amp; $AH$253 &amp; $AE140),0)),"",INDIRECT(CONCATENATE("Table!",ADDRESS($T140,MATCH(G$1,INDIRECT("Table!A" &amp; $AE140):INDIRECT("Table!" &amp; $AH$253 &amp; $AE140),0)))))</f>
        <v/>
      </c>
      <c r="H140" s="24" t="str">
        <f ca="1">IF(ISERROR(MATCH(H$1,INDIRECT("Table!A"&amp;$AE140):INDIRECT("Table!" &amp; $AH$253 &amp; $AE140),0)),"",INDIRECT(CONCATENATE("Table!",ADDRESS($T140,MATCH(H$1,INDIRECT("Table!A" &amp; $AE140):INDIRECT("Table!" &amp; $AH$253 &amp; $AE140),0)))))</f>
        <v/>
      </c>
      <c r="I140" s="273"/>
      <c r="J140" s="273"/>
      <c r="K140" s="24" t="str">
        <f ca="1">IF(ISERROR(MATCH(L$1,INDIRECT("Table!A"&amp;$AE140):INDIRECT("Table!" &amp; $AH$253 &amp; $AE140),0)),"",INDIRECT(CONCATENATE("Table!",ADDRESS($T140,MATCH(L$1,INDIRECT("Table!A" &amp; $AE140):INDIRECT("Table!" &amp; $AH$253 &amp; $AE140),0)))))</f>
        <v/>
      </c>
      <c r="L140" s="24" t="str">
        <f ca="1">IF(ISERROR(MATCH(M$1,INDIRECT("Table!A"&amp;$AE140):INDIRECT("Table!" &amp; $AH$253 &amp; $AE140),0)),"",INDIRECT(CONCATENATE("Table!",ADDRESS($T140,MATCH(M$1,INDIRECT("Table!A" &amp; $AE140):INDIRECT("Table!" &amp; $AH$253 &amp; $AE140),0)))))</f>
        <v/>
      </c>
      <c r="M140" s="24" t="str">
        <f ca="1">IF(ISERROR(MATCH(N$1,INDIRECT("Table!A"&amp;$AE140):INDIRECT("Table!" &amp; $AH$253 &amp; $AE140),0)),"",INDIRECT(CONCATENATE("Table!",ADDRESS($T140,MATCH(N$1,INDIRECT("Table!A" &amp; $AE140):INDIRECT("Table!" &amp; $AH$253 &amp; $AE140),0)))))</f>
        <v/>
      </c>
      <c r="N140" s="24" t="str">
        <f ca="1">IF(ISERROR(MATCH(O$1,INDIRECT("Table!A"&amp;$AE140):INDIRECT("Table!" &amp; $AH$253 &amp; $AE140),0)),"",INDIRECT(CONCATENATE("Table!",ADDRESS($T140,MATCH(O$1,INDIRECT("Table!A" &amp; $AE140):INDIRECT("Table!" &amp; $AH$253 &amp; $AE140),0)))))</f>
        <v/>
      </c>
      <c r="O140" s="24" t="str">
        <f ca="1">IF(ISERROR(MATCH(P$1,INDIRECT("Table!A"&amp;$AE140):INDIRECT("Table!" &amp; $AH$253 &amp; $AE140),0)),"",INDIRECT(CONCATENATE("Table!",ADDRESS($T140,MATCH(P$1,INDIRECT("Table!A" &amp; $AE140):INDIRECT("Table!" &amp; $AH$253 &amp; $AE140),0)))))</f>
        <v/>
      </c>
      <c r="P140" s="273" t="str">
        <f ca="1">IF(ISERROR(MATCH(Q$1,INDIRECT("Table!A"&amp;$AE140):INDIRECT("Table!" &amp; $AH$253 &amp; $AE140),0)),"",INDIRECT(CONCATENATE("Table!",ADDRESS($T140,MATCH(Q$1,INDIRECT("Table!A" &amp; $AE140):INDIRECT("Table!" &amp; $AH$253 &amp; $AE140),0)))))</f>
        <v/>
      </c>
      <c r="Q140" s="166"/>
      <c r="R140" s="166"/>
      <c r="S140" s="166"/>
      <c r="T140" s="22"/>
      <c r="AC140" s="166"/>
      <c r="AD140" s="166"/>
      <c r="AE140" s="22"/>
      <c r="AF140" s="166"/>
      <c r="AG140" s="166"/>
      <c r="AH140" s="22"/>
      <c r="AI140" s="25"/>
      <c r="AJ140" s="25"/>
      <c r="AK140" s="25"/>
    </row>
    <row r="141" spans="2:37" ht="19.5" customHeight="1" x14ac:dyDescent="0.25">
      <c r="B141" s="24"/>
      <c r="C141" s="24" t="str">
        <f ca="1">IF(ISERROR(MATCH(C$1,INDIRECT("Table!A"&amp;$AE141):INDIRECT("Table!" &amp; $AH$253 &amp; $AE141),0)),"",INDIRECT(CONCATENATE("Table!",ADDRESS($T141,MATCH(C$1,INDIRECT("Table!A" &amp; $AE141):INDIRECT("Table!" &amp; $AH$253 &amp; $AE141),0)))))</f>
        <v/>
      </c>
      <c r="D141" s="24" t="str">
        <f ca="1">IF(ISERROR(MATCH(D$1,INDIRECT("Table!A"&amp;$AE141):INDIRECT("Table!" &amp; $AH$253 &amp; $AE141),0)),"",INDIRECT(CONCATENATE("Table!",ADDRESS($T141,MATCH(D$1,INDIRECT("Table!A" &amp; $AE141):INDIRECT("Table!" &amp; $AH$253 &amp; $AE141),0)))))</f>
        <v/>
      </c>
      <c r="E141" s="24" t="str">
        <f ca="1">IF(ISERROR(MATCH(E$1,INDIRECT("Table!A"&amp;$AE141):INDIRECT("Table!" &amp; $AH$253 &amp; $AE141),0)),"",INDIRECT(CONCATENATE("Table!",ADDRESS($T141,MATCH(E$1,INDIRECT("Table!A" &amp; $AE141):INDIRECT("Table!" &amp; $AH$253 &amp; $AE141),0)))))</f>
        <v/>
      </c>
      <c r="F141" s="24" t="str">
        <f ca="1">IF(ISERROR(MATCH(F$1,INDIRECT("Table!A"&amp;$AE141):INDIRECT("Table!" &amp; $AH$253 &amp; $AE141),0)),"",INDIRECT(CONCATENATE("Table!",ADDRESS($T141,MATCH(F$1,INDIRECT("Table!A" &amp; $AE141):INDIRECT("Table!" &amp; $AH$253 &amp; $AE141),0)))))</f>
        <v/>
      </c>
      <c r="G141" s="24" t="str">
        <f ca="1">IF(ISERROR(MATCH(G$1,INDIRECT("Table!A"&amp;$AE141):INDIRECT("Table!" &amp; $AH$253 &amp; $AE141),0)),"",INDIRECT(CONCATENATE("Table!",ADDRESS($T141,MATCH(G$1,INDIRECT("Table!A" &amp; $AE141):INDIRECT("Table!" &amp; $AH$253 &amp; $AE141),0)))))</f>
        <v/>
      </c>
      <c r="H141" s="24" t="str">
        <f ca="1">IF(ISERROR(MATCH(H$1,INDIRECT("Table!A"&amp;$AE141):INDIRECT("Table!" &amp; $AH$253 &amp; $AE141),0)),"",INDIRECT(CONCATENATE("Table!",ADDRESS($T141,MATCH(H$1,INDIRECT("Table!A" &amp; $AE141):INDIRECT("Table!" &amp; $AH$253 &amp; $AE141),0)))))</f>
        <v/>
      </c>
      <c r="I141" s="273"/>
      <c r="J141" s="273"/>
      <c r="K141" s="24" t="str">
        <f ca="1">IF(ISERROR(MATCH(L$1,INDIRECT("Table!A"&amp;$AE141):INDIRECT("Table!" &amp; $AH$253 &amp; $AE141),0)),"",INDIRECT(CONCATENATE("Table!",ADDRESS($T141,MATCH(L$1,INDIRECT("Table!A" &amp; $AE141):INDIRECT("Table!" &amp; $AH$253 &amp; $AE141),0)))))</f>
        <v/>
      </c>
      <c r="L141" s="24" t="str">
        <f ca="1">IF(ISERROR(MATCH(M$1,INDIRECT("Table!A"&amp;$AE141):INDIRECT("Table!" &amp; $AH$253 &amp; $AE141),0)),"",INDIRECT(CONCATENATE("Table!",ADDRESS($T141,MATCH(M$1,INDIRECT("Table!A" &amp; $AE141):INDIRECT("Table!" &amp; $AH$253 &amp; $AE141),0)))))</f>
        <v/>
      </c>
      <c r="M141" s="24" t="str">
        <f ca="1">IF(ISERROR(MATCH(N$1,INDIRECT("Table!A"&amp;$AE141):INDIRECT("Table!" &amp; $AH$253 &amp; $AE141),0)),"",INDIRECT(CONCATENATE("Table!",ADDRESS($T141,MATCH(N$1,INDIRECT("Table!A" &amp; $AE141):INDIRECT("Table!" &amp; $AH$253 &amp; $AE141),0)))))</f>
        <v/>
      </c>
      <c r="N141" s="24" t="str">
        <f ca="1">IF(ISERROR(MATCH(O$1,INDIRECT("Table!A"&amp;$AE141):INDIRECT("Table!" &amp; $AH$253 &amp; $AE141),0)),"",INDIRECT(CONCATENATE("Table!",ADDRESS($T141,MATCH(O$1,INDIRECT("Table!A" &amp; $AE141):INDIRECT("Table!" &amp; $AH$253 &amp; $AE141),0)))))</f>
        <v/>
      </c>
      <c r="O141" s="24" t="str">
        <f ca="1">IF(ISERROR(MATCH(P$1,INDIRECT("Table!A"&amp;$AE141):INDIRECT("Table!" &amp; $AH$253 &amp; $AE141),0)),"",INDIRECT(CONCATENATE("Table!",ADDRESS($T141,MATCH(P$1,INDIRECT("Table!A" &amp; $AE141):INDIRECT("Table!" &amp; $AH$253 &amp; $AE141),0)))))</f>
        <v/>
      </c>
      <c r="P141" s="273" t="str">
        <f ca="1">IF(ISERROR(MATCH(Q$1,INDIRECT("Table!A"&amp;$AE141):INDIRECT("Table!" &amp; $AH$253 &amp; $AE141),0)),"",INDIRECT(CONCATENATE("Table!",ADDRESS($T141,MATCH(Q$1,INDIRECT("Table!A" &amp; $AE141):INDIRECT("Table!" &amp; $AH$253 &amp; $AE141),0)))))</f>
        <v/>
      </c>
      <c r="Q141" s="179"/>
      <c r="R141" s="179"/>
      <c r="S141" s="179"/>
      <c r="T141" s="22"/>
      <c r="AC141" s="179"/>
      <c r="AD141" s="179"/>
      <c r="AE141" s="22"/>
      <c r="AF141" s="179"/>
      <c r="AG141" s="179"/>
      <c r="AH141" s="22"/>
      <c r="AI141" s="25"/>
      <c r="AJ141" s="25"/>
      <c r="AK141" s="25"/>
    </row>
    <row r="142" spans="2:37" ht="19.5" customHeight="1" x14ac:dyDescent="0.25">
      <c r="B142" s="24"/>
      <c r="C142" s="24" t="str">
        <f ca="1">IF(ISERROR(MATCH(C$1,INDIRECT("Table!A"&amp;$AE142):INDIRECT("Table!" &amp; $AH$253 &amp; $AE142),0)),"",INDIRECT(CONCATENATE("Table!",ADDRESS($T142,MATCH(C$1,INDIRECT("Table!A" &amp; $AE142):INDIRECT("Table!" &amp; $AH$253 &amp; $AE142),0)))))</f>
        <v/>
      </c>
      <c r="D142" s="24" t="str">
        <f ca="1">IF(ISERROR(MATCH(D$1,INDIRECT("Table!A"&amp;$AE142):INDIRECT("Table!" &amp; $AH$253 &amp; $AE142),0)),"",INDIRECT(CONCATENATE("Table!",ADDRESS($T142,MATCH(D$1,INDIRECT("Table!A" &amp; $AE142):INDIRECT("Table!" &amp; $AH$253 &amp; $AE142),0)))))</f>
        <v/>
      </c>
      <c r="E142" s="24" t="str">
        <f ca="1">IF(ISERROR(MATCH(E$1,INDIRECT("Table!A"&amp;$AE142):INDIRECT("Table!" &amp; $AH$253 &amp; $AE142),0)),"",INDIRECT(CONCATENATE("Table!",ADDRESS($T142,MATCH(E$1,INDIRECT("Table!A" &amp; $AE142):INDIRECT("Table!" &amp; $AH$253 &amp; $AE142),0)))))</f>
        <v/>
      </c>
      <c r="F142" s="24" t="str">
        <f ca="1">IF(ISERROR(MATCH(F$1,INDIRECT("Table!A"&amp;$AE142):INDIRECT("Table!" &amp; $AH$253 &amp; $AE142),0)),"",INDIRECT(CONCATENATE("Table!",ADDRESS($T142,MATCH(F$1,INDIRECT("Table!A" &amp; $AE142):INDIRECT("Table!" &amp; $AH$253 &amp; $AE142),0)))))</f>
        <v/>
      </c>
      <c r="G142" s="24" t="str">
        <f ca="1">IF(ISERROR(MATCH(G$1,INDIRECT("Table!A"&amp;$AE142):INDIRECT("Table!" &amp; $AH$253 &amp; $AE142),0)),"",INDIRECT(CONCATENATE("Table!",ADDRESS($T142,MATCH(G$1,INDIRECT("Table!A" &amp; $AE142):INDIRECT("Table!" &amp; $AH$253 &amp; $AE142),0)))))</f>
        <v/>
      </c>
      <c r="H142" s="24" t="str">
        <f ca="1">IF(ISERROR(MATCH(H$1,INDIRECT("Table!A"&amp;$AE142):INDIRECT("Table!" &amp; $AH$253 &amp; $AE142),0)),"",INDIRECT(CONCATENATE("Table!",ADDRESS($T142,MATCH(H$1,INDIRECT("Table!A" &amp; $AE142):INDIRECT("Table!" &amp; $AH$253 &amp; $AE142),0)))))</f>
        <v/>
      </c>
      <c r="I142" s="273"/>
      <c r="J142" s="273"/>
      <c r="K142" s="24" t="str">
        <f ca="1">IF(ISERROR(MATCH(L$1,INDIRECT("Table!A"&amp;$AE142):INDIRECT("Table!" &amp; $AH$253 &amp; $AE142),0)),"",INDIRECT(CONCATENATE("Table!",ADDRESS($T142,MATCH(L$1,INDIRECT("Table!A" &amp; $AE142):INDIRECT("Table!" &amp; $AH$253 &amp; $AE142),0)))))</f>
        <v/>
      </c>
      <c r="L142" s="24" t="str">
        <f ca="1">IF(ISERROR(MATCH(M$1,INDIRECT("Table!A"&amp;$AE142):INDIRECT("Table!" &amp; $AH$253 &amp; $AE142),0)),"",INDIRECT(CONCATENATE("Table!",ADDRESS($T142,MATCH(M$1,INDIRECT("Table!A" &amp; $AE142):INDIRECT("Table!" &amp; $AH$253 &amp; $AE142),0)))))</f>
        <v/>
      </c>
      <c r="M142" s="24" t="str">
        <f ca="1">IF(ISERROR(MATCH(N$1,INDIRECT("Table!A"&amp;$AE142):INDIRECT("Table!" &amp; $AH$253 &amp; $AE142),0)),"",INDIRECT(CONCATENATE("Table!",ADDRESS($T142,MATCH(N$1,INDIRECT("Table!A" &amp; $AE142):INDIRECT("Table!" &amp; $AH$253 &amp; $AE142),0)))))</f>
        <v/>
      </c>
      <c r="N142" s="24" t="str">
        <f ca="1">IF(ISERROR(MATCH(O$1,INDIRECT("Table!A"&amp;$AE142):INDIRECT("Table!" &amp; $AH$253 &amp; $AE142),0)),"",INDIRECT(CONCATENATE("Table!",ADDRESS($T142,MATCH(O$1,INDIRECT("Table!A" &amp; $AE142):INDIRECT("Table!" &amp; $AH$253 &amp; $AE142),0)))))</f>
        <v/>
      </c>
      <c r="O142" s="24" t="str">
        <f ca="1">IF(ISERROR(MATCH(P$1,INDIRECT("Table!A"&amp;$AE142):INDIRECT("Table!" &amp; $AH$253 &amp; $AE142),0)),"",INDIRECT(CONCATENATE("Table!",ADDRESS($T142,MATCH(P$1,INDIRECT("Table!A" &amp; $AE142):INDIRECT("Table!" &amp; $AH$253 &amp; $AE142),0)))))</f>
        <v/>
      </c>
      <c r="P142" s="273" t="str">
        <f ca="1">IF(ISERROR(MATCH(Q$1,INDIRECT("Table!A"&amp;$AE142):INDIRECT("Table!" &amp; $AH$253 &amp; $AE142),0)),"",INDIRECT(CONCATENATE("Table!",ADDRESS($T142,MATCH(Q$1,INDIRECT("Table!A" &amp; $AE142):INDIRECT("Table!" &amp; $AH$253 &amp; $AE142),0)))))</f>
        <v/>
      </c>
      <c r="Q142" s="179"/>
      <c r="R142" s="179"/>
      <c r="S142" s="179"/>
      <c r="T142" s="22"/>
      <c r="AC142" s="179"/>
      <c r="AD142" s="179"/>
      <c r="AE142" s="22"/>
      <c r="AF142" s="179"/>
      <c r="AG142" s="179"/>
      <c r="AH142" s="22"/>
      <c r="AI142" s="25"/>
      <c r="AJ142" s="25"/>
      <c r="AK142" s="25"/>
    </row>
    <row r="143" spans="2:37" ht="19.5" customHeight="1" x14ac:dyDescent="0.25">
      <c r="B143" s="24"/>
      <c r="C143" s="24" t="str">
        <f ca="1">IF(ISERROR(MATCH(C$1,INDIRECT("Table!A"&amp;$AE143):INDIRECT("Table!" &amp; $AH$253 &amp; $AE143),0)),"",INDIRECT(CONCATENATE("Table!",ADDRESS($T143,MATCH(C$1,INDIRECT("Table!A" &amp; $AE143):INDIRECT("Table!" &amp; $AH$253 &amp; $AE143),0)))))</f>
        <v/>
      </c>
      <c r="D143" s="24" t="str">
        <f ca="1">IF(ISERROR(MATCH(D$1,INDIRECT("Table!A"&amp;$AE143):INDIRECT("Table!" &amp; $AH$253 &amp; $AE143),0)),"",INDIRECT(CONCATENATE("Table!",ADDRESS($T143,MATCH(D$1,INDIRECT("Table!A" &amp; $AE143):INDIRECT("Table!" &amp; $AH$253 &amp; $AE143),0)))))</f>
        <v/>
      </c>
      <c r="E143" s="24" t="str">
        <f ca="1">IF(ISERROR(MATCH(E$1,INDIRECT("Table!A"&amp;$AE143):INDIRECT("Table!" &amp; $AH$253 &amp; $AE143),0)),"",INDIRECT(CONCATENATE("Table!",ADDRESS($T143,MATCH(E$1,INDIRECT("Table!A" &amp; $AE143):INDIRECT("Table!" &amp; $AH$253 &amp; $AE143),0)))))</f>
        <v/>
      </c>
      <c r="F143" s="24" t="str">
        <f ca="1">IF(ISERROR(MATCH(F$1,INDIRECT("Table!A"&amp;$AE143):INDIRECT("Table!" &amp; $AH$253 &amp; $AE143),0)),"",INDIRECT(CONCATENATE("Table!",ADDRESS($T143,MATCH(F$1,INDIRECT("Table!A" &amp; $AE143):INDIRECT("Table!" &amp; $AH$253 &amp; $AE143),0)))))</f>
        <v/>
      </c>
      <c r="G143" s="24" t="str">
        <f ca="1">IF(ISERROR(MATCH(G$1,INDIRECT("Table!A"&amp;$AE143):INDIRECT("Table!" &amp; $AH$253 &amp; $AE143),0)),"",INDIRECT(CONCATENATE("Table!",ADDRESS($T143,MATCH(G$1,INDIRECT("Table!A" &amp; $AE143):INDIRECT("Table!" &amp; $AH$253 &amp; $AE143),0)))))</f>
        <v/>
      </c>
      <c r="H143" s="24" t="str">
        <f ca="1">IF(ISERROR(MATCH(H$1,INDIRECT("Table!A"&amp;$AE143):INDIRECT("Table!" &amp; $AH$253 &amp; $AE143),0)),"",INDIRECT(CONCATENATE("Table!",ADDRESS($T143,MATCH(H$1,INDIRECT("Table!A" &amp; $AE143):INDIRECT("Table!" &amp; $AH$253 &amp; $AE143),0)))))</f>
        <v/>
      </c>
      <c r="I143" s="273"/>
      <c r="J143" s="273"/>
      <c r="K143" s="24" t="str">
        <f ca="1">IF(ISERROR(MATCH(L$1,INDIRECT("Table!A"&amp;$AE143):INDIRECT("Table!" &amp; $AH$253 &amp; $AE143),0)),"",INDIRECT(CONCATENATE("Table!",ADDRESS($T143,MATCH(L$1,INDIRECT("Table!A" &amp; $AE143):INDIRECT("Table!" &amp; $AH$253 &amp; $AE143),0)))))</f>
        <v/>
      </c>
      <c r="L143" s="24" t="str">
        <f ca="1">IF(ISERROR(MATCH(M$1,INDIRECT("Table!A"&amp;$AE143):INDIRECT("Table!" &amp; $AH$253 &amp; $AE143),0)),"",INDIRECT(CONCATENATE("Table!",ADDRESS($T143,MATCH(M$1,INDIRECT("Table!A" &amp; $AE143):INDIRECT("Table!" &amp; $AH$253 &amp; $AE143),0)))))</f>
        <v/>
      </c>
      <c r="M143" s="24" t="str">
        <f ca="1">IF(ISERROR(MATCH(N$1,INDIRECT("Table!A"&amp;$AE143):INDIRECT("Table!" &amp; $AH$253 &amp; $AE143),0)),"",INDIRECT(CONCATENATE("Table!",ADDRESS($T143,MATCH(N$1,INDIRECT("Table!A" &amp; $AE143):INDIRECT("Table!" &amp; $AH$253 &amp; $AE143),0)))))</f>
        <v/>
      </c>
      <c r="N143" s="24" t="str">
        <f ca="1">IF(ISERROR(MATCH(O$1,INDIRECT("Table!A"&amp;$AE143):INDIRECT("Table!" &amp; $AH$253 &amp; $AE143),0)),"",INDIRECT(CONCATENATE("Table!",ADDRESS($T143,MATCH(O$1,INDIRECT("Table!A" &amp; $AE143):INDIRECT("Table!" &amp; $AH$253 &amp; $AE143),0)))))</f>
        <v/>
      </c>
      <c r="O143" s="24" t="str">
        <f ca="1">IF(ISERROR(MATCH(P$1,INDIRECT("Table!A"&amp;$AE143):INDIRECT("Table!" &amp; $AH$253 &amp; $AE143),0)),"",INDIRECT(CONCATENATE("Table!",ADDRESS($T143,MATCH(P$1,INDIRECT("Table!A" &amp; $AE143):INDIRECT("Table!" &amp; $AH$253 &amp; $AE143),0)))))</f>
        <v/>
      </c>
      <c r="P143" s="273" t="str">
        <f ca="1">IF(ISERROR(MATCH(Q$1,INDIRECT("Table!A"&amp;$AE143):INDIRECT("Table!" &amp; $AH$253 &amp; $AE143),0)),"",INDIRECT(CONCATENATE("Table!",ADDRESS($T143,MATCH(Q$1,INDIRECT("Table!A" &amp; $AE143):INDIRECT("Table!" &amp; $AH$253 &amp; $AE143),0)))))</f>
        <v/>
      </c>
      <c r="Q143" s="178"/>
      <c r="R143" s="178"/>
      <c r="S143" s="178"/>
      <c r="T143" s="22"/>
      <c r="AC143" s="178"/>
      <c r="AD143" s="178"/>
      <c r="AE143" s="22"/>
      <c r="AF143" s="178"/>
      <c r="AG143" s="178"/>
      <c r="AH143" s="22"/>
      <c r="AI143" s="25"/>
      <c r="AJ143" s="25"/>
      <c r="AK143" s="25"/>
    </row>
    <row r="144" spans="2:37" ht="19.5" customHeight="1" x14ac:dyDescent="0.25">
      <c r="B144" s="24"/>
      <c r="C144" s="24" t="str">
        <f ca="1">IF(ISERROR(MATCH(C$1,INDIRECT("Table!A"&amp;$AE144):INDIRECT("Table!" &amp; $AH$253 &amp; $AE144),0)),"",INDIRECT(CONCATENATE("Table!",ADDRESS($T144,MATCH(C$1,INDIRECT("Table!A" &amp; $AE144):INDIRECT("Table!" &amp; $AH$253 &amp; $AE144),0)))))</f>
        <v/>
      </c>
      <c r="D144" s="24" t="str">
        <f ca="1">IF(ISERROR(MATCH(D$1,INDIRECT("Table!A"&amp;$AE144):INDIRECT("Table!" &amp; $AH$253 &amp; $AE144),0)),"",INDIRECT(CONCATENATE("Table!",ADDRESS($T144,MATCH(D$1,INDIRECT("Table!A" &amp; $AE144):INDIRECT("Table!" &amp; $AH$253 &amp; $AE144),0)))))</f>
        <v/>
      </c>
      <c r="E144" s="24" t="str">
        <f ca="1">IF(ISERROR(MATCH(E$1,INDIRECT("Table!A"&amp;$AE144):INDIRECT("Table!" &amp; $AH$253 &amp; $AE144),0)),"",INDIRECT(CONCATENATE("Table!",ADDRESS($T144,MATCH(E$1,INDIRECT("Table!A" &amp; $AE144):INDIRECT("Table!" &amp; $AH$253 &amp; $AE144),0)))))</f>
        <v/>
      </c>
      <c r="F144" s="24" t="str">
        <f ca="1">IF(ISERROR(MATCH(F$1,INDIRECT("Table!A"&amp;$AE144):INDIRECT("Table!" &amp; $AH$253 &amp; $AE144),0)),"",INDIRECT(CONCATENATE("Table!",ADDRESS($T144,MATCH(F$1,INDIRECT("Table!A" &amp; $AE144):INDIRECT("Table!" &amp; $AH$253 &amp; $AE144),0)))))</f>
        <v/>
      </c>
      <c r="G144" s="24" t="str">
        <f ca="1">IF(ISERROR(MATCH(G$1,INDIRECT("Table!A"&amp;$AE144):INDIRECT("Table!" &amp; $AH$253 &amp; $AE144),0)),"",INDIRECT(CONCATENATE("Table!",ADDRESS($T144,MATCH(G$1,INDIRECT("Table!A" &amp; $AE144):INDIRECT("Table!" &amp; $AH$253 &amp; $AE144),0)))))</f>
        <v/>
      </c>
      <c r="H144" s="24" t="str">
        <f ca="1">IF(ISERROR(MATCH(H$1,INDIRECT("Table!A"&amp;$AE144):INDIRECT("Table!" &amp; $AH$253 &amp; $AE144),0)),"",INDIRECT(CONCATENATE("Table!",ADDRESS($T144,MATCH(H$1,INDIRECT("Table!A" &amp; $AE144):INDIRECT("Table!" &amp; $AH$253 &amp; $AE144),0)))))</f>
        <v/>
      </c>
      <c r="I144" s="273"/>
      <c r="J144" s="273"/>
      <c r="K144" s="24" t="str">
        <f ca="1">IF(ISERROR(MATCH(L$1,INDIRECT("Table!A"&amp;$AE144):INDIRECT("Table!" &amp; $AH$253 &amp; $AE144),0)),"",INDIRECT(CONCATENATE("Table!",ADDRESS($T144,MATCH(L$1,INDIRECT("Table!A" &amp; $AE144):INDIRECT("Table!" &amp; $AH$253 &amp; $AE144),0)))))</f>
        <v/>
      </c>
      <c r="L144" s="24" t="str">
        <f ca="1">IF(ISERROR(MATCH(M$1,INDIRECT("Table!A"&amp;$AE144):INDIRECT("Table!" &amp; $AH$253 &amp; $AE144),0)),"",INDIRECT(CONCATENATE("Table!",ADDRESS($T144,MATCH(M$1,INDIRECT("Table!A" &amp; $AE144):INDIRECT("Table!" &amp; $AH$253 &amp; $AE144),0)))))</f>
        <v/>
      </c>
      <c r="M144" s="24" t="str">
        <f ca="1">IF(ISERROR(MATCH(N$1,INDIRECT("Table!A"&amp;$AE144):INDIRECT("Table!" &amp; $AH$253 &amp; $AE144),0)),"",INDIRECT(CONCATENATE("Table!",ADDRESS($T144,MATCH(N$1,INDIRECT("Table!A" &amp; $AE144):INDIRECT("Table!" &amp; $AH$253 &amp; $AE144),0)))))</f>
        <v/>
      </c>
      <c r="N144" s="24" t="str">
        <f ca="1">IF(ISERROR(MATCH(O$1,INDIRECT("Table!A"&amp;$AE144):INDIRECT("Table!" &amp; $AH$253 &amp; $AE144),0)),"",INDIRECT(CONCATENATE("Table!",ADDRESS($T144,MATCH(O$1,INDIRECT("Table!A" &amp; $AE144):INDIRECT("Table!" &amp; $AH$253 &amp; $AE144),0)))))</f>
        <v/>
      </c>
      <c r="O144" s="24" t="str">
        <f ca="1">IF(ISERROR(MATCH(P$1,INDIRECT("Table!A"&amp;$AE144):INDIRECT("Table!" &amp; $AH$253 &amp; $AE144),0)),"",INDIRECT(CONCATENATE("Table!",ADDRESS($T144,MATCH(P$1,INDIRECT("Table!A" &amp; $AE144):INDIRECT("Table!" &amp; $AH$253 &amp; $AE144),0)))))</f>
        <v/>
      </c>
      <c r="P144" s="273" t="str">
        <f ca="1">IF(ISERROR(MATCH(Q$1,INDIRECT("Table!A"&amp;$AE144):INDIRECT("Table!" &amp; $AH$253 &amp; $AE144),0)),"",INDIRECT(CONCATENATE("Table!",ADDRESS($T144,MATCH(Q$1,INDIRECT("Table!A" &amp; $AE144):INDIRECT("Table!" &amp; $AH$253 &amp; $AE144),0)))))</f>
        <v/>
      </c>
      <c r="Q144" s="177"/>
      <c r="R144" s="177"/>
      <c r="S144" s="177"/>
      <c r="T144" s="22"/>
      <c r="AC144" s="177"/>
      <c r="AD144" s="177"/>
      <c r="AE144" s="22"/>
      <c r="AF144" s="177"/>
      <c r="AG144" s="177"/>
      <c r="AH144" s="22"/>
      <c r="AI144" s="25"/>
      <c r="AJ144" s="25"/>
      <c r="AK144" s="25"/>
    </row>
    <row r="145" spans="2:48" ht="19.5" customHeight="1" x14ac:dyDescent="0.25">
      <c r="B145" s="24"/>
      <c r="C145" s="24" t="str">
        <f ca="1">IF(ISERROR(MATCH(C$1,INDIRECT("Table!A"&amp;$AE145):INDIRECT("Table!" &amp; $AH$253 &amp; $AE145),0)),"",INDIRECT(CONCATENATE("Table!",ADDRESS($T145,MATCH(C$1,INDIRECT("Table!A" &amp; $AE145):INDIRECT("Table!" &amp; $AH$253 &amp; $AE145),0)))))</f>
        <v/>
      </c>
      <c r="D145" s="24" t="str">
        <f ca="1">IF(ISERROR(MATCH(D$1,INDIRECT("Table!A"&amp;$AE145):INDIRECT("Table!" &amp; $AH$253 &amp; $AE145),0)),"",INDIRECT(CONCATENATE("Table!",ADDRESS($T145,MATCH(D$1,INDIRECT("Table!A" &amp; $AE145):INDIRECT("Table!" &amp; $AH$253 &amp; $AE145),0)))))</f>
        <v/>
      </c>
      <c r="E145" s="24" t="str">
        <f ca="1">IF(ISERROR(MATCH(E$1,INDIRECT("Table!A"&amp;$AE145):INDIRECT("Table!" &amp; $AH$253 &amp; $AE145),0)),"",INDIRECT(CONCATENATE("Table!",ADDRESS($T145,MATCH(E$1,INDIRECT("Table!A" &amp; $AE145):INDIRECT("Table!" &amp; $AH$253 &amp; $AE145),0)))))</f>
        <v/>
      </c>
      <c r="F145" s="24" t="str">
        <f ca="1">IF(ISERROR(MATCH(F$1,INDIRECT("Table!A"&amp;$AE145):INDIRECT("Table!" &amp; $AH$253 &amp; $AE145),0)),"",INDIRECT(CONCATENATE("Table!",ADDRESS($T145,MATCH(F$1,INDIRECT("Table!A" &amp; $AE145):INDIRECT("Table!" &amp; $AH$253 &amp; $AE145),0)))))</f>
        <v/>
      </c>
      <c r="G145" s="24" t="str">
        <f ca="1">IF(ISERROR(MATCH(G$1,INDIRECT("Table!A"&amp;$AE145):INDIRECT("Table!" &amp; $AH$253 &amp; $AE145),0)),"",INDIRECT(CONCATENATE("Table!",ADDRESS($T145,MATCH(G$1,INDIRECT("Table!A" &amp; $AE145):INDIRECT("Table!" &amp; $AH$253 &amp; $AE145),0)))))</f>
        <v/>
      </c>
      <c r="H145" s="24" t="str">
        <f ca="1">IF(ISERROR(MATCH(H$1,INDIRECT("Table!A"&amp;$AE145):INDIRECT("Table!" &amp; $AH$253 &amp; $AE145),0)),"",INDIRECT(CONCATENATE("Table!",ADDRESS($T145,MATCH(H$1,INDIRECT("Table!A" &amp; $AE145):INDIRECT("Table!" &amp; $AH$253 &amp; $AE145),0)))))</f>
        <v/>
      </c>
      <c r="I145" s="273"/>
      <c r="J145" s="273"/>
      <c r="K145" s="24" t="str">
        <f ca="1">IF(ISERROR(MATCH(L$1,INDIRECT("Table!A"&amp;$AE145):INDIRECT("Table!" &amp; $AH$253 &amp; $AE145),0)),"",INDIRECT(CONCATENATE("Table!",ADDRESS($T145,MATCH(L$1,INDIRECT("Table!A" &amp; $AE145):INDIRECT("Table!" &amp; $AH$253 &amp; $AE145),0)))))</f>
        <v/>
      </c>
      <c r="L145" s="24" t="str">
        <f ca="1">IF(ISERROR(MATCH(M$1,INDIRECT("Table!A"&amp;$AE145):INDIRECT("Table!" &amp; $AH$253 &amp; $AE145),0)),"",INDIRECT(CONCATENATE("Table!",ADDRESS($T145,MATCH(M$1,INDIRECT("Table!A" &amp; $AE145):INDIRECT("Table!" &amp; $AH$253 &amp; $AE145),0)))))</f>
        <v/>
      </c>
      <c r="M145" s="24" t="str">
        <f ca="1">IF(ISERROR(MATCH(N$1,INDIRECT("Table!A"&amp;$AE145):INDIRECT("Table!" &amp; $AH$253 &amp; $AE145),0)),"",INDIRECT(CONCATENATE("Table!",ADDRESS($T145,MATCH(N$1,INDIRECT("Table!A" &amp; $AE145):INDIRECT("Table!" &amp; $AH$253 &amp; $AE145),0)))))</f>
        <v/>
      </c>
      <c r="N145" s="24" t="str">
        <f ca="1">IF(ISERROR(MATCH(O$1,INDIRECT("Table!A"&amp;$AE145):INDIRECT("Table!" &amp; $AH$253 &amp; $AE145),0)),"",INDIRECT(CONCATENATE("Table!",ADDRESS($T145,MATCH(O$1,INDIRECT("Table!A" &amp; $AE145):INDIRECT("Table!" &amp; $AH$253 &amp; $AE145),0)))))</f>
        <v/>
      </c>
      <c r="O145" s="24" t="str">
        <f ca="1">IF(ISERROR(MATCH(P$1,INDIRECT("Table!A"&amp;$AE145):INDIRECT("Table!" &amp; $AH$253 &amp; $AE145),0)),"",INDIRECT(CONCATENATE("Table!",ADDRESS($T145,MATCH(P$1,INDIRECT("Table!A" &amp; $AE145):INDIRECT("Table!" &amp; $AH$253 &amp; $AE145),0)))))</f>
        <v/>
      </c>
      <c r="P145" s="273" t="str">
        <f ca="1">IF(ISERROR(MATCH(Q$1,INDIRECT("Table!A"&amp;$AE145):INDIRECT("Table!" &amp; $AH$253 &amp; $AE145),0)),"",INDIRECT(CONCATENATE("Table!",ADDRESS($T145,MATCH(Q$1,INDIRECT("Table!A" &amp; $AE145):INDIRECT("Table!" &amp; $AH$253 &amp; $AE145),0)))))</f>
        <v/>
      </c>
      <c r="Q145" s="176"/>
      <c r="R145" s="176"/>
      <c r="S145" s="176"/>
      <c r="T145" s="22"/>
      <c r="AC145" s="176"/>
      <c r="AD145" s="176"/>
      <c r="AE145" s="22"/>
      <c r="AF145" s="176"/>
      <c r="AG145" s="176"/>
      <c r="AH145" s="22"/>
      <c r="AI145" s="25"/>
      <c r="AJ145" s="25"/>
      <c r="AK145" s="25"/>
    </row>
    <row r="146" spans="2:48" ht="19.5" customHeight="1" x14ac:dyDescent="0.25">
      <c r="B146" s="24"/>
      <c r="C146" s="24" t="str">
        <f ca="1">IF(ISERROR(MATCH(C$1,INDIRECT("Table!A"&amp;$AE146):INDIRECT("Table!" &amp; $AH$253 &amp; $AE146),0)),"",INDIRECT(CONCATENATE("Table!",ADDRESS($T146,MATCH(C$1,INDIRECT("Table!A" &amp; $AE146):INDIRECT("Table!" &amp; $AH$253 &amp; $AE146),0)))))</f>
        <v/>
      </c>
      <c r="D146" s="24" t="str">
        <f ca="1">IF(ISERROR(MATCH(D$1,INDIRECT("Table!A"&amp;$AE146):INDIRECT("Table!" &amp; $AH$253 &amp; $AE146),0)),"",INDIRECT(CONCATENATE("Table!",ADDRESS($T146,MATCH(D$1,INDIRECT("Table!A" &amp; $AE146):INDIRECT("Table!" &amp; $AH$253 &amp; $AE146),0)))))</f>
        <v/>
      </c>
      <c r="E146" s="24" t="str">
        <f ca="1">IF(ISERROR(MATCH(E$1,INDIRECT("Table!A"&amp;$AE146):INDIRECT("Table!" &amp; $AH$253 &amp; $AE146),0)),"",INDIRECT(CONCATENATE("Table!",ADDRESS($T146,MATCH(E$1,INDIRECT("Table!A" &amp; $AE146):INDIRECT("Table!" &amp; $AH$253 &amp; $AE146),0)))))</f>
        <v/>
      </c>
      <c r="F146" s="24" t="str">
        <f ca="1">IF(ISERROR(MATCH(F$1,INDIRECT("Table!A"&amp;$AE146):INDIRECT("Table!" &amp; $AH$253 &amp; $AE146),0)),"",INDIRECT(CONCATENATE("Table!",ADDRESS($T146,MATCH(F$1,INDIRECT("Table!A" &amp; $AE146):INDIRECT("Table!" &amp; $AH$253 &amp; $AE146),0)))))</f>
        <v/>
      </c>
      <c r="G146" s="24" t="str">
        <f ca="1">IF(ISERROR(MATCH(G$1,INDIRECT("Table!A"&amp;$AE146):INDIRECT("Table!" &amp; $AH$253 &amp; $AE146),0)),"",INDIRECT(CONCATENATE("Table!",ADDRESS($T146,MATCH(G$1,INDIRECT("Table!A" &amp; $AE146):INDIRECT("Table!" &amp; $AH$253 &amp; $AE146),0)))))</f>
        <v/>
      </c>
      <c r="H146" s="24" t="str">
        <f ca="1">IF(ISERROR(MATCH(H$1,INDIRECT("Table!A"&amp;$AE146):INDIRECT("Table!" &amp; $AH$253 &amp; $AE146),0)),"",INDIRECT(CONCATENATE("Table!",ADDRESS($T146,MATCH(H$1,INDIRECT("Table!A" &amp; $AE146):INDIRECT("Table!" &amp; $AH$253 &amp; $AE146),0)))))</f>
        <v/>
      </c>
      <c r="I146" s="273"/>
      <c r="J146" s="273"/>
      <c r="K146" s="24" t="str">
        <f ca="1">IF(ISERROR(MATCH(L$1,INDIRECT("Table!A"&amp;$AE146):INDIRECT("Table!" &amp; $AH$253 &amp; $AE146),0)),"",INDIRECT(CONCATENATE("Table!",ADDRESS($T146,MATCH(L$1,INDIRECT("Table!A" &amp; $AE146):INDIRECT("Table!" &amp; $AH$253 &amp; $AE146),0)))))</f>
        <v/>
      </c>
      <c r="L146" s="24" t="str">
        <f ca="1">IF(ISERROR(MATCH(M$1,INDIRECT("Table!A"&amp;$AE146):INDIRECT("Table!" &amp; $AH$253 &amp; $AE146),0)),"",INDIRECT(CONCATENATE("Table!",ADDRESS($T146,MATCH(M$1,INDIRECT("Table!A" &amp; $AE146):INDIRECT("Table!" &amp; $AH$253 &amp; $AE146),0)))))</f>
        <v/>
      </c>
      <c r="M146" s="24" t="str">
        <f ca="1">IF(ISERROR(MATCH(N$1,INDIRECT("Table!A"&amp;$AE146):INDIRECT("Table!" &amp; $AH$253 &amp; $AE146),0)),"",INDIRECT(CONCATENATE("Table!",ADDRESS($T146,MATCH(N$1,INDIRECT("Table!A" &amp; $AE146):INDIRECT("Table!" &amp; $AH$253 &amp; $AE146),0)))))</f>
        <v/>
      </c>
      <c r="N146" s="24" t="str">
        <f ca="1">IF(ISERROR(MATCH(O$1,INDIRECT("Table!A"&amp;$AE146):INDIRECT("Table!" &amp; $AH$253 &amp; $AE146),0)),"",INDIRECT(CONCATENATE("Table!",ADDRESS($T146,MATCH(O$1,INDIRECT("Table!A" &amp; $AE146):INDIRECT("Table!" &amp; $AH$253 &amp; $AE146),0)))))</f>
        <v/>
      </c>
      <c r="O146" s="24" t="str">
        <f ca="1">IF(ISERROR(MATCH(P$1,INDIRECT("Table!A"&amp;$AE146):INDIRECT("Table!" &amp; $AH$253 &amp; $AE146),0)),"",INDIRECT(CONCATENATE("Table!",ADDRESS($T146,MATCH(P$1,INDIRECT("Table!A" &amp; $AE146):INDIRECT("Table!" &amp; $AH$253 &amp; $AE146),0)))))</f>
        <v/>
      </c>
      <c r="P146" s="273" t="str">
        <f ca="1">IF(ISERROR(MATCH(Q$1,INDIRECT("Table!A"&amp;$AE146):INDIRECT("Table!" &amp; $AH$253 &amp; $AE146),0)),"",INDIRECT(CONCATENATE("Table!",ADDRESS($T146,MATCH(Q$1,INDIRECT("Table!A" &amp; $AE146):INDIRECT("Table!" &amp; $AH$253 &amp; $AE146),0)))))</f>
        <v/>
      </c>
      <c r="Q146" s="175"/>
      <c r="R146" s="175"/>
      <c r="S146" s="175"/>
      <c r="T146" s="22"/>
      <c r="AC146" s="175"/>
      <c r="AD146" s="175"/>
      <c r="AE146" s="22"/>
      <c r="AF146" s="175"/>
      <c r="AG146" s="175"/>
      <c r="AH146" s="22"/>
      <c r="AI146" s="25"/>
      <c r="AJ146" s="25"/>
      <c r="AK146" s="25"/>
    </row>
    <row r="147" spans="2:48" ht="19.5" customHeight="1" x14ac:dyDescent="0.25">
      <c r="B147" s="24"/>
      <c r="C147" s="24" t="str">
        <f ca="1">IF(ISERROR(MATCH(C$1,INDIRECT("Table!A"&amp;$AE147):INDIRECT("Table!" &amp; $AH$253 &amp; $AE147),0)),"",INDIRECT(CONCATENATE("Table!",ADDRESS($T147,MATCH(C$1,INDIRECT("Table!A" &amp; $AE147):INDIRECT("Table!" &amp; $AH$253 &amp; $AE147),0)))))</f>
        <v/>
      </c>
      <c r="D147" s="24" t="str">
        <f ca="1">IF(ISERROR(MATCH(D$1,INDIRECT("Table!A"&amp;$AE147):INDIRECT("Table!" &amp; $AH$253 &amp; $AE147),0)),"",INDIRECT(CONCATENATE("Table!",ADDRESS($T147,MATCH(D$1,INDIRECT("Table!A" &amp; $AE147):INDIRECT("Table!" &amp; $AH$253 &amp; $AE147),0)))))</f>
        <v/>
      </c>
      <c r="E147" s="24" t="str">
        <f ca="1">IF(ISERROR(MATCH(E$1,INDIRECT("Table!A"&amp;$AE147):INDIRECT("Table!" &amp; $AH$253 &amp; $AE147),0)),"",INDIRECT(CONCATENATE("Table!",ADDRESS($T147,MATCH(E$1,INDIRECT("Table!A" &amp; $AE147):INDIRECT("Table!" &amp; $AH$253 &amp; $AE147),0)))))</f>
        <v/>
      </c>
      <c r="F147" s="24" t="str">
        <f ca="1">IF(ISERROR(MATCH(F$1,INDIRECT("Table!A"&amp;$AE147):INDIRECT("Table!" &amp; $AH$253 &amp; $AE147),0)),"",INDIRECT(CONCATENATE("Table!",ADDRESS($T147,MATCH(F$1,INDIRECT("Table!A" &amp; $AE147):INDIRECT("Table!" &amp; $AH$253 &amp; $AE147),0)))))</f>
        <v/>
      </c>
      <c r="G147" s="24" t="str">
        <f ca="1">IF(ISERROR(MATCH(G$1,INDIRECT("Table!A"&amp;$AE147):INDIRECT("Table!" &amp; $AH$253 &amp; $AE147),0)),"",INDIRECT(CONCATENATE("Table!",ADDRESS($T147,MATCH(G$1,INDIRECT("Table!A" &amp; $AE147):INDIRECT("Table!" &amp; $AH$253 &amp; $AE147),0)))))</f>
        <v/>
      </c>
      <c r="H147" s="24" t="str">
        <f ca="1">IF(ISERROR(MATCH(H$1,INDIRECT("Table!A"&amp;$AE147):INDIRECT("Table!" &amp; $AH$253 &amp; $AE147),0)),"",INDIRECT(CONCATENATE("Table!",ADDRESS($T147,MATCH(H$1,INDIRECT("Table!A" &amp; $AE147):INDIRECT("Table!" &amp; $AH$253 &amp; $AE147),0)))))</f>
        <v/>
      </c>
      <c r="I147" s="273"/>
      <c r="J147" s="273"/>
      <c r="K147" s="24" t="str">
        <f ca="1">IF(ISERROR(MATCH(L$1,INDIRECT("Table!A"&amp;$AE147):INDIRECT("Table!" &amp; $AH$253 &amp; $AE147),0)),"",INDIRECT(CONCATENATE("Table!",ADDRESS($T147,MATCH(L$1,INDIRECT("Table!A" &amp; $AE147):INDIRECT("Table!" &amp; $AH$253 &amp; $AE147),0)))))</f>
        <v/>
      </c>
      <c r="L147" s="24" t="str">
        <f ca="1">IF(ISERROR(MATCH(M$1,INDIRECT("Table!A"&amp;$AE147):INDIRECT("Table!" &amp; $AH$253 &amp; $AE147),0)),"",INDIRECT(CONCATENATE("Table!",ADDRESS($T147,MATCH(M$1,INDIRECT("Table!A" &amp; $AE147):INDIRECT("Table!" &amp; $AH$253 &amp; $AE147),0)))))</f>
        <v/>
      </c>
      <c r="M147" s="24" t="str">
        <f ca="1">IF(ISERROR(MATCH(N$1,INDIRECT("Table!A"&amp;$AE147):INDIRECT("Table!" &amp; $AH$253 &amp; $AE147),0)),"",INDIRECT(CONCATENATE("Table!",ADDRESS($T147,MATCH(N$1,INDIRECT("Table!A" &amp; $AE147):INDIRECT("Table!" &amp; $AH$253 &amp; $AE147),0)))))</f>
        <v/>
      </c>
      <c r="N147" s="24" t="str">
        <f ca="1">IF(ISERROR(MATCH(O$1,INDIRECT("Table!A"&amp;$AE147):INDIRECT("Table!" &amp; $AH$253 &amp; $AE147),0)),"",INDIRECT(CONCATENATE("Table!",ADDRESS($T147,MATCH(O$1,INDIRECT("Table!A" &amp; $AE147):INDIRECT("Table!" &amp; $AH$253 &amp; $AE147),0)))))</f>
        <v/>
      </c>
      <c r="O147" s="24" t="str">
        <f ca="1">IF(ISERROR(MATCH(P$1,INDIRECT("Table!A"&amp;$AE147):INDIRECT("Table!" &amp; $AH$253 &amp; $AE147),0)),"",INDIRECT(CONCATENATE("Table!",ADDRESS($T147,MATCH(P$1,INDIRECT("Table!A" &amp; $AE147):INDIRECT("Table!" &amp; $AH$253 &amp; $AE147),0)))))</f>
        <v/>
      </c>
      <c r="P147" s="273" t="str">
        <f ca="1">IF(ISERROR(MATCH(Q$1,INDIRECT("Table!A"&amp;$AE147):INDIRECT("Table!" &amp; $AH$253 &amp; $AE147),0)),"",INDIRECT(CONCATENATE("Table!",ADDRESS($T147,MATCH(Q$1,INDIRECT("Table!A" &amp; $AE147):INDIRECT("Table!" &amp; $AH$253 &amp; $AE147),0)))))</f>
        <v/>
      </c>
      <c r="Q147" s="174"/>
      <c r="R147" s="174"/>
      <c r="S147" s="174"/>
      <c r="T147" s="22"/>
      <c r="AC147" s="174"/>
      <c r="AD147" s="174"/>
      <c r="AE147" s="22"/>
      <c r="AF147" s="174"/>
      <c r="AG147" s="174"/>
      <c r="AH147" s="22"/>
      <c r="AI147" s="25"/>
      <c r="AJ147" s="25"/>
      <c r="AK147" s="25"/>
    </row>
    <row r="148" spans="2:48" ht="19.5" customHeight="1" x14ac:dyDescent="0.25">
      <c r="B148" s="24"/>
      <c r="C148" s="24" t="str">
        <f ca="1">IF(ISERROR(MATCH(C$1,INDIRECT("Table!A"&amp;$AE148):INDIRECT("Table!" &amp; $AH$253 &amp; $AE148),0)),"",INDIRECT(CONCATENATE("Table!",ADDRESS($T148,MATCH(C$1,INDIRECT("Table!A" &amp; $AE148):INDIRECT("Table!" &amp; $AH$253 &amp; $AE148),0)))))</f>
        <v/>
      </c>
      <c r="D148" s="24" t="str">
        <f ca="1">IF(ISERROR(MATCH(D$1,INDIRECT("Table!A"&amp;$AE148):INDIRECT("Table!" &amp; $AH$253 &amp; $AE148),0)),"",INDIRECT(CONCATENATE("Table!",ADDRESS($T148,MATCH(D$1,INDIRECT("Table!A" &amp; $AE148):INDIRECT("Table!" &amp; $AH$253 &amp; $AE148),0)))))</f>
        <v/>
      </c>
      <c r="E148" s="24" t="str">
        <f ca="1">IF(ISERROR(MATCH(E$1,INDIRECT("Table!A"&amp;$AE148):INDIRECT("Table!" &amp; $AH$253 &amp; $AE148),0)),"",INDIRECT(CONCATENATE("Table!",ADDRESS($T148,MATCH(E$1,INDIRECT("Table!A" &amp; $AE148):INDIRECT("Table!" &amp; $AH$253 &amp; $AE148),0)))))</f>
        <v/>
      </c>
      <c r="F148" s="24" t="str">
        <f ca="1">IF(ISERROR(MATCH(F$1,INDIRECT("Table!A"&amp;$AE148):INDIRECT("Table!" &amp; $AH$253 &amp; $AE148),0)),"",INDIRECT(CONCATENATE("Table!",ADDRESS($T148,MATCH(F$1,INDIRECT("Table!A" &amp; $AE148):INDIRECT("Table!" &amp; $AH$253 &amp; $AE148),0)))))</f>
        <v/>
      </c>
      <c r="G148" s="24" t="str">
        <f ca="1">IF(ISERROR(MATCH(G$1,INDIRECT("Table!A"&amp;$AE148):INDIRECT("Table!" &amp; $AH$253 &amp; $AE148),0)),"",INDIRECT(CONCATENATE("Table!",ADDRESS($T148,MATCH(G$1,INDIRECT("Table!A" &amp; $AE148):INDIRECT("Table!" &amp; $AH$253 &amp; $AE148),0)))))</f>
        <v/>
      </c>
      <c r="H148" s="24" t="str">
        <f ca="1">IF(ISERROR(MATCH(H$1,INDIRECT("Table!A"&amp;$AE148):INDIRECT("Table!" &amp; $AH$253 &amp; $AE148),0)),"",INDIRECT(CONCATENATE("Table!",ADDRESS($T148,MATCH(H$1,INDIRECT("Table!A" &amp; $AE148):INDIRECT("Table!" &amp; $AH$253 &amp; $AE148),0)))))</f>
        <v/>
      </c>
      <c r="I148" s="273"/>
      <c r="J148" s="273"/>
      <c r="K148" s="24" t="str">
        <f ca="1">IF(ISERROR(MATCH(L$1,INDIRECT("Table!A"&amp;$AE148):INDIRECT("Table!" &amp; $AH$253 &amp; $AE148),0)),"",INDIRECT(CONCATENATE("Table!",ADDRESS($T148,MATCH(L$1,INDIRECT("Table!A" &amp; $AE148):INDIRECT("Table!" &amp; $AH$253 &amp; $AE148),0)))))</f>
        <v/>
      </c>
      <c r="L148" s="24" t="str">
        <f ca="1">IF(ISERROR(MATCH(M$1,INDIRECT("Table!A"&amp;$AE148):INDIRECT("Table!" &amp; $AH$253 &amp; $AE148),0)),"",INDIRECT(CONCATENATE("Table!",ADDRESS($T148,MATCH(M$1,INDIRECT("Table!A" &amp; $AE148):INDIRECT("Table!" &amp; $AH$253 &amp; $AE148),0)))))</f>
        <v/>
      </c>
      <c r="M148" s="24" t="str">
        <f ca="1">IF(ISERROR(MATCH(N$1,INDIRECT("Table!A"&amp;$AE148):INDIRECT("Table!" &amp; $AH$253 &amp; $AE148),0)),"",INDIRECT(CONCATENATE("Table!",ADDRESS($T148,MATCH(N$1,INDIRECT("Table!A" &amp; $AE148):INDIRECT("Table!" &amp; $AH$253 &amp; $AE148),0)))))</f>
        <v/>
      </c>
      <c r="N148" s="24" t="str">
        <f ca="1">IF(ISERROR(MATCH(O$1,INDIRECT("Table!A"&amp;$AE148):INDIRECT("Table!" &amp; $AH$253 &amp; $AE148),0)),"",INDIRECT(CONCATENATE("Table!",ADDRESS($T148,MATCH(O$1,INDIRECT("Table!A" &amp; $AE148):INDIRECT("Table!" &amp; $AH$253 &amp; $AE148),0)))))</f>
        <v/>
      </c>
      <c r="O148" s="24" t="str">
        <f ca="1">IF(ISERROR(MATCH(P$1,INDIRECT("Table!A"&amp;$AE148):INDIRECT("Table!" &amp; $AH$253 &amp; $AE148),0)),"",INDIRECT(CONCATENATE("Table!",ADDRESS($T148,MATCH(P$1,INDIRECT("Table!A" &amp; $AE148):INDIRECT("Table!" &amp; $AH$253 &amp; $AE148),0)))))</f>
        <v/>
      </c>
      <c r="P148" s="273" t="str">
        <f ca="1">IF(ISERROR(MATCH(Q$1,INDIRECT("Table!A"&amp;$AE148):INDIRECT("Table!" &amp; $AH$253 &amp; $AE148),0)),"",INDIRECT(CONCATENATE("Table!",ADDRESS($T148,MATCH(Q$1,INDIRECT("Table!A" &amp; $AE148):INDIRECT("Table!" &amp; $AH$253 &amp; $AE148),0)))))</f>
        <v/>
      </c>
      <c r="Q148" s="174"/>
      <c r="R148" s="174"/>
      <c r="S148" s="174"/>
      <c r="T148" s="22"/>
      <c r="AC148" s="174"/>
      <c r="AD148" s="174"/>
      <c r="AE148" s="22"/>
      <c r="AF148" s="174"/>
      <c r="AG148" s="174"/>
      <c r="AH148" s="22"/>
      <c r="AI148" s="25"/>
      <c r="AJ148" s="25"/>
      <c r="AK148" s="25"/>
    </row>
    <row r="149" spans="2:48" ht="19.5" customHeight="1" x14ac:dyDescent="0.25">
      <c r="B149" s="24"/>
      <c r="C149" s="24" t="str">
        <f ca="1">IF(ISERROR(MATCH(C$1,INDIRECT("Table!A"&amp;$AE149):INDIRECT("Table!" &amp; $AH$253 &amp; $AE149),0)),"",INDIRECT(CONCATENATE("Table!",ADDRESS($T149,MATCH(C$1,INDIRECT("Table!A" &amp; $AE149):INDIRECT("Table!" &amp; $AH$253 &amp; $AE149),0)))))</f>
        <v/>
      </c>
      <c r="D149" s="24" t="str">
        <f ca="1">IF(ISERROR(MATCH(D$1,INDIRECT("Table!A"&amp;$AE149):INDIRECT("Table!" &amp; $AH$253 &amp; $AE149),0)),"",INDIRECT(CONCATENATE("Table!",ADDRESS($T149,MATCH(D$1,INDIRECT("Table!A" &amp; $AE149):INDIRECT("Table!" &amp; $AH$253 &amp; $AE149),0)))))</f>
        <v/>
      </c>
      <c r="E149" s="24" t="str">
        <f ca="1">IF(ISERROR(MATCH(E$1,INDIRECT("Table!A"&amp;$AE149):INDIRECT("Table!" &amp; $AH$253 &amp; $AE149),0)),"",INDIRECT(CONCATENATE("Table!",ADDRESS($T149,MATCH(E$1,INDIRECT("Table!A" &amp; $AE149):INDIRECT("Table!" &amp; $AH$253 &amp; $AE149),0)))))</f>
        <v/>
      </c>
      <c r="F149" s="24" t="str">
        <f ca="1">IF(ISERROR(MATCH(F$1,INDIRECT("Table!A"&amp;$AE149):INDIRECT("Table!" &amp; $AH$253 &amp; $AE149),0)),"",INDIRECT(CONCATENATE("Table!",ADDRESS($T149,MATCH(F$1,INDIRECT("Table!A" &amp; $AE149):INDIRECT("Table!" &amp; $AH$253 &amp; $AE149),0)))))</f>
        <v/>
      </c>
      <c r="G149" s="24" t="str">
        <f ca="1">IF(ISERROR(MATCH(G$1,INDIRECT("Table!A"&amp;$AE149):INDIRECT("Table!" &amp; $AH$253 &amp; $AE149),0)),"",INDIRECT(CONCATENATE("Table!",ADDRESS($T149,MATCH(G$1,INDIRECT("Table!A" &amp; $AE149):INDIRECT("Table!" &amp; $AH$253 &amp; $AE149),0)))))</f>
        <v/>
      </c>
      <c r="H149" s="24" t="str">
        <f ca="1">IF(ISERROR(MATCH(H$1,INDIRECT("Table!A"&amp;$AE149):INDIRECT("Table!" &amp; $AH$253 &amp; $AE149),0)),"",INDIRECT(CONCATENATE("Table!",ADDRESS($T149,MATCH(H$1,INDIRECT("Table!A" &amp; $AE149):INDIRECT("Table!" &amp; $AH$253 &amp; $AE149),0)))))</f>
        <v/>
      </c>
      <c r="I149" s="273"/>
      <c r="J149" s="273"/>
      <c r="K149" s="24" t="str">
        <f ca="1">IF(ISERROR(MATCH(L$1,INDIRECT("Table!A"&amp;$AE149):INDIRECT("Table!" &amp; $AH$253 &amp; $AE149),0)),"",INDIRECT(CONCATENATE("Table!",ADDRESS($T149,MATCH(L$1,INDIRECT("Table!A" &amp; $AE149):INDIRECT("Table!" &amp; $AH$253 &amp; $AE149),0)))))</f>
        <v/>
      </c>
      <c r="L149" s="24" t="str">
        <f ca="1">IF(ISERROR(MATCH(M$1,INDIRECT("Table!A"&amp;$AE149):INDIRECT("Table!" &amp; $AH$253 &amp; $AE149),0)),"",INDIRECT(CONCATENATE("Table!",ADDRESS($T149,MATCH(M$1,INDIRECT("Table!A" &amp; $AE149):INDIRECT("Table!" &amp; $AH$253 &amp; $AE149),0)))))</f>
        <v/>
      </c>
      <c r="M149" s="24" t="str">
        <f ca="1">IF(ISERROR(MATCH(N$1,INDIRECT("Table!A"&amp;$AE149):INDIRECT("Table!" &amp; $AH$253 &amp; $AE149),0)),"",INDIRECT(CONCATENATE("Table!",ADDRESS($T149,MATCH(N$1,INDIRECT("Table!A" &amp; $AE149):INDIRECT("Table!" &amp; $AH$253 &amp; $AE149),0)))))</f>
        <v/>
      </c>
      <c r="N149" s="24" t="str">
        <f ca="1">IF(ISERROR(MATCH(O$1,INDIRECT("Table!A"&amp;$AE149):INDIRECT("Table!" &amp; $AH$253 &amp; $AE149),0)),"",INDIRECT(CONCATENATE("Table!",ADDRESS($T149,MATCH(O$1,INDIRECT("Table!A" &amp; $AE149):INDIRECT("Table!" &amp; $AH$253 &amp; $AE149),0)))))</f>
        <v/>
      </c>
      <c r="O149" s="24" t="str">
        <f ca="1">IF(ISERROR(MATCH(P$1,INDIRECT("Table!A"&amp;$AE149):INDIRECT("Table!" &amp; $AH$253 &amp; $AE149),0)),"",INDIRECT(CONCATENATE("Table!",ADDRESS($T149,MATCH(P$1,INDIRECT("Table!A" &amp; $AE149):INDIRECT("Table!" &amp; $AH$253 &amp; $AE149),0)))))</f>
        <v/>
      </c>
      <c r="P149" s="273" t="str">
        <f ca="1">IF(ISERROR(MATCH(Q$1,INDIRECT("Table!A"&amp;$AE149):INDIRECT("Table!" &amp; $AH$253 &amp; $AE149),0)),"",INDIRECT(CONCATENATE("Table!",ADDRESS($T149,MATCH(Q$1,INDIRECT("Table!A" &amp; $AE149):INDIRECT("Table!" &amp; $AH$253 &amp; $AE149),0)))))</f>
        <v/>
      </c>
      <c r="Q149" s="173"/>
      <c r="R149" s="173"/>
      <c r="S149" s="173"/>
      <c r="T149" s="22"/>
      <c r="AC149" s="173"/>
      <c r="AD149" s="173"/>
      <c r="AE149" s="22"/>
      <c r="AF149" s="173"/>
      <c r="AG149" s="173"/>
      <c r="AH149" s="22"/>
      <c r="AI149" s="25"/>
      <c r="AJ149" s="25"/>
      <c r="AK149" s="25"/>
    </row>
    <row r="150" spans="2:48" ht="19.5" customHeight="1" x14ac:dyDescent="0.25">
      <c r="B150" s="24"/>
      <c r="C150" s="24" t="str">
        <f ca="1">IF(ISERROR(MATCH(C$1,INDIRECT("Table!A"&amp;$AE150):INDIRECT("Table!" &amp; $AH$253 &amp; $AE150),0)),"",INDIRECT(CONCATENATE("Table!",ADDRESS($T150,MATCH(C$1,INDIRECT("Table!A" &amp; $AE150):INDIRECT("Table!" &amp; $AH$253 &amp; $AE150),0)))))</f>
        <v/>
      </c>
      <c r="D150" s="24" t="str">
        <f ca="1">IF(ISERROR(MATCH(D$1,INDIRECT("Table!A"&amp;$AE150):INDIRECT("Table!" &amp; $AH$253 &amp; $AE150),0)),"",INDIRECT(CONCATENATE("Table!",ADDRESS($T150,MATCH(D$1,INDIRECT("Table!A" &amp; $AE150):INDIRECT("Table!" &amp; $AH$253 &amp; $AE150),0)))))</f>
        <v/>
      </c>
      <c r="E150" s="24" t="str">
        <f ca="1">IF(ISERROR(MATCH(E$1,INDIRECT("Table!A"&amp;$AE150):INDIRECT("Table!" &amp; $AH$253 &amp; $AE150),0)),"",INDIRECT(CONCATENATE("Table!",ADDRESS($T150,MATCH(E$1,INDIRECT("Table!A" &amp; $AE150):INDIRECT("Table!" &amp; $AH$253 &amp; $AE150),0)))))</f>
        <v/>
      </c>
      <c r="F150" s="24" t="str">
        <f ca="1">IF(ISERROR(MATCH(F$1,INDIRECT("Table!A"&amp;$AE150):INDIRECT("Table!" &amp; $AH$253 &amp; $AE150),0)),"",INDIRECT(CONCATENATE("Table!",ADDRESS($T150,MATCH(F$1,INDIRECT("Table!A" &amp; $AE150):INDIRECT("Table!" &amp; $AH$253 &amp; $AE150),0)))))</f>
        <v/>
      </c>
      <c r="G150" s="24" t="str">
        <f ca="1">IF(ISERROR(MATCH(G$1,INDIRECT("Table!A"&amp;$AE150):INDIRECT("Table!" &amp; $AH$253 &amp; $AE150),0)),"",INDIRECT(CONCATENATE("Table!",ADDRESS($T150,MATCH(G$1,INDIRECT("Table!A" &amp; $AE150):INDIRECT("Table!" &amp; $AH$253 &amp; $AE150),0)))))</f>
        <v/>
      </c>
      <c r="H150" s="24" t="str">
        <f ca="1">IF(ISERROR(MATCH(H$1,INDIRECT("Table!A"&amp;$AE150):INDIRECT("Table!" &amp; $AH$253 &amp; $AE150),0)),"",INDIRECT(CONCATENATE("Table!",ADDRESS($T150,MATCH(H$1,INDIRECT("Table!A" &amp; $AE150):INDIRECT("Table!" &amp; $AH$253 &amp; $AE150),0)))))</f>
        <v/>
      </c>
      <c r="I150" s="273"/>
      <c r="J150" s="273"/>
      <c r="K150" s="24" t="str">
        <f ca="1">IF(ISERROR(MATCH(L$1,INDIRECT("Table!A"&amp;$AE150):INDIRECT("Table!" &amp; $AH$253 &amp; $AE150),0)),"",INDIRECT(CONCATENATE("Table!",ADDRESS($T150,MATCH(L$1,INDIRECT("Table!A" &amp; $AE150):INDIRECT("Table!" &amp; $AH$253 &amp; $AE150),0)))))</f>
        <v/>
      </c>
      <c r="L150" s="24" t="str">
        <f ca="1">IF(ISERROR(MATCH(M$1,INDIRECT("Table!A"&amp;$AE150):INDIRECT("Table!" &amp; $AH$253 &amp; $AE150),0)),"",INDIRECT(CONCATENATE("Table!",ADDRESS($T150,MATCH(M$1,INDIRECT("Table!A" &amp; $AE150):INDIRECT("Table!" &amp; $AH$253 &amp; $AE150),0)))))</f>
        <v/>
      </c>
      <c r="M150" s="24" t="str">
        <f ca="1">IF(ISERROR(MATCH(N$1,INDIRECT("Table!A"&amp;$AE150):INDIRECT("Table!" &amp; $AH$253 &amp; $AE150),0)),"",INDIRECT(CONCATENATE("Table!",ADDRESS($T150,MATCH(N$1,INDIRECT("Table!A" &amp; $AE150):INDIRECT("Table!" &amp; $AH$253 &amp; $AE150),0)))))</f>
        <v/>
      </c>
      <c r="N150" s="24" t="str">
        <f ca="1">IF(ISERROR(MATCH(O$1,INDIRECT("Table!A"&amp;$AE150):INDIRECT("Table!" &amp; $AH$253 &amp; $AE150),0)),"",INDIRECT(CONCATENATE("Table!",ADDRESS($T150,MATCH(O$1,INDIRECT("Table!A" &amp; $AE150):INDIRECT("Table!" &amp; $AH$253 &amp; $AE150),0)))))</f>
        <v/>
      </c>
      <c r="O150" s="24" t="str">
        <f ca="1">IF(ISERROR(MATCH(P$1,INDIRECT("Table!A"&amp;$AE150):INDIRECT("Table!" &amp; $AH$253 &amp; $AE150),0)),"",INDIRECT(CONCATENATE("Table!",ADDRESS($T150,MATCH(P$1,INDIRECT("Table!A" &amp; $AE150):INDIRECT("Table!" &amp; $AH$253 &amp; $AE150),0)))))</f>
        <v/>
      </c>
      <c r="P150" s="273" t="str">
        <f ca="1">IF(ISERROR(MATCH(Q$1,INDIRECT("Table!A"&amp;$AE150):INDIRECT("Table!" &amp; $AH$253 &amp; $AE150),0)),"",INDIRECT(CONCATENATE("Table!",ADDRESS($T150,MATCH(Q$1,INDIRECT("Table!A" &amp; $AE150):INDIRECT("Table!" &amp; $AH$253 &amp; $AE150),0)))))</f>
        <v/>
      </c>
      <c r="Q150" s="172"/>
      <c r="R150" s="172"/>
      <c r="S150" s="172"/>
      <c r="T150" s="22"/>
      <c r="AC150" s="172"/>
      <c r="AD150" s="172"/>
      <c r="AE150" s="22"/>
      <c r="AF150" s="172"/>
      <c r="AG150" s="172"/>
      <c r="AH150" s="22"/>
      <c r="AI150" s="25"/>
      <c r="AJ150" s="25"/>
      <c r="AK150" s="25"/>
    </row>
    <row r="151" spans="2:48" ht="19.5" customHeight="1" x14ac:dyDescent="0.25">
      <c r="B151" s="24"/>
      <c r="C151" s="24" t="str">
        <f ca="1">IF(ISERROR(MATCH(C$1,INDIRECT("Table!A"&amp;$AE151):INDIRECT("Table!" &amp; $AH$253 &amp; $AE151),0)),"",INDIRECT(CONCATENATE("Table!",ADDRESS($T151,MATCH(C$1,INDIRECT("Table!A" &amp; $AE151):INDIRECT("Table!" &amp; $AH$253 &amp; $AE151),0)))))</f>
        <v/>
      </c>
      <c r="D151" s="24" t="str">
        <f ca="1">IF(ISERROR(MATCH(D$1,INDIRECT("Table!A"&amp;$AE151):INDIRECT("Table!" &amp; $AH$253 &amp; $AE151),0)),"",INDIRECT(CONCATENATE("Table!",ADDRESS($T151,MATCH(D$1,INDIRECT("Table!A" &amp; $AE151):INDIRECT("Table!" &amp; $AH$253 &amp; $AE151),0)))))</f>
        <v/>
      </c>
      <c r="E151" s="24" t="str">
        <f ca="1">IF(ISERROR(MATCH(E$1,INDIRECT("Table!A"&amp;$AE151):INDIRECT("Table!" &amp; $AH$253 &amp; $AE151),0)),"",INDIRECT(CONCATENATE("Table!",ADDRESS($T151,MATCH(E$1,INDIRECT("Table!A" &amp; $AE151):INDIRECT("Table!" &amp; $AH$253 &amp; $AE151),0)))))</f>
        <v/>
      </c>
      <c r="F151" s="24" t="str">
        <f ca="1">IF(ISERROR(MATCH(F$1,INDIRECT("Table!A"&amp;$AE151):INDIRECT("Table!" &amp; $AH$253 &amp; $AE151),0)),"",INDIRECT(CONCATENATE("Table!",ADDRESS($T151,MATCH(F$1,INDIRECT("Table!A" &amp; $AE151):INDIRECT("Table!" &amp; $AH$253 &amp; $AE151),0)))))</f>
        <v/>
      </c>
      <c r="G151" s="24" t="str">
        <f ca="1">IF(ISERROR(MATCH(G$1,INDIRECT("Table!A"&amp;$AE151):INDIRECT("Table!" &amp; $AH$253 &amp; $AE151),0)),"",INDIRECT(CONCATENATE("Table!",ADDRESS($T151,MATCH(G$1,INDIRECT("Table!A" &amp; $AE151):INDIRECT("Table!" &amp; $AH$253 &amp; $AE151),0)))))</f>
        <v/>
      </c>
      <c r="H151" s="24" t="str">
        <f ca="1">IF(ISERROR(MATCH(H$1,INDIRECT("Table!A"&amp;$AE151):INDIRECT("Table!" &amp; $AH$253 &amp; $AE151),0)),"",INDIRECT(CONCATENATE("Table!",ADDRESS($T151,MATCH(H$1,INDIRECT("Table!A" &amp; $AE151):INDIRECT("Table!" &amp; $AH$253 &amp; $AE151),0)))))</f>
        <v/>
      </c>
      <c r="I151" s="273"/>
      <c r="J151" s="273"/>
      <c r="K151" s="24" t="str">
        <f ca="1">IF(ISERROR(MATCH(L$1,INDIRECT("Table!A"&amp;$AE151):INDIRECT("Table!" &amp; $AH$253 &amp; $AE151),0)),"",INDIRECT(CONCATENATE("Table!",ADDRESS($T151,MATCH(L$1,INDIRECT("Table!A" &amp; $AE151):INDIRECT("Table!" &amp; $AH$253 &amp; $AE151),0)))))</f>
        <v/>
      </c>
      <c r="L151" s="24" t="str">
        <f ca="1">IF(ISERROR(MATCH(M$1,INDIRECT("Table!A"&amp;$AE151):INDIRECT("Table!" &amp; $AH$253 &amp; $AE151),0)),"",INDIRECT(CONCATENATE("Table!",ADDRESS($T151,MATCH(M$1,INDIRECT("Table!A" &amp; $AE151):INDIRECT("Table!" &amp; $AH$253 &amp; $AE151),0)))))</f>
        <v/>
      </c>
      <c r="M151" s="24" t="str">
        <f ca="1">IF(ISERROR(MATCH(N$1,INDIRECT("Table!A"&amp;$AE151):INDIRECT("Table!" &amp; $AH$253 &amp; $AE151),0)),"",INDIRECT(CONCATENATE("Table!",ADDRESS($T151,MATCH(N$1,INDIRECT("Table!A" &amp; $AE151):INDIRECT("Table!" &amp; $AH$253 &amp; $AE151),0)))))</f>
        <v/>
      </c>
      <c r="N151" s="24" t="str">
        <f ca="1">IF(ISERROR(MATCH(O$1,INDIRECT("Table!A"&amp;$AE151):INDIRECT("Table!" &amp; $AH$253 &amp; $AE151),0)),"",INDIRECT(CONCATENATE("Table!",ADDRESS($T151,MATCH(O$1,INDIRECT("Table!A" &amp; $AE151):INDIRECT("Table!" &amp; $AH$253 &amp; $AE151),0)))))</f>
        <v/>
      </c>
      <c r="O151" s="24" t="str">
        <f ca="1">IF(ISERROR(MATCH(P$1,INDIRECT("Table!A"&amp;$AE151):INDIRECT("Table!" &amp; $AH$253 &amp; $AE151),0)),"",INDIRECT(CONCATENATE("Table!",ADDRESS($T151,MATCH(P$1,INDIRECT("Table!A" &amp; $AE151):INDIRECT("Table!" &amp; $AH$253 &amp; $AE151),0)))))</f>
        <v/>
      </c>
      <c r="P151" s="273" t="str">
        <f ca="1">IF(ISERROR(MATCH(Q$1,INDIRECT("Table!A"&amp;$AE151):INDIRECT("Table!" &amp; $AH$253 &amp; $AE151),0)),"",INDIRECT(CONCATENATE("Table!",ADDRESS($T151,MATCH(Q$1,INDIRECT("Table!A" &amp; $AE151):INDIRECT("Table!" &amp; $AH$253 &amp; $AE151),0)))))</f>
        <v/>
      </c>
      <c r="Q151" s="172"/>
      <c r="R151" s="172"/>
      <c r="S151" s="172"/>
      <c r="T151" s="22"/>
      <c r="AC151" s="172"/>
      <c r="AD151" s="172"/>
      <c r="AE151" s="22"/>
      <c r="AF151" s="172"/>
      <c r="AG151" s="172"/>
      <c r="AH151" s="22"/>
      <c r="AI151" s="25"/>
      <c r="AJ151" s="25"/>
      <c r="AK151" s="25"/>
    </row>
    <row r="152" spans="2:48" ht="18" customHeight="1" x14ac:dyDescent="0.25">
      <c r="B152" s="24"/>
      <c r="C152" s="24" t="str">
        <f ca="1">IF(ISERROR(MATCH(C$1,INDIRECT("Table!A"&amp;$AE152):INDIRECT("Table!" &amp; $AH$253 &amp; $AE152),0)),"",INDIRECT(CONCATENATE("Table!",ADDRESS($T152,MATCH(C$1,INDIRECT("Table!A" &amp; $AE152):INDIRECT("Table!" &amp; $AH$253 &amp; $AE152),0)))))</f>
        <v/>
      </c>
      <c r="D152" s="24" t="str">
        <f ca="1">IF(ISERROR(MATCH(D$1,INDIRECT("Table!A"&amp;$AE152):INDIRECT("Table!" &amp; $AH$253 &amp; $AE152),0)),"",INDIRECT(CONCATENATE("Table!",ADDRESS($T152,MATCH(D$1,INDIRECT("Table!A" &amp; $AE152):INDIRECT("Table!" &amp; $AH$253 &amp; $AE152),0)))))</f>
        <v/>
      </c>
      <c r="E152" s="24" t="str">
        <f ca="1">IF(ISERROR(MATCH(E$1,INDIRECT("Table!A"&amp;$AE152):INDIRECT("Table!" &amp; $AH$253 &amp; $AE152),0)),"",INDIRECT(CONCATENATE("Table!",ADDRESS($T152,MATCH(E$1,INDIRECT("Table!A" &amp; $AE152):INDIRECT("Table!" &amp; $AH$253 &amp; $AE152),0)))))</f>
        <v/>
      </c>
      <c r="F152" s="24" t="str">
        <f ca="1">IF(ISERROR(MATCH(F$1,INDIRECT("Table!A"&amp;$AE152):INDIRECT("Table!" &amp; $AH$253 &amp; $AE152),0)),"",INDIRECT(CONCATENATE("Table!",ADDRESS($T152,MATCH(F$1,INDIRECT("Table!A" &amp; $AE152):INDIRECT("Table!" &amp; $AH$253 &amp; $AE152),0)))))</f>
        <v/>
      </c>
      <c r="G152" s="24" t="str">
        <f ca="1">IF(ISERROR(MATCH(G$1,INDIRECT("Table!A"&amp;$AE152):INDIRECT("Table!" &amp; $AH$253 &amp; $AE152),0)),"",INDIRECT(CONCATENATE("Table!",ADDRESS($T152,MATCH(G$1,INDIRECT("Table!A" &amp; $AE152):INDIRECT("Table!" &amp; $AH$253 &amp; $AE152),0)))))</f>
        <v/>
      </c>
      <c r="H152" s="24" t="str">
        <f ca="1">IF(ISERROR(MATCH(H$1,INDIRECT("Table!A"&amp;$AE152):INDIRECT("Table!" &amp; $AH$253 &amp; $AE152),0)),"",INDIRECT(CONCATENATE("Table!",ADDRESS($T152,MATCH(H$1,INDIRECT("Table!A" &amp; $AE152):INDIRECT("Table!" &amp; $AH$253 &amp; $AE152),0)))))</f>
        <v/>
      </c>
      <c r="I152" s="273"/>
      <c r="J152" s="273"/>
      <c r="K152" s="24" t="str">
        <f ca="1">IF(ISERROR(MATCH(L$1,INDIRECT("Table!A"&amp;$AE152):INDIRECT("Table!" &amp; $AH$253 &amp; $AE152),0)),"",INDIRECT(CONCATENATE("Table!",ADDRESS($T152,MATCH(L$1,INDIRECT("Table!A" &amp; $AE152):INDIRECT("Table!" &amp; $AH$253 &amp; $AE152),0)))))</f>
        <v/>
      </c>
      <c r="L152" s="24" t="str">
        <f ca="1">IF(ISERROR(MATCH(M$1,INDIRECT("Table!A"&amp;$AE152):INDIRECT("Table!" &amp; $AH$253 &amp; $AE152),0)),"",INDIRECT(CONCATENATE("Table!",ADDRESS($T152,MATCH(M$1,INDIRECT("Table!A" &amp; $AE152):INDIRECT("Table!" &amp; $AH$253 &amp; $AE152),0)))))</f>
        <v/>
      </c>
      <c r="M152" s="24" t="str">
        <f ca="1">IF(ISERROR(MATCH(N$1,INDIRECT("Table!A"&amp;$AE152):INDIRECT("Table!" &amp; $AH$253 &amp; $AE152),0)),"",INDIRECT(CONCATENATE("Table!",ADDRESS($T152,MATCH(N$1,INDIRECT("Table!A" &amp; $AE152):INDIRECT("Table!" &amp; $AH$253 &amp; $AE152),0)))))</f>
        <v/>
      </c>
      <c r="N152" s="24" t="str">
        <f ca="1">IF(ISERROR(MATCH(O$1,INDIRECT("Table!A"&amp;$AE152):INDIRECT("Table!" &amp; $AH$253 &amp; $AE152),0)),"",INDIRECT(CONCATENATE("Table!",ADDRESS($T152,MATCH(O$1,INDIRECT("Table!A" &amp; $AE152):INDIRECT("Table!" &amp; $AH$253 &amp; $AE152),0)))))</f>
        <v/>
      </c>
      <c r="O152" s="24" t="str">
        <f ca="1">IF(ISERROR(MATCH(P$1,INDIRECT("Table!A"&amp;$AE152):INDIRECT("Table!" &amp; $AH$253 &amp; $AE152),0)),"",INDIRECT(CONCATENATE("Table!",ADDRESS($T152,MATCH(P$1,INDIRECT("Table!A" &amp; $AE152):INDIRECT("Table!" &amp; $AH$253 &amp; $AE152),0)))))</f>
        <v/>
      </c>
      <c r="P152" s="273" t="str">
        <f ca="1">IF(ISERROR(MATCH(Q$1,INDIRECT("Table!A"&amp;$AE152):INDIRECT("Table!" &amp; $AH$253 &amp; $AE152),0)),"",INDIRECT(CONCATENATE("Table!",ADDRESS($T152,MATCH(Q$1,INDIRECT("Table!A" &amp; $AE152):INDIRECT("Table!" &amp; $AH$253 &amp; $AE152),0)))))</f>
        <v/>
      </c>
      <c r="Q152" s="171"/>
      <c r="R152" s="171"/>
      <c r="S152" s="171"/>
      <c r="T152" s="22"/>
      <c r="AC152" s="171"/>
      <c r="AD152" s="171"/>
      <c r="AE152" s="22"/>
      <c r="AF152" s="171"/>
      <c r="AG152" s="171"/>
      <c r="AH152" s="22"/>
      <c r="AI152" s="25"/>
      <c r="AJ152" s="25"/>
      <c r="AK152" s="25"/>
    </row>
    <row r="153" spans="2:48" ht="18" customHeight="1" x14ac:dyDescent="0.25">
      <c r="B153" s="24"/>
      <c r="C153" s="24" t="str">
        <f ca="1">IF(ISERROR(MATCH(C$1,INDIRECT("Table!A"&amp;$AE153):INDIRECT("Table!" &amp; $AH$253 &amp; $AE153),0)),"",INDIRECT(CONCATENATE("Table!",ADDRESS($T153,MATCH(C$1,INDIRECT("Table!A" &amp; $AE153):INDIRECT("Table!" &amp; $AH$253 &amp; $AE153),0)))))</f>
        <v/>
      </c>
      <c r="D153" s="24" t="str">
        <f ca="1">IF(ISERROR(MATCH(D$1,INDIRECT("Table!A"&amp;$AE153):INDIRECT("Table!" &amp; $AH$253 &amp; $AE153),0)),"",INDIRECT(CONCATENATE("Table!",ADDRESS($T153,MATCH(D$1,INDIRECT("Table!A" &amp; $AE153):INDIRECT("Table!" &amp; $AH$253 &amp; $AE153),0)))))</f>
        <v/>
      </c>
      <c r="E153" s="24" t="str">
        <f ca="1">IF(ISERROR(MATCH(E$1,INDIRECT("Table!A"&amp;$AE153):INDIRECT("Table!" &amp; $AH$253 &amp; $AE153),0)),"",INDIRECT(CONCATENATE("Table!",ADDRESS($T153,MATCH(E$1,INDIRECT("Table!A" &amp; $AE153):INDIRECT("Table!" &amp; $AH$253 &amp; $AE153),0)))))</f>
        <v/>
      </c>
      <c r="F153" s="24" t="str">
        <f ca="1">IF(ISERROR(MATCH(F$1,INDIRECT("Table!A"&amp;$AE153):INDIRECT("Table!" &amp; $AH$253 &amp; $AE153),0)),"",INDIRECT(CONCATENATE("Table!",ADDRESS($T153,MATCH(F$1,INDIRECT("Table!A" &amp; $AE153):INDIRECT("Table!" &amp; $AH$253 &amp; $AE153),0)))))</f>
        <v/>
      </c>
      <c r="G153" s="24" t="str">
        <f ca="1">IF(ISERROR(MATCH(G$1,INDIRECT("Table!A"&amp;$AE153):INDIRECT("Table!" &amp; $AH$253 &amp; $AE153),0)),"",INDIRECT(CONCATENATE("Table!",ADDRESS($T153,MATCH(G$1,INDIRECT("Table!A" &amp; $AE153):INDIRECT("Table!" &amp; $AH$253 &amp; $AE153),0)))))</f>
        <v/>
      </c>
      <c r="H153" s="24" t="str">
        <f ca="1">IF(ISERROR(MATCH(H$1,INDIRECT("Table!A"&amp;$AE153):INDIRECT("Table!" &amp; $AH$253 &amp; $AE153),0)),"",INDIRECT(CONCATENATE("Table!",ADDRESS($T153,MATCH(H$1,INDIRECT("Table!A" &amp; $AE153):INDIRECT("Table!" &amp; $AH$253 &amp; $AE153),0)))))</f>
        <v/>
      </c>
      <c r="I153" s="273"/>
      <c r="J153" s="273"/>
      <c r="K153" s="24" t="str">
        <f ca="1">IF(ISERROR(MATCH(L$1,INDIRECT("Table!A"&amp;$AE153):INDIRECT("Table!" &amp; $AH$253 &amp; $AE153),0)),"",INDIRECT(CONCATENATE("Table!",ADDRESS($T153,MATCH(L$1,INDIRECT("Table!A" &amp; $AE153):INDIRECT("Table!" &amp; $AH$253 &amp; $AE153),0)))))</f>
        <v/>
      </c>
      <c r="L153" s="24" t="str">
        <f ca="1">IF(ISERROR(MATCH(M$1,INDIRECT("Table!A"&amp;$AE153):INDIRECT("Table!" &amp; $AH$253 &amp; $AE153),0)),"",INDIRECT(CONCATENATE("Table!",ADDRESS($T153,MATCH(M$1,INDIRECT("Table!A" &amp; $AE153):INDIRECT("Table!" &amp; $AH$253 &amp; $AE153),0)))))</f>
        <v/>
      </c>
      <c r="M153" s="24" t="str">
        <f ca="1">IF(ISERROR(MATCH(N$1,INDIRECT("Table!A"&amp;$AE153):INDIRECT("Table!" &amp; $AH$253 &amp; $AE153),0)),"",INDIRECT(CONCATENATE("Table!",ADDRESS($T153,MATCH(N$1,INDIRECT("Table!A" &amp; $AE153):INDIRECT("Table!" &amp; $AH$253 &amp; $AE153),0)))))</f>
        <v/>
      </c>
      <c r="N153" s="24" t="str">
        <f ca="1">IF(ISERROR(MATCH(O$1,INDIRECT("Table!A"&amp;$AE153):INDIRECT("Table!" &amp; $AH$253 &amp; $AE153),0)),"",INDIRECT(CONCATENATE("Table!",ADDRESS($T153,MATCH(O$1,INDIRECT("Table!A" &amp; $AE153):INDIRECT("Table!" &amp; $AH$253 &amp; $AE153),0)))))</f>
        <v/>
      </c>
      <c r="O153" s="24" t="str">
        <f ca="1">IF(ISERROR(MATCH(P$1,INDIRECT("Table!A"&amp;$AE153):INDIRECT("Table!" &amp; $AH$253 &amp; $AE153),0)),"",INDIRECT(CONCATENATE("Table!",ADDRESS($T153,MATCH(P$1,INDIRECT("Table!A" &amp; $AE153):INDIRECT("Table!" &amp; $AH$253 &amp; $AE153),0)))))</f>
        <v/>
      </c>
      <c r="P153" s="273" t="str">
        <f ca="1">IF(ISERROR(MATCH(Q$1,INDIRECT("Table!A"&amp;$AE153):INDIRECT("Table!" &amp; $AH$253 &amp; $AE153),0)),"",INDIRECT(CONCATENATE("Table!",ADDRESS($T153,MATCH(Q$1,INDIRECT("Table!A" &amp; $AE153):INDIRECT("Table!" &amp; $AH$253 &amp; $AE153),0)))))</f>
        <v/>
      </c>
      <c r="Q153" s="170"/>
      <c r="R153" s="170"/>
      <c r="S153" s="170"/>
      <c r="T153" s="22"/>
      <c r="AC153" s="170"/>
      <c r="AD153" s="170"/>
      <c r="AE153" s="22"/>
      <c r="AF153" s="170"/>
      <c r="AG153" s="170"/>
      <c r="AH153" s="22"/>
      <c r="AI153" s="25"/>
      <c r="AJ153" s="25"/>
      <c r="AK153" s="25"/>
    </row>
    <row r="154" spans="2:48" ht="18" customHeight="1" x14ac:dyDescent="0.25">
      <c r="B154" s="24"/>
      <c r="C154" s="24" t="str">
        <f ca="1">IF(ISERROR(MATCH(C$1,INDIRECT("Table!A"&amp;$AE154):INDIRECT("Table!" &amp; $AH$253 &amp; $AE154),0)),"",INDIRECT(CONCATENATE("Table!",ADDRESS($T154,MATCH(C$1,INDIRECT("Table!A" &amp; $AE154):INDIRECT("Table!" &amp; $AH$253 &amp; $AE154),0)))))</f>
        <v/>
      </c>
      <c r="D154" s="24" t="str">
        <f ca="1">IF(ISERROR(MATCH(D$1,INDIRECT("Table!A"&amp;$AE154):INDIRECT("Table!" &amp; $AH$253 &amp; $AE154),0)),"",INDIRECT(CONCATENATE("Table!",ADDRESS($T154,MATCH(D$1,INDIRECT("Table!A" &amp; $AE154):INDIRECT("Table!" &amp; $AH$253 &amp; $AE154),0)))))</f>
        <v/>
      </c>
      <c r="E154" s="24" t="str">
        <f ca="1">IF(ISERROR(MATCH(E$1,INDIRECT("Table!A"&amp;$AE154):INDIRECT("Table!" &amp; $AH$253 &amp; $AE154),0)),"",INDIRECT(CONCATENATE("Table!",ADDRESS($T154,MATCH(E$1,INDIRECT("Table!A" &amp; $AE154):INDIRECT("Table!" &amp; $AH$253 &amp; $AE154),0)))))</f>
        <v/>
      </c>
      <c r="F154" s="24" t="str">
        <f ca="1">IF(ISERROR(MATCH(F$1,INDIRECT("Table!A"&amp;$AE154):INDIRECT("Table!" &amp; $AH$253 &amp; $AE154),0)),"",INDIRECT(CONCATENATE("Table!",ADDRESS($T154,MATCH(F$1,INDIRECT("Table!A" &amp; $AE154):INDIRECT("Table!" &amp; $AH$253 &amp; $AE154),0)))))</f>
        <v/>
      </c>
      <c r="G154" s="24" t="str">
        <f ca="1">IF(ISERROR(MATCH(G$1,INDIRECT("Table!A"&amp;$AE154):INDIRECT("Table!" &amp; $AH$253 &amp; $AE154),0)),"",INDIRECT(CONCATENATE("Table!",ADDRESS($T154,MATCH(G$1,INDIRECT("Table!A" &amp; $AE154):INDIRECT("Table!" &amp; $AH$253 &amp; $AE154),0)))))</f>
        <v/>
      </c>
      <c r="H154" s="24" t="str">
        <f ca="1">IF(ISERROR(MATCH(H$1,INDIRECT("Table!A"&amp;$AE154):INDIRECT("Table!" &amp; $AH$253 &amp; $AE154),0)),"",INDIRECT(CONCATENATE("Table!",ADDRESS($T154,MATCH(H$1,INDIRECT("Table!A" &amp; $AE154):INDIRECT("Table!" &amp; $AH$253 &amp; $AE154),0)))))</f>
        <v/>
      </c>
      <c r="I154" s="273"/>
      <c r="J154" s="273"/>
      <c r="K154" s="24" t="str">
        <f ca="1">IF(ISERROR(MATCH(L$1,INDIRECT("Table!A"&amp;$AE154):INDIRECT("Table!" &amp; $AH$253 &amp; $AE154),0)),"",INDIRECT(CONCATENATE("Table!",ADDRESS($T154,MATCH(L$1,INDIRECT("Table!A" &amp; $AE154):INDIRECT("Table!" &amp; $AH$253 &amp; $AE154),0)))))</f>
        <v/>
      </c>
      <c r="L154" s="24" t="str">
        <f ca="1">IF(ISERROR(MATCH(M$1,INDIRECT("Table!A"&amp;$AE154):INDIRECT("Table!" &amp; $AH$253 &amp; $AE154),0)),"",INDIRECT(CONCATENATE("Table!",ADDRESS($T154,MATCH(M$1,INDIRECT("Table!A" &amp; $AE154):INDIRECT("Table!" &amp; $AH$253 &amp; $AE154),0)))))</f>
        <v/>
      </c>
      <c r="M154" s="24" t="str">
        <f ca="1">IF(ISERROR(MATCH(N$1,INDIRECT("Table!A"&amp;$AE154):INDIRECT("Table!" &amp; $AH$253 &amp; $AE154),0)),"",INDIRECT(CONCATENATE("Table!",ADDRESS($T154,MATCH(N$1,INDIRECT("Table!A" &amp; $AE154):INDIRECT("Table!" &amp; $AH$253 &amp; $AE154),0)))))</f>
        <v/>
      </c>
      <c r="N154" s="24" t="str">
        <f ca="1">IF(ISERROR(MATCH(O$1,INDIRECT("Table!A"&amp;$AE154):INDIRECT("Table!" &amp; $AH$253 &amp; $AE154),0)),"",INDIRECT(CONCATENATE("Table!",ADDRESS($T154,MATCH(O$1,INDIRECT("Table!A" &amp; $AE154):INDIRECT("Table!" &amp; $AH$253 &amp; $AE154),0)))))</f>
        <v/>
      </c>
      <c r="O154" s="24" t="str">
        <f ca="1">IF(ISERROR(MATCH(P$1,INDIRECT("Table!A"&amp;$AE154):INDIRECT("Table!" &amp; $AH$253 &amp; $AE154),0)),"",INDIRECT(CONCATENATE("Table!",ADDRESS($T154,MATCH(P$1,INDIRECT("Table!A" &amp; $AE154):INDIRECT("Table!" &amp; $AH$253 &amp; $AE154),0)))))</f>
        <v/>
      </c>
      <c r="P154" s="273" t="str">
        <f ca="1">IF(ISERROR(MATCH(Q$1,INDIRECT("Table!A"&amp;$AE154):INDIRECT("Table!" &amp; $AH$253 &amp; $AE154),0)),"",INDIRECT(CONCATENATE("Table!",ADDRESS($T154,MATCH(Q$1,INDIRECT("Table!A" &amp; $AE154):INDIRECT("Table!" &amp; $AH$253 &amp; $AE154),0)))))</f>
        <v/>
      </c>
      <c r="Q154" s="169"/>
      <c r="R154" s="169"/>
      <c r="S154" s="169"/>
      <c r="T154" s="22"/>
      <c r="AC154" s="169"/>
      <c r="AD154" s="169"/>
      <c r="AE154" s="22"/>
      <c r="AF154" s="169"/>
      <c r="AG154" s="169"/>
      <c r="AH154" s="22"/>
      <c r="AI154" s="25"/>
      <c r="AJ154" s="25"/>
      <c r="AK154" s="25"/>
    </row>
    <row r="155" spans="2:48" ht="18" customHeight="1" x14ac:dyDescent="0.25">
      <c r="B155" s="24"/>
      <c r="C155" s="24" t="str">
        <f ca="1">IF(ISERROR(MATCH(C$1,INDIRECT("Table!A"&amp;$AE155):INDIRECT("Table!" &amp; $AH$253 &amp; $AE155),0)),"",INDIRECT(CONCATENATE("Table!",ADDRESS($T155,MATCH(C$1,INDIRECT("Table!A" &amp; $AE155):INDIRECT("Table!" &amp; $AH$253 &amp; $AE155),0)))))</f>
        <v/>
      </c>
      <c r="D155" s="24" t="str">
        <f ca="1">IF(ISERROR(MATCH(D$1,INDIRECT("Table!A"&amp;$AE155):INDIRECT("Table!" &amp; $AH$253 &amp; $AE155),0)),"",INDIRECT(CONCATENATE("Table!",ADDRESS($T155,MATCH(D$1,INDIRECT("Table!A" &amp; $AE155):INDIRECT("Table!" &amp; $AH$253 &amp; $AE155),0)))))</f>
        <v/>
      </c>
      <c r="E155" s="24" t="str">
        <f ca="1">IF(ISERROR(MATCH(E$1,INDIRECT("Table!A"&amp;$AE155):INDIRECT("Table!" &amp; $AH$253 &amp; $AE155),0)),"",INDIRECT(CONCATENATE("Table!",ADDRESS($T155,MATCH(E$1,INDIRECT("Table!A" &amp; $AE155):INDIRECT("Table!" &amp; $AH$253 &amp; $AE155),0)))))</f>
        <v/>
      </c>
      <c r="F155" s="24" t="str">
        <f ca="1">IF(ISERROR(MATCH(F$1,INDIRECT("Table!A"&amp;$AE155):INDIRECT("Table!" &amp; $AH$253 &amp; $AE155),0)),"",INDIRECT(CONCATENATE("Table!",ADDRESS($T155,MATCH(F$1,INDIRECT("Table!A" &amp; $AE155):INDIRECT("Table!" &amp; $AH$253 &amp; $AE155),0)))))</f>
        <v/>
      </c>
      <c r="G155" s="24" t="str">
        <f ca="1">IF(ISERROR(MATCH(G$1,INDIRECT("Table!A"&amp;$AE155):INDIRECT("Table!" &amp; $AH$253 &amp; $AE155),0)),"",INDIRECT(CONCATENATE("Table!",ADDRESS($T155,MATCH(G$1,INDIRECT("Table!A" &amp; $AE155):INDIRECT("Table!" &amp; $AH$253 &amp; $AE155),0)))))</f>
        <v/>
      </c>
      <c r="H155" s="24" t="str">
        <f ca="1">IF(ISERROR(MATCH(H$1,INDIRECT("Table!A"&amp;$AE155):INDIRECT("Table!" &amp; $AH$253 &amp; $AE155),0)),"",INDIRECT(CONCATENATE("Table!",ADDRESS($T155,MATCH(H$1,INDIRECT("Table!A" &amp; $AE155):INDIRECT("Table!" &amp; $AH$253 &amp; $AE155),0)))))</f>
        <v/>
      </c>
      <c r="I155" s="273"/>
      <c r="J155" s="273"/>
      <c r="K155" s="24" t="str">
        <f ca="1">IF(ISERROR(MATCH(L$1,INDIRECT("Table!A"&amp;$AE155):INDIRECT("Table!" &amp; $AH$253 &amp; $AE155),0)),"",INDIRECT(CONCATENATE("Table!",ADDRESS($T155,MATCH(L$1,INDIRECT("Table!A" &amp; $AE155):INDIRECT("Table!" &amp; $AH$253 &amp; $AE155),0)))))</f>
        <v/>
      </c>
      <c r="L155" s="24" t="str">
        <f ca="1">IF(ISERROR(MATCH(M$1,INDIRECT("Table!A"&amp;$AE155):INDIRECT("Table!" &amp; $AH$253 &amp; $AE155),0)),"",INDIRECT(CONCATENATE("Table!",ADDRESS($T155,MATCH(M$1,INDIRECT("Table!A" &amp; $AE155):INDIRECT("Table!" &amp; $AH$253 &amp; $AE155),0)))))</f>
        <v/>
      </c>
      <c r="M155" s="24" t="str">
        <f ca="1">IF(ISERROR(MATCH(N$1,INDIRECT("Table!A"&amp;$AE155):INDIRECT("Table!" &amp; $AH$253 &amp; $AE155),0)),"",INDIRECT(CONCATENATE("Table!",ADDRESS($T155,MATCH(N$1,INDIRECT("Table!A" &amp; $AE155):INDIRECT("Table!" &amp; $AH$253 &amp; $AE155),0)))))</f>
        <v/>
      </c>
      <c r="N155" s="24" t="str">
        <f ca="1">IF(ISERROR(MATCH(O$1,INDIRECT("Table!A"&amp;$AE155):INDIRECT("Table!" &amp; $AH$253 &amp; $AE155),0)),"",INDIRECT(CONCATENATE("Table!",ADDRESS($T155,MATCH(O$1,INDIRECT("Table!A" &amp; $AE155):INDIRECT("Table!" &amp; $AH$253 &amp; $AE155),0)))))</f>
        <v/>
      </c>
      <c r="O155" s="24" t="str">
        <f ca="1">IF(ISERROR(MATCH(P$1,INDIRECT("Table!A"&amp;$AE155):INDIRECT("Table!" &amp; $AH$253 &amp; $AE155),0)),"",INDIRECT(CONCATENATE("Table!",ADDRESS($T155,MATCH(P$1,INDIRECT("Table!A" &amp; $AE155):INDIRECT("Table!" &amp; $AH$253 &amp; $AE155),0)))))</f>
        <v/>
      </c>
      <c r="P155" s="273" t="str">
        <f ca="1">IF(ISERROR(MATCH(Q$1,INDIRECT("Table!A"&amp;$AE155):INDIRECT("Table!" &amp; $AH$253 &amp; $AE155),0)),"",INDIRECT(CONCATENATE("Table!",ADDRESS($T155,MATCH(Q$1,INDIRECT("Table!A" &amp; $AE155):INDIRECT("Table!" &amp; $AH$253 &amp; $AE155),0)))))</f>
        <v/>
      </c>
      <c r="Q155" s="168"/>
      <c r="R155" s="168"/>
      <c r="S155" s="168"/>
      <c r="T155" s="22"/>
      <c r="AC155" s="168"/>
      <c r="AD155" s="168"/>
      <c r="AE155" s="22"/>
      <c r="AF155" s="168"/>
      <c r="AG155" s="168"/>
      <c r="AH155" s="22"/>
      <c r="AI155" s="25"/>
      <c r="AJ155" s="25"/>
      <c r="AK155" s="25"/>
    </row>
    <row r="156" spans="2:48" ht="18" customHeight="1" x14ac:dyDescent="0.25">
      <c r="B156" s="24"/>
      <c r="C156" s="24" t="str">
        <f ca="1">IF(ISERROR(MATCH(C$1,INDIRECT("Table!A"&amp;$AE156):INDIRECT("Table!" &amp; $AH$253 &amp; $AE156),0)),"",INDIRECT(CONCATENATE("Table!",ADDRESS($T156,MATCH(C$1,INDIRECT("Table!A" &amp; $AE156):INDIRECT("Table!" &amp; $AH$253 &amp; $AE156),0)))))</f>
        <v/>
      </c>
      <c r="D156" s="24" t="str">
        <f ca="1">IF(ISERROR(MATCH(D$1,INDIRECT("Table!A"&amp;$AE156):INDIRECT("Table!" &amp; $AH$253 &amp; $AE156),0)),"",INDIRECT(CONCATENATE("Table!",ADDRESS($T156,MATCH(D$1,INDIRECT("Table!A" &amp; $AE156):INDIRECT("Table!" &amp; $AH$253 &amp; $AE156),0)))))</f>
        <v/>
      </c>
      <c r="E156" s="24" t="str">
        <f ca="1">IF(ISERROR(MATCH(E$1,INDIRECT("Table!A"&amp;$AE156):INDIRECT("Table!" &amp; $AH$253 &amp; $AE156),0)),"",INDIRECT(CONCATENATE("Table!",ADDRESS($T156,MATCH(E$1,INDIRECT("Table!A" &amp; $AE156):INDIRECT("Table!" &amp; $AH$253 &amp; $AE156),0)))))</f>
        <v/>
      </c>
      <c r="F156" s="24" t="str">
        <f ca="1">IF(ISERROR(MATCH(F$1,INDIRECT("Table!A"&amp;$AE156):INDIRECT("Table!" &amp; $AH$253 &amp; $AE156),0)),"",INDIRECT(CONCATENATE("Table!",ADDRESS($T156,MATCH(F$1,INDIRECT("Table!A" &amp; $AE156):INDIRECT("Table!" &amp; $AH$253 &amp; $AE156),0)))))</f>
        <v/>
      </c>
      <c r="G156" s="24" t="str">
        <f ca="1">IF(ISERROR(MATCH(G$1,INDIRECT("Table!A"&amp;$AE156):INDIRECT("Table!" &amp; $AH$253 &amp; $AE156),0)),"",INDIRECT(CONCATENATE("Table!",ADDRESS($T156,MATCH(G$1,INDIRECT("Table!A" &amp; $AE156):INDIRECT("Table!" &amp; $AH$253 &amp; $AE156),0)))))</f>
        <v/>
      </c>
      <c r="H156" s="24" t="str">
        <f ca="1">IF(ISERROR(MATCH(H$1,INDIRECT("Table!A"&amp;$AE156):INDIRECT("Table!" &amp; $AH$253 &amp; $AE156),0)),"",INDIRECT(CONCATENATE("Table!",ADDRESS($T156,MATCH(H$1,INDIRECT("Table!A" &amp; $AE156):INDIRECT("Table!" &amp; $AH$253 &amp; $AE156),0)))))</f>
        <v/>
      </c>
      <c r="I156" s="273"/>
      <c r="J156" s="273"/>
      <c r="K156" s="24" t="str">
        <f ca="1">IF(ISERROR(MATCH(L$1,INDIRECT("Table!A"&amp;$AE156):INDIRECT("Table!" &amp; $AH$253 &amp; $AE156),0)),"",INDIRECT(CONCATENATE("Table!",ADDRESS($T156,MATCH(L$1,INDIRECT("Table!A" &amp; $AE156):INDIRECT("Table!" &amp; $AH$253 &amp; $AE156),0)))))</f>
        <v/>
      </c>
      <c r="L156" s="24" t="str">
        <f ca="1">IF(ISERROR(MATCH(M$1,INDIRECT("Table!A"&amp;$AE156):INDIRECT("Table!" &amp; $AH$253 &amp; $AE156),0)),"",INDIRECT(CONCATENATE("Table!",ADDRESS($T156,MATCH(M$1,INDIRECT("Table!A" &amp; $AE156):INDIRECT("Table!" &amp; $AH$253 &amp; $AE156),0)))))</f>
        <v/>
      </c>
      <c r="M156" s="24" t="str">
        <f ca="1">IF(ISERROR(MATCH(N$1,INDIRECT("Table!A"&amp;$AE156):INDIRECT("Table!" &amp; $AH$253 &amp; $AE156),0)),"",INDIRECT(CONCATENATE("Table!",ADDRESS($T156,MATCH(N$1,INDIRECT("Table!A" &amp; $AE156):INDIRECT("Table!" &amp; $AH$253 &amp; $AE156),0)))))</f>
        <v/>
      </c>
      <c r="N156" s="24" t="str">
        <f ca="1">IF(ISERROR(MATCH(O$1,INDIRECT("Table!A"&amp;$AE156):INDIRECT("Table!" &amp; $AH$253 &amp; $AE156),0)),"",INDIRECT(CONCATENATE("Table!",ADDRESS($T156,MATCH(O$1,INDIRECT("Table!A" &amp; $AE156):INDIRECT("Table!" &amp; $AH$253 &amp; $AE156),0)))))</f>
        <v/>
      </c>
      <c r="O156" s="24" t="str">
        <f ca="1">IF(ISERROR(MATCH(P$1,INDIRECT("Table!A"&amp;$AE156):INDIRECT("Table!" &amp; $AH$253 &amp; $AE156),0)),"",INDIRECT(CONCATENATE("Table!",ADDRESS($T156,MATCH(P$1,INDIRECT("Table!A" &amp; $AE156):INDIRECT("Table!" &amp; $AH$253 &amp; $AE156),0)))))</f>
        <v/>
      </c>
      <c r="P156" s="273" t="str">
        <f ca="1">IF(ISERROR(MATCH(Q$1,INDIRECT("Table!A"&amp;$AE156):INDIRECT("Table!" &amp; $AH$253 &amp; $AE156),0)),"",INDIRECT(CONCATENATE("Table!",ADDRESS($T156,MATCH(Q$1,INDIRECT("Table!A" &amp; $AE156):INDIRECT("Table!" &amp; $AH$253 &amp; $AE156),0)))))</f>
        <v/>
      </c>
      <c r="Q156" s="167"/>
      <c r="R156" s="167"/>
      <c r="S156" s="167"/>
      <c r="T156" s="22"/>
      <c r="AC156" s="167"/>
      <c r="AD156" s="167"/>
      <c r="AE156" s="22"/>
      <c r="AF156" s="167"/>
      <c r="AG156" s="167"/>
      <c r="AH156" s="22"/>
      <c r="AI156" s="25"/>
      <c r="AJ156" s="25"/>
      <c r="AK156" s="25"/>
    </row>
    <row r="157" spans="2:48" ht="18" customHeight="1" x14ac:dyDescent="0.25">
      <c r="B157" s="24"/>
      <c r="C157" s="24" t="str">
        <f ca="1">IF(ISERROR(MATCH(C$1,INDIRECT("Table!A"&amp;$AE157):INDIRECT("Table!" &amp; $AH$253 &amp; $AE157),0)),"",INDIRECT(CONCATENATE("Table!",ADDRESS($T157,MATCH(C$1,INDIRECT("Table!A" &amp; $AE157):INDIRECT("Table!" &amp; $AH$253 &amp; $AE157),0)))))</f>
        <v/>
      </c>
      <c r="D157" s="24" t="str">
        <f ca="1">IF(ISERROR(MATCH(D$1,INDIRECT("Table!A"&amp;$AE157):INDIRECT("Table!" &amp; $AH$253 &amp; $AE157),0)),"",INDIRECT(CONCATENATE("Table!",ADDRESS($T157,MATCH(D$1,INDIRECT("Table!A" &amp; $AE157):INDIRECT("Table!" &amp; $AH$253 &amp; $AE157),0)))))</f>
        <v/>
      </c>
      <c r="E157" s="24" t="str">
        <f ca="1">IF(ISERROR(MATCH(E$1,INDIRECT("Table!A"&amp;$AE157):INDIRECT("Table!" &amp; $AH$253 &amp; $AE157),0)),"",INDIRECT(CONCATENATE("Table!",ADDRESS($T157,MATCH(E$1,INDIRECT("Table!A" &amp; $AE157):INDIRECT("Table!" &amp; $AH$253 &amp; $AE157),0)))))</f>
        <v/>
      </c>
      <c r="F157" s="24" t="str">
        <f ca="1">IF(ISERROR(MATCH(F$1,INDIRECT("Table!A"&amp;$AE157):INDIRECT("Table!" &amp; $AH$253 &amp; $AE157),0)),"",INDIRECT(CONCATENATE("Table!",ADDRESS($T157,MATCH(F$1,INDIRECT("Table!A" &amp; $AE157):INDIRECT("Table!" &amp; $AH$253 &amp; $AE157),0)))))</f>
        <v/>
      </c>
      <c r="G157" s="24" t="str">
        <f ca="1">IF(ISERROR(MATCH(G$1,INDIRECT("Table!A"&amp;$AE157):INDIRECT("Table!" &amp; $AH$253 &amp; $AE157),0)),"",INDIRECT(CONCATENATE("Table!",ADDRESS($T157,MATCH(G$1,INDIRECT("Table!A" &amp; $AE157):INDIRECT("Table!" &amp; $AH$253 &amp; $AE157),0)))))</f>
        <v/>
      </c>
      <c r="H157" s="24" t="str">
        <f ca="1">IF(ISERROR(MATCH(H$1,INDIRECT("Table!A"&amp;$AE157):INDIRECT("Table!" &amp; $AH$253 &amp; $AE157),0)),"",INDIRECT(CONCATENATE("Table!",ADDRESS($T157,MATCH(H$1,INDIRECT("Table!A" &amp; $AE157):INDIRECT("Table!" &amp; $AH$253 &amp; $AE157),0)))))</f>
        <v/>
      </c>
      <c r="I157" s="273"/>
      <c r="J157" s="273"/>
      <c r="K157" s="24" t="str">
        <f ca="1">IF(ISERROR(MATCH(L$1,INDIRECT("Table!A"&amp;$AE157):INDIRECT("Table!" &amp; $AH$253 &amp; $AE157),0)),"",INDIRECT(CONCATENATE("Table!",ADDRESS($T157,MATCH(L$1,INDIRECT("Table!A" &amp; $AE157):INDIRECT("Table!" &amp; $AH$253 &amp; $AE157),0)))))</f>
        <v/>
      </c>
      <c r="L157" s="24" t="str">
        <f ca="1">IF(ISERROR(MATCH(M$1,INDIRECT("Table!A"&amp;$AE157):INDIRECT("Table!" &amp; $AH$253 &amp; $AE157),0)),"",INDIRECT(CONCATENATE("Table!",ADDRESS($T157,MATCH(M$1,INDIRECT("Table!A" &amp; $AE157):INDIRECT("Table!" &amp; $AH$253 &amp; $AE157),0)))))</f>
        <v/>
      </c>
      <c r="M157" s="24" t="str">
        <f ca="1">IF(ISERROR(MATCH(N$1,INDIRECT("Table!A"&amp;$AE157):INDIRECT("Table!" &amp; $AH$253 &amp; $AE157),0)),"",INDIRECT(CONCATENATE("Table!",ADDRESS($T157,MATCH(N$1,INDIRECT("Table!A" &amp; $AE157):INDIRECT("Table!" &amp; $AH$253 &amp; $AE157),0)))))</f>
        <v/>
      </c>
      <c r="N157" s="24" t="str">
        <f ca="1">IF(ISERROR(MATCH(O$1,INDIRECT("Table!A"&amp;$AE157):INDIRECT("Table!" &amp; $AH$253 &amp; $AE157),0)),"",INDIRECT(CONCATENATE("Table!",ADDRESS($T157,MATCH(O$1,INDIRECT("Table!A" &amp; $AE157):INDIRECT("Table!" &amp; $AH$253 &amp; $AE157),0)))))</f>
        <v/>
      </c>
      <c r="O157" s="24" t="str">
        <f ca="1">IF(ISERROR(MATCH(P$1,INDIRECT("Table!A"&amp;$AE157):INDIRECT("Table!" &amp; $AH$253 &amp; $AE157),0)),"",INDIRECT(CONCATENATE("Table!",ADDRESS($T157,MATCH(P$1,INDIRECT("Table!A" &amp; $AE157):INDIRECT("Table!" &amp; $AH$253 &amp; $AE157),0)))))</f>
        <v/>
      </c>
      <c r="P157" s="273" t="str">
        <f ca="1">IF(ISERROR(MATCH(Q$1,INDIRECT("Table!A"&amp;$AE157):INDIRECT("Table!" &amp; $AH$253 &amp; $AE157),0)),"",INDIRECT(CONCATENATE("Table!",ADDRESS($T157,MATCH(Q$1,INDIRECT("Table!A" &amp; $AE157):INDIRECT("Table!" &amp; $AH$253 &amp; $AE157),0)))))</f>
        <v/>
      </c>
      <c r="Q157" s="164"/>
      <c r="R157" s="164"/>
      <c r="S157" s="164"/>
      <c r="T157" s="22"/>
      <c r="AC157" s="164"/>
      <c r="AD157" s="164"/>
      <c r="AE157" s="22"/>
      <c r="AF157" s="164"/>
      <c r="AG157" s="164"/>
      <c r="AH157" s="22"/>
      <c r="AI157" s="25"/>
      <c r="AJ157" s="25"/>
      <c r="AK157" s="25"/>
    </row>
    <row r="158" spans="2:48" ht="18" customHeight="1" x14ac:dyDescent="0.25">
      <c r="B158" s="24"/>
      <c r="C158" s="24" t="str">
        <f ca="1">IF(ISERROR(MATCH(C$1,INDIRECT("Table!A"&amp;$AE158):INDIRECT("Table!" &amp; $AH$253 &amp; $AE158),0)),"",INDIRECT(CONCATENATE("Table!",ADDRESS($T158,MATCH(C$1,INDIRECT("Table!A" &amp; $AE158):INDIRECT("Table!" &amp; $AH$253 &amp; $AE158),0)))))</f>
        <v/>
      </c>
      <c r="D158" s="24" t="str">
        <f ca="1">IF(ISERROR(MATCH(D$1,INDIRECT("Table!A"&amp;$AE158):INDIRECT("Table!" &amp; $AH$253 &amp; $AE158),0)),"",INDIRECT(CONCATENATE("Table!",ADDRESS($T158,MATCH(D$1,INDIRECT("Table!A" &amp; $AE158):INDIRECT("Table!" &amp; $AH$253 &amp; $AE158),0)))))</f>
        <v/>
      </c>
      <c r="E158" s="24" t="str">
        <f ca="1">IF(ISERROR(MATCH(E$1,INDIRECT("Table!A"&amp;$AE158):INDIRECT("Table!" &amp; $AH$253 &amp; $AE158),0)),"",INDIRECT(CONCATENATE("Table!",ADDRESS($T158,MATCH(E$1,INDIRECT("Table!A" &amp; $AE158):INDIRECT("Table!" &amp; $AH$253 &amp; $AE158),0)))))</f>
        <v/>
      </c>
      <c r="F158" s="24" t="str">
        <f ca="1">IF(ISERROR(MATCH(F$1,INDIRECT("Table!A"&amp;$AE158):INDIRECT("Table!" &amp; $AH$253 &amp; $AE158),0)),"",INDIRECT(CONCATENATE("Table!",ADDRESS($T158,MATCH(F$1,INDIRECT("Table!A" &amp; $AE158):INDIRECT("Table!" &amp; $AH$253 &amp; $AE158),0)))))</f>
        <v/>
      </c>
      <c r="G158" s="24" t="str">
        <f ca="1">IF(ISERROR(MATCH(G$1,INDIRECT("Table!A"&amp;$AE158):INDIRECT("Table!" &amp; $AH$253 &amp; $AE158),0)),"",INDIRECT(CONCATENATE("Table!",ADDRESS($T158,MATCH(G$1,INDIRECT("Table!A" &amp; $AE158):INDIRECT("Table!" &amp; $AH$253 &amp; $AE158),0)))))</f>
        <v/>
      </c>
      <c r="H158" s="24" t="str">
        <f ca="1">IF(ISERROR(MATCH(H$1,INDIRECT("Table!A"&amp;$AE158):INDIRECT("Table!" &amp; $AH$253 &amp; $AE158),0)),"",INDIRECT(CONCATENATE("Table!",ADDRESS($T158,MATCH(H$1,INDIRECT("Table!A" &amp; $AE158):INDIRECT("Table!" &amp; $AH$253 &amp; $AE158),0)))))</f>
        <v/>
      </c>
      <c r="I158" s="273"/>
      <c r="J158" s="273"/>
      <c r="K158" s="24" t="str">
        <f ca="1">IF(ISERROR(MATCH(L$1,INDIRECT("Table!A"&amp;$AE158):INDIRECT("Table!" &amp; $AH$253 &amp; $AE158),0)),"",INDIRECT(CONCATENATE("Table!",ADDRESS($T158,MATCH(L$1,INDIRECT("Table!A" &amp; $AE158):INDIRECT("Table!" &amp; $AH$253 &amp; $AE158),0)))))</f>
        <v/>
      </c>
      <c r="L158" s="24" t="str">
        <f ca="1">IF(ISERROR(MATCH(M$1,INDIRECT("Table!A"&amp;$AE158):INDIRECT("Table!" &amp; $AH$253 &amp; $AE158),0)),"",INDIRECT(CONCATENATE("Table!",ADDRESS($T158,MATCH(M$1,INDIRECT("Table!A" &amp; $AE158):INDIRECT("Table!" &amp; $AH$253 &amp; $AE158),0)))))</f>
        <v/>
      </c>
      <c r="M158" s="24" t="str">
        <f ca="1">IF(ISERROR(MATCH(N$1,INDIRECT("Table!A"&amp;$AE158):INDIRECT("Table!" &amp; $AH$253 &amp; $AE158),0)),"",INDIRECT(CONCATENATE("Table!",ADDRESS($T158,MATCH(N$1,INDIRECT("Table!A" &amp; $AE158):INDIRECT("Table!" &amp; $AH$253 &amp; $AE158),0)))))</f>
        <v/>
      </c>
      <c r="N158" s="24" t="str">
        <f ca="1">IF(ISERROR(MATCH(O$1,INDIRECT("Table!A"&amp;$AE158):INDIRECT("Table!" &amp; $AH$253 &amp; $AE158),0)),"",INDIRECT(CONCATENATE("Table!",ADDRESS($T158,MATCH(O$1,INDIRECT("Table!A" &amp; $AE158):INDIRECT("Table!" &amp; $AH$253 &amp; $AE158),0)))))</f>
        <v/>
      </c>
      <c r="O158" s="24" t="str">
        <f ca="1">IF(ISERROR(MATCH(P$1,INDIRECT("Table!A"&amp;$AE158):INDIRECT("Table!" &amp; $AH$253 &amp; $AE158),0)),"",INDIRECT(CONCATENATE("Table!",ADDRESS($T158,MATCH(P$1,INDIRECT("Table!A" &amp; $AE158):INDIRECT("Table!" &amp; $AH$253 &amp; $AE158),0)))))</f>
        <v/>
      </c>
      <c r="P158" s="273" t="str">
        <f ca="1">IF(ISERROR(MATCH(Q$1,INDIRECT("Table!A"&amp;$AE158):INDIRECT("Table!" &amp; $AH$253 &amp; $AE158),0)),"",INDIRECT(CONCATENATE("Table!",ADDRESS($T158,MATCH(Q$1,INDIRECT("Table!A" &amp; $AE158):INDIRECT("Table!" &amp; $AH$253 &amp; $AE158),0)))))</f>
        <v/>
      </c>
      <c r="Q158" s="165"/>
      <c r="R158" s="165"/>
      <c r="S158" s="165"/>
      <c r="T158" s="22"/>
      <c r="AC158" s="165"/>
      <c r="AD158" s="165"/>
      <c r="AE158" s="22"/>
      <c r="AF158" s="165"/>
      <c r="AG158" s="165"/>
      <c r="AH158" s="22"/>
      <c r="AI158" s="25"/>
      <c r="AJ158" s="25"/>
      <c r="AK158" s="25"/>
    </row>
    <row r="159" spans="2:48" ht="18" customHeight="1" x14ac:dyDescent="0.25">
      <c r="B159" s="24"/>
      <c r="C159" s="24" t="str">
        <f ca="1">IF(ISERROR(MATCH(C$1,INDIRECT("Table!A"&amp;$AE159):INDIRECT("Table!" &amp; $AH$253 &amp; $AE159),0)),"",INDIRECT(CONCATENATE("Table!",ADDRESS($T159,MATCH(C$1,INDIRECT("Table!A" &amp; $AE159):INDIRECT("Table!" &amp; $AH$253 &amp; $AE159),0)))))</f>
        <v/>
      </c>
      <c r="D159" s="24" t="str">
        <f ca="1">IF(ISERROR(MATCH(D$1,INDIRECT("Table!A"&amp;$AE159):INDIRECT("Table!" &amp; $AH$253 &amp; $AE159),0)),"",INDIRECT(CONCATENATE("Table!",ADDRESS($T159,MATCH(D$1,INDIRECT("Table!A" &amp; $AE159):INDIRECT("Table!" &amp; $AH$253 &amp; $AE159),0)))))</f>
        <v/>
      </c>
      <c r="E159" s="24" t="str">
        <f ca="1">IF(ISERROR(MATCH(E$1,INDIRECT("Table!A"&amp;$AE159):INDIRECT("Table!" &amp; $AH$253 &amp; $AE159),0)),"",INDIRECT(CONCATENATE("Table!",ADDRESS($T159,MATCH(E$1,INDIRECT("Table!A" &amp; $AE159):INDIRECT("Table!" &amp; $AH$253 &amp; $AE159),0)))))</f>
        <v/>
      </c>
      <c r="F159" s="24" t="str">
        <f ca="1">IF(ISERROR(MATCH(F$1,INDIRECT("Table!A"&amp;$AE159):INDIRECT("Table!" &amp; $AH$253 &amp; $AE159),0)),"",INDIRECT(CONCATENATE("Table!",ADDRESS($T159,MATCH(F$1,INDIRECT("Table!A" &amp; $AE159):INDIRECT("Table!" &amp; $AH$253 &amp; $AE159),0)))))</f>
        <v/>
      </c>
      <c r="G159" s="24" t="str">
        <f ca="1">IF(ISERROR(MATCH(G$1,INDIRECT("Table!A"&amp;$AE159):INDIRECT("Table!" &amp; $AH$253 &amp; $AE159),0)),"",INDIRECT(CONCATENATE("Table!",ADDRESS($T159,MATCH(G$1,INDIRECT("Table!A" &amp; $AE159):INDIRECT("Table!" &amp; $AH$253 &amp; $AE159),0)))))</f>
        <v/>
      </c>
      <c r="H159" s="24" t="str">
        <f ca="1">IF(ISERROR(MATCH(H$1,INDIRECT("Table!A"&amp;$AE159):INDIRECT("Table!" &amp; $AH$253 &amp; $AE159),0)),"",INDIRECT(CONCATENATE("Table!",ADDRESS($T159,MATCH(H$1,INDIRECT("Table!A" &amp; $AE159):INDIRECT("Table!" &amp; $AH$253 &amp; $AE159),0)))))</f>
        <v/>
      </c>
      <c r="I159" s="273"/>
      <c r="J159" s="273"/>
      <c r="K159" s="24" t="str">
        <f ca="1">IF(ISERROR(MATCH(L$1,INDIRECT("Table!A"&amp;$AE159):INDIRECT("Table!" &amp; $AH$253 &amp; $AE159),0)),"",INDIRECT(CONCATENATE("Table!",ADDRESS($T159,MATCH(L$1,INDIRECT("Table!A" &amp; $AE159):INDIRECT("Table!" &amp; $AH$253 &amp; $AE159),0)))))</f>
        <v/>
      </c>
      <c r="L159" s="24" t="str">
        <f ca="1">IF(ISERROR(MATCH(M$1,INDIRECT("Table!A"&amp;$AE159):INDIRECT("Table!" &amp; $AH$253 &amp; $AE159),0)),"",INDIRECT(CONCATENATE("Table!",ADDRESS($T159,MATCH(M$1,INDIRECT("Table!A" &amp; $AE159):INDIRECT("Table!" &amp; $AH$253 &amp; $AE159),0)))))</f>
        <v/>
      </c>
      <c r="M159" s="24" t="str">
        <f ca="1">IF(ISERROR(MATCH(N$1,INDIRECT("Table!A"&amp;$AE159):INDIRECT("Table!" &amp; $AH$253 &amp; $AE159),0)),"",INDIRECT(CONCATENATE("Table!",ADDRESS($T159,MATCH(N$1,INDIRECT("Table!A" &amp; $AE159):INDIRECT("Table!" &amp; $AH$253 &amp; $AE159),0)))))</f>
        <v/>
      </c>
      <c r="N159" s="24" t="str">
        <f ca="1">IF(ISERROR(MATCH(O$1,INDIRECT("Table!A"&amp;$AE159):INDIRECT("Table!" &amp; $AH$253 &amp; $AE159),0)),"",INDIRECT(CONCATENATE("Table!",ADDRESS($T159,MATCH(O$1,INDIRECT("Table!A" &amp; $AE159):INDIRECT("Table!" &amp; $AH$253 &amp; $AE159),0)))))</f>
        <v/>
      </c>
      <c r="O159" s="24" t="str">
        <f ca="1">IF(ISERROR(MATCH(P$1,INDIRECT("Table!A"&amp;$AE159):INDIRECT("Table!" &amp; $AH$253 &amp; $AE159),0)),"",INDIRECT(CONCATENATE("Table!",ADDRESS($T159,MATCH(P$1,INDIRECT("Table!A" &amp; $AE159):INDIRECT("Table!" &amp; $AH$253 &amp; $AE159),0)))))</f>
        <v/>
      </c>
      <c r="P159" s="273" t="str">
        <f ca="1">IF(ISERROR(MATCH(Q$1,INDIRECT("Table!A"&amp;$AE159):INDIRECT("Table!" &amp; $AH$253 &amp; $AE159),0)),"",INDIRECT(CONCATENATE("Table!",ADDRESS($T159,MATCH(Q$1,INDIRECT("Table!A" &amp; $AE159):INDIRECT("Table!" &amp; $AH$253 &amp; $AE159),0)))))</f>
        <v/>
      </c>
      <c r="Q159" s="163"/>
      <c r="R159" s="163"/>
      <c r="S159" s="163"/>
      <c r="T159" s="22"/>
      <c r="AC159" s="163"/>
      <c r="AD159" s="163"/>
      <c r="AE159" s="22"/>
      <c r="AF159" s="163"/>
      <c r="AG159" s="163"/>
      <c r="AH159" s="22"/>
      <c r="AI159" s="25"/>
      <c r="AJ159" s="25"/>
      <c r="AK159" s="25"/>
    </row>
    <row r="160" spans="2:48" ht="18" customHeight="1" x14ac:dyDescent="0.25">
      <c r="B160" s="24"/>
      <c r="C160" s="24" t="str">
        <f ca="1">IF(ISERROR(MATCH(C$1,INDIRECT("Table!A"&amp;$AE160):INDIRECT("Table!" &amp; $AH$253 &amp; $AE160),0)),"",INDIRECT(CONCATENATE("Table!",ADDRESS($T160,MATCH(C$1,INDIRECT("Table!A" &amp; $AE160):INDIRECT("Table!" &amp; $AH$253 &amp; $AE160),0)))))</f>
        <v/>
      </c>
      <c r="D160" s="24" t="str">
        <f ca="1">IF(ISERROR(MATCH(D$1,INDIRECT("Table!A"&amp;$AE160):INDIRECT("Table!" &amp; $AH$253 &amp; $AE160),0)),"",INDIRECT(CONCATENATE("Table!",ADDRESS($T160,MATCH(D$1,INDIRECT("Table!A" &amp; $AE160):INDIRECT("Table!" &amp; $AH$253 &amp; $AE160),0)))))</f>
        <v/>
      </c>
      <c r="E160" s="24" t="str">
        <f ca="1">IF(ISERROR(MATCH(E$1,INDIRECT("Table!A"&amp;$AE160):INDIRECT("Table!" &amp; $AH$253 &amp; $AE160),0)),"",INDIRECT(CONCATENATE("Table!",ADDRESS($T160,MATCH(E$1,INDIRECT("Table!A" &amp; $AE160):INDIRECT("Table!" &amp; $AH$253 &amp; $AE160),0)))))</f>
        <v/>
      </c>
      <c r="F160" s="24" t="str">
        <f ca="1">IF(ISERROR(MATCH(F$1,INDIRECT("Table!A"&amp;$AE160):INDIRECT("Table!" &amp; $AH$253 &amp; $AE160),0)),"",INDIRECT(CONCATENATE("Table!",ADDRESS($T160,MATCH(F$1,INDIRECT("Table!A" &amp; $AE160):INDIRECT("Table!" &amp; $AH$253 &amp; $AE160),0)))))</f>
        <v/>
      </c>
      <c r="G160" s="24" t="str">
        <f ca="1">IF(ISERROR(MATCH(G$1,INDIRECT("Table!A"&amp;$AE160):INDIRECT("Table!" &amp; $AH$253 &amp; $AE160),0)),"",INDIRECT(CONCATENATE("Table!",ADDRESS($T160,MATCH(G$1,INDIRECT("Table!A" &amp; $AE160):INDIRECT("Table!" &amp; $AH$253 &amp; $AE160),0)))))</f>
        <v/>
      </c>
      <c r="H160" s="24" t="str">
        <f ca="1">IF(ISERROR(MATCH(H$1,INDIRECT("Table!A"&amp;$AE160):INDIRECT("Table!" &amp; $AH$253 &amp; $AE160),0)),"",INDIRECT(CONCATENATE("Table!",ADDRESS($T160,MATCH(H$1,INDIRECT("Table!A" &amp; $AE160):INDIRECT("Table!" &amp; $AH$253 &amp; $AE160),0)))))</f>
        <v/>
      </c>
      <c r="I160" s="273"/>
      <c r="J160" s="273"/>
      <c r="K160" s="24" t="str">
        <f ca="1">IF(ISERROR(MATCH(L$1,INDIRECT("Table!A"&amp;$AE160):INDIRECT("Table!" &amp; $AH$253 &amp; $AE160),0)),"",INDIRECT(CONCATENATE("Table!",ADDRESS($T160,MATCH(L$1,INDIRECT("Table!A" &amp; $AE160):INDIRECT("Table!" &amp; $AH$253 &amp; $AE160),0)))))</f>
        <v/>
      </c>
      <c r="L160" s="24" t="str">
        <f ca="1">IF(ISERROR(MATCH(M$1,INDIRECT("Table!A"&amp;$AE160):INDIRECT("Table!" &amp; $AH$253 &amp; $AE160),0)),"",INDIRECT(CONCATENATE("Table!",ADDRESS($T160,MATCH(M$1,INDIRECT("Table!A" &amp; $AE160):INDIRECT("Table!" &amp; $AH$253 &amp; $AE160),0)))))</f>
        <v/>
      </c>
      <c r="M160" s="24" t="str">
        <f ca="1">IF(ISERROR(MATCH(N$1,INDIRECT("Table!A"&amp;$AE160):INDIRECT("Table!" &amp; $AH$253 &amp; $AE160),0)),"",INDIRECT(CONCATENATE("Table!",ADDRESS($T160,MATCH(N$1,INDIRECT("Table!A" &amp; $AE160):INDIRECT("Table!" &amp; $AH$253 &amp; $AE160),0)))))</f>
        <v/>
      </c>
      <c r="N160" s="24" t="str">
        <f ca="1">IF(ISERROR(MATCH(O$1,INDIRECT("Table!A"&amp;$AE160):INDIRECT("Table!" &amp; $AH$253 &amp; $AE160),0)),"",INDIRECT(CONCATENATE("Table!",ADDRESS($T160,MATCH(O$1,INDIRECT("Table!A" &amp; $AE160):INDIRECT("Table!" &amp; $AH$253 &amp; $AE160),0)))))</f>
        <v/>
      </c>
      <c r="O160" s="24" t="str">
        <f ca="1">IF(ISERROR(MATCH(P$1,INDIRECT("Table!A"&amp;$AE160):INDIRECT("Table!" &amp; $AH$253 &amp; $AE160),0)),"",INDIRECT(CONCATENATE("Table!",ADDRESS($T160,MATCH(P$1,INDIRECT("Table!A" &amp; $AE160):INDIRECT("Table!" &amp; $AH$253 &amp; $AE160),0)))))</f>
        <v/>
      </c>
      <c r="P160" s="273" t="str">
        <f ca="1">IF(ISERROR(MATCH(Q$1,INDIRECT("Table!A"&amp;$AE160):INDIRECT("Table!" &amp; $AH$253 &amp; $AE160),0)),"",INDIRECT(CONCATENATE("Table!",ADDRESS($T160,MATCH(Q$1,INDIRECT("Table!A" &amp; $AE160):INDIRECT("Table!" &amp; $AH$253 &amp; $AE160),0)))))</f>
        <v/>
      </c>
      <c r="Q160" s="124"/>
      <c r="R160" s="124"/>
      <c r="S160" s="124"/>
      <c r="T160" s="22"/>
      <c r="AC160" s="124"/>
      <c r="AD160" s="124"/>
      <c r="AE160" s="22"/>
      <c r="AF160" s="124"/>
      <c r="AG160" s="124"/>
      <c r="AH160" s="124"/>
      <c r="AU160" s="25"/>
      <c r="AV160" s="25"/>
    </row>
    <row r="161" spans="2:48" ht="18" customHeight="1" x14ac:dyDescent="0.25">
      <c r="B161" s="24"/>
      <c r="C161" s="24" t="str">
        <f ca="1">IF(ISERROR(MATCH(C$1,INDIRECT("Table!A"&amp;$AE161):INDIRECT("Table!" &amp; $AH$253 &amp; $AE161),0)),"",INDIRECT(CONCATENATE("Table!",ADDRESS($T161,MATCH(C$1,INDIRECT("Table!A" &amp; $AE161):INDIRECT("Table!" &amp; $AH$253 &amp; $AE161),0)))))</f>
        <v/>
      </c>
      <c r="D161" s="24" t="str">
        <f ca="1">IF(ISERROR(MATCH(D$1,INDIRECT("Table!A"&amp;$AE161):INDIRECT("Table!" &amp; $AH$253 &amp; $AE161),0)),"",INDIRECT(CONCATENATE("Table!",ADDRESS($T161,MATCH(D$1,INDIRECT("Table!A" &amp; $AE161):INDIRECT("Table!" &amp; $AH$253 &amp; $AE161),0)))))</f>
        <v/>
      </c>
      <c r="E161" s="24" t="str">
        <f ca="1">IF(ISERROR(MATCH(E$1,INDIRECT("Table!A"&amp;$AE161):INDIRECT("Table!" &amp; $AH$253 &amp; $AE161),0)),"",INDIRECT(CONCATENATE("Table!",ADDRESS($T161,MATCH(E$1,INDIRECT("Table!A" &amp; $AE161):INDIRECT("Table!" &amp; $AH$253 &amp; $AE161),0)))))</f>
        <v/>
      </c>
      <c r="F161" s="24" t="str">
        <f ca="1">IF(ISERROR(MATCH(F$1,INDIRECT("Table!A"&amp;$AE161):INDIRECT("Table!" &amp; $AH$253 &amp; $AE161),0)),"",INDIRECT(CONCATENATE("Table!",ADDRESS($T161,MATCH(F$1,INDIRECT("Table!A" &amp; $AE161):INDIRECT("Table!" &amp; $AH$253 &amp; $AE161),0)))))</f>
        <v/>
      </c>
      <c r="G161" s="24" t="str">
        <f ca="1">IF(ISERROR(MATCH(G$1,INDIRECT("Table!A"&amp;$AE161):INDIRECT("Table!" &amp; $AH$253 &amp; $AE161),0)),"",INDIRECT(CONCATENATE("Table!",ADDRESS($T161,MATCH(G$1,INDIRECT("Table!A" &amp; $AE161):INDIRECT("Table!" &amp; $AH$253 &amp; $AE161),0)))))</f>
        <v/>
      </c>
      <c r="H161" s="24" t="str">
        <f ca="1">IF(ISERROR(MATCH(H$1,INDIRECT("Table!A"&amp;$AE161):INDIRECT("Table!" &amp; $AH$253 &amp; $AE161),0)),"",INDIRECT(CONCATENATE("Table!",ADDRESS($T161,MATCH(H$1,INDIRECT("Table!A" &amp; $AE161):INDIRECT("Table!" &amp; $AH$253 &amp; $AE161),0)))))</f>
        <v/>
      </c>
      <c r="I161" s="273"/>
      <c r="J161" s="273"/>
      <c r="K161" s="24" t="str">
        <f ca="1">IF(ISERROR(MATCH(L$1,INDIRECT("Table!A"&amp;$AE161):INDIRECT("Table!" &amp; $AH$253 &amp; $AE161),0)),"",INDIRECT(CONCATENATE("Table!",ADDRESS($T161,MATCH(L$1,INDIRECT("Table!A" &amp; $AE161):INDIRECT("Table!" &amp; $AH$253 &amp; $AE161),0)))))</f>
        <v/>
      </c>
      <c r="L161" s="24" t="str">
        <f ca="1">IF(ISERROR(MATCH(M$1,INDIRECT("Table!A"&amp;$AE161):INDIRECT("Table!" &amp; $AH$253 &amp; $AE161),0)),"",INDIRECT(CONCATENATE("Table!",ADDRESS($T161,MATCH(M$1,INDIRECT("Table!A" &amp; $AE161):INDIRECT("Table!" &amp; $AH$253 &amp; $AE161),0)))))</f>
        <v/>
      </c>
      <c r="M161" s="24" t="str">
        <f ca="1">IF(ISERROR(MATCH(N$1,INDIRECT("Table!A"&amp;$AE161):INDIRECT("Table!" &amp; $AH$253 &amp; $AE161),0)),"",INDIRECT(CONCATENATE("Table!",ADDRESS($T161,MATCH(N$1,INDIRECT("Table!A" &amp; $AE161):INDIRECT("Table!" &amp; $AH$253 &amp; $AE161),0)))))</f>
        <v/>
      </c>
      <c r="N161" s="24" t="str">
        <f ca="1">IF(ISERROR(MATCH(O$1,INDIRECT("Table!A"&amp;$AE161):INDIRECT("Table!" &amp; $AH$253 &amp; $AE161),0)),"",INDIRECT(CONCATENATE("Table!",ADDRESS($T161,MATCH(O$1,INDIRECT("Table!A" &amp; $AE161):INDIRECT("Table!" &amp; $AH$253 &amp; $AE161),0)))))</f>
        <v/>
      </c>
      <c r="O161" s="24" t="str">
        <f ca="1">IF(ISERROR(MATCH(P$1,INDIRECT("Table!A"&amp;$AE161):INDIRECT("Table!" &amp; $AH$253 &amp; $AE161),0)),"",INDIRECT(CONCATENATE("Table!",ADDRESS($T161,MATCH(P$1,INDIRECT("Table!A" &amp; $AE161):INDIRECT("Table!" &amp; $AH$253 &amp; $AE161),0)))))</f>
        <v/>
      </c>
      <c r="P161" s="273" t="str">
        <f ca="1">IF(ISERROR(MATCH(Q$1,INDIRECT("Table!A"&amp;$AE161):INDIRECT("Table!" &amp; $AH$253 &amp; $AE161),0)),"",INDIRECT(CONCATENATE("Table!",ADDRESS($T161,MATCH(Q$1,INDIRECT("Table!A" &amp; $AE161):INDIRECT("Table!" &amp; $AH$253 &amp; $AE161),0)))))</f>
        <v/>
      </c>
      <c r="Q161" s="162"/>
      <c r="R161" s="162"/>
      <c r="S161" s="162"/>
      <c r="T161" s="22"/>
      <c r="AC161" s="162"/>
      <c r="AD161" s="162"/>
      <c r="AE161" s="22"/>
      <c r="AF161" s="162"/>
      <c r="AG161" s="162"/>
      <c r="AH161" s="162"/>
      <c r="AU161" s="25"/>
      <c r="AV161" s="25"/>
    </row>
    <row r="162" spans="2:48" ht="18" customHeight="1" x14ac:dyDescent="0.25">
      <c r="B162" s="24"/>
      <c r="C162" s="24" t="str">
        <f ca="1">IF(ISERROR(MATCH(C$1,INDIRECT("Table!A"&amp;$AE162):INDIRECT("Table!" &amp; $AH$253 &amp; $AE162),0)),"",INDIRECT(CONCATENATE("Table!",ADDRESS($T162,MATCH(C$1,INDIRECT("Table!A" &amp; $AE162):INDIRECT("Table!" &amp; $AH$253 &amp; $AE162),0)))))</f>
        <v/>
      </c>
      <c r="D162" s="24" t="str">
        <f ca="1">IF(ISERROR(MATCH(D$1,INDIRECT("Table!A"&amp;$AE162):INDIRECT("Table!" &amp; $AH$253 &amp; $AE162),0)),"",INDIRECT(CONCATENATE("Table!",ADDRESS($T162,MATCH(D$1,INDIRECT("Table!A" &amp; $AE162):INDIRECT("Table!" &amp; $AH$253 &amp; $AE162),0)))))</f>
        <v/>
      </c>
      <c r="E162" s="24" t="str">
        <f ca="1">IF(ISERROR(MATCH(E$1,INDIRECT("Table!A"&amp;$AE162):INDIRECT("Table!" &amp; $AH$253 &amp; $AE162),0)),"",INDIRECT(CONCATENATE("Table!",ADDRESS($T162,MATCH(E$1,INDIRECT("Table!A" &amp; $AE162):INDIRECT("Table!" &amp; $AH$253 &amp; $AE162),0)))))</f>
        <v/>
      </c>
      <c r="F162" s="24" t="str">
        <f ca="1">IF(ISERROR(MATCH(F$1,INDIRECT("Table!A"&amp;$AE162):INDIRECT("Table!" &amp; $AH$253 &amp; $AE162),0)),"",INDIRECT(CONCATENATE("Table!",ADDRESS($T162,MATCH(F$1,INDIRECT("Table!A" &amp; $AE162):INDIRECT("Table!" &amp; $AH$253 &amp; $AE162),0)))))</f>
        <v/>
      </c>
      <c r="G162" s="24" t="str">
        <f ca="1">IF(ISERROR(MATCH(G$1,INDIRECT("Table!A"&amp;$AE162):INDIRECT("Table!" &amp; $AH$253 &amp; $AE162),0)),"",INDIRECT(CONCATENATE("Table!",ADDRESS($T162,MATCH(G$1,INDIRECT("Table!A" &amp; $AE162):INDIRECT("Table!" &amp; $AH$253 &amp; $AE162),0)))))</f>
        <v/>
      </c>
      <c r="H162" s="24" t="str">
        <f ca="1">IF(ISERROR(MATCH(H$1,INDIRECT("Table!A"&amp;$AE162):INDIRECT("Table!" &amp; $AH$253 &amp; $AE162),0)),"",INDIRECT(CONCATENATE("Table!",ADDRESS($T162,MATCH(H$1,INDIRECT("Table!A" &amp; $AE162):INDIRECT("Table!" &amp; $AH$253 &amp; $AE162),0)))))</f>
        <v/>
      </c>
      <c r="I162" s="273"/>
      <c r="J162" s="273"/>
      <c r="K162" s="24" t="str">
        <f ca="1">IF(ISERROR(MATCH(L$1,INDIRECT("Table!A"&amp;$AE162):INDIRECT("Table!" &amp; $AH$253 &amp; $AE162),0)),"",INDIRECT(CONCATENATE("Table!",ADDRESS($T162,MATCH(L$1,INDIRECT("Table!A" &amp; $AE162):INDIRECT("Table!" &amp; $AH$253 &amp; $AE162),0)))))</f>
        <v/>
      </c>
      <c r="L162" s="24" t="str">
        <f ca="1">IF(ISERROR(MATCH(M$1,INDIRECT("Table!A"&amp;$AE162):INDIRECT("Table!" &amp; $AH$253 &amp; $AE162),0)),"",INDIRECT(CONCATENATE("Table!",ADDRESS($T162,MATCH(M$1,INDIRECT("Table!A" &amp; $AE162):INDIRECT("Table!" &amp; $AH$253 &amp; $AE162),0)))))</f>
        <v/>
      </c>
      <c r="M162" s="24" t="str">
        <f ca="1">IF(ISERROR(MATCH(N$1,INDIRECT("Table!A"&amp;$AE162):INDIRECT("Table!" &amp; $AH$253 &amp; $AE162),0)),"",INDIRECT(CONCATENATE("Table!",ADDRESS($T162,MATCH(N$1,INDIRECT("Table!A" &amp; $AE162):INDIRECT("Table!" &amp; $AH$253 &amp; $AE162),0)))))</f>
        <v/>
      </c>
      <c r="N162" s="24" t="str">
        <f ca="1">IF(ISERROR(MATCH(O$1,INDIRECT("Table!A"&amp;$AE162):INDIRECT("Table!" &amp; $AH$253 &amp; $AE162),0)),"",INDIRECT(CONCATENATE("Table!",ADDRESS($T162,MATCH(O$1,INDIRECT("Table!A" &amp; $AE162):INDIRECT("Table!" &amp; $AH$253 &amp; $AE162),0)))))</f>
        <v/>
      </c>
      <c r="O162" s="24" t="str">
        <f ca="1">IF(ISERROR(MATCH(P$1,INDIRECT("Table!A"&amp;$AE162):INDIRECT("Table!" &amp; $AH$253 &amp; $AE162),0)),"",INDIRECT(CONCATENATE("Table!",ADDRESS($T162,MATCH(P$1,INDIRECT("Table!A" &amp; $AE162):INDIRECT("Table!" &amp; $AH$253 &amp; $AE162),0)))))</f>
        <v/>
      </c>
      <c r="P162" s="273" t="str">
        <f ca="1">IF(ISERROR(MATCH(Q$1,INDIRECT("Table!A"&amp;$AE162):INDIRECT("Table!" &amp; $AH$253 &amp; $AE162),0)),"",INDIRECT(CONCATENATE("Table!",ADDRESS($T162,MATCH(Q$1,INDIRECT("Table!A" &amp; $AE162):INDIRECT("Table!" &amp; $AH$253 &amp; $AE162),0)))))</f>
        <v/>
      </c>
      <c r="Q162" s="161"/>
      <c r="R162" s="161"/>
      <c r="S162" s="161"/>
      <c r="T162" s="22"/>
      <c r="AC162" s="161"/>
      <c r="AD162" s="161"/>
      <c r="AE162" s="22"/>
      <c r="AF162" s="161"/>
      <c r="AG162" s="161"/>
      <c r="AH162" s="161"/>
      <c r="AU162" s="25"/>
      <c r="AV162" s="25"/>
    </row>
    <row r="163" spans="2:48" ht="18" customHeight="1" x14ac:dyDescent="0.25">
      <c r="B163" s="24"/>
      <c r="C163" s="24" t="str">
        <f ca="1">IF(ISERROR(MATCH(C$1,INDIRECT("Table!A"&amp;$AE163):INDIRECT("Table!" &amp; $AH$253 &amp; $AE163),0)),"",INDIRECT(CONCATENATE("Table!",ADDRESS($T163,MATCH(C$1,INDIRECT("Table!A" &amp; $AE163):INDIRECT("Table!" &amp; $AH$253 &amp; $AE163),0)))))</f>
        <v/>
      </c>
      <c r="D163" s="24" t="str">
        <f ca="1">IF(ISERROR(MATCH(D$1,INDIRECT("Table!A"&amp;$AE163):INDIRECT("Table!" &amp; $AH$253 &amp; $AE163),0)),"",INDIRECT(CONCATENATE("Table!",ADDRESS($T163,MATCH(D$1,INDIRECT("Table!A" &amp; $AE163):INDIRECT("Table!" &amp; $AH$253 &amp; $AE163),0)))))</f>
        <v/>
      </c>
      <c r="E163" s="24" t="str">
        <f ca="1">IF(ISERROR(MATCH(E$1,INDIRECT("Table!A"&amp;$AE163):INDIRECT("Table!" &amp; $AH$253 &amp; $AE163),0)),"",INDIRECT(CONCATENATE("Table!",ADDRESS($T163,MATCH(E$1,INDIRECT("Table!A" &amp; $AE163):INDIRECT("Table!" &amp; $AH$253 &amp; $AE163),0)))))</f>
        <v/>
      </c>
      <c r="F163" s="24" t="str">
        <f ca="1">IF(ISERROR(MATCH(F$1,INDIRECT("Table!A"&amp;$AE163):INDIRECT("Table!" &amp; $AH$253 &amp; $AE163),0)),"",INDIRECT(CONCATENATE("Table!",ADDRESS($T163,MATCH(F$1,INDIRECT("Table!A" &amp; $AE163):INDIRECT("Table!" &amp; $AH$253 &amp; $AE163),0)))))</f>
        <v/>
      </c>
      <c r="G163" s="24" t="str">
        <f ca="1">IF(ISERROR(MATCH(G$1,INDIRECT("Table!A"&amp;$AE163):INDIRECT("Table!" &amp; $AH$253 &amp; $AE163),0)),"",INDIRECT(CONCATENATE("Table!",ADDRESS($T163,MATCH(G$1,INDIRECT("Table!A" &amp; $AE163):INDIRECT("Table!" &amp; $AH$253 &amp; $AE163),0)))))</f>
        <v/>
      </c>
      <c r="H163" s="24" t="str">
        <f ca="1">IF(ISERROR(MATCH(H$1,INDIRECT("Table!A"&amp;$AE163):INDIRECT("Table!" &amp; $AH$253 &amp; $AE163),0)),"",INDIRECT(CONCATENATE("Table!",ADDRESS($T163,MATCH(H$1,INDIRECT("Table!A" &amp; $AE163):INDIRECT("Table!" &amp; $AH$253 &amp; $AE163),0)))))</f>
        <v/>
      </c>
      <c r="I163" s="273"/>
      <c r="J163" s="273"/>
      <c r="K163" s="24" t="str">
        <f ca="1">IF(ISERROR(MATCH(L$1,INDIRECT("Table!A"&amp;$AE163):INDIRECT("Table!" &amp; $AH$253 &amp; $AE163),0)),"",INDIRECT(CONCATENATE("Table!",ADDRESS($T163,MATCH(L$1,INDIRECT("Table!A" &amp; $AE163):INDIRECT("Table!" &amp; $AH$253 &amp; $AE163),0)))))</f>
        <v/>
      </c>
      <c r="L163" s="24" t="str">
        <f ca="1">IF(ISERROR(MATCH(M$1,INDIRECT("Table!A"&amp;$AE163):INDIRECT("Table!" &amp; $AH$253 &amp; $AE163),0)),"",INDIRECT(CONCATENATE("Table!",ADDRESS($T163,MATCH(M$1,INDIRECT("Table!A" &amp; $AE163):INDIRECT("Table!" &amp; $AH$253 &amp; $AE163),0)))))</f>
        <v/>
      </c>
      <c r="M163" s="24" t="str">
        <f ca="1">IF(ISERROR(MATCH(N$1,INDIRECT("Table!A"&amp;$AE163):INDIRECT("Table!" &amp; $AH$253 &amp; $AE163),0)),"",INDIRECT(CONCATENATE("Table!",ADDRESS($T163,MATCH(N$1,INDIRECT("Table!A" &amp; $AE163):INDIRECT("Table!" &amp; $AH$253 &amp; $AE163),0)))))</f>
        <v/>
      </c>
      <c r="N163" s="24" t="str">
        <f ca="1">IF(ISERROR(MATCH(O$1,INDIRECT("Table!A"&amp;$AE163):INDIRECT("Table!" &amp; $AH$253 &amp; $AE163),0)),"",INDIRECT(CONCATENATE("Table!",ADDRESS($T163,MATCH(O$1,INDIRECT("Table!A" &amp; $AE163):INDIRECT("Table!" &amp; $AH$253 &amp; $AE163),0)))))</f>
        <v/>
      </c>
      <c r="O163" s="24" t="str">
        <f ca="1">IF(ISERROR(MATCH(P$1,INDIRECT("Table!A"&amp;$AE163):INDIRECT("Table!" &amp; $AH$253 &amp; $AE163),0)),"",INDIRECT(CONCATENATE("Table!",ADDRESS($T163,MATCH(P$1,INDIRECT("Table!A" &amp; $AE163):INDIRECT("Table!" &amp; $AH$253 &amp; $AE163),0)))))</f>
        <v/>
      </c>
      <c r="P163" s="273" t="str">
        <f ca="1">IF(ISERROR(MATCH(Q$1,INDIRECT("Table!A"&amp;$AE163):INDIRECT("Table!" &amp; $AH$253 &amp; $AE163),0)),"",INDIRECT(CONCATENATE("Table!",ADDRESS($T163,MATCH(Q$1,INDIRECT("Table!A" &amp; $AE163):INDIRECT("Table!" &amp; $AH$253 &amp; $AE163),0)))))</f>
        <v/>
      </c>
      <c r="Q163" s="160"/>
      <c r="R163" s="160"/>
      <c r="S163" s="160"/>
      <c r="T163" s="22"/>
      <c r="AC163" s="160"/>
      <c r="AD163" s="160"/>
      <c r="AE163" s="22"/>
      <c r="AF163" s="160"/>
      <c r="AG163" s="160"/>
      <c r="AH163" s="160"/>
      <c r="AU163" s="25"/>
      <c r="AV163" s="25"/>
    </row>
    <row r="164" spans="2:48" ht="18" customHeight="1" x14ac:dyDescent="0.25">
      <c r="B164" s="24"/>
      <c r="C164" s="24" t="str">
        <f ca="1">IF(ISERROR(MATCH(C$1,INDIRECT("Table!A"&amp;$AE164):INDIRECT("Table!" &amp; $AH$253 &amp; $AE164),0)),"",INDIRECT(CONCATENATE("Table!",ADDRESS($T164,MATCH(C$1,INDIRECT("Table!A" &amp; $AE164):INDIRECT("Table!" &amp; $AH$253 &amp; $AE164),0)))))</f>
        <v/>
      </c>
      <c r="D164" s="24" t="str">
        <f ca="1">IF(ISERROR(MATCH(D$1,INDIRECT("Table!A"&amp;$AE164):INDIRECT("Table!" &amp; $AH$253 &amp; $AE164),0)),"",INDIRECT(CONCATENATE("Table!",ADDRESS($T164,MATCH(D$1,INDIRECT("Table!A" &amp; $AE164):INDIRECT("Table!" &amp; $AH$253 &amp; $AE164),0)))))</f>
        <v/>
      </c>
      <c r="E164" s="24" t="str">
        <f ca="1">IF(ISERROR(MATCH(E$1,INDIRECT("Table!A"&amp;$AE164):INDIRECT("Table!" &amp; $AH$253 &amp; $AE164),0)),"",INDIRECT(CONCATENATE("Table!",ADDRESS($T164,MATCH(E$1,INDIRECT("Table!A" &amp; $AE164):INDIRECT("Table!" &amp; $AH$253 &amp; $AE164),0)))))</f>
        <v/>
      </c>
      <c r="F164" s="24" t="str">
        <f ca="1">IF(ISERROR(MATCH(F$1,INDIRECT("Table!A"&amp;$AE164):INDIRECT("Table!" &amp; $AH$253 &amp; $AE164),0)),"",INDIRECT(CONCATENATE("Table!",ADDRESS($T164,MATCH(F$1,INDIRECT("Table!A" &amp; $AE164):INDIRECT("Table!" &amp; $AH$253 &amp; $AE164),0)))))</f>
        <v/>
      </c>
      <c r="G164" s="24" t="str">
        <f ca="1">IF(ISERROR(MATCH(G$1,INDIRECT("Table!A"&amp;$AE164):INDIRECT("Table!" &amp; $AH$253 &amp; $AE164),0)),"",INDIRECT(CONCATENATE("Table!",ADDRESS($T164,MATCH(G$1,INDIRECT("Table!A" &amp; $AE164):INDIRECT("Table!" &amp; $AH$253 &amp; $AE164),0)))))</f>
        <v/>
      </c>
      <c r="H164" s="24" t="str">
        <f ca="1">IF(ISERROR(MATCH(H$1,INDIRECT("Table!A"&amp;$AE164):INDIRECT("Table!" &amp; $AH$253 &amp; $AE164),0)),"",INDIRECT(CONCATENATE("Table!",ADDRESS($T164,MATCH(H$1,INDIRECT("Table!A" &amp; $AE164):INDIRECT("Table!" &amp; $AH$253 &amp; $AE164),0)))))</f>
        <v/>
      </c>
      <c r="I164" s="273"/>
      <c r="J164" s="273"/>
      <c r="K164" s="24" t="str">
        <f ca="1">IF(ISERROR(MATCH(L$1,INDIRECT("Table!A"&amp;$AE164):INDIRECT("Table!" &amp; $AH$253 &amp; $AE164),0)),"",INDIRECT(CONCATENATE("Table!",ADDRESS($T164,MATCH(L$1,INDIRECT("Table!A" &amp; $AE164):INDIRECT("Table!" &amp; $AH$253 &amp; $AE164),0)))))</f>
        <v/>
      </c>
      <c r="L164" s="24" t="str">
        <f ca="1">IF(ISERROR(MATCH(M$1,INDIRECT("Table!A"&amp;$AE164):INDIRECT("Table!" &amp; $AH$253 &amp; $AE164),0)),"",INDIRECT(CONCATENATE("Table!",ADDRESS($T164,MATCH(M$1,INDIRECT("Table!A" &amp; $AE164):INDIRECT("Table!" &amp; $AH$253 &amp; $AE164),0)))))</f>
        <v/>
      </c>
      <c r="M164" s="24" t="str">
        <f ca="1">IF(ISERROR(MATCH(N$1,INDIRECT("Table!A"&amp;$AE164):INDIRECT("Table!" &amp; $AH$253 &amp; $AE164),0)),"",INDIRECT(CONCATENATE("Table!",ADDRESS($T164,MATCH(N$1,INDIRECT("Table!A" &amp; $AE164):INDIRECT("Table!" &amp; $AH$253 &amp; $AE164),0)))))</f>
        <v/>
      </c>
      <c r="N164" s="24" t="str">
        <f ca="1">IF(ISERROR(MATCH(O$1,INDIRECT("Table!A"&amp;$AE164):INDIRECT("Table!" &amp; $AH$253 &amp; $AE164),0)),"",INDIRECT(CONCATENATE("Table!",ADDRESS($T164,MATCH(O$1,INDIRECT("Table!A" &amp; $AE164):INDIRECT("Table!" &amp; $AH$253 &amp; $AE164),0)))))</f>
        <v/>
      </c>
      <c r="O164" s="24" t="str">
        <f ca="1">IF(ISERROR(MATCH(P$1,INDIRECT("Table!A"&amp;$AE164):INDIRECT("Table!" &amp; $AH$253 &amp; $AE164),0)),"",INDIRECT(CONCATENATE("Table!",ADDRESS($T164,MATCH(P$1,INDIRECT("Table!A" &amp; $AE164):INDIRECT("Table!" &amp; $AH$253 &amp; $AE164),0)))))</f>
        <v/>
      </c>
      <c r="P164" s="273" t="str">
        <f ca="1">IF(ISERROR(MATCH(Q$1,INDIRECT("Table!A"&amp;$AE164):INDIRECT("Table!" &amp; $AH$253 &amp; $AE164),0)),"",INDIRECT(CONCATENATE("Table!",ADDRESS($T164,MATCH(Q$1,INDIRECT("Table!A" &amp; $AE164):INDIRECT("Table!" &amp; $AH$253 &amp; $AE164),0)))))</f>
        <v/>
      </c>
      <c r="Q164" s="159"/>
      <c r="R164" s="159"/>
      <c r="S164" s="159"/>
      <c r="T164" s="22"/>
      <c r="AC164" s="159"/>
      <c r="AD164" s="159"/>
      <c r="AE164" s="22"/>
      <c r="AF164" s="159"/>
      <c r="AG164" s="159"/>
      <c r="AH164" s="159"/>
      <c r="AU164" s="25"/>
      <c r="AV164" s="25"/>
    </row>
    <row r="165" spans="2:48" ht="18" customHeight="1" x14ac:dyDescent="0.25">
      <c r="B165" s="24"/>
      <c r="C165" s="24" t="str">
        <f ca="1">IF(ISERROR(MATCH(C$1,INDIRECT("Table!A"&amp;$AE165):INDIRECT("Table!" &amp; $AH$253 &amp; $AE165),0)),"",INDIRECT(CONCATENATE("Table!",ADDRESS($T165,MATCH(C$1,INDIRECT("Table!A" &amp; $AE165):INDIRECT("Table!" &amp; $AH$253 &amp; $AE165),0)))))</f>
        <v/>
      </c>
      <c r="D165" s="24" t="str">
        <f ca="1">IF(ISERROR(MATCH(D$1,INDIRECT("Table!A"&amp;$AE165):INDIRECT("Table!" &amp; $AH$253 &amp; $AE165),0)),"",INDIRECT(CONCATENATE("Table!",ADDRESS($T165,MATCH(D$1,INDIRECT("Table!A" &amp; $AE165):INDIRECT("Table!" &amp; $AH$253 &amp; $AE165),0)))))</f>
        <v/>
      </c>
      <c r="E165" s="24" t="str">
        <f ca="1">IF(ISERROR(MATCH(E$1,INDIRECT("Table!A"&amp;$AE165):INDIRECT("Table!" &amp; $AH$253 &amp; $AE165),0)),"",INDIRECT(CONCATENATE("Table!",ADDRESS($T165,MATCH(E$1,INDIRECT("Table!A" &amp; $AE165):INDIRECT("Table!" &amp; $AH$253 &amp; $AE165),0)))))</f>
        <v/>
      </c>
      <c r="F165" s="24" t="str">
        <f ca="1">IF(ISERROR(MATCH(F$1,INDIRECT("Table!A"&amp;$AE165):INDIRECT("Table!" &amp; $AH$253 &amp; $AE165),0)),"",INDIRECT(CONCATENATE("Table!",ADDRESS($T165,MATCH(F$1,INDIRECT("Table!A" &amp; $AE165):INDIRECT("Table!" &amp; $AH$253 &amp; $AE165),0)))))</f>
        <v/>
      </c>
      <c r="G165" s="24" t="str">
        <f ca="1">IF(ISERROR(MATCH(G$1,INDIRECT("Table!A"&amp;$AE165):INDIRECT("Table!" &amp; $AH$253 &amp; $AE165),0)),"",INDIRECT(CONCATENATE("Table!",ADDRESS($T165,MATCH(G$1,INDIRECT("Table!A" &amp; $AE165):INDIRECT("Table!" &amp; $AH$253 &amp; $AE165),0)))))</f>
        <v/>
      </c>
      <c r="H165" s="24" t="str">
        <f ca="1">IF(ISERROR(MATCH(H$1,INDIRECT("Table!A"&amp;$AE165):INDIRECT("Table!" &amp; $AH$253 &amp; $AE165),0)),"",INDIRECT(CONCATENATE("Table!",ADDRESS($T165,MATCH(H$1,INDIRECT("Table!A" &amp; $AE165):INDIRECT("Table!" &amp; $AH$253 &amp; $AE165),0)))))</f>
        <v/>
      </c>
      <c r="I165" s="273"/>
      <c r="J165" s="273"/>
      <c r="K165" s="24" t="str">
        <f ca="1">IF(ISERROR(MATCH(L$1,INDIRECT("Table!A"&amp;$AE165):INDIRECT("Table!" &amp; $AH$253 &amp; $AE165),0)),"",INDIRECT(CONCATENATE("Table!",ADDRESS($T165,MATCH(L$1,INDIRECT("Table!A" &amp; $AE165):INDIRECT("Table!" &amp; $AH$253 &amp; $AE165),0)))))</f>
        <v/>
      </c>
      <c r="L165" s="24" t="str">
        <f ca="1">IF(ISERROR(MATCH(M$1,INDIRECT("Table!A"&amp;$AE165):INDIRECT("Table!" &amp; $AH$253 &amp; $AE165),0)),"",INDIRECT(CONCATENATE("Table!",ADDRESS($T165,MATCH(M$1,INDIRECT("Table!A" &amp; $AE165):INDIRECT("Table!" &amp; $AH$253 &amp; $AE165),0)))))</f>
        <v/>
      </c>
      <c r="M165" s="24" t="str">
        <f ca="1">IF(ISERROR(MATCH(N$1,INDIRECT("Table!A"&amp;$AE165):INDIRECT("Table!" &amp; $AH$253 &amp; $AE165),0)),"",INDIRECT(CONCATENATE("Table!",ADDRESS($T165,MATCH(N$1,INDIRECT("Table!A" &amp; $AE165):INDIRECT("Table!" &amp; $AH$253 &amp; $AE165),0)))))</f>
        <v/>
      </c>
      <c r="N165" s="24" t="str">
        <f ca="1">IF(ISERROR(MATCH(O$1,INDIRECT("Table!A"&amp;$AE165):INDIRECT("Table!" &amp; $AH$253 &amp; $AE165),0)),"",INDIRECT(CONCATENATE("Table!",ADDRESS($T165,MATCH(O$1,INDIRECT("Table!A" &amp; $AE165):INDIRECT("Table!" &amp; $AH$253 &amp; $AE165),0)))))</f>
        <v/>
      </c>
      <c r="O165" s="24" t="str">
        <f ca="1">IF(ISERROR(MATCH(P$1,INDIRECT("Table!A"&amp;$AE165):INDIRECT("Table!" &amp; $AH$253 &amp; $AE165),0)),"",INDIRECT(CONCATENATE("Table!",ADDRESS($T165,MATCH(P$1,INDIRECT("Table!A" &amp; $AE165):INDIRECT("Table!" &amp; $AH$253 &amp; $AE165),0)))))</f>
        <v/>
      </c>
      <c r="P165" s="273" t="str">
        <f ca="1">IF(ISERROR(MATCH(Q$1,INDIRECT("Table!A"&amp;$AE165):INDIRECT("Table!" &amp; $AH$253 &amp; $AE165),0)),"",INDIRECT(CONCATENATE("Table!",ADDRESS($T165,MATCH(Q$1,INDIRECT("Table!A" &amp; $AE165):INDIRECT("Table!" &amp; $AH$253 &amp; $AE165),0)))))</f>
        <v/>
      </c>
      <c r="Q165" s="158"/>
      <c r="R165" s="158"/>
      <c r="S165" s="158"/>
      <c r="T165" s="22"/>
      <c r="AC165" s="158"/>
      <c r="AD165" s="158"/>
      <c r="AE165" s="22"/>
      <c r="AF165" s="158"/>
      <c r="AG165" s="158"/>
      <c r="AH165" s="158"/>
      <c r="AU165" s="25"/>
      <c r="AV165" s="25"/>
    </row>
    <row r="166" spans="2:48" ht="18" customHeight="1" x14ac:dyDescent="0.25">
      <c r="B166" s="24"/>
      <c r="C166" s="24" t="str">
        <f ca="1">IF(ISERROR(MATCH(C$1,INDIRECT("Table!A"&amp;$AE166):INDIRECT("Table!" &amp; $AH$253 &amp; $AE166),0)),"",INDIRECT(CONCATENATE("Table!",ADDRESS($T166,MATCH(C$1,INDIRECT("Table!A" &amp; $AE166):INDIRECT("Table!" &amp; $AH$253 &amp; $AE166),0)))))</f>
        <v/>
      </c>
      <c r="D166" s="24" t="str">
        <f ca="1">IF(ISERROR(MATCH(D$1,INDIRECT("Table!A"&amp;$AE166):INDIRECT("Table!" &amp; $AH$253 &amp; $AE166),0)),"",INDIRECT(CONCATENATE("Table!",ADDRESS($T166,MATCH(D$1,INDIRECT("Table!A" &amp; $AE166):INDIRECT("Table!" &amp; $AH$253 &amp; $AE166),0)))))</f>
        <v/>
      </c>
      <c r="E166" s="24" t="str">
        <f ca="1">IF(ISERROR(MATCH(E$1,INDIRECT("Table!A"&amp;$AE166):INDIRECT("Table!" &amp; $AH$253 &amp; $AE166),0)),"",INDIRECT(CONCATENATE("Table!",ADDRESS($T166,MATCH(E$1,INDIRECT("Table!A" &amp; $AE166):INDIRECT("Table!" &amp; $AH$253 &amp; $AE166),0)))))</f>
        <v/>
      </c>
      <c r="F166" s="24" t="str">
        <f ca="1">IF(ISERROR(MATCH(F$1,INDIRECT("Table!A"&amp;$AE166):INDIRECT("Table!" &amp; $AH$253 &amp; $AE166),0)),"",INDIRECT(CONCATENATE("Table!",ADDRESS($T166,MATCH(F$1,INDIRECT("Table!A" &amp; $AE166):INDIRECT("Table!" &amp; $AH$253 &amp; $AE166),0)))))</f>
        <v/>
      </c>
      <c r="G166" s="24" t="str">
        <f ca="1">IF(ISERROR(MATCH(G$1,INDIRECT("Table!A"&amp;$AE166):INDIRECT("Table!" &amp; $AH$253 &amp; $AE166),0)),"",INDIRECT(CONCATENATE("Table!",ADDRESS($T166,MATCH(G$1,INDIRECT("Table!A" &amp; $AE166):INDIRECT("Table!" &amp; $AH$253 &amp; $AE166),0)))))</f>
        <v/>
      </c>
      <c r="H166" s="24" t="str">
        <f ca="1">IF(ISERROR(MATCH(H$1,INDIRECT("Table!A"&amp;$AE166):INDIRECT("Table!" &amp; $AH$253 &amp; $AE166),0)),"",INDIRECT(CONCATENATE("Table!",ADDRESS($T166,MATCH(H$1,INDIRECT("Table!A" &amp; $AE166):INDIRECT("Table!" &amp; $AH$253 &amp; $AE166),0)))))</f>
        <v/>
      </c>
      <c r="I166" s="273"/>
      <c r="J166" s="273"/>
      <c r="K166" s="24" t="str">
        <f ca="1">IF(ISERROR(MATCH(L$1,INDIRECT("Table!A"&amp;$AE166):INDIRECT("Table!" &amp; $AH$253 &amp; $AE166),0)),"",INDIRECT(CONCATENATE("Table!",ADDRESS($T166,MATCH(L$1,INDIRECT("Table!A" &amp; $AE166):INDIRECT("Table!" &amp; $AH$253 &amp; $AE166),0)))))</f>
        <v/>
      </c>
      <c r="L166" s="24" t="str">
        <f ca="1">IF(ISERROR(MATCH(M$1,INDIRECT("Table!A"&amp;$AE166):INDIRECT("Table!" &amp; $AH$253 &amp; $AE166),0)),"",INDIRECT(CONCATENATE("Table!",ADDRESS($T166,MATCH(M$1,INDIRECT("Table!A" &amp; $AE166):INDIRECT("Table!" &amp; $AH$253 &amp; $AE166),0)))))</f>
        <v/>
      </c>
      <c r="M166" s="24" t="str">
        <f ca="1">IF(ISERROR(MATCH(N$1,INDIRECT("Table!A"&amp;$AE166):INDIRECT("Table!" &amp; $AH$253 &amp; $AE166),0)),"",INDIRECT(CONCATENATE("Table!",ADDRESS($T166,MATCH(N$1,INDIRECT("Table!A" &amp; $AE166):INDIRECT("Table!" &amp; $AH$253 &amp; $AE166),0)))))</f>
        <v/>
      </c>
      <c r="N166" s="24" t="str">
        <f ca="1">IF(ISERROR(MATCH(O$1,INDIRECT("Table!A"&amp;$AE166):INDIRECT("Table!" &amp; $AH$253 &amp; $AE166),0)),"",INDIRECT(CONCATENATE("Table!",ADDRESS($T166,MATCH(O$1,INDIRECT("Table!A" &amp; $AE166):INDIRECT("Table!" &amp; $AH$253 &amp; $AE166),0)))))</f>
        <v/>
      </c>
      <c r="O166" s="24" t="str">
        <f ca="1">IF(ISERROR(MATCH(P$1,INDIRECT("Table!A"&amp;$AE166):INDIRECT("Table!" &amp; $AH$253 &amp; $AE166),0)),"",INDIRECT(CONCATENATE("Table!",ADDRESS($T166,MATCH(P$1,INDIRECT("Table!A" &amp; $AE166):INDIRECT("Table!" &amp; $AH$253 &amp; $AE166),0)))))</f>
        <v/>
      </c>
      <c r="P166" s="273" t="str">
        <f ca="1">IF(ISERROR(MATCH(Q$1,INDIRECT("Table!A"&amp;$AE166):INDIRECT("Table!" &amp; $AH$253 &amp; $AE166),0)),"",INDIRECT(CONCATENATE("Table!",ADDRESS($T166,MATCH(Q$1,INDIRECT("Table!A" &amp; $AE166):INDIRECT("Table!" &amp; $AH$253 &amp; $AE166),0)))))</f>
        <v/>
      </c>
      <c r="Q166" s="157"/>
      <c r="R166" s="157"/>
      <c r="S166" s="157"/>
      <c r="T166" s="22"/>
      <c r="AC166" s="157"/>
      <c r="AD166" s="157"/>
      <c r="AE166" s="22"/>
      <c r="AF166" s="157"/>
      <c r="AG166" s="157"/>
      <c r="AH166" s="157"/>
      <c r="AU166" s="25"/>
      <c r="AV166" s="25"/>
    </row>
    <row r="167" spans="2:48" ht="18" customHeight="1" x14ac:dyDescent="0.25">
      <c r="B167" s="24"/>
      <c r="C167" s="24" t="str">
        <f ca="1">IF(ISERROR(MATCH(C$1,INDIRECT("Table!A"&amp;$AE167):INDIRECT("Table!" &amp; $AH$253 &amp; $AE167),0)),"",INDIRECT(CONCATENATE("Table!",ADDRESS($T167,MATCH(C$1,INDIRECT("Table!A" &amp; $AE167):INDIRECT("Table!" &amp; $AH$253 &amp; $AE167),0)))))</f>
        <v/>
      </c>
      <c r="D167" s="24" t="str">
        <f ca="1">IF(ISERROR(MATCH(D$1,INDIRECT("Table!A"&amp;$AE167):INDIRECT("Table!" &amp; $AH$253 &amp; $AE167),0)),"",INDIRECT(CONCATENATE("Table!",ADDRESS($T167,MATCH(D$1,INDIRECT("Table!A" &amp; $AE167):INDIRECT("Table!" &amp; $AH$253 &amp; $AE167),0)))))</f>
        <v/>
      </c>
      <c r="E167" s="24" t="str">
        <f ca="1">IF(ISERROR(MATCH(E$1,INDIRECT("Table!A"&amp;$AE167):INDIRECT("Table!" &amp; $AH$253 &amp; $AE167),0)),"",INDIRECT(CONCATENATE("Table!",ADDRESS($T167,MATCH(E$1,INDIRECT("Table!A" &amp; $AE167):INDIRECT("Table!" &amp; $AH$253 &amp; $AE167),0)))))</f>
        <v/>
      </c>
      <c r="F167" s="24" t="str">
        <f ca="1">IF(ISERROR(MATCH(F$1,INDIRECT("Table!A"&amp;$AE167):INDIRECT("Table!" &amp; $AH$253 &amp; $AE167),0)),"",INDIRECT(CONCATENATE("Table!",ADDRESS($T167,MATCH(F$1,INDIRECT("Table!A" &amp; $AE167):INDIRECT("Table!" &amp; $AH$253 &amp; $AE167),0)))))</f>
        <v/>
      </c>
      <c r="G167" s="24" t="str">
        <f ca="1">IF(ISERROR(MATCH(G$1,INDIRECT("Table!A"&amp;$AE167):INDIRECT("Table!" &amp; $AH$253 &amp; $AE167),0)),"",INDIRECT(CONCATENATE("Table!",ADDRESS($T167,MATCH(G$1,INDIRECT("Table!A" &amp; $AE167):INDIRECT("Table!" &amp; $AH$253 &amp; $AE167),0)))))</f>
        <v/>
      </c>
      <c r="H167" s="24" t="str">
        <f ca="1">IF(ISERROR(MATCH(H$1,INDIRECT("Table!A"&amp;$AE167):INDIRECT("Table!" &amp; $AH$253 &amp; $AE167),0)),"",INDIRECT(CONCATENATE("Table!",ADDRESS($T167,MATCH(H$1,INDIRECT("Table!A" &amp; $AE167):INDIRECT("Table!" &amp; $AH$253 &amp; $AE167),0)))))</f>
        <v/>
      </c>
      <c r="I167" s="273"/>
      <c r="J167" s="273"/>
      <c r="K167" s="24" t="str">
        <f ca="1">IF(ISERROR(MATCH(L$1,INDIRECT("Table!A"&amp;$AE167):INDIRECT("Table!" &amp; $AH$253 &amp; $AE167),0)),"",INDIRECT(CONCATENATE("Table!",ADDRESS($T167,MATCH(L$1,INDIRECT("Table!A" &amp; $AE167):INDIRECT("Table!" &amp; $AH$253 &amp; $AE167),0)))))</f>
        <v/>
      </c>
      <c r="L167" s="24" t="str">
        <f ca="1">IF(ISERROR(MATCH(M$1,INDIRECT("Table!A"&amp;$AE167):INDIRECT("Table!" &amp; $AH$253 &amp; $AE167),0)),"",INDIRECT(CONCATENATE("Table!",ADDRESS($T167,MATCH(M$1,INDIRECT("Table!A" &amp; $AE167):INDIRECT("Table!" &amp; $AH$253 &amp; $AE167),0)))))</f>
        <v/>
      </c>
      <c r="M167" s="24" t="str">
        <f ca="1">IF(ISERROR(MATCH(N$1,INDIRECT("Table!A"&amp;$AE167):INDIRECT("Table!" &amp; $AH$253 &amp; $AE167),0)),"",INDIRECT(CONCATENATE("Table!",ADDRESS($T167,MATCH(N$1,INDIRECT("Table!A" &amp; $AE167):INDIRECT("Table!" &amp; $AH$253 &amp; $AE167),0)))))</f>
        <v/>
      </c>
      <c r="N167" s="24" t="str">
        <f ca="1">IF(ISERROR(MATCH(O$1,INDIRECT("Table!A"&amp;$AE167):INDIRECT("Table!" &amp; $AH$253 &amp; $AE167),0)),"",INDIRECT(CONCATENATE("Table!",ADDRESS($T167,MATCH(O$1,INDIRECT("Table!A" &amp; $AE167):INDIRECT("Table!" &amp; $AH$253 &amp; $AE167),0)))))</f>
        <v/>
      </c>
      <c r="O167" s="24" t="str">
        <f ca="1">IF(ISERROR(MATCH(P$1,INDIRECT("Table!A"&amp;$AE167):INDIRECT("Table!" &amp; $AH$253 &amp; $AE167),0)),"",INDIRECT(CONCATENATE("Table!",ADDRESS($T167,MATCH(P$1,INDIRECT("Table!A" &amp; $AE167):INDIRECT("Table!" &amp; $AH$253 &amp; $AE167),0)))))</f>
        <v/>
      </c>
      <c r="P167" s="273" t="str">
        <f ca="1">IF(ISERROR(MATCH(Q$1,INDIRECT("Table!A"&amp;$AE167):INDIRECT("Table!" &amp; $AH$253 &amp; $AE167),0)),"",INDIRECT(CONCATENATE("Table!",ADDRESS($T167,MATCH(Q$1,INDIRECT("Table!A" &amp; $AE167):INDIRECT("Table!" &amp; $AH$253 &amp; $AE167),0)))))</f>
        <v/>
      </c>
      <c r="Q167" s="156"/>
      <c r="R167" s="156"/>
      <c r="S167" s="156"/>
      <c r="T167" s="22"/>
      <c r="AC167" s="156"/>
      <c r="AD167" s="156"/>
      <c r="AE167" s="22"/>
      <c r="AF167" s="156"/>
      <c r="AG167" s="156"/>
      <c r="AH167" s="156"/>
      <c r="AU167" s="25"/>
      <c r="AV167" s="25"/>
    </row>
    <row r="168" spans="2:48" ht="18" customHeight="1" x14ac:dyDescent="0.25">
      <c r="B168" s="24"/>
      <c r="C168" s="24" t="str">
        <f ca="1">IF(ISERROR(MATCH(C$1,INDIRECT("Table!A"&amp;$AE168):INDIRECT("Table!" &amp; $AH$253 &amp; $AE168),0)),"",INDIRECT(CONCATENATE("Table!",ADDRESS($T168,MATCH(C$1,INDIRECT("Table!A" &amp; $AE168):INDIRECT("Table!" &amp; $AH$253 &amp; $AE168),0)))))</f>
        <v/>
      </c>
      <c r="D168" s="24" t="str">
        <f ca="1">IF(ISERROR(MATCH(D$1,INDIRECT("Table!A"&amp;$AE168):INDIRECT("Table!" &amp; $AH$253 &amp; $AE168),0)),"",INDIRECT(CONCATENATE("Table!",ADDRESS($T168,MATCH(D$1,INDIRECT("Table!A" &amp; $AE168):INDIRECT("Table!" &amp; $AH$253 &amp; $AE168),0)))))</f>
        <v/>
      </c>
      <c r="E168" s="24" t="str">
        <f ca="1">IF(ISERROR(MATCH(E$1,INDIRECT("Table!A"&amp;$AE168):INDIRECT("Table!" &amp; $AH$253 &amp; $AE168),0)),"",INDIRECT(CONCATENATE("Table!",ADDRESS($T168,MATCH(E$1,INDIRECT("Table!A" &amp; $AE168):INDIRECT("Table!" &amp; $AH$253 &amp; $AE168),0)))))</f>
        <v/>
      </c>
      <c r="F168" s="24" t="str">
        <f ca="1">IF(ISERROR(MATCH(F$1,INDIRECT("Table!A"&amp;$AE168):INDIRECT("Table!" &amp; $AH$253 &amp; $AE168),0)),"",INDIRECT(CONCATENATE("Table!",ADDRESS($T168,MATCH(F$1,INDIRECT("Table!A" &amp; $AE168):INDIRECT("Table!" &amp; $AH$253 &amp; $AE168),0)))))</f>
        <v/>
      </c>
      <c r="G168" s="24" t="str">
        <f ca="1">IF(ISERROR(MATCH(G$1,INDIRECT("Table!A"&amp;$AE168):INDIRECT("Table!" &amp; $AH$253 &amp; $AE168),0)),"",INDIRECT(CONCATENATE("Table!",ADDRESS($T168,MATCH(G$1,INDIRECT("Table!A" &amp; $AE168):INDIRECT("Table!" &amp; $AH$253 &amp; $AE168),0)))))</f>
        <v/>
      </c>
      <c r="H168" s="24" t="str">
        <f ca="1">IF(ISERROR(MATCH(H$1,INDIRECT("Table!A"&amp;$AE168):INDIRECT("Table!" &amp; $AH$253 &amp; $AE168),0)),"",INDIRECT(CONCATENATE("Table!",ADDRESS($T168,MATCH(H$1,INDIRECT("Table!A" &amp; $AE168):INDIRECT("Table!" &amp; $AH$253 &amp; $AE168),0)))))</f>
        <v/>
      </c>
      <c r="I168" s="273"/>
      <c r="J168" s="273"/>
      <c r="K168" s="24" t="str">
        <f ca="1">IF(ISERROR(MATCH(L$1,INDIRECT("Table!A"&amp;$AE168):INDIRECT("Table!" &amp; $AH$253 &amp; $AE168),0)),"",INDIRECT(CONCATENATE("Table!",ADDRESS($T168,MATCH(L$1,INDIRECT("Table!A" &amp; $AE168):INDIRECT("Table!" &amp; $AH$253 &amp; $AE168),0)))))</f>
        <v/>
      </c>
      <c r="L168" s="24" t="str">
        <f ca="1">IF(ISERROR(MATCH(M$1,INDIRECT("Table!A"&amp;$AE168):INDIRECT("Table!" &amp; $AH$253 &amp; $AE168),0)),"",INDIRECT(CONCATENATE("Table!",ADDRESS($T168,MATCH(M$1,INDIRECT("Table!A" &amp; $AE168):INDIRECT("Table!" &amp; $AH$253 &amp; $AE168),0)))))</f>
        <v/>
      </c>
      <c r="M168" s="24" t="str">
        <f ca="1">IF(ISERROR(MATCH(N$1,INDIRECT("Table!A"&amp;$AE168):INDIRECT("Table!" &amp; $AH$253 &amp; $AE168),0)),"",INDIRECT(CONCATENATE("Table!",ADDRESS($T168,MATCH(N$1,INDIRECT("Table!A" &amp; $AE168):INDIRECT("Table!" &amp; $AH$253 &amp; $AE168),0)))))</f>
        <v/>
      </c>
      <c r="N168" s="24" t="str">
        <f ca="1">IF(ISERROR(MATCH(O$1,INDIRECT("Table!A"&amp;$AE168):INDIRECT("Table!" &amp; $AH$253 &amp; $AE168),0)),"",INDIRECT(CONCATENATE("Table!",ADDRESS($T168,MATCH(O$1,INDIRECT("Table!A" &amp; $AE168):INDIRECT("Table!" &amp; $AH$253 &amp; $AE168),0)))))</f>
        <v/>
      </c>
      <c r="O168" s="24" t="str">
        <f ca="1">IF(ISERROR(MATCH(P$1,INDIRECT("Table!A"&amp;$AE168):INDIRECT("Table!" &amp; $AH$253 &amp; $AE168),0)),"",INDIRECT(CONCATENATE("Table!",ADDRESS($T168,MATCH(P$1,INDIRECT("Table!A" &amp; $AE168):INDIRECT("Table!" &amp; $AH$253 &amp; $AE168),0)))))</f>
        <v/>
      </c>
      <c r="P168" s="273" t="str">
        <f ca="1">IF(ISERROR(MATCH(Q$1,INDIRECT("Table!A"&amp;$AE168):INDIRECT("Table!" &amp; $AH$253 &amp; $AE168),0)),"",INDIRECT(CONCATENATE("Table!",ADDRESS($T168,MATCH(Q$1,INDIRECT("Table!A" &amp; $AE168):INDIRECT("Table!" &amp; $AH$253 &amp; $AE168),0)))))</f>
        <v/>
      </c>
      <c r="Q168" s="155"/>
      <c r="R168" s="155"/>
      <c r="S168" s="155"/>
      <c r="T168" s="22"/>
      <c r="AC168" s="155"/>
      <c r="AD168" s="155"/>
      <c r="AE168" s="22"/>
      <c r="AF168" s="155"/>
      <c r="AG168" s="155"/>
      <c r="AH168" s="155"/>
      <c r="AU168" s="25"/>
      <c r="AV168" s="25"/>
    </row>
    <row r="169" spans="2:48" ht="18" customHeight="1" x14ac:dyDescent="0.25">
      <c r="B169" s="24"/>
      <c r="C169" s="24" t="str">
        <f ca="1">IF(ISERROR(MATCH(C$1,INDIRECT("Table!A"&amp;$AE169):INDIRECT("Table!" &amp; $AH$253 &amp; $AE169),0)),"",INDIRECT(CONCATENATE("Table!",ADDRESS($T169,MATCH(C$1,INDIRECT("Table!A" &amp; $AE169):INDIRECT("Table!" &amp; $AH$253 &amp; $AE169),0)))))</f>
        <v/>
      </c>
      <c r="D169" s="24" t="str">
        <f ca="1">IF(ISERROR(MATCH(D$1,INDIRECT("Table!A"&amp;$AE169):INDIRECT("Table!" &amp; $AH$253 &amp; $AE169),0)),"",INDIRECT(CONCATENATE("Table!",ADDRESS($T169,MATCH(D$1,INDIRECT("Table!A" &amp; $AE169):INDIRECT("Table!" &amp; $AH$253 &amp; $AE169),0)))))</f>
        <v/>
      </c>
      <c r="E169" s="24" t="str">
        <f ca="1">IF(ISERROR(MATCH(E$1,INDIRECT("Table!A"&amp;$AE169):INDIRECT("Table!" &amp; $AH$253 &amp; $AE169),0)),"",INDIRECT(CONCATENATE("Table!",ADDRESS($T169,MATCH(E$1,INDIRECT("Table!A" &amp; $AE169):INDIRECT("Table!" &amp; $AH$253 &amp; $AE169),0)))))</f>
        <v/>
      </c>
      <c r="F169" s="24" t="str">
        <f ca="1">IF(ISERROR(MATCH(F$1,INDIRECT("Table!A"&amp;$AE169):INDIRECT("Table!" &amp; $AH$253 &amp; $AE169),0)),"",INDIRECT(CONCATENATE("Table!",ADDRESS($T169,MATCH(F$1,INDIRECT("Table!A" &amp; $AE169):INDIRECT("Table!" &amp; $AH$253 &amp; $AE169),0)))))</f>
        <v/>
      </c>
      <c r="G169" s="24" t="str">
        <f ca="1">IF(ISERROR(MATCH(G$1,INDIRECT("Table!A"&amp;$AE169):INDIRECT("Table!" &amp; $AH$253 &amp; $AE169),0)),"",INDIRECT(CONCATENATE("Table!",ADDRESS($T169,MATCH(G$1,INDIRECT("Table!A" &amp; $AE169):INDIRECT("Table!" &amp; $AH$253 &amp; $AE169),0)))))</f>
        <v/>
      </c>
      <c r="H169" s="24" t="str">
        <f ca="1">IF(ISERROR(MATCH(H$1,INDIRECT("Table!A"&amp;$AE169):INDIRECT("Table!" &amp; $AH$253 &amp; $AE169),0)),"",INDIRECT(CONCATENATE("Table!",ADDRESS($T169,MATCH(H$1,INDIRECT("Table!A" &amp; $AE169):INDIRECT("Table!" &amp; $AH$253 &amp; $AE169),0)))))</f>
        <v/>
      </c>
      <c r="I169" s="273"/>
      <c r="J169" s="273"/>
      <c r="K169" s="24" t="str">
        <f ca="1">IF(ISERROR(MATCH(L$1,INDIRECT("Table!A"&amp;$AE169):INDIRECT("Table!" &amp; $AH$253 &amp; $AE169),0)),"",INDIRECT(CONCATENATE("Table!",ADDRESS($T169,MATCH(L$1,INDIRECT("Table!A" &amp; $AE169):INDIRECT("Table!" &amp; $AH$253 &amp; $AE169),0)))))</f>
        <v/>
      </c>
      <c r="L169" s="24" t="str">
        <f ca="1">IF(ISERROR(MATCH(M$1,INDIRECT("Table!A"&amp;$AE169):INDIRECT("Table!" &amp; $AH$253 &amp; $AE169),0)),"",INDIRECT(CONCATENATE("Table!",ADDRESS($T169,MATCH(M$1,INDIRECT("Table!A" &amp; $AE169):INDIRECT("Table!" &amp; $AH$253 &amp; $AE169),0)))))</f>
        <v/>
      </c>
      <c r="M169" s="24" t="str">
        <f ca="1">IF(ISERROR(MATCH(N$1,INDIRECT("Table!A"&amp;$AE169):INDIRECT("Table!" &amp; $AH$253 &amp; $AE169),0)),"",INDIRECT(CONCATENATE("Table!",ADDRESS($T169,MATCH(N$1,INDIRECT("Table!A" &amp; $AE169):INDIRECT("Table!" &amp; $AH$253 &amp; $AE169),0)))))</f>
        <v/>
      </c>
      <c r="N169" s="24" t="str">
        <f ca="1">IF(ISERROR(MATCH(O$1,INDIRECT("Table!A"&amp;$AE169):INDIRECT("Table!" &amp; $AH$253 &amp; $AE169),0)),"",INDIRECT(CONCATENATE("Table!",ADDRESS($T169,MATCH(O$1,INDIRECT("Table!A" &amp; $AE169):INDIRECT("Table!" &amp; $AH$253 &amp; $AE169),0)))))</f>
        <v/>
      </c>
      <c r="O169" s="24" t="str">
        <f ca="1">IF(ISERROR(MATCH(P$1,INDIRECT("Table!A"&amp;$AE169):INDIRECT("Table!" &amp; $AH$253 &amp; $AE169),0)),"",INDIRECT(CONCATENATE("Table!",ADDRESS($T169,MATCH(P$1,INDIRECT("Table!A" &amp; $AE169):INDIRECT("Table!" &amp; $AH$253 &amp; $AE169),0)))))</f>
        <v/>
      </c>
      <c r="P169" s="273" t="str">
        <f ca="1">IF(ISERROR(MATCH(Q$1,INDIRECT("Table!A"&amp;$AE169):INDIRECT("Table!" &amp; $AH$253 &amp; $AE169),0)),"",INDIRECT(CONCATENATE("Table!",ADDRESS($T169,MATCH(Q$1,INDIRECT("Table!A" &amp; $AE169):INDIRECT("Table!" &amp; $AH$253 &amp; $AE169),0)))))</f>
        <v/>
      </c>
      <c r="Q169" s="154"/>
      <c r="R169" s="154"/>
      <c r="S169" s="154"/>
      <c r="T169" s="22"/>
      <c r="AC169" s="154"/>
      <c r="AD169" s="154"/>
      <c r="AE169" s="22"/>
      <c r="AF169" s="154"/>
      <c r="AG169" s="154"/>
      <c r="AH169" s="154"/>
      <c r="AU169" s="25"/>
      <c r="AV169" s="25"/>
    </row>
    <row r="170" spans="2:48" ht="18" customHeight="1" x14ac:dyDescent="0.25">
      <c r="B170" s="24"/>
      <c r="C170" s="24" t="str">
        <f ca="1">IF(ISERROR(MATCH(C$1,INDIRECT("Table!A"&amp;$AE170):INDIRECT("Table!" &amp; $AH$253 &amp; $AE170),0)),"",INDIRECT(CONCATENATE("Table!",ADDRESS($T170,MATCH(C$1,INDIRECT("Table!A" &amp; $AE170):INDIRECT("Table!" &amp; $AH$253 &amp; $AE170),0)))))</f>
        <v/>
      </c>
      <c r="D170" s="24" t="str">
        <f ca="1">IF(ISERROR(MATCH(D$1,INDIRECT("Table!A"&amp;$AE170):INDIRECT("Table!" &amp; $AH$253 &amp; $AE170),0)),"",INDIRECT(CONCATENATE("Table!",ADDRESS($T170,MATCH(D$1,INDIRECT("Table!A" &amp; $AE170):INDIRECT("Table!" &amp; $AH$253 &amp; $AE170),0)))))</f>
        <v/>
      </c>
      <c r="E170" s="24" t="str">
        <f ca="1">IF(ISERROR(MATCH(E$1,INDIRECT("Table!A"&amp;$AE170):INDIRECT("Table!" &amp; $AH$253 &amp; $AE170),0)),"",INDIRECT(CONCATENATE("Table!",ADDRESS($T170,MATCH(E$1,INDIRECT("Table!A" &amp; $AE170):INDIRECT("Table!" &amp; $AH$253 &amp; $AE170),0)))))</f>
        <v/>
      </c>
      <c r="F170" s="24" t="str">
        <f ca="1">IF(ISERROR(MATCH(F$1,INDIRECT("Table!A"&amp;$AE170):INDIRECT("Table!" &amp; $AH$253 &amp; $AE170),0)),"",INDIRECT(CONCATENATE("Table!",ADDRESS($T170,MATCH(F$1,INDIRECT("Table!A" &amp; $AE170):INDIRECT("Table!" &amp; $AH$253 &amp; $AE170),0)))))</f>
        <v/>
      </c>
      <c r="G170" s="24" t="str">
        <f ca="1">IF(ISERROR(MATCH(G$1,INDIRECT("Table!A"&amp;$AE170):INDIRECT("Table!" &amp; $AH$253 &amp; $AE170),0)),"",INDIRECT(CONCATENATE("Table!",ADDRESS($T170,MATCH(G$1,INDIRECT("Table!A" &amp; $AE170):INDIRECT("Table!" &amp; $AH$253 &amp; $AE170),0)))))</f>
        <v/>
      </c>
      <c r="H170" s="24" t="str">
        <f ca="1">IF(ISERROR(MATCH(H$1,INDIRECT("Table!A"&amp;$AE170):INDIRECT("Table!" &amp; $AH$253 &amp; $AE170),0)),"",INDIRECT(CONCATENATE("Table!",ADDRESS($T170,MATCH(H$1,INDIRECT("Table!A" &amp; $AE170):INDIRECT("Table!" &amp; $AH$253 &amp; $AE170),0)))))</f>
        <v/>
      </c>
      <c r="I170" s="273"/>
      <c r="J170" s="273"/>
      <c r="K170" s="24" t="str">
        <f ca="1">IF(ISERROR(MATCH(L$1,INDIRECT("Table!A"&amp;$AE170):INDIRECT("Table!" &amp; $AH$253 &amp; $AE170),0)),"",INDIRECT(CONCATENATE("Table!",ADDRESS($T170,MATCH(L$1,INDIRECT("Table!A" &amp; $AE170):INDIRECT("Table!" &amp; $AH$253 &amp; $AE170),0)))))</f>
        <v/>
      </c>
      <c r="L170" s="24" t="str">
        <f ca="1">IF(ISERROR(MATCH(M$1,INDIRECT("Table!A"&amp;$AE170):INDIRECT("Table!" &amp; $AH$253 &amp; $AE170),0)),"",INDIRECT(CONCATENATE("Table!",ADDRESS($T170,MATCH(M$1,INDIRECT("Table!A" &amp; $AE170):INDIRECT("Table!" &amp; $AH$253 &amp; $AE170),0)))))</f>
        <v/>
      </c>
      <c r="M170" s="24" t="str">
        <f ca="1">IF(ISERROR(MATCH(N$1,INDIRECT("Table!A"&amp;$AE170):INDIRECT("Table!" &amp; $AH$253 &amp; $AE170),0)),"",INDIRECT(CONCATENATE("Table!",ADDRESS($T170,MATCH(N$1,INDIRECT("Table!A" &amp; $AE170):INDIRECT("Table!" &amp; $AH$253 &amp; $AE170),0)))))</f>
        <v/>
      </c>
      <c r="N170" s="24" t="str">
        <f ca="1">IF(ISERROR(MATCH(O$1,INDIRECT("Table!A"&amp;$AE170):INDIRECT("Table!" &amp; $AH$253 &amp; $AE170),0)),"",INDIRECT(CONCATENATE("Table!",ADDRESS($T170,MATCH(O$1,INDIRECT("Table!A" &amp; $AE170):INDIRECT("Table!" &amp; $AH$253 &amp; $AE170),0)))))</f>
        <v/>
      </c>
      <c r="O170" s="24" t="str">
        <f ca="1">IF(ISERROR(MATCH(P$1,INDIRECT("Table!A"&amp;$AE170):INDIRECT("Table!" &amp; $AH$253 &amp; $AE170),0)),"",INDIRECT(CONCATENATE("Table!",ADDRESS($T170,MATCH(P$1,INDIRECT("Table!A" &amp; $AE170):INDIRECT("Table!" &amp; $AH$253 &amp; $AE170),0)))))</f>
        <v/>
      </c>
      <c r="P170" s="273" t="str">
        <f ca="1">IF(ISERROR(MATCH(Q$1,INDIRECT("Table!A"&amp;$AE170):INDIRECT("Table!" &amp; $AH$253 &amp; $AE170),0)),"",INDIRECT(CONCATENATE("Table!",ADDRESS($T170,MATCH(Q$1,INDIRECT("Table!A" &amp; $AE170):INDIRECT("Table!" &amp; $AH$253 &amp; $AE170),0)))))</f>
        <v/>
      </c>
      <c r="Q170" s="153"/>
      <c r="R170" s="153"/>
      <c r="S170" s="153"/>
      <c r="T170" s="22"/>
      <c r="AC170" s="153"/>
      <c r="AD170" s="153"/>
      <c r="AE170" s="22"/>
      <c r="AF170" s="153"/>
      <c r="AG170" s="153"/>
      <c r="AH170" s="153"/>
    </row>
    <row r="171" spans="2:48" ht="18" customHeight="1" x14ac:dyDescent="0.25">
      <c r="B171" s="24"/>
      <c r="C171" s="24" t="str">
        <f ca="1">IF(ISERROR(MATCH(C$1,INDIRECT("Table!A"&amp;$AE171):INDIRECT("Table!" &amp; $AH$253 &amp; $AE171),0)),"",INDIRECT(CONCATENATE("Table!",ADDRESS($T171,MATCH(C$1,INDIRECT("Table!A" &amp; $AE171):INDIRECT("Table!" &amp; $AH$253 &amp; $AE171),0)))))</f>
        <v/>
      </c>
      <c r="D171" s="24" t="str">
        <f ca="1">IF(ISERROR(MATCH(D$1,INDIRECT("Table!A"&amp;$AE171):INDIRECT("Table!" &amp; $AH$253 &amp; $AE171),0)),"",INDIRECT(CONCATENATE("Table!",ADDRESS($T171,MATCH(D$1,INDIRECT("Table!A" &amp; $AE171):INDIRECT("Table!" &amp; $AH$253 &amp; $AE171),0)))))</f>
        <v/>
      </c>
      <c r="E171" s="24" t="str">
        <f ca="1">IF(ISERROR(MATCH(E$1,INDIRECT("Table!A"&amp;$AE171):INDIRECT("Table!" &amp; $AH$253 &amp; $AE171),0)),"",INDIRECT(CONCATENATE("Table!",ADDRESS($T171,MATCH(E$1,INDIRECT("Table!A" &amp; $AE171):INDIRECT("Table!" &amp; $AH$253 &amp; $AE171),0)))))</f>
        <v/>
      </c>
      <c r="F171" s="24" t="str">
        <f ca="1">IF(ISERROR(MATCH(F$1,INDIRECT("Table!A"&amp;$AE171):INDIRECT("Table!" &amp; $AH$253 &amp; $AE171),0)),"",INDIRECT(CONCATENATE("Table!",ADDRESS($T171,MATCH(F$1,INDIRECT("Table!A" &amp; $AE171):INDIRECT("Table!" &amp; $AH$253 &amp; $AE171),0)))))</f>
        <v/>
      </c>
      <c r="G171" s="24" t="str">
        <f ca="1">IF(ISERROR(MATCH(G$1,INDIRECT("Table!A"&amp;$AE171):INDIRECT("Table!" &amp; $AH$253 &amp; $AE171),0)),"",INDIRECT(CONCATENATE("Table!",ADDRESS($T171,MATCH(G$1,INDIRECT("Table!A" &amp; $AE171):INDIRECT("Table!" &amp; $AH$253 &amp; $AE171),0)))))</f>
        <v/>
      </c>
      <c r="H171" s="24" t="str">
        <f ca="1">IF(ISERROR(MATCH(H$1,INDIRECT("Table!A"&amp;$AE171):INDIRECT("Table!" &amp; $AH$253 &amp; $AE171),0)),"",INDIRECT(CONCATENATE("Table!",ADDRESS($T171,MATCH(H$1,INDIRECT("Table!A" &amp; $AE171):INDIRECT("Table!" &amp; $AH$253 &amp; $AE171),0)))))</f>
        <v/>
      </c>
      <c r="I171" s="273"/>
      <c r="J171" s="273"/>
      <c r="K171" s="24" t="str">
        <f ca="1">IF(ISERROR(MATCH(L$1,INDIRECT("Table!A"&amp;$AE171):INDIRECT("Table!" &amp; $AH$253 &amp; $AE171),0)),"",INDIRECT(CONCATENATE("Table!",ADDRESS($T171,MATCH(L$1,INDIRECT("Table!A" &amp; $AE171):INDIRECT("Table!" &amp; $AH$253 &amp; $AE171),0)))))</f>
        <v/>
      </c>
      <c r="L171" s="24" t="str">
        <f ca="1">IF(ISERROR(MATCH(M$1,INDIRECT("Table!A"&amp;$AE171):INDIRECT("Table!" &amp; $AH$253 &amp; $AE171),0)),"",INDIRECT(CONCATENATE("Table!",ADDRESS($T171,MATCH(M$1,INDIRECT("Table!A" &amp; $AE171):INDIRECT("Table!" &amp; $AH$253 &amp; $AE171),0)))))</f>
        <v/>
      </c>
      <c r="M171" s="24" t="str">
        <f ca="1">IF(ISERROR(MATCH(N$1,INDIRECT("Table!A"&amp;$AE171):INDIRECT("Table!" &amp; $AH$253 &amp; $AE171),0)),"",INDIRECT(CONCATENATE("Table!",ADDRESS($T171,MATCH(N$1,INDIRECT("Table!A" &amp; $AE171):INDIRECT("Table!" &amp; $AH$253 &amp; $AE171),0)))))</f>
        <v/>
      </c>
      <c r="N171" s="24" t="str">
        <f ca="1">IF(ISERROR(MATCH(O$1,INDIRECT("Table!A"&amp;$AE171):INDIRECT("Table!" &amp; $AH$253 &amp; $AE171),0)),"",INDIRECT(CONCATENATE("Table!",ADDRESS($T171,MATCH(O$1,INDIRECT("Table!A" &amp; $AE171):INDIRECT("Table!" &amp; $AH$253 &amp; $AE171),0)))))</f>
        <v/>
      </c>
      <c r="O171" s="24" t="str">
        <f ca="1">IF(ISERROR(MATCH(P$1,INDIRECT("Table!A"&amp;$AE171):INDIRECT("Table!" &amp; $AH$253 &amp; $AE171),0)),"",INDIRECT(CONCATENATE("Table!",ADDRESS($T171,MATCH(P$1,INDIRECT("Table!A" &amp; $AE171):INDIRECT("Table!" &amp; $AH$253 &amp; $AE171),0)))))</f>
        <v/>
      </c>
      <c r="P171" s="273" t="str">
        <f ca="1">IF(ISERROR(MATCH(Q$1,INDIRECT("Table!A"&amp;$AE171):INDIRECT("Table!" &amp; $AH$253 &amp; $AE171),0)),"",INDIRECT(CONCATENATE("Table!",ADDRESS($T171,MATCH(Q$1,INDIRECT("Table!A" &amp; $AE171):INDIRECT("Table!" &amp; $AH$253 &amp; $AE171),0)))))</f>
        <v/>
      </c>
      <c r="Q171" s="152"/>
      <c r="R171" s="152"/>
      <c r="S171" s="152"/>
      <c r="T171" s="22"/>
      <c r="AC171" s="152"/>
      <c r="AD171" s="152"/>
      <c r="AE171" s="22"/>
      <c r="AF171" s="152"/>
      <c r="AG171" s="152"/>
      <c r="AH171" s="152"/>
    </row>
    <row r="172" spans="2:48" ht="18" customHeight="1" x14ac:dyDescent="0.25">
      <c r="B172" s="24"/>
      <c r="C172" s="24" t="str">
        <f ca="1">IF(ISERROR(MATCH(C$1,INDIRECT("Table!A"&amp;$AE172):INDIRECT("Table!" &amp; $AH$253 &amp; $AE172),0)),"",INDIRECT(CONCATENATE("Table!",ADDRESS($T172,MATCH(C$1,INDIRECT("Table!A" &amp; $AE172):INDIRECT("Table!" &amp; $AH$253 &amp; $AE172),0)))))</f>
        <v/>
      </c>
      <c r="D172" s="24" t="str">
        <f ca="1">IF(ISERROR(MATCH(D$1,INDIRECT("Table!A"&amp;$AE172):INDIRECT("Table!" &amp; $AH$253 &amp; $AE172),0)),"",INDIRECT(CONCATENATE("Table!",ADDRESS($T172,MATCH(D$1,INDIRECT("Table!A" &amp; $AE172):INDIRECT("Table!" &amp; $AH$253 &amp; $AE172),0)))))</f>
        <v/>
      </c>
      <c r="E172" s="24" t="str">
        <f ca="1">IF(ISERROR(MATCH(E$1,INDIRECT("Table!A"&amp;$AE172):INDIRECT("Table!" &amp; $AH$253 &amp; $AE172),0)),"",INDIRECT(CONCATENATE("Table!",ADDRESS($T172,MATCH(E$1,INDIRECT("Table!A" &amp; $AE172):INDIRECT("Table!" &amp; $AH$253 &amp; $AE172),0)))))</f>
        <v/>
      </c>
      <c r="F172" s="24" t="str">
        <f ca="1">IF(ISERROR(MATCH(F$1,INDIRECT("Table!A"&amp;$AE172):INDIRECT("Table!" &amp; $AH$253 &amp; $AE172),0)),"",INDIRECT(CONCATENATE("Table!",ADDRESS($T172,MATCH(F$1,INDIRECT("Table!A" &amp; $AE172):INDIRECT("Table!" &amp; $AH$253 &amp; $AE172),0)))))</f>
        <v/>
      </c>
      <c r="G172" s="24" t="str">
        <f ca="1">IF(ISERROR(MATCH(G$1,INDIRECT("Table!A"&amp;$AE172):INDIRECT("Table!" &amp; $AH$253 &amp; $AE172),0)),"",INDIRECT(CONCATENATE("Table!",ADDRESS($T172,MATCH(G$1,INDIRECT("Table!A" &amp; $AE172):INDIRECT("Table!" &amp; $AH$253 &amp; $AE172),0)))))</f>
        <v/>
      </c>
      <c r="H172" s="24" t="str">
        <f ca="1">IF(ISERROR(MATCH(H$1,INDIRECT("Table!A"&amp;$AE172):INDIRECT("Table!" &amp; $AH$253 &amp; $AE172),0)),"",INDIRECT(CONCATENATE("Table!",ADDRESS($T172,MATCH(H$1,INDIRECT("Table!A" &amp; $AE172):INDIRECT("Table!" &amp; $AH$253 &amp; $AE172),0)))))</f>
        <v/>
      </c>
      <c r="I172" s="273"/>
      <c r="J172" s="273"/>
      <c r="K172" s="24" t="str">
        <f ca="1">IF(ISERROR(MATCH(L$1,INDIRECT("Table!A"&amp;$AE172):INDIRECT("Table!" &amp; $AH$253 &amp; $AE172),0)),"",INDIRECT(CONCATENATE("Table!",ADDRESS($T172,MATCH(L$1,INDIRECT("Table!A" &amp; $AE172):INDIRECT("Table!" &amp; $AH$253 &amp; $AE172),0)))))</f>
        <v/>
      </c>
      <c r="L172" s="24" t="str">
        <f ca="1">IF(ISERROR(MATCH(M$1,INDIRECT("Table!A"&amp;$AE172):INDIRECT("Table!" &amp; $AH$253 &amp; $AE172),0)),"",INDIRECT(CONCATENATE("Table!",ADDRESS($T172,MATCH(M$1,INDIRECT("Table!A" &amp; $AE172):INDIRECT("Table!" &amp; $AH$253 &amp; $AE172),0)))))</f>
        <v/>
      </c>
      <c r="M172" s="24" t="str">
        <f ca="1">IF(ISERROR(MATCH(N$1,INDIRECT("Table!A"&amp;$AE172):INDIRECT("Table!" &amp; $AH$253 &amp; $AE172),0)),"",INDIRECT(CONCATENATE("Table!",ADDRESS($T172,MATCH(N$1,INDIRECT("Table!A" &amp; $AE172):INDIRECT("Table!" &amp; $AH$253 &amp; $AE172),0)))))</f>
        <v/>
      </c>
      <c r="N172" s="24" t="str">
        <f ca="1">IF(ISERROR(MATCH(O$1,INDIRECT("Table!A"&amp;$AE172):INDIRECT("Table!" &amp; $AH$253 &amp; $AE172),0)),"",INDIRECT(CONCATENATE("Table!",ADDRESS($T172,MATCH(O$1,INDIRECT("Table!A" &amp; $AE172):INDIRECT("Table!" &amp; $AH$253 &amp; $AE172),0)))))</f>
        <v/>
      </c>
      <c r="O172" s="24" t="str">
        <f ca="1">IF(ISERROR(MATCH(P$1,INDIRECT("Table!A"&amp;$AE172):INDIRECT("Table!" &amp; $AH$253 &amp; $AE172),0)),"",INDIRECT(CONCATENATE("Table!",ADDRESS($T172,MATCH(P$1,INDIRECT("Table!A" &amp; $AE172):INDIRECT("Table!" &amp; $AH$253 &amp; $AE172),0)))))</f>
        <v/>
      </c>
      <c r="P172" s="273" t="str">
        <f ca="1">IF(ISERROR(MATCH(Q$1,INDIRECT("Table!A"&amp;$AE172):INDIRECT("Table!" &amp; $AH$253 &amp; $AE172),0)),"",INDIRECT(CONCATENATE("Table!",ADDRESS($T172,MATCH(Q$1,INDIRECT("Table!A" &amp; $AE172):INDIRECT("Table!" &amp; $AH$253 &amp; $AE172),0)))))</f>
        <v/>
      </c>
      <c r="Q172" s="151"/>
      <c r="R172" s="151"/>
      <c r="S172" s="151"/>
      <c r="T172" s="22"/>
      <c r="AC172" s="151"/>
      <c r="AD172" s="151"/>
      <c r="AE172" s="22"/>
      <c r="AF172" s="151"/>
      <c r="AG172" s="151"/>
      <c r="AH172" s="151"/>
    </row>
    <row r="173" spans="2:48" ht="18" customHeight="1" x14ac:dyDescent="0.25">
      <c r="B173" s="24"/>
      <c r="C173" s="24" t="str">
        <f ca="1">IF(ISERROR(MATCH(C$1,INDIRECT("Table!A"&amp;$AE173):INDIRECT("Table!" &amp; $AH$253 &amp; $AE173),0)),"",INDIRECT(CONCATENATE("Table!",ADDRESS($T173,MATCH(C$1,INDIRECT("Table!A" &amp; $AE173):INDIRECT("Table!" &amp; $AH$253 &amp; $AE173),0)))))</f>
        <v/>
      </c>
      <c r="D173" s="24" t="str">
        <f ca="1">IF(ISERROR(MATCH(D$1,INDIRECT("Table!A"&amp;$AE173):INDIRECT("Table!" &amp; $AH$253 &amp; $AE173),0)),"",INDIRECT(CONCATENATE("Table!",ADDRESS($T173,MATCH(D$1,INDIRECT("Table!A" &amp; $AE173):INDIRECT("Table!" &amp; $AH$253 &amp; $AE173),0)))))</f>
        <v/>
      </c>
      <c r="E173" s="24" t="str">
        <f ca="1">IF(ISERROR(MATCH(E$1,INDIRECT("Table!A"&amp;$AE173):INDIRECT("Table!" &amp; $AH$253 &amp; $AE173),0)),"",INDIRECT(CONCATENATE("Table!",ADDRESS($T173,MATCH(E$1,INDIRECT("Table!A" &amp; $AE173):INDIRECT("Table!" &amp; $AH$253 &amp; $AE173),0)))))</f>
        <v/>
      </c>
      <c r="F173" s="24" t="str">
        <f ca="1">IF(ISERROR(MATCH(F$1,INDIRECT("Table!A"&amp;$AE173):INDIRECT("Table!" &amp; $AH$253 &amp; $AE173),0)),"",INDIRECT(CONCATENATE("Table!",ADDRESS($T173,MATCH(F$1,INDIRECT("Table!A" &amp; $AE173):INDIRECT("Table!" &amp; $AH$253 &amp; $AE173),0)))))</f>
        <v/>
      </c>
      <c r="G173" s="24" t="str">
        <f ca="1">IF(ISERROR(MATCH(G$1,INDIRECT("Table!A"&amp;$AE173):INDIRECT("Table!" &amp; $AH$253 &amp; $AE173),0)),"",INDIRECT(CONCATENATE("Table!",ADDRESS($T173,MATCH(G$1,INDIRECT("Table!A" &amp; $AE173):INDIRECT("Table!" &amp; $AH$253 &amp; $AE173),0)))))</f>
        <v/>
      </c>
      <c r="H173" s="24" t="str">
        <f ca="1">IF(ISERROR(MATCH(H$1,INDIRECT("Table!A"&amp;$AE173):INDIRECT("Table!" &amp; $AH$253 &amp; $AE173),0)),"",INDIRECT(CONCATENATE("Table!",ADDRESS($T173,MATCH(H$1,INDIRECT("Table!A" &amp; $AE173):INDIRECT("Table!" &amp; $AH$253 &amp; $AE173),0)))))</f>
        <v/>
      </c>
      <c r="I173" s="273"/>
      <c r="J173" s="273"/>
      <c r="K173" s="24" t="str">
        <f ca="1">IF(ISERROR(MATCH(L$1,INDIRECT("Table!A"&amp;$AE173):INDIRECT("Table!" &amp; $AH$253 &amp; $AE173),0)),"",INDIRECT(CONCATENATE("Table!",ADDRESS($T173,MATCH(L$1,INDIRECT("Table!A" &amp; $AE173):INDIRECT("Table!" &amp; $AH$253 &amp; $AE173),0)))))</f>
        <v/>
      </c>
      <c r="L173" s="24" t="str">
        <f ca="1">IF(ISERROR(MATCH(M$1,INDIRECT("Table!A"&amp;$AE173):INDIRECT("Table!" &amp; $AH$253 &amp; $AE173),0)),"",INDIRECT(CONCATENATE("Table!",ADDRESS($T173,MATCH(M$1,INDIRECT("Table!A" &amp; $AE173):INDIRECT("Table!" &amp; $AH$253 &amp; $AE173),0)))))</f>
        <v/>
      </c>
      <c r="M173" s="24" t="str">
        <f ca="1">IF(ISERROR(MATCH(N$1,INDIRECT("Table!A"&amp;$AE173):INDIRECT("Table!" &amp; $AH$253 &amp; $AE173),0)),"",INDIRECT(CONCATENATE("Table!",ADDRESS($T173,MATCH(N$1,INDIRECT("Table!A" &amp; $AE173):INDIRECT("Table!" &amp; $AH$253 &amp; $AE173),0)))))</f>
        <v/>
      </c>
      <c r="N173" s="24" t="str">
        <f ca="1">IF(ISERROR(MATCH(O$1,INDIRECT("Table!A"&amp;$AE173):INDIRECT("Table!" &amp; $AH$253 &amp; $AE173),0)),"",INDIRECT(CONCATENATE("Table!",ADDRESS($T173,MATCH(O$1,INDIRECT("Table!A" &amp; $AE173):INDIRECT("Table!" &amp; $AH$253 &amp; $AE173),0)))))</f>
        <v/>
      </c>
      <c r="O173" s="24" t="str">
        <f ca="1">IF(ISERROR(MATCH(P$1,INDIRECT("Table!A"&amp;$AE173):INDIRECT("Table!" &amp; $AH$253 &amp; $AE173),0)),"",INDIRECT(CONCATENATE("Table!",ADDRESS($T173,MATCH(P$1,INDIRECT("Table!A" &amp; $AE173):INDIRECT("Table!" &amp; $AH$253 &amp; $AE173),0)))))</f>
        <v/>
      </c>
      <c r="P173" s="273" t="str">
        <f ca="1">IF(ISERROR(MATCH(Q$1,INDIRECT("Table!A"&amp;$AE173):INDIRECT("Table!" &amp; $AH$253 &amp; $AE173),0)),"",INDIRECT(CONCATENATE("Table!",ADDRESS($T173,MATCH(Q$1,INDIRECT("Table!A" &amp; $AE173):INDIRECT("Table!" &amp; $AH$253 &amp; $AE173),0)))))</f>
        <v/>
      </c>
      <c r="Q173" s="151"/>
      <c r="R173" s="151"/>
      <c r="S173" s="151"/>
      <c r="T173" s="22"/>
      <c r="AC173" s="151"/>
      <c r="AD173" s="151"/>
      <c r="AE173" s="22"/>
      <c r="AF173" s="151"/>
      <c r="AG173" s="151"/>
      <c r="AH173" s="151"/>
    </row>
    <row r="174" spans="2:48" ht="18" customHeight="1" x14ac:dyDescent="0.25">
      <c r="B174" s="24"/>
      <c r="C174" s="24" t="str">
        <f ca="1">IF(ISERROR(MATCH(C$1,INDIRECT("Table!A"&amp;$AE174):INDIRECT("Table!" &amp; $AH$253 &amp; $AE174),0)),"",INDIRECT(CONCATENATE("Table!",ADDRESS($T174,MATCH(C$1,INDIRECT("Table!A" &amp; $AE174):INDIRECT("Table!" &amp; $AH$253 &amp; $AE174),0)))))</f>
        <v/>
      </c>
      <c r="D174" s="24" t="str">
        <f ca="1">IF(ISERROR(MATCH(D$1,INDIRECT("Table!A"&amp;$AE174):INDIRECT("Table!" &amp; $AH$253 &amp; $AE174),0)),"",INDIRECT(CONCATENATE("Table!",ADDRESS($T174,MATCH(D$1,INDIRECT("Table!A" &amp; $AE174):INDIRECT("Table!" &amp; $AH$253 &amp; $AE174),0)))))</f>
        <v/>
      </c>
      <c r="E174" s="24" t="str">
        <f ca="1">IF(ISERROR(MATCH(E$1,INDIRECT("Table!A"&amp;$AE174):INDIRECT("Table!" &amp; $AH$253 &amp; $AE174),0)),"",INDIRECT(CONCATENATE("Table!",ADDRESS($T174,MATCH(E$1,INDIRECT("Table!A" &amp; $AE174):INDIRECT("Table!" &amp; $AH$253 &amp; $AE174),0)))))</f>
        <v/>
      </c>
      <c r="F174" s="24" t="str">
        <f ca="1">IF(ISERROR(MATCH(F$1,INDIRECT("Table!A"&amp;$AE174):INDIRECT("Table!" &amp; $AH$253 &amp; $AE174),0)),"",INDIRECT(CONCATENATE("Table!",ADDRESS($T174,MATCH(F$1,INDIRECT("Table!A" &amp; $AE174):INDIRECT("Table!" &amp; $AH$253 &amp; $AE174),0)))))</f>
        <v/>
      </c>
      <c r="G174" s="24" t="str">
        <f ca="1">IF(ISERROR(MATCH(G$1,INDIRECT("Table!A"&amp;$AE174):INDIRECT("Table!" &amp; $AH$253 &amp; $AE174),0)),"",INDIRECT(CONCATENATE("Table!",ADDRESS($T174,MATCH(G$1,INDIRECT("Table!A" &amp; $AE174):INDIRECT("Table!" &amp; $AH$253 &amp; $AE174),0)))))</f>
        <v/>
      </c>
      <c r="H174" s="24" t="str">
        <f ca="1">IF(ISERROR(MATCH(H$1,INDIRECT("Table!A"&amp;$AE174):INDIRECT("Table!" &amp; $AH$253 &amp; $AE174),0)),"",INDIRECT(CONCATENATE("Table!",ADDRESS($T174,MATCH(H$1,INDIRECT("Table!A" &amp; $AE174):INDIRECT("Table!" &amp; $AH$253 &amp; $AE174),0)))))</f>
        <v/>
      </c>
      <c r="I174" s="273"/>
      <c r="J174" s="273"/>
      <c r="K174" s="24" t="str">
        <f ca="1">IF(ISERROR(MATCH(L$1,INDIRECT("Table!A"&amp;$AE174):INDIRECT("Table!" &amp; $AH$253 &amp; $AE174),0)),"",INDIRECT(CONCATENATE("Table!",ADDRESS($T174,MATCH(L$1,INDIRECT("Table!A" &amp; $AE174):INDIRECT("Table!" &amp; $AH$253 &amp; $AE174),0)))))</f>
        <v/>
      </c>
      <c r="L174" s="24" t="str">
        <f ca="1">IF(ISERROR(MATCH(M$1,INDIRECT("Table!A"&amp;$AE174):INDIRECT("Table!" &amp; $AH$253 &amp; $AE174),0)),"",INDIRECT(CONCATENATE("Table!",ADDRESS($T174,MATCH(M$1,INDIRECT("Table!A" &amp; $AE174):INDIRECT("Table!" &amp; $AH$253 &amp; $AE174),0)))))</f>
        <v/>
      </c>
      <c r="M174" s="24" t="str">
        <f ca="1">IF(ISERROR(MATCH(N$1,INDIRECT("Table!A"&amp;$AE174):INDIRECT("Table!" &amp; $AH$253 &amp; $AE174),0)),"",INDIRECT(CONCATENATE("Table!",ADDRESS($T174,MATCH(N$1,INDIRECT("Table!A" &amp; $AE174):INDIRECT("Table!" &amp; $AH$253 &amp; $AE174),0)))))</f>
        <v/>
      </c>
      <c r="N174" s="24" t="str">
        <f ca="1">IF(ISERROR(MATCH(O$1,INDIRECT("Table!A"&amp;$AE174):INDIRECT("Table!" &amp; $AH$253 &amp; $AE174),0)),"",INDIRECT(CONCATENATE("Table!",ADDRESS($T174,MATCH(O$1,INDIRECT("Table!A" &amp; $AE174):INDIRECT("Table!" &amp; $AH$253 &amp; $AE174),0)))))</f>
        <v/>
      </c>
      <c r="O174" s="24" t="str">
        <f ca="1">IF(ISERROR(MATCH(P$1,INDIRECT("Table!A"&amp;$AE174):INDIRECT("Table!" &amp; $AH$253 &amp; $AE174),0)),"",INDIRECT(CONCATENATE("Table!",ADDRESS($T174,MATCH(P$1,INDIRECT("Table!A" &amp; $AE174):INDIRECT("Table!" &amp; $AH$253 &amp; $AE174),0)))))</f>
        <v/>
      </c>
      <c r="P174" s="273" t="str">
        <f ca="1">IF(ISERROR(MATCH(Q$1,INDIRECT("Table!A"&amp;$AE174):INDIRECT("Table!" &amp; $AH$253 &amp; $AE174),0)),"",INDIRECT(CONCATENATE("Table!",ADDRESS($T174,MATCH(Q$1,INDIRECT("Table!A" &amp; $AE174):INDIRECT("Table!" &amp; $AH$253 &amp; $AE174),0)))))</f>
        <v/>
      </c>
      <c r="Q174" s="150"/>
      <c r="R174" s="150"/>
      <c r="S174" s="150"/>
      <c r="T174" s="22"/>
      <c r="AC174" s="150"/>
      <c r="AD174" s="150"/>
      <c r="AE174" s="22"/>
      <c r="AF174" s="150"/>
      <c r="AG174" s="150"/>
      <c r="AH174" s="150"/>
    </row>
    <row r="175" spans="2:48" ht="18" customHeight="1" x14ac:dyDescent="0.25">
      <c r="B175" s="24"/>
      <c r="C175" s="24" t="str">
        <f ca="1">IF(ISERROR(MATCH(C$1,INDIRECT("Table!A"&amp;$AE175):INDIRECT("Table!" &amp; $AH$253 &amp; $AE175),0)),"",INDIRECT(CONCATENATE("Table!",ADDRESS($T175,MATCH(C$1,INDIRECT("Table!A" &amp; $AE175):INDIRECT("Table!" &amp; $AH$253 &amp; $AE175),0)))))</f>
        <v/>
      </c>
      <c r="D175" s="24" t="str">
        <f ca="1">IF(ISERROR(MATCH(D$1,INDIRECT("Table!A"&amp;$AE175):INDIRECT("Table!" &amp; $AH$253 &amp; $AE175),0)),"",INDIRECT(CONCATENATE("Table!",ADDRESS($T175,MATCH(D$1,INDIRECT("Table!A" &amp; $AE175):INDIRECT("Table!" &amp; $AH$253 &amp; $AE175),0)))))</f>
        <v/>
      </c>
      <c r="E175" s="24" t="str">
        <f ca="1">IF(ISERROR(MATCH(E$1,INDIRECT("Table!A"&amp;$AE175):INDIRECT("Table!" &amp; $AH$253 &amp; $AE175),0)),"",INDIRECT(CONCATENATE("Table!",ADDRESS($T175,MATCH(E$1,INDIRECT("Table!A" &amp; $AE175):INDIRECT("Table!" &amp; $AH$253 &amp; $AE175),0)))))</f>
        <v/>
      </c>
      <c r="F175" s="24" t="str">
        <f ca="1">IF(ISERROR(MATCH(F$1,INDIRECT("Table!A"&amp;$AE175):INDIRECT("Table!" &amp; $AH$253 &amp; $AE175),0)),"",INDIRECT(CONCATENATE("Table!",ADDRESS($T175,MATCH(F$1,INDIRECT("Table!A" &amp; $AE175):INDIRECT("Table!" &amp; $AH$253 &amp; $AE175),0)))))</f>
        <v/>
      </c>
      <c r="G175" s="24" t="str">
        <f ca="1">IF(ISERROR(MATCH(G$1,INDIRECT("Table!A"&amp;$AE175):INDIRECT("Table!" &amp; $AH$253 &amp; $AE175),0)),"",INDIRECT(CONCATENATE("Table!",ADDRESS($T175,MATCH(G$1,INDIRECT("Table!A" &amp; $AE175):INDIRECT("Table!" &amp; $AH$253 &amp; $AE175),0)))))</f>
        <v/>
      </c>
      <c r="H175" s="24" t="str">
        <f ca="1">IF(ISERROR(MATCH(H$1,INDIRECT("Table!A"&amp;$AE175):INDIRECT("Table!" &amp; $AH$253 &amp; $AE175),0)),"",INDIRECT(CONCATENATE("Table!",ADDRESS($T175,MATCH(H$1,INDIRECT("Table!A" &amp; $AE175):INDIRECT("Table!" &amp; $AH$253 &amp; $AE175),0)))))</f>
        <v/>
      </c>
      <c r="I175" s="273"/>
      <c r="J175" s="273"/>
      <c r="K175" s="24" t="str">
        <f ca="1">IF(ISERROR(MATCH(L$1,INDIRECT("Table!A"&amp;$AE175):INDIRECT("Table!" &amp; $AH$253 &amp; $AE175),0)),"",INDIRECT(CONCATENATE("Table!",ADDRESS($T175,MATCH(L$1,INDIRECT("Table!A" &amp; $AE175):INDIRECT("Table!" &amp; $AH$253 &amp; $AE175),0)))))</f>
        <v/>
      </c>
      <c r="L175" s="24" t="str">
        <f ca="1">IF(ISERROR(MATCH(M$1,INDIRECT("Table!A"&amp;$AE175):INDIRECT("Table!" &amp; $AH$253 &amp; $AE175),0)),"",INDIRECT(CONCATENATE("Table!",ADDRESS($T175,MATCH(M$1,INDIRECT("Table!A" &amp; $AE175):INDIRECT("Table!" &amp; $AH$253 &amp; $AE175),0)))))</f>
        <v/>
      </c>
      <c r="M175" s="24" t="str">
        <f ca="1">IF(ISERROR(MATCH(N$1,INDIRECT("Table!A"&amp;$AE175):INDIRECT("Table!" &amp; $AH$253 &amp; $AE175),0)),"",INDIRECT(CONCATENATE("Table!",ADDRESS($T175,MATCH(N$1,INDIRECT("Table!A" &amp; $AE175):INDIRECT("Table!" &amp; $AH$253 &amp; $AE175),0)))))</f>
        <v/>
      </c>
      <c r="N175" s="24" t="str">
        <f ca="1">IF(ISERROR(MATCH(O$1,INDIRECT("Table!A"&amp;$AE175):INDIRECT("Table!" &amp; $AH$253 &amp; $AE175),0)),"",INDIRECT(CONCATENATE("Table!",ADDRESS($T175,MATCH(O$1,INDIRECT("Table!A" &amp; $AE175):INDIRECT("Table!" &amp; $AH$253 &amp; $AE175),0)))))</f>
        <v/>
      </c>
      <c r="O175" s="24" t="str">
        <f ca="1">IF(ISERROR(MATCH(P$1,INDIRECT("Table!A"&amp;$AE175):INDIRECT("Table!" &amp; $AH$253 &amp; $AE175),0)),"",INDIRECT(CONCATENATE("Table!",ADDRESS($T175,MATCH(P$1,INDIRECT("Table!A" &amp; $AE175):INDIRECT("Table!" &amp; $AH$253 &amp; $AE175),0)))))</f>
        <v/>
      </c>
      <c r="P175" s="273" t="str">
        <f ca="1">IF(ISERROR(MATCH(Q$1,INDIRECT("Table!A"&amp;$AE175):INDIRECT("Table!" &amp; $AH$253 &amp; $AE175),0)),"",INDIRECT(CONCATENATE("Table!",ADDRESS($T175,MATCH(Q$1,INDIRECT("Table!A" &amp; $AE175):INDIRECT("Table!" &amp; $AH$253 &amp; $AE175),0)))))</f>
        <v/>
      </c>
      <c r="Q175" s="149"/>
      <c r="R175" s="149"/>
      <c r="S175" s="149"/>
      <c r="T175" s="22"/>
      <c r="AC175" s="149"/>
      <c r="AD175" s="149"/>
      <c r="AE175" s="22"/>
      <c r="AF175" s="149"/>
      <c r="AG175" s="149"/>
      <c r="AH175" s="149"/>
    </row>
    <row r="176" spans="2:48" ht="18" customHeight="1" x14ac:dyDescent="0.25">
      <c r="B176" s="24"/>
      <c r="C176" s="24" t="str">
        <f ca="1">IF(ISERROR(MATCH(C$1,INDIRECT("Table!A"&amp;$AE176):INDIRECT("Table!" &amp; $AH$253 &amp; $AE176),0)),"",INDIRECT(CONCATENATE("Table!",ADDRESS($T176,MATCH(C$1,INDIRECT("Table!A" &amp; $AE176):INDIRECT("Table!" &amp; $AH$253 &amp; $AE176),0)))))</f>
        <v/>
      </c>
      <c r="D176" s="24" t="str">
        <f ca="1">IF(ISERROR(MATCH(D$1,INDIRECT("Table!A"&amp;$AE176):INDIRECT("Table!" &amp; $AH$253 &amp; $AE176),0)),"",INDIRECT(CONCATENATE("Table!",ADDRESS($T176,MATCH(D$1,INDIRECT("Table!A" &amp; $AE176):INDIRECT("Table!" &amp; $AH$253 &amp; $AE176),0)))))</f>
        <v/>
      </c>
      <c r="E176" s="24" t="str">
        <f ca="1">IF(ISERROR(MATCH(E$1,INDIRECT("Table!A"&amp;$AE176):INDIRECT("Table!" &amp; $AH$253 &amp; $AE176),0)),"",INDIRECT(CONCATENATE("Table!",ADDRESS($T176,MATCH(E$1,INDIRECT("Table!A" &amp; $AE176):INDIRECT("Table!" &amp; $AH$253 &amp; $AE176),0)))))</f>
        <v/>
      </c>
      <c r="F176" s="24" t="str">
        <f ca="1">IF(ISERROR(MATCH(F$1,INDIRECT("Table!A"&amp;$AE176):INDIRECT("Table!" &amp; $AH$253 &amp; $AE176),0)),"",INDIRECT(CONCATENATE("Table!",ADDRESS($T176,MATCH(F$1,INDIRECT("Table!A" &amp; $AE176):INDIRECT("Table!" &amp; $AH$253 &amp; $AE176),0)))))</f>
        <v/>
      </c>
      <c r="G176" s="24" t="str">
        <f ca="1">IF(ISERROR(MATCH(G$1,INDIRECT("Table!A"&amp;$AE176):INDIRECT("Table!" &amp; $AH$253 &amp; $AE176),0)),"",INDIRECT(CONCATENATE("Table!",ADDRESS($T176,MATCH(G$1,INDIRECT("Table!A" &amp; $AE176):INDIRECT("Table!" &amp; $AH$253 &amp; $AE176),0)))))</f>
        <v/>
      </c>
      <c r="H176" s="24" t="str">
        <f ca="1">IF(ISERROR(MATCH(H$1,INDIRECT("Table!A"&amp;$AE176):INDIRECT("Table!" &amp; $AH$253 &amp; $AE176),0)),"",INDIRECT(CONCATENATE("Table!",ADDRESS($T176,MATCH(H$1,INDIRECT("Table!A" &amp; $AE176):INDIRECT("Table!" &amp; $AH$253 &amp; $AE176),0)))))</f>
        <v/>
      </c>
      <c r="I176" s="273"/>
      <c r="J176" s="273"/>
      <c r="K176" s="24" t="str">
        <f ca="1">IF(ISERROR(MATCH(L$1,INDIRECT("Table!A"&amp;$AE176):INDIRECT("Table!" &amp; $AH$253 &amp; $AE176),0)),"",INDIRECT(CONCATENATE("Table!",ADDRESS($T176,MATCH(L$1,INDIRECT("Table!A" &amp; $AE176):INDIRECT("Table!" &amp; $AH$253 &amp; $AE176),0)))))</f>
        <v/>
      </c>
      <c r="L176" s="24" t="str">
        <f ca="1">IF(ISERROR(MATCH(M$1,INDIRECT("Table!A"&amp;$AE176):INDIRECT("Table!" &amp; $AH$253 &amp; $AE176),0)),"",INDIRECT(CONCATENATE("Table!",ADDRESS($T176,MATCH(M$1,INDIRECT("Table!A" &amp; $AE176):INDIRECT("Table!" &amp; $AH$253 &amp; $AE176),0)))))</f>
        <v/>
      </c>
      <c r="M176" s="24" t="str">
        <f ca="1">IF(ISERROR(MATCH(N$1,INDIRECT("Table!A"&amp;$AE176):INDIRECT("Table!" &amp; $AH$253 &amp; $AE176),0)),"",INDIRECT(CONCATENATE("Table!",ADDRESS($T176,MATCH(N$1,INDIRECT("Table!A" &amp; $AE176):INDIRECT("Table!" &amp; $AH$253 &amp; $AE176),0)))))</f>
        <v/>
      </c>
      <c r="N176" s="24" t="str">
        <f ca="1">IF(ISERROR(MATCH(O$1,INDIRECT("Table!A"&amp;$AE176):INDIRECT("Table!" &amp; $AH$253 &amp; $AE176),0)),"",INDIRECT(CONCATENATE("Table!",ADDRESS($T176,MATCH(O$1,INDIRECT("Table!A" &amp; $AE176):INDIRECT("Table!" &amp; $AH$253 &amp; $AE176),0)))))</f>
        <v/>
      </c>
      <c r="O176" s="24" t="str">
        <f ca="1">IF(ISERROR(MATCH(P$1,INDIRECT("Table!A"&amp;$AE176):INDIRECT("Table!" &amp; $AH$253 &amp; $AE176),0)),"",INDIRECT(CONCATENATE("Table!",ADDRESS($T176,MATCH(P$1,INDIRECT("Table!A" &amp; $AE176):INDIRECT("Table!" &amp; $AH$253 &amp; $AE176),0)))))</f>
        <v/>
      </c>
      <c r="P176" s="273" t="str">
        <f ca="1">IF(ISERROR(MATCH(Q$1,INDIRECT("Table!A"&amp;$AE176):INDIRECT("Table!" &amp; $AH$253 &amp; $AE176),0)),"",INDIRECT(CONCATENATE("Table!",ADDRESS($T176,MATCH(Q$1,INDIRECT("Table!A" &amp; $AE176):INDIRECT("Table!" &amp; $AH$253 &amp; $AE176),0)))))</f>
        <v/>
      </c>
      <c r="Q176" s="148"/>
      <c r="R176" s="148"/>
      <c r="S176" s="148"/>
      <c r="T176" s="22"/>
      <c r="AC176" s="148"/>
      <c r="AD176" s="148"/>
      <c r="AE176" s="22"/>
      <c r="AF176" s="148"/>
      <c r="AG176" s="148"/>
      <c r="AH176" s="148"/>
    </row>
    <row r="177" spans="2:34" ht="18" customHeight="1" x14ac:dyDescent="0.25">
      <c r="B177" s="24"/>
      <c r="C177" s="24" t="str">
        <f ca="1">IF(ISERROR(MATCH(C$1,INDIRECT("Table!A"&amp;$AE177):INDIRECT("Table!" &amp; $AH$253 &amp; $AE177),0)),"",INDIRECT(CONCATENATE("Table!",ADDRESS($T177,MATCH(C$1,INDIRECT("Table!A" &amp; $AE177):INDIRECT("Table!" &amp; $AH$253 &amp; $AE177),0)))))</f>
        <v/>
      </c>
      <c r="D177" s="24" t="str">
        <f ca="1">IF(ISERROR(MATCH(D$1,INDIRECT("Table!A"&amp;$AE177):INDIRECT("Table!" &amp; $AH$253 &amp; $AE177),0)),"",INDIRECT(CONCATENATE("Table!",ADDRESS($T177,MATCH(D$1,INDIRECT("Table!A" &amp; $AE177):INDIRECT("Table!" &amp; $AH$253 &amp; $AE177),0)))))</f>
        <v/>
      </c>
      <c r="E177" s="24" t="str">
        <f ca="1">IF(ISERROR(MATCH(E$1,INDIRECT("Table!A"&amp;$AE177):INDIRECT("Table!" &amp; $AH$253 &amp; $AE177),0)),"",INDIRECT(CONCATENATE("Table!",ADDRESS($T177,MATCH(E$1,INDIRECT("Table!A" &amp; $AE177):INDIRECT("Table!" &amp; $AH$253 &amp; $AE177),0)))))</f>
        <v/>
      </c>
      <c r="F177" s="24" t="str">
        <f ca="1">IF(ISERROR(MATCH(F$1,INDIRECT("Table!A"&amp;$AE177):INDIRECT("Table!" &amp; $AH$253 &amp; $AE177),0)),"",INDIRECT(CONCATENATE("Table!",ADDRESS($T177,MATCH(F$1,INDIRECT("Table!A" &amp; $AE177):INDIRECT("Table!" &amp; $AH$253 &amp; $AE177),0)))))</f>
        <v/>
      </c>
      <c r="G177" s="24" t="str">
        <f ca="1">IF(ISERROR(MATCH(G$1,INDIRECT("Table!A"&amp;$AE177):INDIRECT("Table!" &amp; $AH$253 &amp; $AE177),0)),"",INDIRECT(CONCATENATE("Table!",ADDRESS($T177,MATCH(G$1,INDIRECT("Table!A" &amp; $AE177):INDIRECT("Table!" &amp; $AH$253 &amp; $AE177),0)))))</f>
        <v/>
      </c>
      <c r="H177" s="24" t="str">
        <f ca="1">IF(ISERROR(MATCH(H$1,INDIRECT("Table!A"&amp;$AE177):INDIRECT("Table!" &amp; $AH$253 &amp; $AE177),0)),"",INDIRECT(CONCATENATE("Table!",ADDRESS($T177,MATCH(H$1,INDIRECT("Table!A" &amp; $AE177):INDIRECT("Table!" &amp; $AH$253 &amp; $AE177),0)))))</f>
        <v/>
      </c>
      <c r="I177" s="273"/>
      <c r="J177" s="273"/>
      <c r="K177" s="24" t="str">
        <f ca="1">IF(ISERROR(MATCH(L$1,INDIRECT("Table!A"&amp;$AE177):INDIRECT("Table!" &amp; $AH$253 &amp; $AE177),0)),"",INDIRECT(CONCATENATE("Table!",ADDRESS($T177,MATCH(L$1,INDIRECT("Table!A" &amp; $AE177):INDIRECT("Table!" &amp; $AH$253 &amp; $AE177),0)))))</f>
        <v/>
      </c>
      <c r="L177" s="24" t="str">
        <f ca="1">IF(ISERROR(MATCH(M$1,INDIRECT("Table!A"&amp;$AE177):INDIRECT("Table!" &amp; $AH$253 &amp; $AE177),0)),"",INDIRECT(CONCATENATE("Table!",ADDRESS($T177,MATCH(M$1,INDIRECT("Table!A" &amp; $AE177):INDIRECT("Table!" &amp; $AH$253 &amp; $AE177),0)))))</f>
        <v/>
      </c>
      <c r="M177" s="24" t="str">
        <f ca="1">IF(ISERROR(MATCH(N$1,INDIRECT("Table!A"&amp;$AE177):INDIRECT("Table!" &amp; $AH$253 &amp; $AE177),0)),"",INDIRECT(CONCATENATE("Table!",ADDRESS($T177,MATCH(N$1,INDIRECT("Table!A" &amp; $AE177):INDIRECT("Table!" &amp; $AH$253 &amp; $AE177),0)))))</f>
        <v/>
      </c>
      <c r="N177" s="24" t="str">
        <f ca="1">IF(ISERROR(MATCH(O$1,INDIRECT("Table!A"&amp;$AE177):INDIRECT("Table!" &amp; $AH$253 &amp; $AE177),0)),"",INDIRECT(CONCATENATE("Table!",ADDRESS($T177,MATCH(O$1,INDIRECT("Table!A" &amp; $AE177):INDIRECT("Table!" &amp; $AH$253 &amp; $AE177),0)))))</f>
        <v/>
      </c>
      <c r="O177" s="24" t="str">
        <f ca="1">IF(ISERROR(MATCH(P$1,INDIRECT("Table!A"&amp;$AE177):INDIRECT("Table!" &amp; $AH$253 &amp; $AE177),0)),"",INDIRECT(CONCATENATE("Table!",ADDRESS($T177,MATCH(P$1,INDIRECT("Table!A" &amp; $AE177):INDIRECT("Table!" &amp; $AH$253 &amp; $AE177),0)))))</f>
        <v/>
      </c>
      <c r="P177" s="273" t="str">
        <f ca="1">IF(ISERROR(MATCH(Q$1,INDIRECT("Table!A"&amp;$AE177):INDIRECT("Table!" &amp; $AH$253 &amp; $AE177),0)),"",INDIRECT(CONCATENATE("Table!",ADDRESS($T177,MATCH(Q$1,INDIRECT("Table!A" &amp; $AE177):INDIRECT("Table!" &amp; $AH$253 &amp; $AE177),0)))))</f>
        <v/>
      </c>
      <c r="Q177" s="147"/>
      <c r="R177" s="147"/>
      <c r="S177" s="147"/>
      <c r="T177" s="22"/>
      <c r="AC177" s="147"/>
      <c r="AD177" s="147"/>
      <c r="AE177" s="22"/>
      <c r="AF177" s="147"/>
      <c r="AG177" s="147"/>
      <c r="AH177" s="147"/>
    </row>
    <row r="178" spans="2:34" ht="18" customHeight="1" x14ac:dyDescent="0.25">
      <c r="B178" s="24"/>
      <c r="C178" s="24" t="str">
        <f ca="1">IF(ISERROR(MATCH(C$1,INDIRECT("Table!A"&amp;$AE178):INDIRECT("Table!" &amp; $AH$253 &amp; $AE178),0)),"",INDIRECT(CONCATENATE("Table!",ADDRESS($T178,MATCH(C$1,INDIRECT("Table!A" &amp; $AE178):INDIRECT("Table!" &amp; $AH$253 &amp; $AE178),0)))))</f>
        <v/>
      </c>
      <c r="D178" s="24" t="str">
        <f ca="1">IF(ISERROR(MATCH(D$1,INDIRECT("Table!A"&amp;$AE178):INDIRECT("Table!" &amp; $AH$253 &amp; $AE178),0)),"",INDIRECT(CONCATENATE("Table!",ADDRESS($T178,MATCH(D$1,INDIRECT("Table!A" &amp; $AE178):INDIRECT("Table!" &amp; $AH$253 &amp; $AE178),0)))))</f>
        <v/>
      </c>
      <c r="E178" s="24" t="str">
        <f ca="1">IF(ISERROR(MATCH(E$1,INDIRECT("Table!A"&amp;$AE178):INDIRECT("Table!" &amp; $AH$253 &amp; $AE178),0)),"",INDIRECT(CONCATENATE("Table!",ADDRESS($T178,MATCH(E$1,INDIRECT("Table!A" &amp; $AE178):INDIRECT("Table!" &amp; $AH$253 &amp; $AE178),0)))))</f>
        <v/>
      </c>
      <c r="F178" s="24" t="str">
        <f ca="1">IF(ISERROR(MATCH(F$1,INDIRECT("Table!A"&amp;$AE178):INDIRECT("Table!" &amp; $AH$253 &amp; $AE178),0)),"",INDIRECT(CONCATENATE("Table!",ADDRESS($T178,MATCH(F$1,INDIRECT("Table!A" &amp; $AE178):INDIRECT("Table!" &amp; $AH$253 &amp; $AE178),0)))))</f>
        <v/>
      </c>
      <c r="G178" s="24" t="str">
        <f ca="1">IF(ISERROR(MATCH(G$1,INDIRECT("Table!A"&amp;$AE178):INDIRECT("Table!" &amp; $AH$253 &amp; $AE178),0)),"",INDIRECT(CONCATENATE("Table!",ADDRESS($T178,MATCH(G$1,INDIRECT("Table!A" &amp; $AE178):INDIRECT("Table!" &amp; $AH$253 &amp; $AE178),0)))))</f>
        <v/>
      </c>
      <c r="H178" s="24" t="str">
        <f ca="1">IF(ISERROR(MATCH(H$1,INDIRECT("Table!A"&amp;$AE178):INDIRECT("Table!" &amp; $AH$253 &amp; $AE178),0)),"",INDIRECT(CONCATENATE("Table!",ADDRESS($T178,MATCH(H$1,INDIRECT("Table!A" &amp; $AE178):INDIRECT("Table!" &amp; $AH$253 &amp; $AE178),0)))))</f>
        <v/>
      </c>
      <c r="I178" s="273"/>
      <c r="J178" s="273"/>
      <c r="K178" s="24" t="str">
        <f ca="1">IF(ISERROR(MATCH(L$1,INDIRECT("Table!A"&amp;$AE178):INDIRECT("Table!" &amp; $AH$253 &amp; $AE178),0)),"",INDIRECT(CONCATENATE("Table!",ADDRESS($T178,MATCH(L$1,INDIRECT("Table!A" &amp; $AE178):INDIRECT("Table!" &amp; $AH$253 &amp; $AE178),0)))))</f>
        <v/>
      </c>
      <c r="L178" s="24" t="str">
        <f ca="1">IF(ISERROR(MATCH(M$1,INDIRECT("Table!A"&amp;$AE178):INDIRECT("Table!" &amp; $AH$253 &amp; $AE178),0)),"",INDIRECT(CONCATENATE("Table!",ADDRESS($T178,MATCH(M$1,INDIRECT("Table!A" &amp; $AE178):INDIRECT("Table!" &amp; $AH$253 &amp; $AE178),0)))))</f>
        <v/>
      </c>
      <c r="M178" s="24" t="str">
        <f ca="1">IF(ISERROR(MATCH(N$1,INDIRECT("Table!A"&amp;$AE178):INDIRECT("Table!" &amp; $AH$253 &amp; $AE178),0)),"",INDIRECT(CONCATENATE("Table!",ADDRESS($T178,MATCH(N$1,INDIRECT("Table!A" &amp; $AE178):INDIRECT("Table!" &amp; $AH$253 &amp; $AE178),0)))))</f>
        <v/>
      </c>
      <c r="N178" s="24" t="str">
        <f ca="1">IF(ISERROR(MATCH(O$1,INDIRECT("Table!A"&amp;$AE178):INDIRECT("Table!" &amp; $AH$253 &amp; $AE178),0)),"",INDIRECT(CONCATENATE("Table!",ADDRESS($T178,MATCH(O$1,INDIRECT("Table!A" &amp; $AE178):INDIRECT("Table!" &amp; $AH$253 &amp; $AE178),0)))))</f>
        <v/>
      </c>
      <c r="O178" s="24" t="str">
        <f ca="1">IF(ISERROR(MATCH(P$1,INDIRECT("Table!A"&amp;$AE178):INDIRECT("Table!" &amp; $AH$253 &amp; $AE178),0)),"",INDIRECT(CONCATENATE("Table!",ADDRESS($T178,MATCH(P$1,INDIRECT("Table!A" &amp; $AE178):INDIRECT("Table!" &amp; $AH$253 &amp; $AE178),0)))))</f>
        <v/>
      </c>
      <c r="P178" s="273" t="str">
        <f ca="1">IF(ISERROR(MATCH(Q$1,INDIRECT("Table!A"&amp;$AE178):INDIRECT("Table!" &amp; $AH$253 &amp; $AE178),0)),"",INDIRECT(CONCATENATE("Table!",ADDRESS($T178,MATCH(Q$1,INDIRECT("Table!A" &amp; $AE178):INDIRECT("Table!" &amp; $AH$253 &amp; $AE178),0)))))</f>
        <v/>
      </c>
      <c r="Q178" s="146"/>
      <c r="R178" s="146"/>
      <c r="S178" s="146"/>
      <c r="T178" s="22"/>
      <c r="AC178" s="146"/>
      <c r="AD178" s="146"/>
      <c r="AE178" s="22"/>
      <c r="AF178" s="146"/>
      <c r="AG178" s="146"/>
      <c r="AH178" s="146"/>
    </row>
    <row r="179" spans="2:34" ht="18" customHeight="1" x14ac:dyDescent="0.25">
      <c r="B179" s="24"/>
      <c r="C179" s="24"/>
      <c r="D179" s="24"/>
      <c r="E179" s="24"/>
      <c r="F179" s="24"/>
      <c r="G179" s="24"/>
      <c r="H179" s="24"/>
      <c r="I179" s="273"/>
      <c r="J179" s="273"/>
      <c r="K179" s="24"/>
      <c r="L179" s="24"/>
      <c r="M179" s="24"/>
      <c r="N179" s="24"/>
      <c r="O179" s="24"/>
      <c r="P179" s="273"/>
      <c r="Q179" s="145"/>
      <c r="R179" s="145"/>
      <c r="S179" s="145"/>
      <c r="T179" s="22"/>
      <c r="AC179" s="145"/>
      <c r="AD179" s="145"/>
      <c r="AE179" s="22"/>
      <c r="AF179" s="145"/>
      <c r="AG179" s="145"/>
      <c r="AH179" s="145"/>
    </row>
    <row r="180" spans="2:34" ht="18" customHeight="1" x14ac:dyDescent="0.25">
      <c r="B180" s="24"/>
      <c r="C180" s="24"/>
      <c r="D180" s="24"/>
      <c r="E180" s="24"/>
      <c r="F180" s="24"/>
      <c r="G180" s="24"/>
      <c r="H180" s="24"/>
      <c r="I180" s="273"/>
      <c r="J180" s="273"/>
      <c r="K180" s="24"/>
      <c r="L180" s="24"/>
      <c r="M180" s="24"/>
      <c r="N180" s="24"/>
      <c r="O180" s="24"/>
      <c r="P180" s="273"/>
      <c r="Q180" s="143"/>
      <c r="R180" s="143"/>
      <c r="S180" s="143"/>
      <c r="T180" s="22"/>
      <c r="AC180" s="143"/>
      <c r="AD180" s="143"/>
      <c r="AE180" s="22"/>
      <c r="AF180" s="143"/>
      <c r="AG180" s="143"/>
      <c r="AH180" s="143"/>
    </row>
    <row r="181" spans="2:34" ht="18" customHeight="1" x14ac:dyDescent="0.25">
      <c r="B181" s="24"/>
      <c r="C181" s="24"/>
      <c r="D181" s="24"/>
      <c r="E181" s="24"/>
      <c r="F181" s="24"/>
      <c r="G181" s="24"/>
      <c r="H181" s="24"/>
      <c r="I181" s="273"/>
      <c r="J181" s="273"/>
      <c r="K181" s="24"/>
      <c r="L181" s="24"/>
      <c r="M181" s="24"/>
      <c r="N181" s="24"/>
      <c r="O181" s="24"/>
      <c r="P181" s="273"/>
      <c r="Q181" s="142"/>
      <c r="R181" s="142"/>
      <c r="S181" s="142"/>
      <c r="T181" s="22"/>
      <c r="AC181" s="142"/>
      <c r="AD181" s="142"/>
      <c r="AE181" s="22"/>
      <c r="AF181" s="142"/>
      <c r="AG181" s="142"/>
      <c r="AH181" s="142"/>
    </row>
    <row r="182" spans="2:34" ht="18" customHeight="1" x14ac:dyDescent="0.25">
      <c r="B182" s="24"/>
      <c r="C182" s="24" t="str">
        <f ca="1">IF(ISERROR(MATCH(C$1,INDIRECT("Table!A"&amp;$AE182):INDIRECT("Table!" &amp; $AH$253 &amp; $AE182),0)),"",INDIRECT(CONCATENATE("Table!",ADDRESS($T182,MATCH(C$1,INDIRECT("Table!A" &amp; $AE182):INDIRECT("Table!" &amp; $AH$253 &amp; $AE182),0)))))</f>
        <v/>
      </c>
      <c r="D182" s="24" t="str">
        <f ca="1">IF(ISERROR(MATCH(D$1,INDIRECT("Table!A"&amp;$AE182):INDIRECT("Table!" &amp; $AH$253 &amp; $AE182),0)),"",INDIRECT(CONCATENATE("Table!",ADDRESS($T182,MATCH(D$1,INDIRECT("Table!A" &amp; $AE182):INDIRECT("Table!" &amp; $AH$253 &amp; $AE182),0)))))</f>
        <v/>
      </c>
      <c r="E182" s="24" t="str">
        <f ca="1">IF(ISERROR(MATCH(E$1,INDIRECT("Table!A"&amp;$AE182):INDIRECT("Table!" &amp; $AH$253 &amp; $AE182),0)),"",INDIRECT(CONCATENATE("Table!",ADDRESS($T182,MATCH(E$1,INDIRECT("Table!A" &amp; $AE182):INDIRECT("Table!" &amp; $AH$253 &amp; $AE182),0)))))</f>
        <v/>
      </c>
      <c r="F182" s="24" t="str">
        <f ca="1">IF(ISERROR(MATCH(F$1,INDIRECT("Table!A"&amp;$AE182):INDIRECT("Table!" &amp; $AH$253 &amp; $AE182),0)),"",INDIRECT(CONCATENATE("Table!",ADDRESS($T182,MATCH(F$1,INDIRECT("Table!A" &amp; $AE182):INDIRECT("Table!" &amp; $AH$253 &amp; $AE182),0)))))</f>
        <v/>
      </c>
      <c r="G182" s="24" t="str">
        <f ca="1">IF(ISERROR(MATCH(G$1,INDIRECT("Table!A"&amp;$AE182):INDIRECT("Table!" &amp; $AH$253 &amp; $AE182),0)),"",INDIRECT(CONCATENATE("Table!",ADDRESS($T182,MATCH(G$1,INDIRECT("Table!A" &amp; $AE182):INDIRECT("Table!" &amp; $AH$253 &amp; $AE182),0)))))</f>
        <v/>
      </c>
      <c r="H182" s="24" t="str">
        <f ca="1">IF(ISERROR(MATCH(H$1,INDIRECT("Table!A"&amp;$AE182):INDIRECT("Table!" &amp; $AH$253 &amp; $AE182),0)),"",INDIRECT(CONCATENATE("Table!",ADDRESS($T182,MATCH(H$1,INDIRECT("Table!A" &amp; $AE182):INDIRECT("Table!" &amp; $AH$253 &amp; $AE182),0)))))</f>
        <v/>
      </c>
      <c r="I182" s="273"/>
      <c r="J182" s="273"/>
      <c r="K182" s="24" t="str">
        <f ca="1">IF(ISERROR(MATCH(L$1,INDIRECT("Table!A"&amp;$AE182):INDIRECT("Table!" &amp; $AH$253 &amp; $AE182),0)),"",INDIRECT(CONCATENATE("Table!",ADDRESS($T182,MATCH(L$1,INDIRECT("Table!A" &amp; $AE182):INDIRECT("Table!" &amp; $AH$253 &amp; $AE182),0)))))</f>
        <v/>
      </c>
      <c r="L182" s="24" t="str">
        <f ca="1">IF(ISERROR(MATCH(M$1,INDIRECT("Table!A"&amp;$AE182):INDIRECT("Table!" &amp; $AH$253 &amp; $AE182),0)),"",INDIRECT(CONCATENATE("Table!",ADDRESS($T182,MATCH(M$1,INDIRECT("Table!A" &amp; $AE182):INDIRECT("Table!" &amp; $AH$253 &amp; $AE182),0)))))</f>
        <v/>
      </c>
      <c r="M182" s="24" t="str">
        <f ca="1">IF(ISERROR(MATCH(N$1,INDIRECT("Table!A"&amp;$AE182):INDIRECT("Table!" &amp; $AH$253 &amp; $AE182),0)),"",INDIRECT(CONCATENATE("Table!",ADDRESS($T182,MATCH(N$1,INDIRECT("Table!A" &amp; $AE182):INDIRECT("Table!" &amp; $AH$253 &amp; $AE182),0)))))</f>
        <v/>
      </c>
      <c r="N182" s="24" t="str">
        <f ca="1">IF(ISERROR(MATCH(O$1,INDIRECT("Table!A"&amp;$AE182):INDIRECT("Table!" &amp; $AH$253 &amp; $AE182),0)),"",INDIRECT(CONCATENATE("Table!",ADDRESS($T182,MATCH(O$1,INDIRECT("Table!A" &amp; $AE182):INDIRECT("Table!" &amp; $AH$253 &amp; $AE182),0)))))</f>
        <v/>
      </c>
      <c r="O182" s="24" t="str">
        <f ca="1">IF(ISERROR(MATCH(P$1,INDIRECT("Table!A"&amp;$AE182):INDIRECT("Table!" &amp; $AH$253 &amp; $AE182),0)),"",INDIRECT(CONCATENATE("Table!",ADDRESS($T182,MATCH(P$1,INDIRECT("Table!A" &amp; $AE182):INDIRECT("Table!" &amp; $AH$253 &amp; $AE182),0)))))</f>
        <v/>
      </c>
      <c r="P182" s="273" t="str">
        <f ca="1">IF(ISERROR(MATCH(Q$1,INDIRECT("Table!A"&amp;$AE182):INDIRECT("Table!" &amp; $AH$253 &amp; $AE182),0)),"",INDIRECT(CONCATENATE("Table!",ADDRESS($T182,MATCH(Q$1,INDIRECT("Table!A" &amp; $AE182):INDIRECT("Table!" &amp; $AH$253 &amp; $AE182),0)))))</f>
        <v/>
      </c>
      <c r="Q182" s="141"/>
      <c r="R182" s="141"/>
      <c r="S182" s="141"/>
      <c r="T182" s="22"/>
      <c r="AC182" s="141"/>
      <c r="AD182" s="141"/>
      <c r="AE182" s="22"/>
      <c r="AF182" s="141"/>
      <c r="AG182" s="141"/>
      <c r="AH182" s="141"/>
    </row>
    <row r="183" spans="2:34" ht="18" customHeight="1" x14ac:dyDescent="0.25">
      <c r="B183" s="24"/>
      <c r="C183" s="24" t="str">
        <f ca="1">IF(ISERROR(MATCH(C$1,INDIRECT("Table!A"&amp;$AE183):INDIRECT("Table!" &amp; $AH$253 &amp; $AE183),0)),"",INDIRECT(CONCATENATE("Table!",ADDRESS($T183,MATCH(C$1,INDIRECT("Table!A" &amp; $AE183):INDIRECT("Table!" &amp; $AH$253 &amp; $AE183),0)))))</f>
        <v/>
      </c>
      <c r="D183" s="24" t="str">
        <f ca="1">IF(ISERROR(MATCH(D$1,INDIRECT("Table!A"&amp;$AE183):INDIRECT("Table!" &amp; $AH$253 &amp; $AE183),0)),"",INDIRECT(CONCATENATE("Table!",ADDRESS($T183,MATCH(D$1,INDIRECT("Table!A" &amp; $AE183):INDIRECT("Table!" &amp; $AH$253 &amp; $AE183),0)))))</f>
        <v/>
      </c>
      <c r="E183" s="24" t="str">
        <f ca="1">IF(ISERROR(MATCH(E$1,INDIRECT("Table!A"&amp;$AE183):INDIRECT("Table!" &amp; $AH$253 &amp; $AE183),0)),"",INDIRECT(CONCATENATE("Table!",ADDRESS($T183,MATCH(E$1,INDIRECT("Table!A" &amp; $AE183):INDIRECT("Table!" &amp; $AH$253 &amp; $AE183),0)))))</f>
        <v/>
      </c>
      <c r="F183" s="24" t="str">
        <f ca="1">IF(ISERROR(MATCH(F$1,INDIRECT("Table!A"&amp;$AE183):INDIRECT("Table!" &amp; $AH$253 &amp; $AE183),0)),"",INDIRECT(CONCATENATE("Table!",ADDRESS($T183,MATCH(F$1,INDIRECT("Table!A" &amp; $AE183):INDIRECT("Table!" &amp; $AH$253 &amp; $AE183),0)))))</f>
        <v/>
      </c>
      <c r="G183" s="24" t="str">
        <f ca="1">IF(ISERROR(MATCH(G$1,INDIRECT("Table!A"&amp;$AE183):INDIRECT("Table!" &amp; $AH$253 &amp; $AE183),0)),"",INDIRECT(CONCATENATE("Table!",ADDRESS($T183,MATCH(G$1,INDIRECT("Table!A" &amp; $AE183):INDIRECT("Table!" &amp; $AH$253 &amp; $AE183),0)))))</f>
        <v/>
      </c>
      <c r="H183" s="24" t="str">
        <f ca="1">IF(ISERROR(MATCH(H$1,INDIRECT("Table!A"&amp;$AE183):INDIRECT("Table!" &amp; $AH$253 &amp; $AE183),0)),"",INDIRECT(CONCATENATE("Table!",ADDRESS($T183,MATCH(H$1,INDIRECT("Table!A" &amp; $AE183):INDIRECT("Table!" &amp; $AH$253 &amp; $AE183),0)))))</f>
        <v/>
      </c>
      <c r="I183" s="273"/>
      <c r="J183" s="273"/>
      <c r="K183" s="24" t="str">
        <f ca="1">IF(ISERROR(MATCH(L$1,INDIRECT("Table!A"&amp;$AE183):INDIRECT("Table!" &amp; $AH$253 &amp; $AE183),0)),"",INDIRECT(CONCATENATE("Table!",ADDRESS($T183,MATCH(L$1,INDIRECT("Table!A" &amp; $AE183):INDIRECT("Table!" &amp; $AH$253 &amp; $AE183),0)))))</f>
        <v/>
      </c>
      <c r="L183" s="24" t="str">
        <f ca="1">IF(ISERROR(MATCH(M$1,INDIRECT("Table!A"&amp;$AE183):INDIRECT("Table!" &amp; $AH$253 &amp; $AE183),0)),"",INDIRECT(CONCATENATE("Table!",ADDRESS($T183,MATCH(M$1,INDIRECT("Table!A" &amp; $AE183):INDIRECT("Table!" &amp; $AH$253 &amp; $AE183),0)))))</f>
        <v/>
      </c>
      <c r="M183" s="24" t="str">
        <f ca="1">IF(ISERROR(MATCH(N$1,INDIRECT("Table!A"&amp;$AE183):INDIRECT("Table!" &amp; $AH$253 &amp; $AE183),0)),"",INDIRECT(CONCATENATE("Table!",ADDRESS($T183,MATCH(N$1,INDIRECT("Table!A" &amp; $AE183):INDIRECT("Table!" &amp; $AH$253 &amp; $AE183),0)))))</f>
        <v/>
      </c>
      <c r="N183" s="24" t="str">
        <f ca="1">IF(ISERROR(MATCH(O$1,INDIRECT("Table!A"&amp;$AE183):INDIRECT("Table!" &amp; $AH$253 &amp; $AE183),0)),"",INDIRECT(CONCATENATE("Table!",ADDRESS($T183,MATCH(O$1,INDIRECT("Table!A" &amp; $AE183):INDIRECT("Table!" &amp; $AH$253 &amp; $AE183),0)))))</f>
        <v/>
      </c>
      <c r="O183" s="24" t="str">
        <f ca="1">IF(ISERROR(MATCH(P$1,INDIRECT("Table!A"&amp;$AE183):INDIRECT("Table!" &amp; $AH$253 &amp; $AE183),0)),"",INDIRECT(CONCATENATE("Table!",ADDRESS($T183,MATCH(P$1,INDIRECT("Table!A" &amp; $AE183):INDIRECT("Table!" &amp; $AH$253 &amp; $AE183),0)))))</f>
        <v/>
      </c>
      <c r="P183" s="273" t="str">
        <f ca="1">IF(ISERROR(MATCH(Q$1,INDIRECT("Table!A"&amp;$AE183):INDIRECT("Table!" &amp; $AH$253 &amp; $AE183),0)),"",INDIRECT(CONCATENATE("Table!",ADDRESS($T183,MATCH(Q$1,INDIRECT("Table!A" &amp; $AE183):INDIRECT("Table!" &amp; $AH$253 &amp; $AE183),0)))))</f>
        <v/>
      </c>
      <c r="Q183" s="140"/>
      <c r="R183" s="140"/>
      <c r="S183" s="140"/>
      <c r="T183" s="22"/>
      <c r="AC183" s="140"/>
      <c r="AD183" s="140"/>
      <c r="AE183" s="22"/>
      <c r="AF183" s="140"/>
      <c r="AG183" s="140"/>
      <c r="AH183" s="140"/>
    </row>
    <row r="184" spans="2:34" ht="18" customHeight="1" x14ac:dyDescent="0.25">
      <c r="B184" s="24"/>
      <c r="C184" s="24" t="str">
        <f ca="1">IF(ISERROR(MATCH(C$1,INDIRECT("Table!A"&amp;$AE184):INDIRECT("Table!" &amp; $AH$253 &amp; $AE184),0)),"",INDIRECT(CONCATENATE("Table!",ADDRESS($T184,MATCH(C$1,INDIRECT("Table!A" &amp; $AE184):INDIRECT("Table!" &amp; $AH$253 &amp; $AE184),0)))))</f>
        <v/>
      </c>
      <c r="D184" s="24" t="str">
        <f ca="1">IF(ISERROR(MATCH(D$1,INDIRECT("Table!A"&amp;$AE184):INDIRECT("Table!" &amp; $AH$253 &amp; $AE184),0)),"",INDIRECT(CONCATENATE("Table!",ADDRESS($T184,MATCH(D$1,INDIRECT("Table!A" &amp; $AE184):INDIRECT("Table!" &amp; $AH$253 &amp; $AE184),0)))))</f>
        <v/>
      </c>
      <c r="E184" s="24" t="str">
        <f ca="1">IF(ISERROR(MATCH(E$1,INDIRECT("Table!A"&amp;$AE184):INDIRECT("Table!" &amp; $AH$253 &amp; $AE184),0)),"",INDIRECT(CONCATENATE("Table!",ADDRESS($T184,MATCH(E$1,INDIRECT("Table!A" &amp; $AE184):INDIRECT("Table!" &amp; $AH$253 &amp; $AE184),0)))))</f>
        <v/>
      </c>
      <c r="F184" s="24" t="str">
        <f ca="1">IF(ISERROR(MATCH(F$1,INDIRECT("Table!A"&amp;$AE184):INDIRECT("Table!" &amp; $AH$253 &amp; $AE184),0)),"",INDIRECT(CONCATENATE("Table!",ADDRESS($T184,MATCH(F$1,INDIRECT("Table!A" &amp; $AE184):INDIRECT("Table!" &amp; $AH$253 &amp; $AE184),0)))))</f>
        <v/>
      </c>
      <c r="G184" s="24" t="str">
        <f ca="1">IF(ISERROR(MATCH(G$1,INDIRECT("Table!A"&amp;$AE184):INDIRECT("Table!" &amp; $AH$253 &amp; $AE184),0)),"",INDIRECT(CONCATENATE("Table!",ADDRESS($T184,MATCH(G$1,INDIRECT("Table!A" &amp; $AE184):INDIRECT("Table!" &amp; $AH$253 &amp; $AE184),0)))))</f>
        <v/>
      </c>
      <c r="H184" s="24" t="str">
        <f ca="1">IF(ISERROR(MATCH(H$1,INDIRECT("Table!A"&amp;$AE184):INDIRECT("Table!" &amp; $AH$253 &amp; $AE184),0)),"",INDIRECT(CONCATENATE("Table!",ADDRESS($T184,MATCH(H$1,INDIRECT("Table!A" &amp; $AE184):INDIRECT("Table!" &amp; $AH$253 &amp; $AE184),0)))))</f>
        <v/>
      </c>
      <c r="I184" s="273"/>
      <c r="J184" s="273"/>
      <c r="K184" s="24" t="str">
        <f ca="1">IF(ISERROR(MATCH(L$1,INDIRECT("Table!A"&amp;$AE184):INDIRECT("Table!" &amp; $AH$253 &amp; $AE184),0)),"",INDIRECT(CONCATENATE("Table!",ADDRESS($T184,MATCH(L$1,INDIRECT("Table!A" &amp; $AE184):INDIRECT("Table!" &amp; $AH$253 &amp; $AE184),0)))))</f>
        <v/>
      </c>
      <c r="L184" s="24" t="str">
        <f ca="1">IF(ISERROR(MATCH(M$1,INDIRECT("Table!A"&amp;$AE184):INDIRECT("Table!" &amp; $AH$253 &amp; $AE184),0)),"",INDIRECT(CONCATENATE("Table!",ADDRESS($T184,MATCH(M$1,INDIRECT("Table!A" &amp; $AE184):INDIRECT("Table!" &amp; $AH$253 &amp; $AE184),0)))))</f>
        <v/>
      </c>
      <c r="M184" s="24" t="str">
        <f ca="1">IF(ISERROR(MATCH(N$1,INDIRECT("Table!A"&amp;$AE184):INDIRECT("Table!" &amp; $AH$253 &amp; $AE184),0)),"",INDIRECT(CONCATENATE("Table!",ADDRESS($T184,MATCH(N$1,INDIRECT("Table!A" &amp; $AE184):INDIRECT("Table!" &amp; $AH$253 &amp; $AE184),0)))))</f>
        <v/>
      </c>
      <c r="N184" s="24" t="str">
        <f ca="1">IF(ISERROR(MATCH(O$1,INDIRECT("Table!A"&amp;$AE184):INDIRECT("Table!" &amp; $AH$253 &amp; $AE184),0)),"",INDIRECT(CONCATENATE("Table!",ADDRESS($T184,MATCH(O$1,INDIRECT("Table!A" &amp; $AE184):INDIRECT("Table!" &amp; $AH$253 &amp; $AE184),0)))))</f>
        <v/>
      </c>
      <c r="O184" s="24" t="str">
        <f ca="1">IF(ISERROR(MATCH(P$1,INDIRECT("Table!A"&amp;$AE184):INDIRECT("Table!" &amp; $AH$253 &amp; $AE184),0)),"",INDIRECT(CONCATENATE("Table!",ADDRESS($T184,MATCH(P$1,INDIRECT("Table!A" &amp; $AE184):INDIRECT("Table!" &amp; $AH$253 &amp; $AE184),0)))))</f>
        <v/>
      </c>
      <c r="P184" s="273" t="str">
        <f ca="1">IF(ISERROR(MATCH(Q$1,INDIRECT("Table!A"&amp;$AE184):INDIRECT("Table!" &amp; $AH$253 &amp; $AE184),0)),"",INDIRECT(CONCATENATE("Table!",ADDRESS($T184,MATCH(Q$1,INDIRECT("Table!A" &amp; $AE184):INDIRECT("Table!" &amp; $AH$253 &amp; $AE184),0)))))</f>
        <v/>
      </c>
      <c r="Q184" s="139"/>
      <c r="R184" s="139"/>
      <c r="S184" s="139"/>
      <c r="T184" s="22"/>
      <c r="AC184" s="139"/>
      <c r="AD184" s="139"/>
      <c r="AE184" s="22"/>
      <c r="AF184" s="139"/>
      <c r="AG184" s="139"/>
      <c r="AH184" s="139"/>
    </row>
    <row r="185" spans="2:34" ht="18" customHeight="1" x14ac:dyDescent="0.25">
      <c r="B185" s="24"/>
      <c r="C185" s="24" t="str">
        <f ca="1">IF(ISERROR(MATCH(C$1,INDIRECT("Table!A"&amp;$AE185):INDIRECT("Table!" &amp; $AH$253 &amp; $AE185),0)),"",INDIRECT(CONCATENATE("Table!",ADDRESS($T185,MATCH(C$1,INDIRECT("Table!A" &amp; $AE185):INDIRECT("Table!" &amp; $AH$253 &amp; $AE185),0)))))</f>
        <v/>
      </c>
      <c r="D185" s="24" t="str">
        <f ca="1">IF(ISERROR(MATCH(D$1,INDIRECT("Table!A"&amp;$AE185):INDIRECT("Table!" &amp; $AH$253 &amp; $AE185),0)),"",INDIRECT(CONCATENATE("Table!",ADDRESS($T185,MATCH(D$1,INDIRECT("Table!A" &amp; $AE185):INDIRECT("Table!" &amp; $AH$253 &amp; $AE185),0)))))</f>
        <v/>
      </c>
      <c r="E185" s="24" t="str">
        <f ca="1">IF(ISERROR(MATCH(E$1,INDIRECT("Table!A"&amp;$AE185):INDIRECT("Table!" &amp; $AH$253 &amp; $AE185),0)),"",INDIRECT(CONCATENATE("Table!",ADDRESS($T185,MATCH(E$1,INDIRECT("Table!A" &amp; $AE185):INDIRECT("Table!" &amp; $AH$253 &amp; $AE185),0)))))</f>
        <v/>
      </c>
      <c r="F185" s="24" t="str">
        <f ca="1">IF(ISERROR(MATCH(F$1,INDIRECT("Table!A"&amp;$AE185):INDIRECT("Table!" &amp; $AH$253 &amp; $AE185),0)),"",INDIRECT(CONCATENATE("Table!",ADDRESS($T185,MATCH(F$1,INDIRECT("Table!A" &amp; $AE185):INDIRECT("Table!" &amp; $AH$253 &amp; $AE185),0)))))</f>
        <v/>
      </c>
      <c r="G185" s="24" t="str">
        <f ca="1">IF(ISERROR(MATCH(G$1,INDIRECT("Table!A"&amp;$AE185):INDIRECT("Table!" &amp; $AH$253 &amp; $AE185),0)),"",INDIRECT(CONCATENATE("Table!",ADDRESS($T185,MATCH(G$1,INDIRECT("Table!A" &amp; $AE185):INDIRECT("Table!" &amp; $AH$253 &amp; $AE185),0)))))</f>
        <v/>
      </c>
      <c r="H185" s="24" t="str">
        <f ca="1">IF(ISERROR(MATCH(H$1,INDIRECT("Table!A"&amp;$AE185):INDIRECT("Table!" &amp; $AH$253 &amp; $AE185),0)),"",INDIRECT(CONCATENATE("Table!",ADDRESS($T185,MATCH(H$1,INDIRECT("Table!A" &amp; $AE185):INDIRECT("Table!" &amp; $AH$253 &amp; $AE185),0)))))</f>
        <v/>
      </c>
      <c r="I185" s="273"/>
      <c r="J185" s="273"/>
      <c r="K185" s="24" t="str">
        <f ca="1">IF(ISERROR(MATCH(L$1,INDIRECT("Table!A"&amp;$AE185):INDIRECT("Table!" &amp; $AH$253 &amp; $AE185),0)),"",INDIRECT(CONCATENATE("Table!",ADDRESS($T185,MATCH(L$1,INDIRECT("Table!A" &amp; $AE185):INDIRECT("Table!" &amp; $AH$253 &amp; $AE185),0)))))</f>
        <v/>
      </c>
      <c r="L185" s="24" t="str">
        <f ca="1">IF(ISERROR(MATCH(M$1,INDIRECT("Table!A"&amp;$AE185):INDIRECT("Table!" &amp; $AH$253 &amp; $AE185),0)),"",INDIRECT(CONCATENATE("Table!",ADDRESS($T185,MATCH(M$1,INDIRECT("Table!A" &amp; $AE185):INDIRECT("Table!" &amp; $AH$253 &amp; $AE185),0)))))</f>
        <v/>
      </c>
      <c r="M185" s="24" t="str">
        <f ca="1">IF(ISERROR(MATCH(N$1,INDIRECT("Table!A"&amp;$AE185):INDIRECT("Table!" &amp; $AH$253 &amp; $AE185),0)),"",INDIRECT(CONCATENATE("Table!",ADDRESS($T185,MATCH(N$1,INDIRECT("Table!A" &amp; $AE185):INDIRECT("Table!" &amp; $AH$253 &amp; $AE185),0)))))</f>
        <v/>
      </c>
      <c r="N185" s="24" t="str">
        <f ca="1">IF(ISERROR(MATCH(O$1,INDIRECT("Table!A"&amp;$AE185):INDIRECT("Table!" &amp; $AH$253 &amp; $AE185),0)),"",INDIRECT(CONCATENATE("Table!",ADDRESS($T185,MATCH(O$1,INDIRECT("Table!A" &amp; $AE185):INDIRECT("Table!" &amp; $AH$253 &amp; $AE185),0)))))</f>
        <v/>
      </c>
      <c r="O185" s="24" t="str">
        <f ca="1">IF(ISERROR(MATCH(P$1,INDIRECT("Table!A"&amp;$AE185):INDIRECT("Table!" &amp; $AH$253 &amp; $AE185),0)),"",INDIRECT(CONCATENATE("Table!",ADDRESS($T185,MATCH(P$1,INDIRECT("Table!A" &amp; $AE185):INDIRECT("Table!" &amp; $AH$253 &amp; $AE185),0)))))</f>
        <v/>
      </c>
      <c r="P185" s="273" t="str">
        <f ca="1">IF(ISERROR(MATCH(Q$1,INDIRECT("Table!A"&amp;$AE185):INDIRECT("Table!" &amp; $AH$253 &amp; $AE185),0)),"",INDIRECT(CONCATENATE("Table!",ADDRESS($T185,MATCH(Q$1,INDIRECT("Table!A" &amp; $AE185):INDIRECT("Table!" &amp; $AH$253 &amp; $AE185),0)))))</f>
        <v/>
      </c>
      <c r="Q185" s="138"/>
      <c r="R185" s="138"/>
      <c r="S185" s="138"/>
      <c r="T185" s="22"/>
      <c r="AC185" s="138"/>
      <c r="AD185" s="138"/>
      <c r="AE185" s="22"/>
      <c r="AF185" s="138"/>
      <c r="AG185" s="138"/>
      <c r="AH185" s="138"/>
    </row>
    <row r="186" spans="2:34" ht="18" customHeight="1" x14ac:dyDescent="0.25">
      <c r="B186" s="24"/>
      <c r="C186" s="24" t="str">
        <f ca="1">IF(ISERROR(MATCH(C$1,INDIRECT("Table!A"&amp;$AE186):INDIRECT("Table!" &amp; $AH$253 &amp; $AE186),0)),"",INDIRECT(CONCATENATE("Table!",ADDRESS($T186,MATCH(C$1,INDIRECT("Table!A" &amp; $AE186):INDIRECT("Table!" &amp; $AH$253 &amp; $AE186),0)))))</f>
        <v/>
      </c>
      <c r="D186" s="24" t="str">
        <f ca="1">IF(ISERROR(MATCH(D$1,INDIRECT("Table!A"&amp;$AE186):INDIRECT("Table!" &amp; $AH$253 &amp; $AE186),0)),"",INDIRECT(CONCATENATE("Table!",ADDRESS($T186,MATCH(D$1,INDIRECT("Table!A" &amp; $AE186):INDIRECT("Table!" &amp; $AH$253 &amp; $AE186),0)))))</f>
        <v/>
      </c>
      <c r="E186" s="24" t="str">
        <f ca="1">IF(ISERROR(MATCH(E$1,INDIRECT("Table!A"&amp;$AE186):INDIRECT("Table!" &amp; $AH$253 &amp; $AE186),0)),"",INDIRECT(CONCATENATE("Table!",ADDRESS($T186,MATCH(E$1,INDIRECT("Table!A" &amp; $AE186):INDIRECT("Table!" &amp; $AH$253 &amp; $AE186),0)))))</f>
        <v/>
      </c>
      <c r="F186" s="24" t="str">
        <f ca="1">IF(ISERROR(MATCH(F$1,INDIRECT("Table!A"&amp;$AE186):INDIRECT("Table!" &amp; $AH$253 &amp; $AE186),0)),"",INDIRECT(CONCATENATE("Table!",ADDRESS($T186,MATCH(F$1,INDIRECT("Table!A" &amp; $AE186):INDIRECT("Table!" &amp; $AH$253 &amp; $AE186),0)))))</f>
        <v/>
      </c>
      <c r="G186" s="24" t="str">
        <f ca="1">IF(ISERROR(MATCH(G$1,INDIRECT("Table!A"&amp;$AE186):INDIRECT("Table!" &amp; $AH$253 &amp; $AE186),0)),"",INDIRECT(CONCATENATE("Table!",ADDRESS($T186,MATCH(G$1,INDIRECT("Table!A" &amp; $AE186):INDIRECT("Table!" &amp; $AH$253 &amp; $AE186),0)))))</f>
        <v/>
      </c>
      <c r="H186" s="24" t="str">
        <f ca="1">IF(ISERROR(MATCH(H$1,INDIRECT("Table!A"&amp;$AE186):INDIRECT("Table!" &amp; $AH$253 &amp; $AE186),0)),"",INDIRECT(CONCATENATE("Table!",ADDRESS($T186,MATCH(H$1,INDIRECT("Table!A" &amp; $AE186):INDIRECT("Table!" &amp; $AH$253 &amp; $AE186),0)))))</f>
        <v/>
      </c>
      <c r="I186" s="273"/>
      <c r="J186" s="273"/>
      <c r="K186" s="24" t="str">
        <f ca="1">IF(ISERROR(MATCH(L$1,INDIRECT("Table!A"&amp;$AE186):INDIRECT("Table!" &amp; $AH$253 &amp; $AE186),0)),"",INDIRECT(CONCATENATE("Table!",ADDRESS($T186,MATCH(L$1,INDIRECT("Table!A" &amp; $AE186):INDIRECT("Table!" &amp; $AH$253 &amp; $AE186),0)))))</f>
        <v/>
      </c>
      <c r="L186" s="24" t="str">
        <f ca="1">IF(ISERROR(MATCH(M$1,INDIRECT("Table!A"&amp;$AE186):INDIRECT("Table!" &amp; $AH$253 &amp; $AE186),0)),"",INDIRECT(CONCATENATE("Table!",ADDRESS($T186,MATCH(M$1,INDIRECT("Table!A" &amp; $AE186):INDIRECT("Table!" &amp; $AH$253 &amp; $AE186),0)))))</f>
        <v/>
      </c>
      <c r="M186" s="24" t="str">
        <f ca="1">IF(ISERROR(MATCH(N$1,INDIRECT("Table!A"&amp;$AE186):INDIRECT("Table!" &amp; $AH$253 &amp; $AE186),0)),"",INDIRECT(CONCATENATE("Table!",ADDRESS($T186,MATCH(N$1,INDIRECT("Table!A" &amp; $AE186):INDIRECT("Table!" &amp; $AH$253 &amp; $AE186),0)))))</f>
        <v/>
      </c>
      <c r="N186" s="24" t="str">
        <f ca="1">IF(ISERROR(MATCH(O$1,INDIRECT("Table!A"&amp;$AE186):INDIRECT("Table!" &amp; $AH$253 &amp; $AE186),0)),"",INDIRECT(CONCATENATE("Table!",ADDRESS($T186,MATCH(O$1,INDIRECT("Table!A" &amp; $AE186):INDIRECT("Table!" &amp; $AH$253 &amp; $AE186),0)))))</f>
        <v/>
      </c>
      <c r="O186" s="24" t="str">
        <f ca="1">IF(ISERROR(MATCH(P$1,INDIRECT("Table!A"&amp;$AE186):INDIRECT("Table!" &amp; $AH$253 &amp; $AE186),0)),"",INDIRECT(CONCATENATE("Table!",ADDRESS($T186,MATCH(P$1,INDIRECT("Table!A" &amp; $AE186):INDIRECT("Table!" &amp; $AH$253 &amp; $AE186),0)))))</f>
        <v/>
      </c>
      <c r="P186" s="273" t="str">
        <f ca="1">IF(ISERROR(MATCH(Q$1,INDIRECT("Table!A"&amp;$AE186):INDIRECT("Table!" &amp; $AH$253 &amp; $AE186),0)),"",INDIRECT(CONCATENATE("Table!",ADDRESS($T186,MATCH(Q$1,INDIRECT("Table!A" &amp; $AE186):INDIRECT("Table!" &amp; $AH$253 &amp; $AE186),0)))))</f>
        <v/>
      </c>
      <c r="Q186" s="137"/>
      <c r="R186" s="137"/>
      <c r="S186" s="137"/>
      <c r="T186" s="22"/>
      <c r="AC186" s="137"/>
      <c r="AD186" s="137"/>
      <c r="AE186" s="22"/>
      <c r="AF186" s="137"/>
      <c r="AG186" s="137"/>
      <c r="AH186" s="137"/>
    </row>
    <row r="187" spans="2:34" ht="18" customHeight="1" x14ac:dyDescent="0.25">
      <c r="B187" s="24"/>
      <c r="C187" s="24" t="str">
        <f ca="1">IF(ISERROR(MATCH(C$1,INDIRECT("Table!A"&amp;$AE187):INDIRECT("Table!" &amp; $AH$253 &amp; $AE187),0)),"",INDIRECT(CONCATENATE("Table!",ADDRESS($T187,MATCH(C$1,INDIRECT("Table!A" &amp; $AE187):INDIRECT("Table!" &amp; $AH$253 &amp; $AE187),0)))))</f>
        <v/>
      </c>
      <c r="D187" s="24" t="str">
        <f ca="1">IF(ISERROR(MATCH(D$1,INDIRECT("Table!A"&amp;$AE187):INDIRECT("Table!" &amp; $AH$253 &amp; $AE187),0)),"",INDIRECT(CONCATENATE("Table!",ADDRESS($T187,MATCH(D$1,INDIRECT("Table!A" &amp; $AE187):INDIRECT("Table!" &amp; $AH$253 &amp; $AE187),0)))))</f>
        <v/>
      </c>
      <c r="E187" s="24" t="str">
        <f ca="1">IF(ISERROR(MATCH(E$1,INDIRECT("Table!A"&amp;$AE187):INDIRECT("Table!" &amp; $AH$253 &amp; $AE187),0)),"",INDIRECT(CONCATENATE("Table!",ADDRESS($T187,MATCH(E$1,INDIRECT("Table!A" &amp; $AE187):INDIRECT("Table!" &amp; $AH$253 &amp; $AE187),0)))))</f>
        <v/>
      </c>
      <c r="F187" s="24" t="str">
        <f ca="1">IF(ISERROR(MATCH(F$1,INDIRECT("Table!A"&amp;$AE187):INDIRECT("Table!" &amp; $AH$253 &amp; $AE187),0)),"",INDIRECT(CONCATENATE("Table!",ADDRESS($T187,MATCH(F$1,INDIRECT("Table!A" &amp; $AE187):INDIRECT("Table!" &amp; $AH$253 &amp; $AE187),0)))))</f>
        <v/>
      </c>
      <c r="G187" s="24" t="str">
        <f ca="1">IF(ISERROR(MATCH(G$1,INDIRECT("Table!A"&amp;$AE187):INDIRECT("Table!" &amp; $AH$253 &amp; $AE187),0)),"",INDIRECT(CONCATENATE("Table!",ADDRESS($T187,MATCH(G$1,INDIRECT("Table!A" &amp; $AE187):INDIRECT("Table!" &amp; $AH$253 &amp; $AE187),0)))))</f>
        <v/>
      </c>
      <c r="H187" s="24" t="str">
        <f ca="1">IF(ISERROR(MATCH(H$1,INDIRECT("Table!A"&amp;$AE187):INDIRECT("Table!" &amp; $AH$253 &amp; $AE187),0)),"",INDIRECT(CONCATENATE("Table!",ADDRESS($T187,MATCH(H$1,INDIRECT("Table!A" &amp; $AE187):INDIRECT("Table!" &amp; $AH$253 &amp; $AE187),0)))))</f>
        <v/>
      </c>
      <c r="I187" s="273"/>
      <c r="J187" s="273"/>
      <c r="K187" s="24" t="str">
        <f ca="1">IF(ISERROR(MATCH(L$1,INDIRECT("Table!A"&amp;$AE187):INDIRECT("Table!" &amp; $AH$253 &amp; $AE187),0)),"",INDIRECT(CONCATENATE("Table!",ADDRESS($T187,MATCH(L$1,INDIRECT("Table!A" &amp; $AE187):INDIRECT("Table!" &amp; $AH$253 &amp; $AE187),0)))))</f>
        <v/>
      </c>
      <c r="L187" s="24" t="str">
        <f ca="1">IF(ISERROR(MATCH(M$1,INDIRECT("Table!A"&amp;$AE187):INDIRECT("Table!" &amp; $AH$253 &amp; $AE187),0)),"",INDIRECT(CONCATENATE("Table!",ADDRESS($T187,MATCH(M$1,INDIRECT("Table!A" &amp; $AE187):INDIRECT("Table!" &amp; $AH$253 &amp; $AE187),0)))))</f>
        <v/>
      </c>
      <c r="M187" s="24" t="str">
        <f ca="1">IF(ISERROR(MATCH(N$1,INDIRECT("Table!A"&amp;$AE187):INDIRECT("Table!" &amp; $AH$253 &amp; $AE187),0)),"",INDIRECT(CONCATENATE("Table!",ADDRESS($T187,MATCH(N$1,INDIRECT("Table!A" &amp; $AE187):INDIRECT("Table!" &amp; $AH$253 &amp; $AE187),0)))))</f>
        <v/>
      </c>
      <c r="N187" s="24" t="str">
        <f ca="1">IF(ISERROR(MATCH(O$1,INDIRECT("Table!A"&amp;$AE187):INDIRECT("Table!" &amp; $AH$253 &amp; $AE187),0)),"",INDIRECT(CONCATENATE("Table!",ADDRESS($T187,MATCH(O$1,INDIRECT("Table!A" &amp; $AE187):INDIRECT("Table!" &amp; $AH$253 &amp; $AE187),0)))))</f>
        <v/>
      </c>
      <c r="O187" s="24" t="str">
        <f ca="1">IF(ISERROR(MATCH(P$1,INDIRECT("Table!A"&amp;$AE187):INDIRECT("Table!" &amp; $AH$253 &amp; $AE187),0)),"",INDIRECT(CONCATENATE("Table!",ADDRESS($T187,MATCH(P$1,INDIRECT("Table!A" &amp; $AE187):INDIRECT("Table!" &amp; $AH$253 &amp; $AE187),0)))))</f>
        <v/>
      </c>
      <c r="P187" s="273" t="str">
        <f ca="1">IF(ISERROR(MATCH(Q$1,INDIRECT("Table!A"&amp;$AE187):INDIRECT("Table!" &amp; $AH$253 &amp; $AE187),0)),"",INDIRECT(CONCATENATE("Table!",ADDRESS($T187,MATCH(Q$1,INDIRECT("Table!A" &amp; $AE187):INDIRECT("Table!" &amp; $AH$253 &amp; $AE187),0)))))</f>
        <v/>
      </c>
      <c r="Q187" s="136"/>
      <c r="R187" s="136"/>
      <c r="S187" s="136"/>
      <c r="T187" s="22"/>
      <c r="AC187" s="136"/>
      <c r="AD187" s="136"/>
      <c r="AE187" s="22"/>
      <c r="AF187" s="136"/>
      <c r="AG187" s="136"/>
      <c r="AH187" s="136"/>
    </row>
    <row r="188" spans="2:34" ht="18" customHeight="1" x14ac:dyDescent="0.25">
      <c r="B188" s="24"/>
      <c r="C188" s="24" t="str">
        <f ca="1">IF(ISERROR(MATCH(C$1,INDIRECT("Table!A"&amp;$AE188):INDIRECT("Table!" &amp; $AH$253 &amp; $AE188),0)),"",INDIRECT(CONCATENATE("Table!",ADDRESS($T188,MATCH(C$1,INDIRECT("Table!A" &amp; $AE188):INDIRECT("Table!" &amp; $AH$253 &amp; $AE188),0)))))</f>
        <v/>
      </c>
      <c r="D188" s="24" t="str">
        <f ca="1">IF(ISERROR(MATCH(D$1,INDIRECT("Table!A"&amp;$AE188):INDIRECT("Table!" &amp; $AH$253 &amp; $AE188),0)),"",INDIRECT(CONCATENATE("Table!",ADDRESS($T188,MATCH(D$1,INDIRECT("Table!A" &amp; $AE188):INDIRECT("Table!" &amp; $AH$253 &amp; $AE188),0)))))</f>
        <v/>
      </c>
      <c r="E188" s="24" t="str">
        <f ca="1">IF(ISERROR(MATCH(E$1,INDIRECT("Table!A"&amp;$AE188):INDIRECT("Table!" &amp; $AH$253 &amp; $AE188),0)),"",INDIRECT(CONCATENATE("Table!",ADDRESS($T188,MATCH(E$1,INDIRECT("Table!A" &amp; $AE188):INDIRECT("Table!" &amp; $AH$253 &amp; $AE188),0)))))</f>
        <v/>
      </c>
      <c r="F188" s="24" t="str">
        <f ca="1">IF(ISERROR(MATCH(F$1,INDIRECT("Table!A"&amp;$AE188):INDIRECT("Table!" &amp; $AH$253 &amp; $AE188),0)),"",INDIRECT(CONCATENATE("Table!",ADDRESS($T188,MATCH(F$1,INDIRECT("Table!A" &amp; $AE188):INDIRECT("Table!" &amp; $AH$253 &amp; $AE188),0)))))</f>
        <v/>
      </c>
      <c r="G188" s="24" t="str">
        <f ca="1">IF(ISERROR(MATCH(G$1,INDIRECT("Table!A"&amp;$AE188):INDIRECT("Table!" &amp; $AH$253 &amp; $AE188),0)),"",INDIRECT(CONCATENATE("Table!",ADDRESS($T188,MATCH(G$1,INDIRECT("Table!A" &amp; $AE188):INDIRECT("Table!" &amp; $AH$253 &amp; $AE188),0)))))</f>
        <v/>
      </c>
      <c r="H188" s="24" t="str">
        <f ca="1">IF(ISERROR(MATCH(H$1,INDIRECT("Table!A"&amp;$AE188):INDIRECT("Table!" &amp; $AH$253 &amp; $AE188),0)),"",INDIRECT(CONCATENATE("Table!",ADDRESS($T188,MATCH(H$1,INDIRECT("Table!A" &amp; $AE188):INDIRECT("Table!" &amp; $AH$253 &amp; $AE188),0)))))</f>
        <v/>
      </c>
      <c r="I188" s="273"/>
      <c r="J188" s="273"/>
      <c r="K188" s="24" t="str">
        <f ca="1">IF(ISERROR(MATCH(L$1,INDIRECT("Table!A"&amp;$AE188):INDIRECT("Table!" &amp; $AH$253 &amp; $AE188),0)),"",INDIRECT(CONCATENATE("Table!",ADDRESS($T188,MATCH(L$1,INDIRECT("Table!A" &amp; $AE188):INDIRECT("Table!" &amp; $AH$253 &amp; $AE188),0)))))</f>
        <v/>
      </c>
      <c r="L188" s="24" t="str">
        <f ca="1">IF(ISERROR(MATCH(M$1,INDIRECT("Table!A"&amp;$AE188):INDIRECT("Table!" &amp; $AH$253 &amp; $AE188),0)),"",INDIRECT(CONCATENATE("Table!",ADDRESS($T188,MATCH(M$1,INDIRECT("Table!A" &amp; $AE188):INDIRECT("Table!" &amp; $AH$253 &amp; $AE188),0)))))</f>
        <v/>
      </c>
      <c r="M188" s="24" t="str">
        <f ca="1">IF(ISERROR(MATCH(N$1,INDIRECT("Table!A"&amp;$AE188):INDIRECT("Table!" &amp; $AH$253 &amp; $AE188),0)),"",INDIRECT(CONCATENATE("Table!",ADDRESS($T188,MATCH(N$1,INDIRECT("Table!A" &amp; $AE188):INDIRECT("Table!" &amp; $AH$253 &amp; $AE188),0)))))</f>
        <v/>
      </c>
      <c r="N188" s="24" t="str">
        <f ca="1">IF(ISERROR(MATCH(O$1,INDIRECT("Table!A"&amp;$AE188):INDIRECT("Table!" &amp; $AH$253 &amp; $AE188),0)),"",INDIRECT(CONCATENATE("Table!",ADDRESS($T188,MATCH(O$1,INDIRECT("Table!A" &amp; $AE188):INDIRECT("Table!" &amp; $AH$253 &amp; $AE188),0)))))</f>
        <v/>
      </c>
      <c r="O188" s="24" t="str">
        <f ca="1">IF(ISERROR(MATCH(P$1,INDIRECT("Table!A"&amp;$AE188):INDIRECT("Table!" &amp; $AH$253 &amp; $AE188),0)),"",INDIRECT(CONCATENATE("Table!",ADDRESS($T188,MATCH(P$1,INDIRECT("Table!A" &amp; $AE188):INDIRECT("Table!" &amp; $AH$253 &amp; $AE188),0)))))</f>
        <v/>
      </c>
      <c r="P188" s="273" t="str">
        <f ca="1">IF(ISERROR(MATCH(Q$1,INDIRECT("Table!A"&amp;$AE188):INDIRECT("Table!" &amp; $AH$253 &amp; $AE188),0)),"",INDIRECT(CONCATENATE("Table!",ADDRESS($T188,MATCH(Q$1,INDIRECT("Table!A" &amp; $AE188):INDIRECT("Table!" &amp; $AH$253 &amp; $AE188),0)))))</f>
        <v/>
      </c>
      <c r="Q188" s="135"/>
      <c r="R188" s="135"/>
      <c r="S188" s="135"/>
      <c r="T188" s="22"/>
      <c r="AC188" s="135"/>
      <c r="AD188" s="135"/>
      <c r="AE188" s="22"/>
      <c r="AF188" s="135"/>
      <c r="AG188" s="135"/>
      <c r="AH188" s="135"/>
    </row>
    <row r="189" spans="2:34" ht="18" customHeight="1" x14ac:dyDescent="0.25">
      <c r="B189" s="24"/>
      <c r="C189" s="24" t="str">
        <f ca="1">IF(ISERROR(MATCH(C$1,INDIRECT("Table!A"&amp;$AE189):INDIRECT("Table!" &amp; $AH$253 &amp; $AE189),0)),"",INDIRECT(CONCATENATE("Table!",ADDRESS($T189,MATCH(C$1,INDIRECT("Table!A" &amp; $AE189):INDIRECT("Table!" &amp; $AH$253 &amp; $AE189),0)))))</f>
        <v/>
      </c>
      <c r="D189" s="24" t="str">
        <f ca="1">IF(ISERROR(MATCH(D$1,INDIRECT("Table!A"&amp;$AE189):INDIRECT("Table!" &amp; $AH$253 &amp; $AE189),0)),"",INDIRECT(CONCATENATE("Table!",ADDRESS($T189,MATCH(D$1,INDIRECT("Table!A" &amp; $AE189):INDIRECT("Table!" &amp; $AH$253 &amp; $AE189),0)))))</f>
        <v/>
      </c>
      <c r="E189" s="24" t="str">
        <f ca="1">IF(ISERROR(MATCH(E$1,INDIRECT("Table!A"&amp;$AE189):INDIRECT("Table!" &amp; $AH$253 &amp; $AE189),0)),"",INDIRECT(CONCATENATE("Table!",ADDRESS($T189,MATCH(E$1,INDIRECT("Table!A" &amp; $AE189):INDIRECT("Table!" &amp; $AH$253 &amp; $AE189),0)))))</f>
        <v/>
      </c>
      <c r="F189" s="24" t="str">
        <f ca="1">IF(ISERROR(MATCH(F$1,INDIRECT("Table!A"&amp;$AE189):INDIRECT("Table!" &amp; $AH$253 &amp; $AE189),0)),"",INDIRECT(CONCATENATE("Table!",ADDRESS($T189,MATCH(F$1,INDIRECT("Table!A" &amp; $AE189):INDIRECT("Table!" &amp; $AH$253 &amp; $AE189),0)))))</f>
        <v/>
      </c>
      <c r="G189" s="24" t="str">
        <f ca="1">IF(ISERROR(MATCH(G$1,INDIRECT("Table!A"&amp;$AE189):INDIRECT("Table!" &amp; $AH$253 &amp; $AE189),0)),"",INDIRECT(CONCATENATE("Table!",ADDRESS($T189,MATCH(G$1,INDIRECT("Table!A" &amp; $AE189):INDIRECT("Table!" &amp; $AH$253 &amp; $AE189),0)))))</f>
        <v/>
      </c>
      <c r="H189" s="24" t="str">
        <f ca="1">IF(ISERROR(MATCH(H$1,INDIRECT("Table!A"&amp;$AE189):INDIRECT("Table!" &amp; $AH$253 &amp; $AE189),0)),"",INDIRECT(CONCATENATE("Table!",ADDRESS($T189,MATCH(H$1,INDIRECT("Table!A" &amp; $AE189):INDIRECT("Table!" &amp; $AH$253 &amp; $AE189),0)))))</f>
        <v/>
      </c>
      <c r="I189" s="273"/>
      <c r="J189" s="273"/>
      <c r="K189" s="24" t="str">
        <f ca="1">IF(ISERROR(MATCH(L$1,INDIRECT("Table!A"&amp;$AE189):INDIRECT("Table!" &amp; $AH$253 &amp; $AE189),0)),"",INDIRECT(CONCATENATE("Table!",ADDRESS($T189,MATCH(L$1,INDIRECT("Table!A" &amp; $AE189):INDIRECT("Table!" &amp; $AH$253 &amp; $AE189),0)))))</f>
        <v/>
      </c>
      <c r="L189" s="24" t="str">
        <f ca="1">IF(ISERROR(MATCH(M$1,INDIRECT("Table!A"&amp;$AE189):INDIRECT("Table!" &amp; $AH$253 &amp; $AE189),0)),"",INDIRECT(CONCATENATE("Table!",ADDRESS($T189,MATCH(M$1,INDIRECT("Table!A" &amp; $AE189):INDIRECT("Table!" &amp; $AH$253 &amp; $AE189),0)))))</f>
        <v/>
      </c>
      <c r="M189" s="24" t="str">
        <f ca="1">IF(ISERROR(MATCH(N$1,INDIRECT("Table!A"&amp;$AE189):INDIRECT("Table!" &amp; $AH$253 &amp; $AE189),0)),"",INDIRECT(CONCATENATE("Table!",ADDRESS($T189,MATCH(N$1,INDIRECT("Table!A" &amp; $AE189):INDIRECT("Table!" &amp; $AH$253 &amp; $AE189),0)))))</f>
        <v/>
      </c>
      <c r="N189" s="24" t="str">
        <f ca="1">IF(ISERROR(MATCH(O$1,INDIRECT("Table!A"&amp;$AE189):INDIRECT("Table!" &amp; $AH$253 &amp; $AE189),0)),"",INDIRECT(CONCATENATE("Table!",ADDRESS($T189,MATCH(O$1,INDIRECT("Table!A" &amp; $AE189):INDIRECT("Table!" &amp; $AH$253 &amp; $AE189),0)))))</f>
        <v/>
      </c>
      <c r="O189" s="24" t="str">
        <f ca="1">IF(ISERROR(MATCH(P$1,INDIRECT("Table!A"&amp;$AE189):INDIRECT("Table!" &amp; $AH$253 &amp; $AE189),0)),"",INDIRECT(CONCATENATE("Table!",ADDRESS($T189,MATCH(P$1,INDIRECT("Table!A" &amp; $AE189):INDIRECT("Table!" &amp; $AH$253 &amp; $AE189),0)))))</f>
        <v/>
      </c>
      <c r="P189" s="273" t="str">
        <f ca="1">IF(ISERROR(MATCH(Q$1,INDIRECT("Table!A"&amp;$AE189):INDIRECT("Table!" &amp; $AH$253 &amp; $AE189),0)),"",INDIRECT(CONCATENATE("Table!",ADDRESS($T189,MATCH(Q$1,INDIRECT("Table!A" &amp; $AE189):INDIRECT("Table!" &amp; $AH$253 &amp; $AE189),0)))))</f>
        <v/>
      </c>
      <c r="Q189" s="134"/>
      <c r="R189" s="134"/>
      <c r="S189" s="134"/>
      <c r="T189" s="22"/>
      <c r="AC189" s="134"/>
      <c r="AD189" s="134"/>
      <c r="AE189" s="22"/>
      <c r="AF189" s="134"/>
      <c r="AG189" s="134"/>
      <c r="AH189" s="134"/>
    </row>
    <row r="190" spans="2:34" ht="18" customHeight="1" x14ac:dyDescent="0.25">
      <c r="B190" s="24"/>
      <c r="C190" s="24" t="str">
        <f ca="1">IF(ISERROR(MATCH(C$1,INDIRECT("Table!A"&amp;$AE190):INDIRECT("Table!" &amp; $AH$253 &amp; $AE190),0)),"",INDIRECT(CONCATENATE("Table!",ADDRESS($T190,MATCH(C$1,INDIRECT("Table!A" &amp; $AE190):INDIRECT("Table!" &amp; $AH$253 &amp; $AE190),0)))))</f>
        <v/>
      </c>
      <c r="D190" s="24" t="str">
        <f ca="1">IF(ISERROR(MATCH(D$1,INDIRECT("Table!A"&amp;$AE190):INDIRECT("Table!" &amp; $AH$253 &amp; $AE190),0)),"",INDIRECT(CONCATENATE("Table!",ADDRESS($T190,MATCH(D$1,INDIRECT("Table!A" &amp; $AE190):INDIRECT("Table!" &amp; $AH$253 &amp; $AE190),0)))))</f>
        <v/>
      </c>
      <c r="E190" s="24" t="str">
        <f ca="1">IF(ISERROR(MATCH(E$1,INDIRECT("Table!A"&amp;$AE190):INDIRECT("Table!" &amp; $AH$253 &amp; $AE190),0)),"",INDIRECT(CONCATENATE("Table!",ADDRESS($T190,MATCH(E$1,INDIRECT("Table!A" &amp; $AE190):INDIRECT("Table!" &amp; $AH$253 &amp; $AE190),0)))))</f>
        <v/>
      </c>
      <c r="F190" s="24" t="str">
        <f ca="1">IF(ISERROR(MATCH(F$1,INDIRECT("Table!A"&amp;$AE190):INDIRECT("Table!" &amp; $AH$253 &amp; $AE190),0)),"",INDIRECT(CONCATENATE("Table!",ADDRESS($T190,MATCH(F$1,INDIRECT("Table!A" &amp; $AE190):INDIRECT("Table!" &amp; $AH$253 &amp; $AE190),0)))))</f>
        <v/>
      </c>
      <c r="G190" s="24" t="str">
        <f ca="1">IF(ISERROR(MATCH(G$1,INDIRECT("Table!A"&amp;$AE190):INDIRECT("Table!" &amp; $AH$253 &amp; $AE190),0)),"",INDIRECT(CONCATENATE("Table!",ADDRESS($T190,MATCH(G$1,INDIRECT("Table!A" &amp; $AE190):INDIRECT("Table!" &amp; $AH$253 &amp; $AE190),0)))))</f>
        <v/>
      </c>
      <c r="H190" s="24" t="str">
        <f ca="1">IF(ISERROR(MATCH(H$1,INDIRECT("Table!A"&amp;$AE190):INDIRECT("Table!" &amp; $AH$253 &amp; $AE190),0)),"",INDIRECT(CONCATENATE("Table!",ADDRESS($T190,MATCH(H$1,INDIRECT("Table!A" &amp; $AE190):INDIRECT("Table!" &amp; $AH$253 &amp; $AE190),0)))))</f>
        <v/>
      </c>
      <c r="I190" s="273"/>
      <c r="J190" s="273"/>
      <c r="K190" s="24" t="str">
        <f ca="1">IF(ISERROR(MATCH(L$1,INDIRECT("Table!A"&amp;$AE190):INDIRECT("Table!" &amp; $AH$253 &amp; $AE190),0)),"",INDIRECT(CONCATENATE("Table!",ADDRESS($T190,MATCH(L$1,INDIRECT("Table!A" &amp; $AE190):INDIRECT("Table!" &amp; $AH$253 &amp; $AE190),0)))))</f>
        <v/>
      </c>
      <c r="L190" s="24" t="str">
        <f ca="1">IF(ISERROR(MATCH(M$1,INDIRECT("Table!A"&amp;$AE190):INDIRECT("Table!" &amp; $AH$253 &amp; $AE190),0)),"",INDIRECT(CONCATENATE("Table!",ADDRESS($T190,MATCH(M$1,INDIRECT("Table!A" &amp; $AE190):INDIRECT("Table!" &amp; $AH$253 &amp; $AE190),0)))))</f>
        <v/>
      </c>
      <c r="M190" s="24" t="str">
        <f ca="1">IF(ISERROR(MATCH(N$1,INDIRECT("Table!A"&amp;$AE190):INDIRECT("Table!" &amp; $AH$253 &amp; $AE190),0)),"",INDIRECT(CONCATENATE("Table!",ADDRESS($T190,MATCH(N$1,INDIRECT("Table!A" &amp; $AE190):INDIRECT("Table!" &amp; $AH$253 &amp; $AE190),0)))))</f>
        <v/>
      </c>
      <c r="N190" s="24" t="str">
        <f ca="1">IF(ISERROR(MATCH(O$1,INDIRECT("Table!A"&amp;$AE190):INDIRECT("Table!" &amp; $AH$253 &amp; $AE190),0)),"",INDIRECT(CONCATENATE("Table!",ADDRESS($T190,MATCH(O$1,INDIRECT("Table!A" &amp; $AE190):INDIRECT("Table!" &amp; $AH$253 &amp; $AE190),0)))))</f>
        <v/>
      </c>
      <c r="O190" s="24" t="str">
        <f ca="1">IF(ISERROR(MATCH(P$1,INDIRECT("Table!A"&amp;$AE190):INDIRECT("Table!" &amp; $AH$253 &amp; $AE190),0)),"",INDIRECT(CONCATENATE("Table!",ADDRESS($T190,MATCH(P$1,INDIRECT("Table!A" &amp; $AE190):INDIRECT("Table!" &amp; $AH$253 &amp; $AE190),0)))))</f>
        <v/>
      </c>
      <c r="P190" s="273" t="str">
        <f ca="1">IF(ISERROR(MATCH(Q$1,INDIRECT("Table!A"&amp;$AE190):INDIRECT("Table!" &amp; $AH$253 &amp; $AE190),0)),"",INDIRECT(CONCATENATE("Table!",ADDRESS($T190,MATCH(Q$1,INDIRECT("Table!A" &amp; $AE190):INDIRECT("Table!" &amp; $AH$253 &amp; $AE190),0)))))</f>
        <v/>
      </c>
      <c r="Q190" s="133"/>
      <c r="R190" s="133"/>
      <c r="S190" s="133"/>
      <c r="T190" s="22"/>
      <c r="AC190" s="133"/>
      <c r="AD190" s="133"/>
      <c r="AE190" s="22"/>
      <c r="AF190" s="133"/>
      <c r="AG190" s="133"/>
      <c r="AH190" s="133"/>
    </row>
    <row r="191" spans="2:34" ht="18" customHeight="1" x14ac:dyDescent="0.25">
      <c r="B191" s="24"/>
      <c r="C191" s="24" t="str">
        <f ca="1">IF(ISERROR(MATCH(C$1,INDIRECT("Table!A"&amp;$AE191):INDIRECT("Table!" &amp; $AH$253 &amp; $AE191),0)),"",INDIRECT(CONCATENATE("Table!",ADDRESS($T191,MATCH(C$1,INDIRECT("Table!A" &amp; $AE191):INDIRECT("Table!" &amp; $AH$253 &amp; $AE191),0)))))</f>
        <v/>
      </c>
      <c r="D191" s="24" t="str">
        <f ca="1">IF(ISERROR(MATCH(D$1,INDIRECT("Table!A"&amp;$AE191):INDIRECT("Table!" &amp; $AH$253 &amp; $AE191),0)),"",INDIRECT(CONCATENATE("Table!",ADDRESS($T191,MATCH(D$1,INDIRECT("Table!A" &amp; $AE191):INDIRECT("Table!" &amp; $AH$253 &amp; $AE191),0)))))</f>
        <v/>
      </c>
      <c r="E191" s="24" t="str">
        <f ca="1">IF(ISERROR(MATCH(E$1,INDIRECT("Table!A"&amp;$AE191):INDIRECT("Table!" &amp; $AH$253 &amp; $AE191),0)),"",INDIRECT(CONCATENATE("Table!",ADDRESS($T191,MATCH(E$1,INDIRECT("Table!A" &amp; $AE191):INDIRECT("Table!" &amp; $AH$253 &amp; $AE191),0)))))</f>
        <v/>
      </c>
      <c r="F191" s="24" t="str">
        <f ca="1">IF(ISERROR(MATCH(F$1,INDIRECT("Table!A"&amp;$AE191):INDIRECT("Table!" &amp; $AH$253 &amp; $AE191),0)),"",INDIRECT(CONCATENATE("Table!",ADDRESS($T191,MATCH(F$1,INDIRECT("Table!A" &amp; $AE191):INDIRECT("Table!" &amp; $AH$253 &amp; $AE191),0)))))</f>
        <v/>
      </c>
      <c r="G191" s="24" t="str">
        <f ca="1">IF(ISERROR(MATCH(G$1,INDIRECT("Table!A"&amp;$AE191):INDIRECT("Table!" &amp; $AH$253 &amp; $AE191),0)),"",INDIRECT(CONCATENATE("Table!",ADDRESS($T191,MATCH(G$1,INDIRECT("Table!A" &amp; $AE191):INDIRECT("Table!" &amp; $AH$253 &amp; $AE191),0)))))</f>
        <v/>
      </c>
      <c r="H191" s="24" t="str">
        <f ca="1">IF(ISERROR(MATCH(H$1,INDIRECT("Table!A"&amp;$AE191):INDIRECT("Table!" &amp; $AH$253 &amp; $AE191),0)),"",INDIRECT(CONCATENATE("Table!",ADDRESS($T191,MATCH(H$1,INDIRECT("Table!A" &amp; $AE191):INDIRECT("Table!" &amp; $AH$253 &amp; $AE191),0)))))</f>
        <v/>
      </c>
      <c r="I191" s="273"/>
      <c r="J191" s="273"/>
      <c r="K191" s="24" t="str">
        <f ca="1">IF(ISERROR(MATCH(L$1,INDIRECT("Table!A"&amp;$AE191):INDIRECT("Table!" &amp; $AH$253 &amp; $AE191),0)),"",INDIRECT(CONCATENATE("Table!",ADDRESS($T191,MATCH(L$1,INDIRECT("Table!A" &amp; $AE191):INDIRECT("Table!" &amp; $AH$253 &amp; $AE191),0)))))</f>
        <v/>
      </c>
      <c r="L191" s="24" t="str">
        <f ca="1">IF(ISERROR(MATCH(M$1,INDIRECT("Table!A"&amp;$AE191):INDIRECT("Table!" &amp; $AH$253 &amp; $AE191),0)),"",INDIRECT(CONCATENATE("Table!",ADDRESS($T191,MATCH(M$1,INDIRECT("Table!A" &amp; $AE191):INDIRECT("Table!" &amp; $AH$253 &amp; $AE191),0)))))</f>
        <v/>
      </c>
      <c r="M191" s="24" t="str">
        <f ca="1">IF(ISERROR(MATCH(N$1,INDIRECT("Table!A"&amp;$AE191):INDIRECT("Table!" &amp; $AH$253 &amp; $AE191),0)),"",INDIRECT(CONCATENATE("Table!",ADDRESS($T191,MATCH(N$1,INDIRECT("Table!A" &amp; $AE191):INDIRECT("Table!" &amp; $AH$253 &amp; $AE191),0)))))</f>
        <v/>
      </c>
      <c r="N191" s="24" t="str">
        <f ca="1">IF(ISERROR(MATCH(O$1,INDIRECT("Table!A"&amp;$AE191):INDIRECT("Table!" &amp; $AH$253 &amp; $AE191),0)),"",INDIRECT(CONCATENATE("Table!",ADDRESS($T191,MATCH(O$1,INDIRECT("Table!A" &amp; $AE191):INDIRECT("Table!" &amp; $AH$253 &amp; $AE191),0)))))</f>
        <v/>
      </c>
      <c r="O191" s="24" t="str">
        <f ca="1">IF(ISERROR(MATCH(P$1,INDIRECT("Table!A"&amp;$AE191):INDIRECT("Table!" &amp; $AH$253 &amp; $AE191),0)),"",INDIRECT(CONCATENATE("Table!",ADDRESS($T191,MATCH(P$1,INDIRECT("Table!A" &amp; $AE191):INDIRECT("Table!" &amp; $AH$253 &amp; $AE191),0)))))</f>
        <v/>
      </c>
      <c r="P191" s="273" t="str">
        <f ca="1">IF(ISERROR(MATCH(Q$1,INDIRECT("Table!A"&amp;$AE191):INDIRECT("Table!" &amp; $AH$253 &amp; $AE191),0)),"",INDIRECT(CONCATENATE("Table!",ADDRESS($T191,MATCH(Q$1,INDIRECT("Table!A" &amp; $AE191):INDIRECT("Table!" &amp; $AH$253 &amp; $AE191),0)))))</f>
        <v/>
      </c>
      <c r="Q191" s="132"/>
      <c r="R191" s="132"/>
      <c r="S191" s="132"/>
      <c r="T191" s="22"/>
      <c r="AC191" s="132"/>
      <c r="AD191" s="132"/>
      <c r="AE191" s="22"/>
      <c r="AF191" s="132"/>
      <c r="AG191" s="132"/>
      <c r="AH191" s="132"/>
    </row>
    <row r="192" spans="2:34" ht="18" customHeight="1" x14ac:dyDescent="0.25">
      <c r="B192" s="24"/>
      <c r="C192" s="24" t="str">
        <f ca="1">IF(ISERROR(MATCH(C$1,INDIRECT("Table!A"&amp;$AE192):INDIRECT("Table!" &amp; $AH$253 &amp; $AE192),0)),"",INDIRECT(CONCATENATE("Table!",ADDRESS($T192,MATCH(C$1,INDIRECT("Table!A" &amp; $AE192):INDIRECT("Table!" &amp; $AH$253 &amp; $AE192),0)))))</f>
        <v/>
      </c>
      <c r="D192" s="24" t="str">
        <f ca="1">IF(ISERROR(MATCH(D$1,INDIRECT("Table!A"&amp;$AE192):INDIRECT("Table!" &amp; $AH$253 &amp; $AE192),0)),"",INDIRECT(CONCATENATE("Table!",ADDRESS($T192,MATCH(D$1,INDIRECT("Table!A" &amp; $AE192):INDIRECT("Table!" &amp; $AH$253 &amp; $AE192),0)))))</f>
        <v/>
      </c>
      <c r="E192" s="24" t="str">
        <f ca="1">IF(ISERROR(MATCH(E$1,INDIRECT("Table!A"&amp;$AE192):INDIRECT("Table!" &amp; $AH$253 &amp; $AE192),0)),"",INDIRECT(CONCATENATE("Table!",ADDRESS($T192,MATCH(E$1,INDIRECT("Table!A" &amp; $AE192):INDIRECT("Table!" &amp; $AH$253 &amp; $AE192),0)))))</f>
        <v/>
      </c>
      <c r="F192" s="24" t="str">
        <f ca="1">IF(ISERROR(MATCH(F$1,INDIRECT("Table!A"&amp;$AE192):INDIRECT("Table!" &amp; $AH$253 &amp; $AE192),0)),"",INDIRECT(CONCATENATE("Table!",ADDRESS($T192,MATCH(F$1,INDIRECT("Table!A" &amp; $AE192):INDIRECT("Table!" &amp; $AH$253 &amp; $AE192),0)))))</f>
        <v/>
      </c>
      <c r="G192" s="24" t="str">
        <f ca="1">IF(ISERROR(MATCH(G$1,INDIRECT("Table!A"&amp;$AE192):INDIRECT("Table!" &amp; $AH$253 &amp; $AE192),0)),"",INDIRECT(CONCATENATE("Table!",ADDRESS($T192,MATCH(G$1,INDIRECT("Table!A" &amp; $AE192):INDIRECT("Table!" &amp; $AH$253 &amp; $AE192),0)))))</f>
        <v/>
      </c>
      <c r="H192" s="24" t="str">
        <f ca="1">IF(ISERROR(MATCH(H$1,INDIRECT("Table!A"&amp;$AE192):INDIRECT("Table!" &amp; $AH$253 &amp; $AE192),0)),"",INDIRECT(CONCATENATE("Table!",ADDRESS($T192,MATCH(H$1,INDIRECT("Table!A" &amp; $AE192):INDIRECT("Table!" &amp; $AH$253 &amp; $AE192),0)))))</f>
        <v/>
      </c>
      <c r="I192" s="273"/>
      <c r="J192" s="273"/>
      <c r="K192" s="24" t="str">
        <f ca="1">IF(ISERROR(MATCH(L$1,INDIRECT("Table!A"&amp;$AE192):INDIRECT("Table!" &amp; $AH$253 &amp; $AE192),0)),"",INDIRECT(CONCATENATE("Table!",ADDRESS($T192,MATCH(L$1,INDIRECT("Table!A" &amp; $AE192):INDIRECT("Table!" &amp; $AH$253 &amp; $AE192),0)))))</f>
        <v/>
      </c>
      <c r="L192" s="24" t="str">
        <f ca="1">IF(ISERROR(MATCH(M$1,INDIRECT("Table!A"&amp;$AE192):INDIRECT("Table!" &amp; $AH$253 &amp; $AE192),0)),"",INDIRECT(CONCATENATE("Table!",ADDRESS($T192,MATCH(M$1,INDIRECT("Table!A" &amp; $AE192):INDIRECT("Table!" &amp; $AH$253 &amp; $AE192),0)))))</f>
        <v/>
      </c>
      <c r="M192" s="24" t="str">
        <f ca="1">IF(ISERROR(MATCH(N$1,INDIRECT("Table!A"&amp;$AE192):INDIRECT("Table!" &amp; $AH$253 &amp; $AE192),0)),"",INDIRECT(CONCATENATE("Table!",ADDRESS($T192,MATCH(N$1,INDIRECT("Table!A" &amp; $AE192):INDIRECT("Table!" &amp; $AH$253 &amp; $AE192),0)))))</f>
        <v/>
      </c>
      <c r="N192" s="24" t="str">
        <f ca="1">IF(ISERROR(MATCH(O$1,INDIRECT("Table!A"&amp;$AE192):INDIRECT("Table!" &amp; $AH$253 &amp; $AE192),0)),"",INDIRECT(CONCATENATE("Table!",ADDRESS($T192,MATCH(O$1,INDIRECT("Table!A" &amp; $AE192):INDIRECT("Table!" &amp; $AH$253 &amp; $AE192),0)))))</f>
        <v/>
      </c>
      <c r="O192" s="24" t="str">
        <f ca="1">IF(ISERROR(MATCH(P$1,INDIRECT("Table!A"&amp;$AE192):INDIRECT("Table!" &amp; $AH$253 &amp; $AE192),0)),"",INDIRECT(CONCATENATE("Table!",ADDRESS($T192,MATCH(P$1,INDIRECT("Table!A" &amp; $AE192):INDIRECT("Table!" &amp; $AH$253 &amp; $AE192),0)))))</f>
        <v/>
      </c>
      <c r="P192" s="273" t="str">
        <f ca="1">IF(ISERROR(MATCH(Q$1,INDIRECT("Table!A"&amp;$AE192):INDIRECT("Table!" &amp; $AH$253 &amp; $AE192),0)),"",INDIRECT(CONCATENATE("Table!",ADDRESS($T192,MATCH(Q$1,INDIRECT("Table!A" &amp; $AE192):INDIRECT("Table!" &amp; $AH$253 &amp; $AE192),0)))))</f>
        <v/>
      </c>
      <c r="Q192" s="131"/>
      <c r="R192" s="131"/>
      <c r="S192" s="131"/>
      <c r="T192" s="22"/>
      <c r="AC192" s="131"/>
      <c r="AD192" s="131"/>
      <c r="AE192" s="22"/>
      <c r="AF192" s="131"/>
      <c r="AG192" s="131"/>
      <c r="AH192" s="131"/>
    </row>
    <row r="193" spans="2:34" ht="18" customHeight="1" x14ac:dyDescent="0.25">
      <c r="B193" s="24"/>
      <c r="C193" s="24" t="str">
        <f ca="1">IF(ISERROR(MATCH(C$1,INDIRECT("Table!A"&amp;$AE193):INDIRECT("Table!" &amp; $AH$253 &amp; $AE193),0)),"",INDIRECT(CONCATENATE("Table!",ADDRESS($T193,MATCH(C$1,INDIRECT("Table!A" &amp; $AE193):INDIRECT("Table!" &amp; $AH$253 &amp; $AE193),0)))))</f>
        <v/>
      </c>
      <c r="D193" s="24" t="str">
        <f ca="1">IF(ISERROR(MATCH(D$1,INDIRECT("Table!A"&amp;$AE193):INDIRECT("Table!" &amp; $AH$253 &amp; $AE193),0)),"",INDIRECT(CONCATENATE("Table!",ADDRESS($T193,MATCH(D$1,INDIRECT("Table!A" &amp; $AE193):INDIRECT("Table!" &amp; $AH$253 &amp; $AE193),0)))))</f>
        <v/>
      </c>
      <c r="E193" s="24" t="str">
        <f ca="1">IF(ISERROR(MATCH(E$1,INDIRECT("Table!A"&amp;$AE193):INDIRECT("Table!" &amp; $AH$253 &amp; $AE193),0)),"",INDIRECT(CONCATENATE("Table!",ADDRESS($T193,MATCH(E$1,INDIRECT("Table!A" &amp; $AE193):INDIRECT("Table!" &amp; $AH$253 &amp; $AE193),0)))))</f>
        <v/>
      </c>
      <c r="F193" s="24" t="str">
        <f ca="1">IF(ISERROR(MATCH(F$1,INDIRECT("Table!A"&amp;$AE193):INDIRECT("Table!" &amp; $AH$253 &amp; $AE193),0)),"",INDIRECT(CONCATENATE("Table!",ADDRESS($T193,MATCH(F$1,INDIRECT("Table!A" &amp; $AE193):INDIRECT("Table!" &amp; $AH$253 &amp; $AE193),0)))))</f>
        <v/>
      </c>
      <c r="G193" s="24" t="str">
        <f ca="1">IF(ISERROR(MATCH(G$1,INDIRECT("Table!A"&amp;$AE193):INDIRECT("Table!" &amp; $AH$253 &amp; $AE193),0)),"",INDIRECT(CONCATENATE("Table!",ADDRESS($T193,MATCH(G$1,INDIRECT("Table!A" &amp; $AE193):INDIRECT("Table!" &amp; $AH$253 &amp; $AE193),0)))))</f>
        <v/>
      </c>
      <c r="H193" s="24" t="str">
        <f ca="1">IF(ISERROR(MATCH(H$1,INDIRECT("Table!A"&amp;$AE193):INDIRECT("Table!" &amp; $AH$253 &amp; $AE193),0)),"",INDIRECT(CONCATENATE("Table!",ADDRESS($T193,MATCH(H$1,INDIRECT("Table!A" &amp; $AE193):INDIRECT("Table!" &amp; $AH$253 &amp; $AE193),0)))))</f>
        <v/>
      </c>
      <c r="I193" s="273"/>
      <c r="J193" s="273"/>
      <c r="K193" s="24" t="str">
        <f ca="1">IF(ISERROR(MATCH(L$1,INDIRECT("Table!A"&amp;$AE193):INDIRECT("Table!" &amp; $AH$253 &amp; $AE193),0)),"",INDIRECT(CONCATENATE("Table!",ADDRESS($T193,MATCH(L$1,INDIRECT("Table!A" &amp; $AE193):INDIRECT("Table!" &amp; $AH$253 &amp; $AE193),0)))))</f>
        <v/>
      </c>
      <c r="L193" s="24" t="str">
        <f ca="1">IF(ISERROR(MATCH(M$1,INDIRECT("Table!A"&amp;$AE193):INDIRECT("Table!" &amp; $AH$253 &amp; $AE193),0)),"",INDIRECT(CONCATENATE("Table!",ADDRESS($T193,MATCH(M$1,INDIRECT("Table!A" &amp; $AE193):INDIRECT("Table!" &amp; $AH$253 &amp; $AE193),0)))))</f>
        <v/>
      </c>
      <c r="M193" s="24" t="str">
        <f ca="1">IF(ISERROR(MATCH(N$1,INDIRECT("Table!A"&amp;$AE193):INDIRECT("Table!" &amp; $AH$253 &amp; $AE193),0)),"",INDIRECT(CONCATENATE("Table!",ADDRESS($T193,MATCH(N$1,INDIRECT("Table!A" &amp; $AE193):INDIRECT("Table!" &amp; $AH$253 &amp; $AE193),0)))))</f>
        <v/>
      </c>
      <c r="N193" s="24" t="str">
        <f ca="1">IF(ISERROR(MATCH(O$1,INDIRECT("Table!A"&amp;$AE193):INDIRECT("Table!" &amp; $AH$253 &amp; $AE193),0)),"",INDIRECT(CONCATENATE("Table!",ADDRESS($T193,MATCH(O$1,INDIRECT("Table!A" &amp; $AE193):INDIRECT("Table!" &amp; $AH$253 &amp; $AE193),0)))))</f>
        <v/>
      </c>
      <c r="O193" s="24" t="str">
        <f ca="1">IF(ISERROR(MATCH(P$1,INDIRECT("Table!A"&amp;$AE193):INDIRECT("Table!" &amp; $AH$253 &amp; $AE193),0)),"",INDIRECT(CONCATENATE("Table!",ADDRESS($T193,MATCH(P$1,INDIRECT("Table!A" &amp; $AE193):INDIRECT("Table!" &amp; $AH$253 &amp; $AE193),0)))))</f>
        <v/>
      </c>
      <c r="P193" s="273" t="str">
        <f ca="1">IF(ISERROR(MATCH(Q$1,INDIRECT("Table!A"&amp;$AE193):INDIRECT("Table!" &amp; $AH$253 &amp; $AE193),0)),"",INDIRECT(CONCATENATE("Table!",ADDRESS($T193,MATCH(Q$1,INDIRECT("Table!A" &amp; $AE193):INDIRECT("Table!" &amp; $AH$253 &amp; $AE193),0)))))</f>
        <v/>
      </c>
      <c r="Q193" s="130"/>
      <c r="R193" s="130"/>
      <c r="S193" s="130"/>
      <c r="T193" s="22"/>
      <c r="AC193" s="130"/>
      <c r="AD193" s="130"/>
      <c r="AE193" s="22"/>
      <c r="AF193" s="130"/>
      <c r="AG193" s="130"/>
      <c r="AH193" s="130"/>
    </row>
    <row r="194" spans="2:34" ht="18" customHeight="1" x14ac:dyDescent="0.25">
      <c r="B194" s="24"/>
      <c r="C194" s="24" t="str">
        <f ca="1">IF(ISERROR(MATCH(C$1,INDIRECT("Table!A"&amp;$AE194):INDIRECT("Table!" &amp; $AH$253 &amp; $AE194),0)),"",INDIRECT(CONCATENATE("Table!",ADDRESS($T194,MATCH(C$1,INDIRECT("Table!A" &amp; $AE194):INDIRECT("Table!" &amp; $AH$253 &amp; $AE194),0)))))</f>
        <v/>
      </c>
      <c r="D194" s="24" t="str">
        <f ca="1">IF(ISERROR(MATCH(D$1,INDIRECT("Table!A"&amp;$AE194):INDIRECT("Table!" &amp; $AH$253 &amp; $AE194),0)),"",INDIRECT(CONCATENATE("Table!",ADDRESS($T194,MATCH(D$1,INDIRECT("Table!A" &amp; $AE194):INDIRECT("Table!" &amp; $AH$253 &amp; $AE194),0)))))</f>
        <v/>
      </c>
      <c r="E194" s="24" t="str">
        <f ca="1">IF(ISERROR(MATCH(E$1,INDIRECT("Table!A"&amp;$AE194):INDIRECT("Table!" &amp; $AH$253 &amp; $AE194),0)),"",INDIRECT(CONCATENATE("Table!",ADDRESS($T194,MATCH(E$1,INDIRECT("Table!A" &amp; $AE194):INDIRECT("Table!" &amp; $AH$253 &amp; $AE194),0)))))</f>
        <v/>
      </c>
      <c r="F194" s="24" t="str">
        <f ca="1">IF(ISERROR(MATCH(F$1,INDIRECT("Table!A"&amp;$AE194):INDIRECT("Table!" &amp; $AH$253 &amp; $AE194),0)),"",INDIRECT(CONCATENATE("Table!",ADDRESS($T194,MATCH(F$1,INDIRECT("Table!A" &amp; $AE194):INDIRECT("Table!" &amp; $AH$253 &amp; $AE194),0)))))</f>
        <v/>
      </c>
      <c r="G194" s="24" t="str">
        <f ca="1">IF(ISERROR(MATCH(G$1,INDIRECT("Table!A"&amp;$AE194):INDIRECT("Table!" &amp; $AH$253 &amp; $AE194),0)),"",INDIRECT(CONCATENATE("Table!",ADDRESS($T194,MATCH(G$1,INDIRECT("Table!A" &amp; $AE194):INDIRECT("Table!" &amp; $AH$253 &amp; $AE194),0)))))</f>
        <v/>
      </c>
      <c r="H194" s="24" t="str">
        <f ca="1">IF(ISERROR(MATCH(H$1,INDIRECT("Table!A"&amp;$AE194):INDIRECT("Table!" &amp; $AH$253 &amp; $AE194),0)),"",INDIRECT(CONCATENATE("Table!",ADDRESS($T194,MATCH(H$1,INDIRECT("Table!A" &amp; $AE194):INDIRECT("Table!" &amp; $AH$253 &amp; $AE194),0)))))</f>
        <v/>
      </c>
      <c r="I194" s="273"/>
      <c r="J194" s="273"/>
      <c r="K194" s="24" t="str">
        <f ca="1">IF(ISERROR(MATCH(L$1,INDIRECT("Table!A"&amp;$AE194):INDIRECT("Table!" &amp; $AH$253 &amp; $AE194),0)),"",INDIRECT(CONCATENATE("Table!",ADDRESS($T194,MATCH(L$1,INDIRECT("Table!A" &amp; $AE194):INDIRECT("Table!" &amp; $AH$253 &amp; $AE194),0)))))</f>
        <v/>
      </c>
      <c r="L194" s="24" t="str">
        <f ca="1">IF(ISERROR(MATCH(M$1,INDIRECT("Table!A"&amp;$AE194):INDIRECT("Table!" &amp; $AH$253 &amp; $AE194),0)),"",INDIRECT(CONCATENATE("Table!",ADDRESS($T194,MATCH(M$1,INDIRECT("Table!A" &amp; $AE194):INDIRECT("Table!" &amp; $AH$253 &amp; $AE194),0)))))</f>
        <v/>
      </c>
      <c r="M194" s="24" t="str">
        <f ca="1">IF(ISERROR(MATCH(N$1,INDIRECT("Table!A"&amp;$AE194):INDIRECT("Table!" &amp; $AH$253 &amp; $AE194),0)),"",INDIRECT(CONCATENATE("Table!",ADDRESS($T194,MATCH(N$1,INDIRECT("Table!A" &amp; $AE194):INDIRECT("Table!" &amp; $AH$253 &amp; $AE194),0)))))</f>
        <v/>
      </c>
      <c r="N194" s="24" t="str">
        <f ca="1">IF(ISERROR(MATCH(O$1,INDIRECT("Table!A"&amp;$AE194):INDIRECT("Table!" &amp; $AH$253 &amp; $AE194),0)),"",INDIRECT(CONCATENATE("Table!",ADDRESS($T194,MATCH(O$1,INDIRECT("Table!A" &amp; $AE194):INDIRECT("Table!" &amp; $AH$253 &amp; $AE194),0)))))</f>
        <v/>
      </c>
      <c r="O194" s="24" t="str">
        <f ca="1">IF(ISERROR(MATCH(P$1,INDIRECT("Table!A"&amp;$AE194):INDIRECT("Table!" &amp; $AH$253 &amp; $AE194),0)),"",INDIRECT(CONCATENATE("Table!",ADDRESS($T194,MATCH(P$1,INDIRECT("Table!A" &amp; $AE194):INDIRECT("Table!" &amp; $AH$253 &amp; $AE194),0)))))</f>
        <v/>
      </c>
      <c r="P194" s="273" t="str">
        <f ca="1">IF(ISERROR(MATCH(Q$1,INDIRECT("Table!A"&amp;$AE194):INDIRECT("Table!" &amp; $AH$253 &amp; $AE194),0)),"",INDIRECT(CONCATENATE("Table!",ADDRESS($T194,MATCH(Q$1,INDIRECT("Table!A" &amp; $AE194):INDIRECT("Table!" &amp; $AH$253 &amp; $AE194),0)))))</f>
        <v/>
      </c>
      <c r="Q194" s="129"/>
      <c r="R194" s="129"/>
      <c r="S194" s="129"/>
      <c r="T194" s="22"/>
      <c r="AC194" s="129"/>
      <c r="AD194" s="129"/>
      <c r="AE194" s="22"/>
      <c r="AF194" s="129"/>
      <c r="AG194" s="129"/>
      <c r="AH194" s="129"/>
    </row>
    <row r="195" spans="2:34" ht="18" customHeight="1" x14ac:dyDescent="0.25">
      <c r="B195" s="24"/>
      <c r="C195" s="24" t="str">
        <f ca="1">IF(ISERROR(MATCH(C$1,INDIRECT("Table!A"&amp;$AE195):INDIRECT("Table!" &amp; $AH$253 &amp; $AE195),0)),"",INDIRECT(CONCATENATE("Table!",ADDRESS($T195,MATCH(C$1,INDIRECT("Table!A" &amp; $AE195):INDIRECT("Table!" &amp; $AH$253 &amp; $AE195),0)))))</f>
        <v/>
      </c>
      <c r="D195" s="24" t="str">
        <f ca="1">IF(ISERROR(MATCH(D$1,INDIRECT("Table!A"&amp;$AE195):INDIRECT("Table!" &amp; $AH$253 &amp; $AE195),0)),"",INDIRECT(CONCATENATE("Table!",ADDRESS($T195,MATCH(D$1,INDIRECT("Table!A" &amp; $AE195):INDIRECT("Table!" &amp; $AH$253 &amp; $AE195),0)))))</f>
        <v/>
      </c>
      <c r="E195" s="24" t="str">
        <f ca="1">IF(ISERROR(MATCH(E$1,INDIRECT("Table!A"&amp;$AE195):INDIRECT("Table!" &amp; $AH$253 &amp; $AE195),0)),"",INDIRECT(CONCATENATE("Table!",ADDRESS($T195,MATCH(E$1,INDIRECT("Table!A" &amp; $AE195):INDIRECT("Table!" &amp; $AH$253 &amp; $AE195),0)))))</f>
        <v/>
      </c>
      <c r="F195" s="24" t="str">
        <f ca="1">IF(ISERROR(MATCH(F$1,INDIRECT("Table!A"&amp;$AE195):INDIRECT("Table!" &amp; $AH$253 &amp; $AE195),0)),"",INDIRECT(CONCATENATE("Table!",ADDRESS($T195,MATCH(F$1,INDIRECT("Table!A" &amp; $AE195):INDIRECT("Table!" &amp; $AH$253 &amp; $AE195),0)))))</f>
        <v/>
      </c>
      <c r="G195" s="24" t="str">
        <f ca="1">IF(ISERROR(MATCH(G$1,INDIRECT("Table!A"&amp;$AE195):INDIRECT("Table!" &amp; $AH$253 &amp; $AE195),0)),"",INDIRECT(CONCATENATE("Table!",ADDRESS($T195,MATCH(G$1,INDIRECT("Table!A" &amp; $AE195):INDIRECT("Table!" &amp; $AH$253 &amp; $AE195),0)))))</f>
        <v/>
      </c>
      <c r="H195" s="24" t="str">
        <f ca="1">IF(ISERROR(MATCH(H$1,INDIRECT("Table!A"&amp;$AE195):INDIRECT("Table!" &amp; $AH$253 &amp; $AE195),0)),"",INDIRECT(CONCATENATE("Table!",ADDRESS($T195,MATCH(H$1,INDIRECT("Table!A" &amp; $AE195):INDIRECT("Table!" &amp; $AH$253 &amp; $AE195),0)))))</f>
        <v/>
      </c>
      <c r="I195" s="273"/>
      <c r="J195" s="273"/>
      <c r="K195" s="24" t="str">
        <f ca="1">IF(ISERROR(MATCH(L$1,INDIRECT("Table!A"&amp;$AE195):INDIRECT("Table!" &amp; $AH$253 &amp; $AE195),0)),"",INDIRECT(CONCATENATE("Table!",ADDRESS($T195,MATCH(L$1,INDIRECT("Table!A" &amp; $AE195):INDIRECT("Table!" &amp; $AH$253 &amp; $AE195),0)))))</f>
        <v/>
      </c>
      <c r="L195" s="24" t="str">
        <f ca="1">IF(ISERROR(MATCH(M$1,INDIRECT("Table!A"&amp;$AE195):INDIRECT("Table!" &amp; $AH$253 &amp; $AE195),0)),"",INDIRECT(CONCATENATE("Table!",ADDRESS($T195,MATCH(M$1,INDIRECT("Table!A" &amp; $AE195):INDIRECT("Table!" &amp; $AH$253 &amp; $AE195),0)))))</f>
        <v/>
      </c>
      <c r="M195" s="24" t="str">
        <f ca="1">IF(ISERROR(MATCH(N$1,INDIRECT("Table!A"&amp;$AE195):INDIRECT("Table!" &amp; $AH$253 &amp; $AE195),0)),"",INDIRECT(CONCATENATE("Table!",ADDRESS($T195,MATCH(N$1,INDIRECT("Table!A" &amp; $AE195):INDIRECT("Table!" &amp; $AH$253 &amp; $AE195),0)))))</f>
        <v/>
      </c>
      <c r="N195" s="24" t="str">
        <f ca="1">IF(ISERROR(MATCH(O$1,INDIRECT("Table!A"&amp;$AE195):INDIRECT("Table!" &amp; $AH$253 &amp; $AE195),0)),"",INDIRECT(CONCATENATE("Table!",ADDRESS($T195,MATCH(O$1,INDIRECT("Table!A" &amp; $AE195):INDIRECT("Table!" &amp; $AH$253 &amp; $AE195),0)))))</f>
        <v/>
      </c>
      <c r="O195" s="24" t="str">
        <f ca="1">IF(ISERROR(MATCH(P$1,INDIRECT("Table!A"&amp;$AE195):INDIRECT("Table!" &amp; $AH$253 &amp; $AE195),0)),"",INDIRECT(CONCATENATE("Table!",ADDRESS($T195,MATCH(P$1,INDIRECT("Table!A" &amp; $AE195):INDIRECT("Table!" &amp; $AH$253 &amp; $AE195),0)))))</f>
        <v/>
      </c>
      <c r="P195" s="273" t="str">
        <f ca="1">IF(ISERROR(MATCH(Q$1,INDIRECT("Table!A"&amp;$AE195):INDIRECT("Table!" &amp; $AH$253 &amp; $AE195),0)),"",INDIRECT(CONCATENATE("Table!",ADDRESS($T195,MATCH(Q$1,INDIRECT("Table!A" &amp; $AE195):INDIRECT("Table!" &amp; $AH$253 &amp; $AE195),0)))))</f>
        <v/>
      </c>
      <c r="Q195" s="128"/>
      <c r="R195" s="128"/>
      <c r="S195" s="128"/>
      <c r="T195" s="22"/>
      <c r="AC195" s="128"/>
      <c r="AD195" s="128"/>
      <c r="AE195" s="22"/>
      <c r="AF195" s="128"/>
      <c r="AG195" s="128"/>
      <c r="AH195" s="128"/>
    </row>
    <row r="196" spans="2:34" ht="18" customHeight="1" x14ac:dyDescent="0.25">
      <c r="B196" s="24"/>
      <c r="C196" s="24" t="str">
        <f ca="1">IF(ISERROR(MATCH(C$1,INDIRECT("Table!A"&amp;$AE196):INDIRECT("Table!" &amp; $AH$253 &amp; $AE196),0)),"",INDIRECT(CONCATENATE("Table!",ADDRESS($T196,MATCH(C$1,INDIRECT("Table!A" &amp; $AE196):INDIRECT("Table!" &amp; $AH$253 &amp; $AE196),0)))))</f>
        <v/>
      </c>
      <c r="D196" s="24" t="str">
        <f ca="1">IF(ISERROR(MATCH(D$1,INDIRECT("Table!A"&amp;$AE196):INDIRECT("Table!" &amp; $AH$253 &amp; $AE196),0)),"",INDIRECT(CONCATENATE("Table!",ADDRESS($T196,MATCH(D$1,INDIRECT("Table!A" &amp; $AE196):INDIRECT("Table!" &amp; $AH$253 &amp; $AE196),0)))))</f>
        <v/>
      </c>
      <c r="E196" s="24" t="str">
        <f ca="1">IF(ISERROR(MATCH(E$1,INDIRECT("Table!A"&amp;$AE196):INDIRECT("Table!" &amp; $AH$253 &amp; $AE196),0)),"",INDIRECT(CONCATENATE("Table!",ADDRESS($T196,MATCH(E$1,INDIRECT("Table!A" &amp; $AE196):INDIRECT("Table!" &amp; $AH$253 &amp; $AE196),0)))))</f>
        <v/>
      </c>
      <c r="F196" s="24" t="str">
        <f ca="1">IF(ISERROR(MATCH(F$1,INDIRECT("Table!A"&amp;$AE196):INDIRECT("Table!" &amp; $AH$253 &amp; $AE196),0)),"",INDIRECT(CONCATENATE("Table!",ADDRESS($T196,MATCH(F$1,INDIRECT("Table!A" &amp; $AE196):INDIRECT("Table!" &amp; $AH$253 &amp; $AE196),0)))))</f>
        <v/>
      </c>
      <c r="G196" s="24" t="str">
        <f ca="1">IF(ISERROR(MATCH(G$1,INDIRECT("Table!A"&amp;$AE196):INDIRECT("Table!" &amp; $AH$253 &amp; $AE196),0)),"",INDIRECT(CONCATENATE("Table!",ADDRESS($T196,MATCH(G$1,INDIRECT("Table!A" &amp; $AE196):INDIRECT("Table!" &amp; $AH$253 &amp; $AE196),0)))))</f>
        <v/>
      </c>
      <c r="H196" s="24" t="str">
        <f ca="1">IF(ISERROR(MATCH(H$1,INDIRECT("Table!A"&amp;$AE196):INDIRECT("Table!" &amp; $AH$253 &amp; $AE196),0)),"",INDIRECT(CONCATENATE("Table!",ADDRESS($T196,MATCH(H$1,INDIRECT("Table!A" &amp; $AE196):INDIRECT("Table!" &amp; $AH$253 &amp; $AE196),0)))))</f>
        <v/>
      </c>
      <c r="I196" s="273"/>
      <c r="J196" s="273"/>
      <c r="K196" s="24" t="str">
        <f ca="1">IF(ISERROR(MATCH(L$1,INDIRECT("Table!A"&amp;$AE196):INDIRECT("Table!" &amp; $AH$253 &amp; $AE196),0)),"",INDIRECT(CONCATENATE("Table!",ADDRESS($T196,MATCH(L$1,INDIRECT("Table!A" &amp; $AE196):INDIRECT("Table!" &amp; $AH$253 &amp; $AE196),0)))))</f>
        <v/>
      </c>
      <c r="L196" s="24" t="str">
        <f ca="1">IF(ISERROR(MATCH(M$1,INDIRECT("Table!A"&amp;$AE196):INDIRECT("Table!" &amp; $AH$253 &amp; $AE196),0)),"",INDIRECT(CONCATENATE("Table!",ADDRESS($T196,MATCH(M$1,INDIRECT("Table!A" &amp; $AE196):INDIRECT("Table!" &amp; $AH$253 &amp; $AE196),0)))))</f>
        <v/>
      </c>
      <c r="M196" s="24" t="str">
        <f ca="1">IF(ISERROR(MATCH(N$1,INDIRECT("Table!A"&amp;$AE196):INDIRECT("Table!" &amp; $AH$253 &amp; $AE196),0)),"",INDIRECT(CONCATENATE("Table!",ADDRESS($T196,MATCH(N$1,INDIRECT("Table!A" &amp; $AE196):INDIRECT("Table!" &amp; $AH$253 &amp; $AE196),0)))))</f>
        <v/>
      </c>
      <c r="N196" s="24" t="str">
        <f ca="1">IF(ISERROR(MATCH(O$1,INDIRECT("Table!A"&amp;$AE196):INDIRECT("Table!" &amp; $AH$253 &amp; $AE196),0)),"",INDIRECT(CONCATENATE("Table!",ADDRESS($T196,MATCH(O$1,INDIRECT("Table!A" &amp; $AE196):INDIRECT("Table!" &amp; $AH$253 &amp; $AE196),0)))))</f>
        <v/>
      </c>
      <c r="O196" s="24" t="str">
        <f ca="1">IF(ISERROR(MATCH(P$1,INDIRECT("Table!A"&amp;$AE196):INDIRECT("Table!" &amp; $AH$253 &amp; $AE196),0)),"",INDIRECT(CONCATENATE("Table!",ADDRESS($T196,MATCH(P$1,INDIRECT("Table!A" &amp; $AE196):INDIRECT("Table!" &amp; $AH$253 &amp; $AE196),0)))))</f>
        <v/>
      </c>
      <c r="P196" s="273" t="str">
        <f ca="1">IF(ISERROR(MATCH(Q$1,INDIRECT("Table!A"&amp;$AE196):INDIRECT("Table!" &amp; $AH$253 &amp; $AE196),0)),"",INDIRECT(CONCATENATE("Table!",ADDRESS($T196,MATCH(Q$1,INDIRECT("Table!A" &amp; $AE196):INDIRECT("Table!" &amp; $AH$253 &amp; $AE196),0)))))</f>
        <v/>
      </c>
      <c r="Q196" s="128"/>
      <c r="R196" s="128"/>
      <c r="S196" s="128"/>
      <c r="T196" s="22"/>
      <c r="AC196" s="128"/>
      <c r="AD196" s="128"/>
      <c r="AE196" s="22"/>
      <c r="AF196" s="128"/>
      <c r="AG196" s="128"/>
      <c r="AH196" s="128"/>
    </row>
    <row r="197" spans="2:34" ht="18" customHeight="1" x14ac:dyDescent="0.25">
      <c r="B197" s="24"/>
      <c r="C197" s="24" t="str">
        <f ca="1">IF(ISERROR(MATCH(C$1,INDIRECT("Table!A"&amp;$AE197):INDIRECT("Table!" &amp; $AH$253 &amp; $AE197),0)),"",INDIRECT(CONCATENATE("Table!",ADDRESS($T197,MATCH(C$1,INDIRECT("Table!A" &amp; $AE197):INDIRECT("Table!" &amp; $AH$253 &amp; $AE197),0)))))</f>
        <v/>
      </c>
      <c r="D197" s="24" t="str">
        <f ca="1">IF(ISERROR(MATCH(D$1,INDIRECT("Table!A"&amp;$AE197):INDIRECT("Table!" &amp; $AH$253 &amp; $AE197),0)),"",INDIRECT(CONCATENATE("Table!",ADDRESS($T197,MATCH(D$1,INDIRECT("Table!A" &amp; $AE197):INDIRECT("Table!" &amp; $AH$253 &amp; $AE197),0)))))</f>
        <v/>
      </c>
      <c r="E197" s="24" t="str">
        <f ca="1">IF(ISERROR(MATCH(E$1,INDIRECT("Table!A"&amp;$AE197):INDIRECT("Table!" &amp; $AH$253 &amp; $AE197),0)),"",INDIRECT(CONCATENATE("Table!",ADDRESS($T197,MATCH(E$1,INDIRECT("Table!A" &amp; $AE197):INDIRECT("Table!" &amp; $AH$253 &amp; $AE197),0)))))</f>
        <v/>
      </c>
      <c r="F197" s="24" t="str">
        <f ca="1">IF(ISERROR(MATCH(F$1,INDIRECT("Table!A"&amp;$AE197):INDIRECT("Table!" &amp; $AH$253 &amp; $AE197),0)),"",INDIRECT(CONCATENATE("Table!",ADDRESS($T197,MATCH(F$1,INDIRECT("Table!A" &amp; $AE197):INDIRECT("Table!" &amp; $AH$253 &amp; $AE197),0)))))</f>
        <v/>
      </c>
      <c r="G197" s="24" t="str">
        <f ca="1">IF(ISERROR(MATCH(G$1,INDIRECT("Table!A"&amp;$AE197):INDIRECT("Table!" &amp; $AH$253 &amp; $AE197),0)),"",INDIRECT(CONCATENATE("Table!",ADDRESS($T197,MATCH(G$1,INDIRECT("Table!A" &amp; $AE197):INDIRECT("Table!" &amp; $AH$253 &amp; $AE197),0)))))</f>
        <v/>
      </c>
      <c r="H197" s="24" t="str">
        <f ca="1">IF(ISERROR(MATCH(H$1,INDIRECT("Table!A"&amp;$AE197):INDIRECT("Table!" &amp; $AH$253 &amp; $AE197),0)),"",INDIRECT(CONCATENATE("Table!",ADDRESS($T197,MATCH(H$1,INDIRECT("Table!A" &amp; $AE197):INDIRECT("Table!" &amp; $AH$253 &amp; $AE197),0)))))</f>
        <v/>
      </c>
      <c r="I197" s="273"/>
      <c r="J197" s="273"/>
      <c r="K197" s="24" t="str">
        <f ca="1">IF(ISERROR(MATCH(L$1,INDIRECT("Table!A"&amp;$AE197):INDIRECT("Table!" &amp; $AH$253 &amp; $AE197),0)),"",INDIRECT(CONCATENATE("Table!",ADDRESS($T197,MATCH(L$1,INDIRECT("Table!A" &amp; $AE197):INDIRECT("Table!" &amp; $AH$253 &amp; $AE197),0)))))</f>
        <v/>
      </c>
      <c r="L197" s="24" t="str">
        <f ca="1">IF(ISERROR(MATCH(M$1,INDIRECT("Table!A"&amp;$AE197):INDIRECT("Table!" &amp; $AH$253 &amp; $AE197),0)),"",INDIRECT(CONCATENATE("Table!",ADDRESS($T197,MATCH(M$1,INDIRECT("Table!A" &amp; $AE197):INDIRECT("Table!" &amp; $AH$253 &amp; $AE197),0)))))</f>
        <v/>
      </c>
      <c r="M197" s="24" t="str">
        <f ca="1">IF(ISERROR(MATCH(N$1,INDIRECT("Table!A"&amp;$AE197):INDIRECT("Table!" &amp; $AH$253 &amp; $AE197),0)),"",INDIRECT(CONCATENATE("Table!",ADDRESS($T197,MATCH(N$1,INDIRECT("Table!A" &amp; $AE197):INDIRECT("Table!" &amp; $AH$253 &amp; $AE197),0)))))</f>
        <v/>
      </c>
      <c r="N197" s="24" t="str">
        <f ca="1">IF(ISERROR(MATCH(O$1,INDIRECT("Table!A"&amp;$AE197):INDIRECT("Table!" &amp; $AH$253 &amp; $AE197),0)),"",INDIRECT(CONCATENATE("Table!",ADDRESS($T197,MATCH(O$1,INDIRECT("Table!A" &amp; $AE197):INDIRECT("Table!" &amp; $AH$253 &amp; $AE197),0)))))</f>
        <v/>
      </c>
      <c r="O197" s="24" t="str">
        <f ca="1">IF(ISERROR(MATCH(P$1,INDIRECT("Table!A"&amp;$AE197):INDIRECT("Table!" &amp; $AH$253 &amp; $AE197),0)),"",INDIRECT(CONCATENATE("Table!",ADDRESS($T197,MATCH(P$1,INDIRECT("Table!A" &amp; $AE197):INDIRECT("Table!" &amp; $AH$253 &amp; $AE197),0)))))</f>
        <v/>
      </c>
      <c r="P197" s="273" t="str">
        <f ca="1">IF(ISERROR(MATCH(Q$1,INDIRECT("Table!A"&amp;$AE197):INDIRECT("Table!" &amp; $AH$253 &amp; $AE197),0)),"",INDIRECT(CONCATENATE("Table!",ADDRESS($T197,MATCH(Q$1,INDIRECT("Table!A" &amp; $AE197):INDIRECT("Table!" &amp; $AH$253 &amp; $AE197),0)))))</f>
        <v/>
      </c>
      <c r="Q197" s="128"/>
      <c r="R197" s="128"/>
      <c r="S197" s="128"/>
      <c r="T197" s="22"/>
      <c r="AC197" s="128"/>
      <c r="AD197" s="128"/>
      <c r="AE197" s="22"/>
      <c r="AF197" s="128"/>
      <c r="AG197" s="128"/>
      <c r="AH197" s="128"/>
    </row>
    <row r="198" spans="2:34" ht="18" customHeight="1" x14ac:dyDescent="0.25">
      <c r="B198" s="24"/>
      <c r="C198" s="24" t="str">
        <f ca="1">IF(ISERROR(MATCH(C$1,INDIRECT("Table!A"&amp;$AE198):INDIRECT("Table!" &amp; $AH$253 &amp; $AE198),0)),"",INDIRECT(CONCATENATE("Table!",ADDRESS($T198,MATCH(C$1,INDIRECT("Table!A" &amp; $AE198):INDIRECT("Table!" &amp; $AH$253 &amp; $AE198),0)))))</f>
        <v/>
      </c>
      <c r="D198" s="24" t="str">
        <f ca="1">IF(ISERROR(MATCH(D$1,INDIRECT("Table!A"&amp;$AE198):INDIRECT("Table!" &amp; $AH$253 &amp; $AE198),0)),"",INDIRECT(CONCATENATE("Table!",ADDRESS($T198,MATCH(D$1,INDIRECT("Table!A" &amp; $AE198):INDIRECT("Table!" &amp; $AH$253 &amp; $AE198),0)))))</f>
        <v/>
      </c>
      <c r="E198" s="24" t="str">
        <f ca="1">IF(ISERROR(MATCH(E$1,INDIRECT("Table!A"&amp;$AE198):INDIRECT("Table!" &amp; $AH$253 &amp; $AE198),0)),"",INDIRECT(CONCATENATE("Table!",ADDRESS($T198,MATCH(E$1,INDIRECT("Table!A" &amp; $AE198):INDIRECT("Table!" &amp; $AH$253 &amp; $AE198),0)))))</f>
        <v/>
      </c>
      <c r="F198" s="24" t="str">
        <f ca="1">IF(ISERROR(MATCH(F$1,INDIRECT("Table!A"&amp;$AE198):INDIRECT("Table!" &amp; $AH$253 &amp; $AE198),0)),"",INDIRECT(CONCATENATE("Table!",ADDRESS($T198,MATCH(F$1,INDIRECT("Table!A" &amp; $AE198):INDIRECT("Table!" &amp; $AH$253 &amp; $AE198),0)))))</f>
        <v/>
      </c>
      <c r="G198" s="24" t="str">
        <f ca="1">IF(ISERROR(MATCH(G$1,INDIRECT("Table!A"&amp;$AE198):INDIRECT("Table!" &amp; $AH$253 &amp; $AE198),0)),"",INDIRECT(CONCATENATE("Table!",ADDRESS($T198,MATCH(G$1,INDIRECT("Table!A" &amp; $AE198):INDIRECT("Table!" &amp; $AH$253 &amp; $AE198),0)))))</f>
        <v/>
      </c>
      <c r="H198" s="24" t="str">
        <f ca="1">IF(ISERROR(MATCH(H$1,INDIRECT("Table!A"&amp;$AE198):INDIRECT("Table!" &amp; $AH$253 &amp; $AE198),0)),"",INDIRECT(CONCATENATE("Table!",ADDRESS($T198,MATCH(H$1,INDIRECT("Table!A" &amp; $AE198):INDIRECT("Table!" &amp; $AH$253 &amp; $AE198),0)))))</f>
        <v/>
      </c>
      <c r="I198" s="273"/>
      <c r="J198" s="273"/>
      <c r="K198" s="24" t="str">
        <f ca="1">IF(ISERROR(MATCH(L$1,INDIRECT("Table!A"&amp;$AE198):INDIRECT("Table!" &amp; $AH$253 &amp; $AE198),0)),"",INDIRECT(CONCATENATE("Table!",ADDRESS($T198,MATCH(L$1,INDIRECT("Table!A" &amp; $AE198):INDIRECT("Table!" &amp; $AH$253 &amp; $AE198),0)))))</f>
        <v/>
      </c>
      <c r="L198" s="24" t="str">
        <f ca="1">IF(ISERROR(MATCH(M$1,INDIRECT("Table!A"&amp;$AE198):INDIRECT("Table!" &amp; $AH$253 &amp; $AE198),0)),"",INDIRECT(CONCATENATE("Table!",ADDRESS($T198,MATCH(M$1,INDIRECT("Table!A" &amp; $AE198):INDIRECT("Table!" &amp; $AH$253 &amp; $AE198),0)))))</f>
        <v/>
      </c>
      <c r="M198" s="24" t="str">
        <f ca="1">IF(ISERROR(MATCH(N$1,INDIRECT("Table!A"&amp;$AE198):INDIRECT("Table!" &amp; $AH$253 &amp; $AE198),0)),"",INDIRECT(CONCATENATE("Table!",ADDRESS($T198,MATCH(N$1,INDIRECT("Table!A" &amp; $AE198):INDIRECT("Table!" &amp; $AH$253 &amp; $AE198),0)))))</f>
        <v/>
      </c>
      <c r="N198" s="24" t="str">
        <f ca="1">IF(ISERROR(MATCH(O$1,INDIRECT("Table!A"&amp;$AE198):INDIRECT("Table!" &amp; $AH$253 &amp; $AE198),0)),"",INDIRECT(CONCATENATE("Table!",ADDRESS($T198,MATCH(O$1,INDIRECT("Table!A" &amp; $AE198):INDIRECT("Table!" &amp; $AH$253 &amp; $AE198),0)))))</f>
        <v/>
      </c>
      <c r="O198" s="24" t="str">
        <f ca="1">IF(ISERROR(MATCH(P$1,INDIRECT("Table!A"&amp;$AE198):INDIRECT("Table!" &amp; $AH$253 &amp; $AE198),0)),"",INDIRECT(CONCATENATE("Table!",ADDRESS($T198,MATCH(P$1,INDIRECT("Table!A" &amp; $AE198):INDIRECT("Table!" &amp; $AH$253 &amp; $AE198),0)))))</f>
        <v/>
      </c>
      <c r="P198" s="273" t="str">
        <f ca="1">IF(ISERROR(MATCH(Q$1,INDIRECT("Table!A"&amp;$AE198):INDIRECT("Table!" &amp; $AH$253 &amp; $AE198),0)),"",INDIRECT(CONCATENATE("Table!",ADDRESS($T198,MATCH(Q$1,INDIRECT("Table!A" &amp; $AE198):INDIRECT("Table!" &amp; $AH$253 &amp; $AE198),0)))))</f>
        <v/>
      </c>
      <c r="Q198" s="128"/>
      <c r="R198" s="128"/>
      <c r="S198" s="128"/>
      <c r="T198" s="22"/>
      <c r="AC198" s="128"/>
      <c r="AD198" s="128"/>
      <c r="AE198" s="22"/>
      <c r="AF198" s="128"/>
      <c r="AG198" s="128"/>
      <c r="AH198" s="128"/>
    </row>
    <row r="199" spans="2:34" ht="18" customHeight="1" x14ac:dyDescent="0.25">
      <c r="B199" s="24"/>
      <c r="C199" s="24" t="str">
        <f ca="1">IF(ISERROR(MATCH(C$1,INDIRECT("Table!A"&amp;$AE199):INDIRECT("Table!" &amp; $AH$253 &amp; $AE199),0)),"",INDIRECT(CONCATENATE("Table!",ADDRESS($T199,MATCH(C$1,INDIRECT("Table!A" &amp; $AE199):INDIRECT("Table!" &amp; $AH$253 &amp; $AE199),0)))))</f>
        <v/>
      </c>
      <c r="D199" s="24" t="str">
        <f ca="1">IF(ISERROR(MATCH(D$1,INDIRECT("Table!A"&amp;$AE199):INDIRECT("Table!" &amp; $AH$253 &amp; $AE199),0)),"",INDIRECT(CONCATENATE("Table!",ADDRESS($T199,MATCH(D$1,INDIRECT("Table!A" &amp; $AE199):INDIRECT("Table!" &amp; $AH$253 &amp; $AE199),0)))))</f>
        <v/>
      </c>
      <c r="E199" s="24" t="str">
        <f ca="1">IF(ISERROR(MATCH(E$1,INDIRECT("Table!A"&amp;$AE199):INDIRECT("Table!" &amp; $AH$253 &amp; $AE199),0)),"",INDIRECT(CONCATENATE("Table!",ADDRESS($T199,MATCH(E$1,INDIRECT("Table!A" &amp; $AE199):INDIRECT("Table!" &amp; $AH$253 &amp; $AE199),0)))))</f>
        <v/>
      </c>
      <c r="F199" s="24" t="str">
        <f ca="1">IF(ISERROR(MATCH(F$1,INDIRECT("Table!A"&amp;$AE199):INDIRECT("Table!" &amp; $AH$253 &amp; $AE199),0)),"",INDIRECT(CONCATENATE("Table!",ADDRESS($T199,MATCH(F$1,INDIRECT("Table!A" &amp; $AE199):INDIRECT("Table!" &amp; $AH$253 &amp; $AE199),0)))))</f>
        <v/>
      </c>
      <c r="G199" s="24" t="str">
        <f ca="1">IF(ISERROR(MATCH(G$1,INDIRECT("Table!A"&amp;$AE199):INDIRECT("Table!" &amp; $AH$253 &amp; $AE199),0)),"",INDIRECT(CONCATENATE("Table!",ADDRESS($T199,MATCH(G$1,INDIRECT("Table!A" &amp; $AE199):INDIRECT("Table!" &amp; $AH$253 &amp; $AE199),0)))))</f>
        <v/>
      </c>
      <c r="H199" s="24" t="str">
        <f ca="1">IF(ISERROR(MATCH(H$1,INDIRECT("Table!A"&amp;$AE199):INDIRECT("Table!" &amp; $AH$253 &amp; $AE199),0)),"",INDIRECT(CONCATENATE("Table!",ADDRESS($T199,MATCH(H$1,INDIRECT("Table!A" &amp; $AE199):INDIRECT("Table!" &amp; $AH$253 &amp; $AE199),0)))))</f>
        <v/>
      </c>
      <c r="I199" s="273"/>
      <c r="J199" s="273"/>
      <c r="K199" s="24" t="str">
        <f ca="1">IF(ISERROR(MATCH(L$1,INDIRECT("Table!A"&amp;$AE199):INDIRECT("Table!" &amp; $AH$253 &amp; $AE199),0)),"",INDIRECT(CONCATENATE("Table!",ADDRESS($T199,MATCH(L$1,INDIRECT("Table!A" &amp; $AE199):INDIRECT("Table!" &amp; $AH$253 &amp; $AE199),0)))))</f>
        <v/>
      </c>
      <c r="L199" s="24" t="str">
        <f ca="1">IF(ISERROR(MATCH(M$1,INDIRECT("Table!A"&amp;$AE199):INDIRECT("Table!" &amp; $AH$253 &amp; $AE199),0)),"",INDIRECT(CONCATENATE("Table!",ADDRESS($T199,MATCH(M$1,INDIRECT("Table!A" &amp; $AE199):INDIRECT("Table!" &amp; $AH$253 &amp; $AE199),0)))))</f>
        <v/>
      </c>
      <c r="M199" s="24" t="str">
        <f ca="1">IF(ISERROR(MATCH(N$1,INDIRECT("Table!A"&amp;$AE199):INDIRECT("Table!" &amp; $AH$253 &amp; $AE199),0)),"",INDIRECT(CONCATENATE("Table!",ADDRESS($T199,MATCH(N$1,INDIRECT("Table!A" &amp; $AE199):INDIRECT("Table!" &amp; $AH$253 &amp; $AE199),0)))))</f>
        <v/>
      </c>
      <c r="N199" s="24" t="str">
        <f ca="1">IF(ISERROR(MATCH(O$1,INDIRECT("Table!A"&amp;$AE199):INDIRECT("Table!" &amp; $AH$253 &amp; $AE199),0)),"",INDIRECT(CONCATENATE("Table!",ADDRESS($T199,MATCH(O$1,INDIRECT("Table!A" &amp; $AE199):INDIRECT("Table!" &amp; $AH$253 &amp; $AE199),0)))))</f>
        <v/>
      </c>
      <c r="O199" s="24" t="str">
        <f ca="1">IF(ISERROR(MATCH(P$1,INDIRECT("Table!A"&amp;$AE199):INDIRECT("Table!" &amp; $AH$253 &amp; $AE199),0)),"",INDIRECT(CONCATENATE("Table!",ADDRESS($T199,MATCH(P$1,INDIRECT("Table!A" &amp; $AE199):INDIRECT("Table!" &amp; $AH$253 &amp; $AE199),0)))))</f>
        <v/>
      </c>
      <c r="P199" s="273" t="str">
        <f ca="1">IF(ISERROR(MATCH(Q$1,INDIRECT("Table!A"&amp;$AE199):INDIRECT("Table!" &amp; $AH$253 &amp; $AE199),0)),"",INDIRECT(CONCATENATE("Table!",ADDRESS($T199,MATCH(Q$1,INDIRECT("Table!A" &amp; $AE199):INDIRECT("Table!" &amp; $AH$253 &amp; $AE199),0)))))</f>
        <v/>
      </c>
      <c r="Q199" s="78"/>
      <c r="R199" s="78"/>
      <c r="S199" s="78"/>
      <c r="T199" s="22"/>
      <c r="AC199" s="78"/>
      <c r="AD199" s="78"/>
      <c r="AE199" s="22"/>
      <c r="AF199" s="78"/>
      <c r="AG199" s="78"/>
      <c r="AH199" s="78"/>
    </row>
    <row r="200" spans="2:34" ht="18" customHeight="1" x14ac:dyDescent="0.25">
      <c r="B200" s="24"/>
      <c r="C200" s="24" t="str">
        <f ca="1">IF(ISERROR(MATCH(C$1,INDIRECT("Table!A"&amp;$AE200):INDIRECT("Table!" &amp; $AH$253 &amp; $AE200),0)),"",INDIRECT(CONCATENATE("Table!",ADDRESS($T200,MATCH(C$1,INDIRECT("Table!A" &amp; $AE200):INDIRECT("Table!" &amp; $AH$253 &amp; $AE200),0)))))</f>
        <v/>
      </c>
      <c r="D200" s="24" t="str">
        <f ca="1">IF(ISERROR(MATCH(D$1,INDIRECT("Table!A"&amp;$AE200):INDIRECT("Table!" &amp; $AH$253 &amp; $AE200),0)),"",INDIRECT(CONCATENATE("Table!",ADDRESS($T200,MATCH(D$1,INDIRECT("Table!A" &amp; $AE200):INDIRECT("Table!" &amp; $AH$253 &amp; $AE200),0)))))</f>
        <v/>
      </c>
      <c r="E200" s="24" t="str">
        <f ca="1">IF(ISERROR(MATCH(E$1,INDIRECT("Table!A"&amp;$AE200):INDIRECT("Table!" &amp; $AH$253 &amp; $AE200),0)),"",INDIRECT(CONCATENATE("Table!",ADDRESS($T200,MATCH(E$1,INDIRECT("Table!A" &amp; $AE200):INDIRECT("Table!" &amp; $AH$253 &amp; $AE200),0)))))</f>
        <v/>
      </c>
      <c r="F200" s="24" t="str">
        <f ca="1">IF(ISERROR(MATCH(F$1,INDIRECT("Table!A"&amp;$AE200):INDIRECT("Table!" &amp; $AH$253 &amp; $AE200),0)),"",INDIRECT(CONCATENATE("Table!",ADDRESS($T200,MATCH(F$1,INDIRECT("Table!A" &amp; $AE200):INDIRECT("Table!" &amp; $AH$253 &amp; $AE200),0)))))</f>
        <v/>
      </c>
      <c r="G200" s="24" t="str">
        <f ca="1">IF(ISERROR(MATCH(G$1,INDIRECT("Table!A"&amp;$AE200):INDIRECT("Table!" &amp; $AH$253 &amp; $AE200),0)),"",INDIRECT(CONCATENATE("Table!",ADDRESS($T200,MATCH(G$1,INDIRECT("Table!A" &amp; $AE200):INDIRECT("Table!" &amp; $AH$253 &amp; $AE200),0)))))</f>
        <v/>
      </c>
      <c r="H200" s="24" t="str">
        <f ca="1">IF(ISERROR(MATCH(H$1,INDIRECT("Table!A"&amp;$AE200):INDIRECT("Table!" &amp; $AH$253 &amp; $AE200),0)),"",INDIRECT(CONCATENATE("Table!",ADDRESS($T200,MATCH(H$1,INDIRECT("Table!A" &amp; $AE200):INDIRECT("Table!" &amp; $AH$253 &amp; $AE200),0)))))</f>
        <v/>
      </c>
      <c r="I200" s="273"/>
      <c r="J200" s="273"/>
      <c r="K200" s="24" t="str">
        <f ca="1">IF(ISERROR(MATCH(L$1,INDIRECT("Table!A"&amp;$AE200):INDIRECT("Table!" &amp; $AH$253 &amp; $AE200),0)),"",INDIRECT(CONCATENATE("Table!",ADDRESS($T200,MATCH(L$1,INDIRECT("Table!A" &amp; $AE200):INDIRECT("Table!" &amp; $AH$253 &amp; $AE200),0)))))</f>
        <v/>
      </c>
      <c r="L200" s="24" t="str">
        <f ca="1">IF(ISERROR(MATCH(M$1,INDIRECT("Table!A"&amp;$AE200):INDIRECT("Table!" &amp; $AH$253 &amp; $AE200),0)),"",INDIRECT(CONCATENATE("Table!",ADDRESS($T200,MATCH(M$1,INDIRECT("Table!A" &amp; $AE200):INDIRECT("Table!" &amp; $AH$253 &amp; $AE200),0)))))</f>
        <v/>
      </c>
      <c r="M200" s="24" t="str">
        <f ca="1">IF(ISERROR(MATCH(N$1,INDIRECT("Table!A"&amp;$AE200):INDIRECT("Table!" &amp; $AH$253 &amp; $AE200),0)),"",INDIRECT(CONCATENATE("Table!",ADDRESS($T200,MATCH(N$1,INDIRECT("Table!A" &amp; $AE200):INDIRECT("Table!" &amp; $AH$253 &amp; $AE200),0)))))</f>
        <v/>
      </c>
      <c r="N200" s="24" t="str">
        <f ca="1">IF(ISERROR(MATCH(O$1,INDIRECT("Table!A"&amp;$AE200):INDIRECT("Table!" &amp; $AH$253 &amp; $AE200),0)),"",INDIRECT(CONCATENATE("Table!",ADDRESS($T200,MATCH(O$1,INDIRECT("Table!A" &amp; $AE200):INDIRECT("Table!" &amp; $AH$253 &amp; $AE200),0)))))</f>
        <v/>
      </c>
      <c r="O200" s="24" t="str">
        <f ca="1">IF(ISERROR(MATCH(P$1,INDIRECT("Table!A"&amp;$AE200):INDIRECT("Table!" &amp; $AH$253 &amp; $AE200),0)),"",INDIRECT(CONCATENATE("Table!",ADDRESS($T200,MATCH(P$1,INDIRECT("Table!A" &amp; $AE200):INDIRECT("Table!" &amp; $AH$253 &amp; $AE200),0)))))</f>
        <v/>
      </c>
      <c r="P200" s="273" t="str">
        <f ca="1">IF(ISERROR(MATCH(Q$1,INDIRECT("Table!A"&amp;$AE200):INDIRECT("Table!" &amp; $AH$253 &amp; $AE200),0)),"",INDIRECT(CONCATENATE("Table!",ADDRESS($T200,MATCH(Q$1,INDIRECT("Table!A" &amp; $AE200):INDIRECT("Table!" &amp; $AH$253 &amp; $AE200),0)))))</f>
        <v/>
      </c>
      <c r="Q200" s="123"/>
      <c r="R200" s="123"/>
      <c r="S200" s="123"/>
      <c r="T200" s="22"/>
      <c r="AC200" s="123"/>
      <c r="AD200" s="123"/>
      <c r="AE200" s="22"/>
      <c r="AF200" s="123"/>
      <c r="AG200" s="123"/>
      <c r="AH200" s="123"/>
    </row>
    <row r="201" spans="2:34" ht="18" customHeight="1" x14ac:dyDescent="0.25">
      <c r="B201" s="24"/>
      <c r="C201" s="24" t="str">
        <f ca="1">IF(ISERROR(MATCH(C$1,INDIRECT("Table!A"&amp;$AE201):INDIRECT("Table!" &amp; $AH$253 &amp; $AE201),0)),"",INDIRECT(CONCATENATE("Table!",ADDRESS($T201,MATCH(C$1,INDIRECT("Table!A" &amp; $AE201):INDIRECT("Table!" &amp; $AH$253 &amp; $AE201),0)))))</f>
        <v/>
      </c>
      <c r="D201" s="24" t="str">
        <f ca="1">IF(ISERROR(MATCH(D$1,INDIRECT("Table!A"&amp;$AE201):INDIRECT("Table!" &amp; $AH$253 &amp; $AE201),0)),"",INDIRECT(CONCATENATE("Table!",ADDRESS($T201,MATCH(D$1,INDIRECT("Table!A" &amp; $AE201):INDIRECT("Table!" &amp; $AH$253 &amp; $AE201),0)))))</f>
        <v/>
      </c>
      <c r="E201" s="24" t="str">
        <f ca="1">IF(ISERROR(MATCH(E$1,INDIRECT("Table!A"&amp;$AE201):INDIRECT("Table!" &amp; $AH$253 &amp; $AE201),0)),"",INDIRECT(CONCATENATE("Table!",ADDRESS($T201,MATCH(E$1,INDIRECT("Table!A" &amp; $AE201):INDIRECT("Table!" &amp; $AH$253 &amp; $AE201),0)))))</f>
        <v/>
      </c>
      <c r="F201" s="24" t="str">
        <f ca="1">IF(ISERROR(MATCH(F$1,INDIRECT("Table!A"&amp;$AE201):INDIRECT("Table!" &amp; $AH$253 &amp; $AE201),0)),"",INDIRECT(CONCATENATE("Table!",ADDRESS($T201,MATCH(F$1,INDIRECT("Table!A" &amp; $AE201):INDIRECT("Table!" &amp; $AH$253 &amp; $AE201),0)))))</f>
        <v/>
      </c>
      <c r="G201" s="24" t="str">
        <f ca="1">IF(ISERROR(MATCH(G$1,INDIRECT("Table!A"&amp;$AE201):INDIRECT("Table!" &amp; $AH$253 &amp; $AE201),0)),"",INDIRECT(CONCATENATE("Table!",ADDRESS($T201,MATCH(G$1,INDIRECT("Table!A" &amp; $AE201):INDIRECT("Table!" &amp; $AH$253 &amp; $AE201),0)))))</f>
        <v/>
      </c>
      <c r="H201" s="24" t="str">
        <f ca="1">IF(ISERROR(MATCH(H$1,INDIRECT("Table!A"&amp;$AE201):INDIRECT("Table!" &amp; $AH$253 &amp; $AE201),0)),"",INDIRECT(CONCATENATE("Table!",ADDRESS($T201,MATCH(H$1,INDIRECT("Table!A" &amp; $AE201):INDIRECT("Table!" &amp; $AH$253 &amp; $AE201),0)))))</f>
        <v/>
      </c>
      <c r="I201" s="273"/>
      <c r="J201" s="273"/>
      <c r="K201" s="24" t="str">
        <f ca="1">IF(ISERROR(MATCH(L$1,INDIRECT("Table!A"&amp;$AE201):INDIRECT("Table!" &amp; $AH$253 &amp; $AE201),0)),"",INDIRECT(CONCATENATE("Table!",ADDRESS($T201,MATCH(L$1,INDIRECT("Table!A" &amp; $AE201):INDIRECT("Table!" &amp; $AH$253 &amp; $AE201),0)))))</f>
        <v/>
      </c>
      <c r="L201" s="24" t="str">
        <f ca="1">IF(ISERROR(MATCH(M$1,INDIRECT("Table!A"&amp;$AE201):INDIRECT("Table!" &amp; $AH$253 &amp; $AE201),0)),"",INDIRECT(CONCATENATE("Table!",ADDRESS($T201,MATCH(M$1,INDIRECT("Table!A" &amp; $AE201):INDIRECT("Table!" &amp; $AH$253 &amp; $AE201),0)))))</f>
        <v/>
      </c>
      <c r="M201" s="24" t="str">
        <f ca="1">IF(ISERROR(MATCH(N$1,INDIRECT("Table!A"&amp;$AE201):INDIRECT("Table!" &amp; $AH$253 &amp; $AE201),0)),"",INDIRECT(CONCATENATE("Table!",ADDRESS($T201,MATCH(N$1,INDIRECT("Table!A" &amp; $AE201):INDIRECT("Table!" &amp; $AH$253 &amp; $AE201),0)))))</f>
        <v/>
      </c>
      <c r="N201" s="24" t="str">
        <f ca="1">IF(ISERROR(MATCH(O$1,INDIRECT("Table!A"&amp;$AE201):INDIRECT("Table!" &amp; $AH$253 &amp; $AE201),0)),"",INDIRECT(CONCATENATE("Table!",ADDRESS($T201,MATCH(O$1,INDIRECT("Table!A" &amp; $AE201):INDIRECT("Table!" &amp; $AH$253 &amp; $AE201),0)))))</f>
        <v/>
      </c>
      <c r="O201" s="24" t="str">
        <f ca="1">IF(ISERROR(MATCH(P$1,INDIRECT("Table!A"&amp;$AE201):INDIRECT("Table!" &amp; $AH$253 &amp; $AE201),0)),"",INDIRECT(CONCATENATE("Table!",ADDRESS($T201,MATCH(P$1,INDIRECT("Table!A" &amp; $AE201):INDIRECT("Table!" &amp; $AH$253 &amp; $AE201),0)))))</f>
        <v/>
      </c>
      <c r="P201" s="273" t="str">
        <f ca="1">IF(ISERROR(MATCH(Q$1,INDIRECT("Table!A"&amp;$AE201):INDIRECT("Table!" &amp; $AH$253 &amp; $AE201),0)),"",INDIRECT(CONCATENATE("Table!",ADDRESS($T201,MATCH(Q$1,INDIRECT("Table!A" &amp; $AE201):INDIRECT("Table!" &amp; $AH$253 &amp; $AE201),0)))))</f>
        <v/>
      </c>
      <c r="Q201" s="122"/>
      <c r="R201" s="122"/>
      <c r="S201" s="122"/>
      <c r="T201" s="22"/>
      <c r="AC201" s="122"/>
      <c r="AD201" s="122"/>
      <c r="AE201" s="22"/>
      <c r="AF201" s="122"/>
      <c r="AG201" s="122"/>
      <c r="AH201" s="122"/>
    </row>
    <row r="202" spans="2:34" ht="18" customHeight="1" x14ac:dyDescent="0.25">
      <c r="B202" s="24"/>
      <c r="C202" s="24" t="str">
        <f ca="1">IF(ISERROR(MATCH(C$1,INDIRECT("Table!A"&amp;$AE202):INDIRECT("Table!" &amp; $AH$253 &amp; $AE202),0)),"",INDIRECT(CONCATENATE("Table!",ADDRESS($T202,MATCH(C$1,INDIRECT("Table!A" &amp; $AE202):INDIRECT("Table!" &amp; $AH$253 &amp; $AE202),0)))))</f>
        <v/>
      </c>
      <c r="D202" s="24" t="str">
        <f ca="1">IF(ISERROR(MATCH(D$1,INDIRECT("Table!A"&amp;$AE202):INDIRECT("Table!" &amp; $AH$253 &amp; $AE202),0)),"",INDIRECT(CONCATENATE("Table!",ADDRESS($T202,MATCH(D$1,INDIRECT("Table!A" &amp; $AE202):INDIRECT("Table!" &amp; $AH$253 &amp; $AE202),0)))))</f>
        <v/>
      </c>
      <c r="E202" s="24" t="str">
        <f ca="1">IF(ISERROR(MATCH(E$1,INDIRECT("Table!A"&amp;$AE202):INDIRECT("Table!" &amp; $AH$253 &amp; $AE202),0)),"",INDIRECT(CONCATENATE("Table!",ADDRESS($T202,MATCH(E$1,INDIRECT("Table!A" &amp; $AE202):INDIRECT("Table!" &amp; $AH$253 &amp; $AE202),0)))))</f>
        <v/>
      </c>
      <c r="F202" s="24" t="str">
        <f ca="1">IF(ISERROR(MATCH(F$1,INDIRECT("Table!A"&amp;$AE202):INDIRECT("Table!" &amp; $AH$253 &amp; $AE202),0)),"",INDIRECT(CONCATENATE("Table!",ADDRESS($T202,MATCH(F$1,INDIRECT("Table!A" &amp; $AE202):INDIRECT("Table!" &amp; $AH$253 &amp; $AE202),0)))))</f>
        <v/>
      </c>
      <c r="G202" s="24" t="str">
        <f ca="1">IF(ISERROR(MATCH(G$1,INDIRECT("Table!A"&amp;$AE202):INDIRECT("Table!" &amp; $AH$253 &amp; $AE202),0)),"",INDIRECT(CONCATENATE("Table!",ADDRESS($T202,MATCH(G$1,INDIRECT("Table!A" &amp; $AE202):INDIRECT("Table!" &amp; $AH$253 &amp; $AE202),0)))))</f>
        <v/>
      </c>
      <c r="H202" s="24" t="str">
        <f ca="1">IF(ISERROR(MATCH(H$1,INDIRECT("Table!A"&amp;$AE202):INDIRECT("Table!" &amp; $AH$253 &amp; $AE202),0)),"",INDIRECT(CONCATENATE("Table!",ADDRESS($T202,MATCH(H$1,INDIRECT("Table!A" &amp; $AE202):INDIRECT("Table!" &amp; $AH$253 &amp; $AE202),0)))))</f>
        <v/>
      </c>
      <c r="I202" s="273"/>
      <c r="J202" s="273"/>
      <c r="K202" s="24" t="str">
        <f ca="1">IF(ISERROR(MATCH(L$1,INDIRECT("Table!A"&amp;$AE202):INDIRECT("Table!" &amp; $AH$253 &amp; $AE202),0)),"",INDIRECT(CONCATENATE("Table!",ADDRESS($T202,MATCH(L$1,INDIRECT("Table!A" &amp; $AE202):INDIRECT("Table!" &amp; $AH$253 &amp; $AE202),0)))))</f>
        <v/>
      </c>
      <c r="L202" s="24" t="str">
        <f ca="1">IF(ISERROR(MATCH(M$1,INDIRECT("Table!A"&amp;$AE202):INDIRECT("Table!" &amp; $AH$253 &amp; $AE202),0)),"",INDIRECT(CONCATENATE("Table!",ADDRESS($T202,MATCH(M$1,INDIRECT("Table!A" &amp; $AE202):INDIRECT("Table!" &amp; $AH$253 &amp; $AE202),0)))))</f>
        <v/>
      </c>
      <c r="M202" s="24" t="str">
        <f ca="1">IF(ISERROR(MATCH(N$1,INDIRECT("Table!A"&amp;$AE202):INDIRECT("Table!" &amp; $AH$253 &amp; $AE202),0)),"",INDIRECT(CONCATENATE("Table!",ADDRESS($T202,MATCH(N$1,INDIRECT("Table!A" &amp; $AE202):INDIRECT("Table!" &amp; $AH$253 &amp; $AE202),0)))))</f>
        <v/>
      </c>
      <c r="N202" s="24" t="str">
        <f ca="1">IF(ISERROR(MATCH(O$1,INDIRECT("Table!A"&amp;$AE202):INDIRECT("Table!" &amp; $AH$253 &amp; $AE202),0)),"",INDIRECT(CONCATENATE("Table!",ADDRESS($T202,MATCH(O$1,INDIRECT("Table!A" &amp; $AE202):INDIRECT("Table!" &amp; $AH$253 &amp; $AE202),0)))))</f>
        <v/>
      </c>
      <c r="O202" s="24" t="str">
        <f ca="1">IF(ISERROR(MATCH(P$1,INDIRECT("Table!A"&amp;$AE202):INDIRECT("Table!" &amp; $AH$253 &amp; $AE202),0)),"",INDIRECT(CONCATENATE("Table!",ADDRESS($T202,MATCH(P$1,INDIRECT("Table!A" &amp; $AE202):INDIRECT("Table!" &amp; $AH$253 &amp; $AE202),0)))))</f>
        <v/>
      </c>
      <c r="P202" s="273" t="str">
        <f ca="1">IF(ISERROR(MATCH(Q$1,INDIRECT("Table!A"&amp;$AE202):INDIRECT("Table!" &amp; $AH$253 &amp; $AE202),0)),"",INDIRECT(CONCATENATE("Table!",ADDRESS($T202,MATCH(Q$1,INDIRECT("Table!A" &amp; $AE202):INDIRECT("Table!" &amp; $AH$253 &amp; $AE202),0)))))</f>
        <v/>
      </c>
      <c r="Q202" s="121"/>
      <c r="R202" s="121"/>
      <c r="S202" s="121"/>
      <c r="T202" s="22"/>
      <c r="AC202" s="121"/>
      <c r="AD202" s="121"/>
      <c r="AE202" s="22"/>
      <c r="AF202" s="121"/>
      <c r="AG202" s="121"/>
      <c r="AH202" s="121"/>
    </row>
    <row r="203" spans="2:34" ht="18" customHeight="1" x14ac:dyDescent="0.25">
      <c r="B203" s="24"/>
      <c r="C203" s="24" t="str">
        <f ca="1">IF(ISERROR(MATCH(C$1,INDIRECT("Table!A"&amp;$AE203):INDIRECT("Table!" &amp; $AH$253 &amp; $AE203),0)),"",INDIRECT(CONCATENATE("Table!",ADDRESS($T203,MATCH(C$1,INDIRECT("Table!A" &amp; $AE203):INDIRECT("Table!" &amp; $AH$253 &amp; $AE203),0)))))</f>
        <v/>
      </c>
      <c r="D203" s="24" t="str">
        <f ca="1">IF(ISERROR(MATCH(D$1,INDIRECT("Table!A"&amp;$AE203):INDIRECT("Table!" &amp; $AH$253 &amp; $AE203),0)),"",INDIRECT(CONCATENATE("Table!",ADDRESS($T203,MATCH(D$1,INDIRECT("Table!A" &amp; $AE203):INDIRECT("Table!" &amp; $AH$253 &amp; $AE203),0)))))</f>
        <v/>
      </c>
      <c r="E203" s="24" t="str">
        <f ca="1">IF(ISERROR(MATCH(E$1,INDIRECT("Table!A"&amp;$AE203):INDIRECT("Table!" &amp; $AH$253 &amp; $AE203),0)),"",INDIRECT(CONCATENATE("Table!",ADDRESS($T203,MATCH(E$1,INDIRECT("Table!A" &amp; $AE203):INDIRECT("Table!" &amp; $AH$253 &amp; $AE203),0)))))</f>
        <v/>
      </c>
      <c r="F203" s="24" t="str">
        <f ca="1">IF(ISERROR(MATCH(F$1,INDIRECT("Table!A"&amp;$AE203):INDIRECT("Table!" &amp; $AH$253 &amp; $AE203),0)),"",INDIRECT(CONCATENATE("Table!",ADDRESS($T203,MATCH(F$1,INDIRECT("Table!A" &amp; $AE203):INDIRECT("Table!" &amp; $AH$253 &amp; $AE203),0)))))</f>
        <v/>
      </c>
      <c r="G203" s="24" t="str">
        <f ca="1">IF(ISERROR(MATCH(G$1,INDIRECT("Table!A"&amp;$AE203):INDIRECT("Table!" &amp; $AH$253 &amp; $AE203),0)),"",INDIRECT(CONCATENATE("Table!",ADDRESS($T203,MATCH(G$1,INDIRECT("Table!A" &amp; $AE203):INDIRECT("Table!" &amp; $AH$253 &amp; $AE203),0)))))</f>
        <v/>
      </c>
      <c r="H203" s="24" t="str">
        <f ca="1">IF(ISERROR(MATCH(H$1,INDIRECT("Table!A"&amp;$AE203):INDIRECT("Table!" &amp; $AH$253 &amp; $AE203),0)),"",INDIRECT(CONCATENATE("Table!",ADDRESS($T203,MATCH(H$1,INDIRECT("Table!A" &amp; $AE203):INDIRECT("Table!" &amp; $AH$253 &amp; $AE203),0)))))</f>
        <v/>
      </c>
      <c r="I203" s="273"/>
      <c r="J203" s="273"/>
      <c r="K203" s="24" t="str">
        <f ca="1">IF(ISERROR(MATCH(L$1,INDIRECT("Table!A"&amp;$AE203):INDIRECT("Table!" &amp; $AH$253 &amp; $AE203),0)),"",INDIRECT(CONCATENATE("Table!",ADDRESS($T203,MATCH(L$1,INDIRECT("Table!A" &amp; $AE203):INDIRECT("Table!" &amp; $AH$253 &amp; $AE203),0)))))</f>
        <v/>
      </c>
      <c r="L203" s="24" t="str">
        <f ca="1">IF(ISERROR(MATCH(M$1,INDIRECT("Table!A"&amp;$AE203):INDIRECT("Table!" &amp; $AH$253 &amp; $AE203),0)),"",INDIRECT(CONCATENATE("Table!",ADDRESS($T203,MATCH(M$1,INDIRECT("Table!A" &amp; $AE203):INDIRECT("Table!" &amp; $AH$253 &amp; $AE203),0)))))</f>
        <v/>
      </c>
      <c r="M203" s="24" t="str">
        <f ca="1">IF(ISERROR(MATCH(N$1,INDIRECT("Table!A"&amp;$AE203):INDIRECT("Table!" &amp; $AH$253 &amp; $AE203),0)),"",INDIRECT(CONCATENATE("Table!",ADDRESS($T203,MATCH(N$1,INDIRECT("Table!A" &amp; $AE203):INDIRECT("Table!" &amp; $AH$253 &amp; $AE203),0)))))</f>
        <v/>
      </c>
      <c r="N203" s="24" t="str">
        <f ca="1">IF(ISERROR(MATCH(O$1,INDIRECT("Table!A"&amp;$AE203):INDIRECT("Table!" &amp; $AH$253 &amp; $AE203),0)),"",INDIRECT(CONCATENATE("Table!",ADDRESS($T203,MATCH(O$1,INDIRECT("Table!A" &amp; $AE203):INDIRECT("Table!" &amp; $AH$253 &amp; $AE203),0)))))</f>
        <v/>
      </c>
      <c r="O203" s="24" t="str">
        <f ca="1">IF(ISERROR(MATCH(P$1,INDIRECT("Table!A"&amp;$AE203):INDIRECT("Table!" &amp; $AH$253 &amp; $AE203),0)),"",INDIRECT(CONCATENATE("Table!",ADDRESS($T203,MATCH(P$1,INDIRECT("Table!A" &amp; $AE203):INDIRECT("Table!" &amp; $AH$253 &amp; $AE203),0)))))</f>
        <v/>
      </c>
      <c r="P203" s="273" t="str">
        <f ca="1">IF(ISERROR(MATCH(Q$1,INDIRECT("Table!A"&amp;$AE203):INDIRECT("Table!" &amp; $AH$253 &amp; $AE203),0)),"",INDIRECT(CONCATENATE("Table!",ADDRESS($T203,MATCH(Q$1,INDIRECT("Table!A" &amp; $AE203):INDIRECT("Table!" &amp; $AH$253 &amp; $AE203),0)))))</f>
        <v/>
      </c>
      <c r="Q203" s="120"/>
      <c r="R203" s="120"/>
      <c r="S203" s="120"/>
      <c r="T203" s="22"/>
      <c r="AC203" s="120"/>
      <c r="AD203" s="120"/>
      <c r="AE203" s="22"/>
      <c r="AF203" s="120"/>
      <c r="AG203" s="120"/>
      <c r="AH203" s="120"/>
    </row>
    <row r="204" spans="2:34" ht="18" customHeight="1" x14ac:dyDescent="0.25">
      <c r="B204" s="24"/>
      <c r="C204" s="24" t="str">
        <f ca="1">IF(ISERROR(MATCH(C$1,INDIRECT("Table!A"&amp;$AE204):INDIRECT("Table!" &amp; $AH$253 &amp; $AE204),0)),"",INDIRECT(CONCATENATE("Table!",ADDRESS($T204,MATCH(C$1,INDIRECT("Table!A" &amp; $AE204):INDIRECT("Table!" &amp; $AH$253 &amp; $AE204),0)))))</f>
        <v/>
      </c>
      <c r="D204" s="24" t="str">
        <f ca="1">IF(ISERROR(MATCH(D$1,INDIRECT("Table!A"&amp;$AE204):INDIRECT("Table!" &amp; $AH$253 &amp; $AE204),0)),"",INDIRECT(CONCATENATE("Table!",ADDRESS($T204,MATCH(D$1,INDIRECT("Table!A" &amp; $AE204):INDIRECT("Table!" &amp; $AH$253 &amp; $AE204),0)))))</f>
        <v/>
      </c>
      <c r="E204" s="24" t="str">
        <f ca="1">IF(ISERROR(MATCH(E$1,INDIRECT("Table!A"&amp;$AE204):INDIRECT("Table!" &amp; $AH$253 &amp; $AE204),0)),"",INDIRECT(CONCATENATE("Table!",ADDRESS($T204,MATCH(E$1,INDIRECT("Table!A" &amp; $AE204):INDIRECT("Table!" &amp; $AH$253 &amp; $AE204),0)))))</f>
        <v/>
      </c>
      <c r="F204" s="24" t="str">
        <f ca="1">IF(ISERROR(MATCH(F$1,INDIRECT("Table!A"&amp;$AE204):INDIRECT("Table!" &amp; $AH$253 &amp; $AE204),0)),"",INDIRECT(CONCATENATE("Table!",ADDRESS($T204,MATCH(F$1,INDIRECT("Table!A" &amp; $AE204):INDIRECT("Table!" &amp; $AH$253 &amp; $AE204),0)))))</f>
        <v/>
      </c>
      <c r="G204" s="24" t="str">
        <f ca="1">IF(ISERROR(MATCH(G$1,INDIRECT("Table!A"&amp;$AE204):INDIRECT("Table!" &amp; $AH$253 &amp; $AE204),0)),"",INDIRECT(CONCATENATE("Table!",ADDRESS($T204,MATCH(G$1,INDIRECT("Table!A" &amp; $AE204):INDIRECT("Table!" &amp; $AH$253 &amp; $AE204),0)))))</f>
        <v/>
      </c>
      <c r="H204" s="24" t="str">
        <f ca="1">IF(ISERROR(MATCH(H$1,INDIRECT("Table!A"&amp;$AE204):INDIRECT("Table!" &amp; $AH$253 &amp; $AE204),0)),"",INDIRECT(CONCATENATE("Table!",ADDRESS($T204,MATCH(H$1,INDIRECT("Table!A" &amp; $AE204):INDIRECT("Table!" &amp; $AH$253 &amp; $AE204),0)))))</f>
        <v/>
      </c>
      <c r="I204" s="273"/>
      <c r="J204" s="273"/>
      <c r="K204" s="24" t="str">
        <f ca="1">IF(ISERROR(MATCH(L$1,INDIRECT("Table!A"&amp;$AE204):INDIRECT("Table!" &amp; $AH$253 &amp; $AE204),0)),"",INDIRECT(CONCATENATE("Table!",ADDRESS($T204,MATCH(L$1,INDIRECT("Table!A" &amp; $AE204):INDIRECT("Table!" &amp; $AH$253 &amp; $AE204),0)))))</f>
        <v/>
      </c>
      <c r="L204" s="24" t="str">
        <f ca="1">IF(ISERROR(MATCH(M$1,INDIRECT("Table!A"&amp;$AE204):INDIRECT("Table!" &amp; $AH$253 &amp; $AE204),0)),"",INDIRECT(CONCATENATE("Table!",ADDRESS($T204,MATCH(M$1,INDIRECT("Table!A" &amp; $AE204):INDIRECT("Table!" &amp; $AH$253 &amp; $AE204),0)))))</f>
        <v/>
      </c>
      <c r="M204" s="24" t="str">
        <f ca="1">IF(ISERROR(MATCH(N$1,INDIRECT("Table!A"&amp;$AE204):INDIRECT("Table!" &amp; $AH$253 &amp; $AE204),0)),"",INDIRECT(CONCATENATE("Table!",ADDRESS($T204,MATCH(N$1,INDIRECT("Table!A" &amp; $AE204):INDIRECT("Table!" &amp; $AH$253 &amp; $AE204),0)))))</f>
        <v/>
      </c>
      <c r="N204" s="24" t="str">
        <f ca="1">IF(ISERROR(MATCH(O$1,INDIRECT("Table!A"&amp;$AE204):INDIRECT("Table!" &amp; $AH$253 &amp; $AE204),0)),"",INDIRECT(CONCATENATE("Table!",ADDRESS($T204,MATCH(O$1,INDIRECT("Table!A" &amp; $AE204):INDIRECT("Table!" &amp; $AH$253 &amp; $AE204),0)))))</f>
        <v/>
      </c>
      <c r="O204" s="24" t="str">
        <f ca="1">IF(ISERROR(MATCH(P$1,INDIRECT("Table!A"&amp;$AE204):INDIRECT("Table!" &amp; $AH$253 &amp; $AE204),0)),"",INDIRECT(CONCATENATE("Table!",ADDRESS($T204,MATCH(P$1,INDIRECT("Table!A" &amp; $AE204):INDIRECT("Table!" &amp; $AH$253 &amp; $AE204),0)))))</f>
        <v/>
      </c>
      <c r="P204" s="273" t="str">
        <f ca="1">IF(ISERROR(MATCH(Q$1,INDIRECT("Table!A"&amp;$AE204):INDIRECT("Table!" &amp; $AH$253 &amp; $AE204),0)),"",INDIRECT(CONCATENATE("Table!",ADDRESS($T204,MATCH(Q$1,INDIRECT("Table!A" &amp; $AE204):INDIRECT("Table!" &amp; $AH$253 &amp; $AE204),0)))))</f>
        <v/>
      </c>
      <c r="Q204" s="119"/>
      <c r="R204" s="119"/>
      <c r="S204" s="119"/>
      <c r="T204" s="22"/>
      <c r="AC204" s="119"/>
      <c r="AD204" s="119"/>
      <c r="AE204" s="22"/>
      <c r="AF204" s="119"/>
      <c r="AG204" s="119"/>
      <c r="AH204" s="119"/>
    </row>
    <row r="205" spans="2:34" ht="18" customHeight="1" x14ac:dyDescent="0.25">
      <c r="B205" s="24"/>
      <c r="C205" s="24" t="str">
        <f ca="1">IF(ISERROR(MATCH(C$1,INDIRECT("Table!A"&amp;$AE205):INDIRECT("Table!" &amp; $AH$253 &amp; $AE205),0)),"",INDIRECT(CONCATENATE("Table!",ADDRESS($T205,MATCH(C$1,INDIRECT("Table!A" &amp; $AE205):INDIRECT("Table!" &amp; $AH$253 &amp; $AE205),0)))))</f>
        <v/>
      </c>
      <c r="D205" s="24" t="str">
        <f ca="1">IF(ISERROR(MATCH(D$1,INDIRECT("Table!A"&amp;$AE205):INDIRECT("Table!" &amp; $AH$253 &amp; $AE205),0)),"",INDIRECT(CONCATENATE("Table!",ADDRESS($T205,MATCH(D$1,INDIRECT("Table!A" &amp; $AE205):INDIRECT("Table!" &amp; $AH$253 &amp; $AE205),0)))))</f>
        <v/>
      </c>
      <c r="E205" s="24" t="str">
        <f ca="1">IF(ISERROR(MATCH(E$1,INDIRECT("Table!A"&amp;$AE205):INDIRECT("Table!" &amp; $AH$253 &amp; $AE205),0)),"",INDIRECT(CONCATENATE("Table!",ADDRESS($T205,MATCH(E$1,INDIRECT("Table!A" &amp; $AE205):INDIRECT("Table!" &amp; $AH$253 &amp; $AE205),0)))))</f>
        <v/>
      </c>
      <c r="F205" s="24" t="str">
        <f ca="1">IF(ISERROR(MATCH(F$1,INDIRECT("Table!A"&amp;$AE205):INDIRECT("Table!" &amp; $AH$253 &amp; $AE205),0)),"",INDIRECT(CONCATENATE("Table!",ADDRESS($T205,MATCH(F$1,INDIRECT("Table!A" &amp; $AE205):INDIRECT("Table!" &amp; $AH$253 &amp; $AE205),0)))))</f>
        <v/>
      </c>
      <c r="G205" s="24" t="str">
        <f ca="1">IF(ISERROR(MATCH(G$1,INDIRECT("Table!A"&amp;$AE205):INDIRECT("Table!" &amp; $AH$253 &amp; $AE205),0)),"",INDIRECT(CONCATENATE("Table!",ADDRESS($T205,MATCH(G$1,INDIRECT("Table!A" &amp; $AE205):INDIRECT("Table!" &amp; $AH$253 &amp; $AE205),0)))))</f>
        <v/>
      </c>
      <c r="H205" s="24" t="str">
        <f ca="1">IF(ISERROR(MATCH(H$1,INDIRECT("Table!A"&amp;$AE205):INDIRECT("Table!" &amp; $AH$253 &amp; $AE205),0)),"",INDIRECT(CONCATENATE("Table!",ADDRESS($T205,MATCH(H$1,INDIRECT("Table!A" &amp; $AE205):INDIRECT("Table!" &amp; $AH$253 &amp; $AE205),0)))))</f>
        <v/>
      </c>
      <c r="I205" s="273"/>
      <c r="J205" s="273"/>
      <c r="K205" s="24" t="str">
        <f ca="1">IF(ISERROR(MATCH(L$1,INDIRECT("Table!A"&amp;$AE205):INDIRECT("Table!" &amp; $AH$253 &amp; $AE205),0)),"",INDIRECT(CONCATENATE("Table!",ADDRESS($T205,MATCH(L$1,INDIRECT("Table!A" &amp; $AE205):INDIRECT("Table!" &amp; $AH$253 &amp; $AE205),0)))))</f>
        <v/>
      </c>
      <c r="L205" s="24" t="str">
        <f ca="1">IF(ISERROR(MATCH(M$1,INDIRECT("Table!A"&amp;$AE205):INDIRECT("Table!" &amp; $AH$253 &amp; $AE205),0)),"",INDIRECT(CONCATENATE("Table!",ADDRESS($T205,MATCH(M$1,INDIRECT("Table!A" &amp; $AE205):INDIRECT("Table!" &amp; $AH$253 &amp; $AE205),0)))))</f>
        <v/>
      </c>
      <c r="M205" s="24" t="str">
        <f ca="1">IF(ISERROR(MATCH(N$1,INDIRECT("Table!A"&amp;$AE205):INDIRECT("Table!" &amp; $AH$253 &amp; $AE205),0)),"",INDIRECT(CONCATENATE("Table!",ADDRESS($T205,MATCH(N$1,INDIRECT("Table!A" &amp; $AE205):INDIRECT("Table!" &amp; $AH$253 &amp; $AE205),0)))))</f>
        <v/>
      </c>
      <c r="N205" s="24" t="str">
        <f ca="1">IF(ISERROR(MATCH(O$1,INDIRECT("Table!A"&amp;$AE205):INDIRECT("Table!" &amp; $AH$253 &amp; $AE205),0)),"",INDIRECT(CONCATENATE("Table!",ADDRESS($T205,MATCH(O$1,INDIRECT("Table!A" &amp; $AE205):INDIRECT("Table!" &amp; $AH$253 &amp; $AE205),0)))))</f>
        <v/>
      </c>
      <c r="O205" s="24" t="str">
        <f ca="1">IF(ISERROR(MATCH(P$1,INDIRECT("Table!A"&amp;$AE205):INDIRECT("Table!" &amp; $AH$253 &amp; $AE205),0)),"",INDIRECT(CONCATENATE("Table!",ADDRESS($T205,MATCH(P$1,INDIRECT("Table!A" &amp; $AE205):INDIRECT("Table!" &amp; $AH$253 &amp; $AE205),0)))))</f>
        <v/>
      </c>
      <c r="P205" s="273" t="str">
        <f ca="1">IF(ISERROR(MATCH(Q$1,INDIRECT("Table!A"&amp;$AE205):INDIRECT("Table!" &amp; $AH$253 &amp; $AE205),0)),"",INDIRECT(CONCATENATE("Table!",ADDRESS($T205,MATCH(Q$1,INDIRECT("Table!A" &amp; $AE205):INDIRECT("Table!" &amp; $AH$253 &amp; $AE205),0)))))</f>
        <v/>
      </c>
      <c r="Q205" s="118"/>
      <c r="R205" s="118"/>
      <c r="S205" s="118"/>
      <c r="T205" s="22"/>
      <c r="AC205" s="118"/>
      <c r="AD205" s="118"/>
      <c r="AE205" s="22"/>
      <c r="AF205" s="118"/>
      <c r="AG205" s="118"/>
      <c r="AH205" s="118"/>
    </row>
    <row r="206" spans="2:34" ht="18" customHeight="1" x14ac:dyDescent="0.25">
      <c r="B206" s="24"/>
      <c r="C206" s="24" t="str">
        <f ca="1">IF(ISERROR(MATCH(C$1,INDIRECT("Table!A"&amp;$AE206):INDIRECT("Table!" &amp; $AH$253 &amp; $AE206),0)),"",INDIRECT(CONCATENATE("Table!",ADDRESS($T206,MATCH(C$1,INDIRECT("Table!A" &amp; $AE206):INDIRECT("Table!" &amp; $AH$253 &amp; $AE206),0)))))</f>
        <v/>
      </c>
      <c r="D206" s="24" t="str">
        <f ca="1">IF(ISERROR(MATCH(D$1,INDIRECT("Table!A"&amp;$AE206):INDIRECT("Table!" &amp; $AH$253 &amp; $AE206),0)),"",INDIRECT(CONCATENATE("Table!",ADDRESS($T206,MATCH(D$1,INDIRECT("Table!A" &amp; $AE206):INDIRECT("Table!" &amp; $AH$253 &amp; $AE206),0)))))</f>
        <v/>
      </c>
      <c r="E206" s="24" t="str">
        <f ca="1">IF(ISERROR(MATCH(E$1,INDIRECT("Table!A"&amp;$AE206):INDIRECT("Table!" &amp; $AH$253 &amp; $AE206),0)),"",INDIRECT(CONCATENATE("Table!",ADDRESS($T206,MATCH(E$1,INDIRECT("Table!A" &amp; $AE206):INDIRECT("Table!" &amp; $AH$253 &amp; $AE206),0)))))</f>
        <v/>
      </c>
      <c r="F206" s="24" t="str">
        <f ca="1">IF(ISERROR(MATCH(F$1,INDIRECT("Table!A"&amp;$AE206):INDIRECT("Table!" &amp; $AH$253 &amp; $AE206),0)),"",INDIRECT(CONCATENATE("Table!",ADDRESS($T206,MATCH(F$1,INDIRECT("Table!A" &amp; $AE206):INDIRECT("Table!" &amp; $AH$253 &amp; $AE206),0)))))</f>
        <v/>
      </c>
      <c r="G206" s="24" t="str">
        <f ca="1">IF(ISERROR(MATCH(G$1,INDIRECT("Table!A"&amp;$AE206):INDIRECT("Table!" &amp; $AH$253 &amp; $AE206),0)),"",INDIRECT(CONCATENATE("Table!",ADDRESS($T206,MATCH(G$1,INDIRECT("Table!A" &amp; $AE206):INDIRECT("Table!" &amp; $AH$253 &amp; $AE206),0)))))</f>
        <v/>
      </c>
      <c r="H206" s="24" t="str">
        <f ca="1">IF(ISERROR(MATCH(H$1,INDIRECT("Table!A"&amp;$AE206):INDIRECT("Table!" &amp; $AH$253 &amp; $AE206),0)),"",INDIRECT(CONCATENATE("Table!",ADDRESS($T206,MATCH(H$1,INDIRECT("Table!A" &amp; $AE206):INDIRECT("Table!" &amp; $AH$253 &amp; $AE206),0)))))</f>
        <v/>
      </c>
      <c r="I206" s="273"/>
      <c r="J206" s="273"/>
      <c r="K206" s="24" t="str">
        <f ca="1">IF(ISERROR(MATCH(L$1,INDIRECT("Table!A"&amp;$AE206):INDIRECT("Table!" &amp; $AH$253 &amp; $AE206),0)),"",INDIRECT(CONCATENATE("Table!",ADDRESS($T206,MATCH(L$1,INDIRECT("Table!A" &amp; $AE206):INDIRECT("Table!" &amp; $AH$253 &amp; $AE206),0)))))</f>
        <v/>
      </c>
      <c r="L206" s="24" t="str">
        <f ca="1">IF(ISERROR(MATCH(M$1,INDIRECT("Table!A"&amp;$AE206):INDIRECT("Table!" &amp; $AH$253 &amp; $AE206),0)),"",INDIRECT(CONCATENATE("Table!",ADDRESS($T206,MATCH(M$1,INDIRECT("Table!A" &amp; $AE206):INDIRECT("Table!" &amp; $AH$253 &amp; $AE206),0)))))</f>
        <v/>
      </c>
      <c r="M206" s="24" t="str">
        <f ca="1">IF(ISERROR(MATCH(N$1,INDIRECT("Table!A"&amp;$AE206):INDIRECT("Table!" &amp; $AH$253 &amp; $AE206),0)),"",INDIRECT(CONCATENATE("Table!",ADDRESS($T206,MATCH(N$1,INDIRECT("Table!A" &amp; $AE206):INDIRECT("Table!" &amp; $AH$253 &amp; $AE206),0)))))</f>
        <v/>
      </c>
      <c r="N206" s="24" t="str">
        <f ca="1">IF(ISERROR(MATCH(O$1,INDIRECT("Table!A"&amp;$AE206):INDIRECT("Table!" &amp; $AH$253 &amp; $AE206),0)),"",INDIRECT(CONCATENATE("Table!",ADDRESS($T206,MATCH(O$1,INDIRECT("Table!A" &amp; $AE206):INDIRECT("Table!" &amp; $AH$253 &amp; $AE206),0)))))</f>
        <v/>
      </c>
      <c r="O206" s="24" t="str">
        <f ca="1">IF(ISERROR(MATCH(P$1,INDIRECT("Table!A"&amp;$AE206):INDIRECT("Table!" &amp; $AH$253 &amp; $AE206),0)),"",INDIRECT(CONCATENATE("Table!",ADDRESS($T206,MATCH(P$1,INDIRECT("Table!A" &amp; $AE206):INDIRECT("Table!" &amp; $AH$253 &amp; $AE206),0)))))</f>
        <v/>
      </c>
      <c r="P206" s="273" t="str">
        <f ca="1">IF(ISERROR(MATCH(Q$1,INDIRECT("Table!A"&amp;$AE206):INDIRECT("Table!" &amp; $AH$253 &amp; $AE206),0)),"",INDIRECT(CONCATENATE("Table!",ADDRESS($T206,MATCH(Q$1,INDIRECT("Table!A" &amp; $AE206):INDIRECT("Table!" &amp; $AH$253 &amp; $AE206),0)))))</f>
        <v/>
      </c>
      <c r="Q206" s="117"/>
      <c r="R206" s="117"/>
      <c r="S206" s="117"/>
      <c r="T206" s="22"/>
      <c r="AC206" s="117"/>
      <c r="AD206" s="117"/>
      <c r="AE206" s="22"/>
      <c r="AF206" s="117"/>
      <c r="AG206" s="117"/>
      <c r="AH206" s="117"/>
    </row>
    <row r="207" spans="2:34" ht="18" customHeight="1" x14ac:dyDescent="0.25">
      <c r="B207" s="24"/>
      <c r="C207" s="24" t="str">
        <f ca="1">IF(ISERROR(MATCH(C$1,INDIRECT("Table!A"&amp;$AE207):INDIRECT("Table!" &amp; $AH$253 &amp; $AE207),0)),"",INDIRECT(CONCATENATE("Table!",ADDRESS($T207,MATCH(C$1,INDIRECT("Table!A" &amp; $AE207):INDIRECT("Table!" &amp; $AH$253 &amp; $AE207),0)))))</f>
        <v/>
      </c>
      <c r="D207" s="24" t="str">
        <f ca="1">IF(ISERROR(MATCH(D$1,INDIRECT("Table!A"&amp;$AE207):INDIRECT("Table!" &amp; $AH$253 &amp; $AE207),0)),"",INDIRECT(CONCATENATE("Table!",ADDRESS($T207,MATCH(D$1,INDIRECT("Table!A" &amp; $AE207):INDIRECT("Table!" &amp; $AH$253 &amp; $AE207),0)))))</f>
        <v/>
      </c>
      <c r="E207" s="24" t="str">
        <f ca="1">IF(ISERROR(MATCH(E$1,INDIRECT("Table!A"&amp;$AE207):INDIRECT("Table!" &amp; $AH$253 &amp; $AE207),0)),"",INDIRECT(CONCATENATE("Table!",ADDRESS($T207,MATCH(E$1,INDIRECT("Table!A" &amp; $AE207):INDIRECT("Table!" &amp; $AH$253 &amp; $AE207),0)))))</f>
        <v/>
      </c>
      <c r="F207" s="24" t="str">
        <f ca="1">IF(ISERROR(MATCH(F$1,INDIRECT("Table!A"&amp;$AE207):INDIRECT("Table!" &amp; $AH$253 &amp; $AE207),0)),"",INDIRECT(CONCATENATE("Table!",ADDRESS($T207,MATCH(F$1,INDIRECT("Table!A" &amp; $AE207):INDIRECT("Table!" &amp; $AH$253 &amp; $AE207),0)))))</f>
        <v/>
      </c>
      <c r="G207" s="24" t="str">
        <f ca="1">IF(ISERROR(MATCH(G$1,INDIRECT("Table!A"&amp;$AE207):INDIRECT("Table!" &amp; $AH$253 &amp; $AE207),0)),"",INDIRECT(CONCATENATE("Table!",ADDRESS($T207,MATCH(G$1,INDIRECT("Table!A" &amp; $AE207):INDIRECT("Table!" &amp; $AH$253 &amp; $AE207),0)))))</f>
        <v/>
      </c>
      <c r="H207" s="24" t="str">
        <f ca="1">IF(ISERROR(MATCH(H$1,INDIRECT("Table!A"&amp;$AE207):INDIRECT("Table!" &amp; $AH$253 &amp; $AE207),0)),"",INDIRECT(CONCATENATE("Table!",ADDRESS($T207,MATCH(H$1,INDIRECT("Table!A" &amp; $AE207):INDIRECT("Table!" &amp; $AH$253 &amp; $AE207),0)))))</f>
        <v/>
      </c>
      <c r="I207" s="273"/>
      <c r="J207" s="273"/>
      <c r="K207" s="24" t="str">
        <f ca="1">IF(ISERROR(MATCH(L$1,INDIRECT("Table!A"&amp;$AE207):INDIRECT("Table!" &amp; $AH$253 &amp; $AE207),0)),"",INDIRECT(CONCATENATE("Table!",ADDRESS($T207,MATCH(L$1,INDIRECT("Table!A" &amp; $AE207):INDIRECT("Table!" &amp; $AH$253 &amp; $AE207),0)))))</f>
        <v/>
      </c>
      <c r="L207" s="24" t="str">
        <f ca="1">IF(ISERROR(MATCH(M$1,INDIRECT("Table!A"&amp;$AE207):INDIRECT("Table!" &amp; $AH$253 &amp; $AE207),0)),"",INDIRECT(CONCATENATE("Table!",ADDRESS($T207,MATCH(M$1,INDIRECT("Table!A" &amp; $AE207):INDIRECT("Table!" &amp; $AH$253 &amp; $AE207),0)))))</f>
        <v/>
      </c>
      <c r="M207" s="24" t="str">
        <f ca="1">IF(ISERROR(MATCH(N$1,INDIRECT("Table!A"&amp;$AE207):INDIRECT("Table!" &amp; $AH$253 &amp; $AE207),0)),"",INDIRECT(CONCATENATE("Table!",ADDRESS($T207,MATCH(N$1,INDIRECT("Table!A" &amp; $AE207):INDIRECT("Table!" &amp; $AH$253 &amp; $AE207),0)))))</f>
        <v/>
      </c>
      <c r="N207" s="24" t="str">
        <f ca="1">IF(ISERROR(MATCH(O$1,INDIRECT("Table!A"&amp;$AE207):INDIRECT("Table!" &amp; $AH$253 &amp; $AE207),0)),"",INDIRECT(CONCATENATE("Table!",ADDRESS($T207,MATCH(O$1,INDIRECT("Table!A" &amp; $AE207):INDIRECT("Table!" &amp; $AH$253 &amp; $AE207),0)))))</f>
        <v/>
      </c>
      <c r="O207" s="24" t="str">
        <f ca="1">IF(ISERROR(MATCH(P$1,INDIRECT("Table!A"&amp;$AE207):INDIRECT("Table!" &amp; $AH$253 &amp; $AE207),0)),"",INDIRECT(CONCATENATE("Table!",ADDRESS($T207,MATCH(P$1,INDIRECT("Table!A" &amp; $AE207):INDIRECT("Table!" &amp; $AH$253 &amp; $AE207),0)))))</f>
        <v/>
      </c>
      <c r="P207" s="273" t="str">
        <f ca="1">IF(ISERROR(MATCH(Q$1,INDIRECT("Table!A"&amp;$AE207):INDIRECT("Table!" &amp; $AH$253 &amp; $AE207),0)),"",INDIRECT(CONCATENATE("Table!",ADDRESS($T207,MATCH(Q$1,INDIRECT("Table!A" &amp; $AE207):INDIRECT("Table!" &amp; $AH$253 &amp; $AE207),0)))))</f>
        <v/>
      </c>
      <c r="Q207" s="116"/>
      <c r="R207" s="116"/>
      <c r="S207" s="116"/>
      <c r="T207" s="22"/>
      <c r="AC207" s="116"/>
      <c r="AD207" s="116"/>
      <c r="AE207" s="22"/>
      <c r="AF207" s="116"/>
      <c r="AG207" s="116"/>
      <c r="AH207" s="116"/>
    </row>
    <row r="208" spans="2:34" ht="18" customHeight="1" x14ac:dyDescent="0.25">
      <c r="B208" s="24"/>
      <c r="C208" s="24" t="str">
        <f ca="1">IF(ISERROR(MATCH(C$1,INDIRECT("Table!A"&amp;$AE208):INDIRECT("Table!" &amp; $AH$253 &amp; $AE208),0)),"",INDIRECT(CONCATENATE("Table!",ADDRESS($T208,MATCH(C$1,INDIRECT("Table!A" &amp; $AE208):INDIRECT("Table!" &amp; $AH$253 &amp; $AE208),0)))))</f>
        <v/>
      </c>
      <c r="D208" s="24" t="str">
        <f ca="1">IF(ISERROR(MATCH(D$1,INDIRECT("Table!A"&amp;$AE208):INDIRECT("Table!" &amp; $AH$253 &amp; $AE208),0)),"",INDIRECT(CONCATENATE("Table!",ADDRESS($T208,MATCH(D$1,INDIRECT("Table!A" &amp; $AE208):INDIRECT("Table!" &amp; $AH$253 &amp; $AE208),0)))))</f>
        <v/>
      </c>
      <c r="E208" s="24" t="str">
        <f ca="1">IF(ISERROR(MATCH(E$1,INDIRECT("Table!A"&amp;$AE208):INDIRECT("Table!" &amp; $AH$253 &amp; $AE208),0)),"",INDIRECT(CONCATENATE("Table!",ADDRESS($T208,MATCH(E$1,INDIRECT("Table!A" &amp; $AE208):INDIRECT("Table!" &amp; $AH$253 &amp; $AE208),0)))))</f>
        <v/>
      </c>
      <c r="F208" s="24" t="str">
        <f ca="1">IF(ISERROR(MATCH(F$1,INDIRECT("Table!A"&amp;$AE208):INDIRECT("Table!" &amp; $AH$253 &amp; $AE208),0)),"",INDIRECT(CONCATENATE("Table!",ADDRESS($T208,MATCH(F$1,INDIRECT("Table!A" &amp; $AE208):INDIRECT("Table!" &amp; $AH$253 &amp; $AE208),0)))))</f>
        <v/>
      </c>
      <c r="G208" s="24" t="str">
        <f ca="1">IF(ISERROR(MATCH(G$1,INDIRECT("Table!A"&amp;$AE208):INDIRECT("Table!" &amp; $AH$253 &amp; $AE208),0)),"",INDIRECT(CONCATENATE("Table!",ADDRESS($T208,MATCH(G$1,INDIRECT("Table!A" &amp; $AE208):INDIRECT("Table!" &amp; $AH$253 &amp; $AE208),0)))))</f>
        <v/>
      </c>
      <c r="H208" s="24" t="str">
        <f ca="1">IF(ISERROR(MATCH(H$1,INDIRECT("Table!A"&amp;$AE208):INDIRECT("Table!" &amp; $AH$253 &amp; $AE208),0)),"",INDIRECT(CONCATENATE("Table!",ADDRESS($T208,MATCH(H$1,INDIRECT("Table!A" &amp; $AE208):INDIRECT("Table!" &amp; $AH$253 &amp; $AE208),0)))))</f>
        <v/>
      </c>
      <c r="I208" s="273"/>
      <c r="J208" s="273"/>
      <c r="K208" s="24" t="str">
        <f ca="1">IF(ISERROR(MATCH(L$1,INDIRECT("Table!A"&amp;$AE208):INDIRECT("Table!" &amp; $AH$253 &amp; $AE208),0)),"",INDIRECT(CONCATENATE("Table!",ADDRESS($T208,MATCH(L$1,INDIRECT("Table!A" &amp; $AE208):INDIRECT("Table!" &amp; $AH$253 &amp; $AE208),0)))))</f>
        <v/>
      </c>
      <c r="L208" s="24" t="str">
        <f ca="1">IF(ISERROR(MATCH(M$1,INDIRECT("Table!A"&amp;$AE208):INDIRECT("Table!" &amp; $AH$253 &amp; $AE208),0)),"",INDIRECT(CONCATENATE("Table!",ADDRESS($T208,MATCH(M$1,INDIRECT("Table!A" &amp; $AE208):INDIRECT("Table!" &amp; $AH$253 &amp; $AE208),0)))))</f>
        <v/>
      </c>
      <c r="M208" s="24" t="str">
        <f ca="1">IF(ISERROR(MATCH(N$1,INDIRECT("Table!A"&amp;$AE208):INDIRECT("Table!" &amp; $AH$253 &amp; $AE208),0)),"",INDIRECT(CONCATENATE("Table!",ADDRESS($T208,MATCH(N$1,INDIRECT("Table!A" &amp; $AE208):INDIRECT("Table!" &amp; $AH$253 &amp; $AE208),0)))))</f>
        <v/>
      </c>
      <c r="N208" s="24" t="str">
        <f ca="1">IF(ISERROR(MATCH(O$1,INDIRECT("Table!A"&amp;$AE208):INDIRECT("Table!" &amp; $AH$253 &amp; $AE208),0)),"",INDIRECT(CONCATENATE("Table!",ADDRESS($T208,MATCH(O$1,INDIRECT("Table!A" &amp; $AE208):INDIRECT("Table!" &amp; $AH$253 &amp; $AE208),0)))))</f>
        <v/>
      </c>
      <c r="O208" s="24" t="str">
        <f ca="1">IF(ISERROR(MATCH(P$1,INDIRECT("Table!A"&amp;$AE208):INDIRECT("Table!" &amp; $AH$253 &amp; $AE208),0)),"",INDIRECT(CONCATENATE("Table!",ADDRESS($T208,MATCH(P$1,INDIRECT("Table!A" &amp; $AE208):INDIRECT("Table!" &amp; $AH$253 &amp; $AE208),0)))))</f>
        <v/>
      </c>
      <c r="P208" s="273" t="str">
        <f ca="1">IF(ISERROR(MATCH(Q$1,INDIRECT("Table!A"&amp;$AE208):INDIRECT("Table!" &amp; $AH$253 &amp; $AE208),0)),"",INDIRECT(CONCATENATE("Table!",ADDRESS($T208,MATCH(Q$1,INDIRECT("Table!A" &amp; $AE208):INDIRECT("Table!" &amp; $AH$253 &amp; $AE208),0)))))</f>
        <v/>
      </c>
      <c r="Q208" s="115"/>
      <c r="R208" s="115"/>
      <c r="S208" s="115"/>
      <c r="T208" s="22"/>
      <c r="AC208" s="115"/>
      <c r="AD208" s="115"/>
      <c r="AE208" s="22"/>
      <c r="AF208" s="115"/>
      <c r="AG208" s="115"/>
      <c r="AH208" s="115"/>
    </row>
    <row r="209" spans="2:34" ht="18" customHeight="1" x14ac:dyDescent="0.25">
      <c r="B209" s="24"/>
      <c r="C209" s="24" t="str">
        <f ca="1">IF(ISERROR(MATCH(C$1,INDIRECT("Table!A"&amp;$AE209):INDIRECT("Table!" &amp; $AH$253 &amp; $AE209),0)),"",INDIRECT(CONCATENATE("Table!",ADDRESS($T209,MATCH(C$1,INDIRECT("Table!A" &amp; $AE209):INDIRECT("Table!" &amp; $AH$253 &amp; $AE209),0)))))</f>
        <v/>
      </c>
      <c r="D209" s="24" t="str">
        <f ca="1">IF(ISERROR(MATCH(D$1,INDIRECT("Table!A"&amp;$AE209):INDIRECT("Table!" &amp; $AH$253 &amp; $AE209),0)),"",INDIRECT(CONCATENATE("Table!",ADDRESS($T209,MATCH(D$1,INDIRECT("Table!A" &amp; $AE209):INDIRECT("Table!" &amp; $AH$253 &amp; $AE209),0)))))</f>
        <v/>
      </c>
      <c r="E209" s="24" t="str">
        <f ca="1">IF(ISERROR(MATCH(E$1,INDIRECT("Table!A"&amp;$AE209):INDIRECT("Table!" &amp; $AH$253 &amp; $AE209),0)),"",INDIRECT(CONCATENATE("Table!",ADDRESS($T209,MATCH(E$1,INDIRECT("Table!A" &amp; $AE209):INDIRECT("Table!" &amp; $AH$253 &amp; $AE209),0)))))</f>
        <v/>
      </c>
      <c r="F209" s="24" t="str">
        <f ca="1">IF(ISERROR(MATCH(F$1,INDIRECT("Table!A"&amp;$AE209):INDIRECT("Table!" &amp; $AH$253 &amp; $AE209),0)),"",INDIRECT(CONCATENATE("Table!",ADDRESS($T209,MATCH(F$1,INDIRECT("Table!A" &amp; $AE209):INDIRECT("Table!" &amp; $AH$253 &amp; $AE209),0)))))</f>
        <v/>
      </c>
      <c r="G209" s="24" t="str">
        <f ca="1">IF(ISERROR(MATCH(G$1,INDIRECT("Table!A"&amp;$AE209):INDIRECT("Table!" &amp; $AH$253 &amp; $AE209),0)),"",INDIRECT(CONCATENATE("Table!",ADDRESS($T209,MATCH(G$1,INDIRECT("Table!A" &amp; $AE209):INDIRECT("Table!" &amp; $AH$253 &amp; $AE209),0)))))</f>
        <v/>
      </c>
      <c r="H209" s="24" t="str">
        <f ca="1">IF(ISERROR(MATCH(H$1,INDIRECT("Table!A"&amp;$AE209):INDIRECT("Table!" &amp; $AH$253 &amp; $AE209),0)),"",INDIRECT(CONCATENATE("Table!",ADDRESS($T209,MATCH(H$1,INDIRECT("Table!A" &amp; $AE209):INDIRECT("Table!" &amp; $AH$253 &amp; $AE209),0)))))</f>
        <v/>
      </c>
      <c r="I209" s="273"/>
      <c r="J209" s="273"/>
      <c r="K209" s="24" t="str">
        <f ca="1">IF(ISERROR(MATCH(L$1,INDIRECT("Table!A"&amp;$AE209):INDIRECT("Table!" &amp; $AH$253 &amp; $AE209),0)),"",INDIRECT(CONCATENATE("Table!",ADDRESS($T209,MATCH(L$1,INDIRECT("Table!A" &amp; $AE209):INDIRECT("Table!" &amp; $AH$253 &amp; $AE209),0)))))</f>
        <v/>
      </c>
      <c r="L209" s="24" t="str">
        <f ca="1">IF(ISERROR(MATCH(M$1,INDIRECT("Table!A"&amp;$AE209):INDIRECT("Table!" &amp; $AH$253 &amp; $AE209),0)),"",INDIRECT(CONCATENATE("Table!",ADDRESS($T209,MATCH(M$1,INDIRECT("Table!A" &amp; $AE209):INDIRECT("Table!" &amp; $AH$253 &amp; $AE209),0)))))</f>
        <v/>
      </c>
      <c r="M209" s="24" t="str">
        <f ca="1">IF(ISERROR(MATCH(N$1,INDIRECT("Table!A"&amp;$AE209):INDIRECT("Table!" &amp; $AH$253 &amp; $AE209),0)),"",INDIRECT(CONCATENATE("Table!",ADDRESS($T209,MATCH(N$1,INDIRECT("Table!A" &amp; $AE209):INDIRECT("Table!" &amp; $AH$253 &amp; $AE209),0)))))</f>
        <v/>
      </c>
      <c r="N209" s="24" t="str">
        <f ca="1">IF(ISERROR(MATCH(O$1,INDIRECT("Table!A"&amp;$AE209):INDIRECT("Table!" &amp; $AH$253 &amp; $AE209),0)),"",INDIRECT(CONCATENATE("Table!",ADDRESS($T209,MATCH(O$1,INDIRECT("Table!A" &amp; $AE209):INDIRECT("Table!" &amp; $AH$253 &amp; $AE209),0)))))</f>
        <v/>
      </c>
      <c r="O209" s="24" t="str">
        <f ca="1">IF(ISERROR(MATCH(P$1,INDIRECT("Table!A"&amp;$AE209):INDIRECT("Table!" &amp; $AH$253 &amp; $AE209),0)),"",INDIRECT(CONCATENATE("Table!",ADDRESS($T209,MATCH(P$1,INDIRECT("Table!A" &amp; $AE209):INDIRECT("Table!" &amp; $AH$253 &amp; $AE209),0)))))</f>
        <v/>
      </c>
      <c r="P209" s="273" t="str">
        <f ca="1">IF(ISERROR(MATCH(Q$1,INDIRECT("Table!A"&amp;$AE209):INDIRECT("Table!" &amp; $AH$253 &amp; $AE209),0)),"",INDIRECT(CONCATENATE("Table!",ADDRESS($T209,MATCH(Q$1,INDIRECT("Table!A" &amp; $AE209):INDIRECT("Table!" &amp; $AH$253 &amp; $AE209),0)))))</f>
        <v/>
      </c>
      <c r="Q209" s="114"/>
      <c r="R209" s="114"/>
      <c r="S209" s="114"/>
      <c r="T209" s="22"/>
      <c r="AC209" s="114"/>
      <c r="AD209" s="114"/>
      <c r="AE209" s="22"/>
      <c r="AF209" s="114"/>
      <c r="AG209" s="114"/>
      <c r="AH209" s="114"/>
    </row>
    <row r="210" spans="2:34" ht="18" customHeight="1" x14ac:dyDescent="0.25">
      <c r="B210" s="24"/>
      <c r="C210" s="24" t="str">
        <f ca="1">IF(ISERROR(MATCH(C$1,INDIRECT("Table!A"&amp;$AE210):INDIRECT("Table!" &amp; $AH$253 &amp; $AE210),0)),"",INDIRECT(CONCATENATE("Table!",ADDRESS($T210,MATCH(C$1,INDIRECT("Table!A" &amp; $AE210):INDIRECT("Table!" &amp; $AH$253 &amp; $AE210),0)))))</f>
        <v/>
      </c>
      <c r="D210" s="24" t="str">
        <f ca="1">IF(ISERROR(MATCH(D$1,INDIRECT("Table!A"&amp;$AE210):INDIRECT("Table!" &amp; $AH$253 &amp; $AE210),0)),"",INDIRECT(CONCATENATE("Table!",ADDRESS($T210,MATCH(D$1,INDIRECT("Table!A" &amp; $AE210):INDIRECT("Table!" &amp; $AH$253 &amp; $AE210),0)))))</f>
        <v/>
      </c>
      <c r="E210" s="24" t="str">
        <f ca="1">IF(ISERROR(MATCH(E$1,INDIRECT("Table!A"&amp;$AE210):INDIRECT("Table!" &amp; $AH$253 &amp; $AE210),0)),"",INDIRECT(CONCATENATE("Table!",ADDRESS($T210,MATCH(E$1,INDIRECT("Table!A" &amp; $AE210):INDIRECT("Table!" &amp; $AH$253 &amp; $AE210),0)))))</f>
        <v/>
      </c>
      <c r="F210" s="24" t="str">
        <f ca="1">IF(ISERROR(MATCH(F$1,INDIRECT("Table!A"&amp;$AE210):INDIRECT("Table!" &amp; $AH$253 &amp; $AE210),0)),"",INDIRECT(CONCATENATE("Table!",ADDRESS($T210,MATCH(F$1,INDIRECT("Table!A" &amp; $AE210):INDIRECT("Table!" &amp; $AH$253 &amp; $AE210),0)))))</f>
        <v/>
      </c>
      <c r="G210" s="24" t="str">
        <f ca="1">IF(ISERROR(MATCH(G$1,INDIRECT("Table!A"&amp;$AE210):INDIRECT("Table!" &amp; $AH$253 &amp; $AE210),0)),"",INDIRECT(CONCATENATE("Table!",ADDRESS($T210,MATCH(G$1,INDIRECT("Table!A" &amp; $AE210):INDIRECT("Table!" &amp; $AH$253 &amp; $AE210),0)))))</f>
        <v/>
      </c>
      <c r="H210" s="24" t="str">
        <f ca="1">IF(ISERROR(MATCH(H$1,INDIRECT("Table!A"&amp;$AE210):INDIRECT("Table!" &amp; $AH$253 &amp; $AE210),0)),"",INDIRECT(CONCATENATE("Table!",ADDRESS($T210,MATCH(H$1,INDIRECT("Table!A" &amp; $AE210):INDIRECT("Table!" &amp; $AH$253 &amp; $AE210),0)))))</f>
        <v/>
      </c>
      <c r="I210" s="273"/>
      <c r="J210" s="273"/>
      <c r="K210" s="24" t="str">
        <f ca="1">IF(ISERROR(MATCH(L$1,INDIRECT("Table!A"&amp;$AE210):INDIRECT("Table!" &amp; $AH$253 &amp; $AE210),0)),"",INDIRECT(CONCATENATE("Table!",ADDRESS($T210,MATCH(L$1,INDIRECT("Table!A" &amp; $AE210):INDIRECT("Table!" &amp; $AH$253 &amp; $AE210),0)))))</f>
        <v/>
      </c>
      <c r="L210" s="24" t="str">
        <f ca="1">IF(ISERROR(MATCH(M$1,INDIRECT("Table!A"&amp;$AE210):INDIRECT("Table!" &amp; $AH$253 &amp; $AE210),0)),"",INDIRECT(CONCATENATE("Table!",ADDRESS($T210,MATCH(M$1,INDIRECT("Table!A" &amp; $AE210):INDIRECT("Table!" &amp; $AH$253 &amp; $AE210),0)))))</f>
        <v/>
      </c>
      <c r="M210" s="24" t="str">
        <f ca="1">IF(ISERROR(MATCH(N$1,INDIRECT("Table!A"&amp;$AE210):INDIRECT("Table!" &amp; $AH$253 &amp; $AE210),0)),"",INDIRECT(CONCATENATE("Table!",ADDRESS($T210,MATCH(N$1,INDIRECT("Table!A" &amp; $AE210):INDIRECT("Table!" &amp; $AH$253 &amp; $AE210),0)))))</f>
        <v/>
      </c>
      <c r="N210" s="24" t="str">
        <f ca="1">IF(ISERROR(MATCH(O$1,INDIRECT("Table!A"&amp;$AE210):INDIRECT("Table!" &amp; $AH$253 &amp; $AE210),0)),"",INDIRECT(CONCATENATE("Table!",ADDRESS($T210,MATCH(O$1,INDIRECT("Table!A" &amp; $AE210):INDIRECT("Table!" &amp; $AH$253 &amp; $AE210),0)))))</f>
        <v/>
      </c>
      <c r="O210" s="24" t="str">
        <f ca="1">IF(ISERROR(MATCH(P$1,INDIRECT("Table!A"&amp;$AE210):INDIRECT("Table!" &amp; $AH$253 &amp; $AE210),0)),"",INDIRECT(CONCATENATE("Table!",ADDRESS($T210,MATCH(P$1,INDIRECT("Table!A" &amp; $AE210):INDIRECT("Table!" &amp; $AH$253 &amp; $AE210),0)))))</f>
        <v/>
      </c>
      <c r="P210" s="273" t="str">
        <f ca="1">IF(ISERROR(MATCH(Q$1,INDIRECT("Table!A"&amp;$AE210):INDIRECT("Table!" &amp; $AH$253 &amp; $AE210),0)),"",INDIRECT(CONCATENATE("Table!",ADDRESS($T210,MATCH(Q$1,INDIRECT("Table!A" &amp; $AE210):INDIRECT("Table!" &amp; $AH$253 &amp; $AE210),0)))))</f>
        <v/>
      </c>
      <c r="Q210" s="113"/>
      <c r="R210" s="113"/>
      <c r="S210" s="113"/>
      <c r="T210" s="22"/>
      <c r="AC210" s="113"/>
      <c r="AD210" s="113"/>
      <c r="AE210" s="22"/>
      <c r="AF210" s="113"/>
      <c r="AG210" s="113"/>
      <c r="AH210" s="113"/>
    </row>
    <row r="211" spans="2:34" ht="18" customHeight="1" x14ac:dyDescent="0.25">
      <c r="B211" s="24"/>
      <c r="C211" s="24" t="str">
        <f ca="1">IF(ISERROR(MATCH(C$1,INDIRECT("Table!A"&amp;$AE211):INDIRECT("Table!" &amp; $AH$253 &amp; $AE211),0)),"",INDIRECT(CONCATENATE("Table!",ADDRESS($T211,MATCH(C$1,INDIRECT("Table!A" &amp; $AE211):INDIRECT("Table!" &amp; $AH$253 &amp; $AE211),0)))))</f>
        <v/>
      </c>
      <c r="D211" s="24" t="str">
        <f ca="1">IF(ISERROR(MATCH(D$1,INDIRECT("Table!A"&amp;$AE211):INDIRECT("Table!" &amp; $AH$253 &amp; $AE211),0)),"",INDIRECT(CONCATENATE("Table!",ADDRESS($T211,MATCH(D$1,INDIRECT("Table!A" &amp; $AE211):INDIRECT("Table!" &amp; $AH$253 &amp; $AE211),0)))))</f>
        <v/>
      </c>
      <c r="E211" s="24" t="str">
        <f ca="1">IF(ISERROR(MATCH(E$1,INDIRECT("Table!A"&amp;$AE211):INDIRECT("Table!" &amp; $AH$253 &amp; $AE211),0)),"",INDIRECT(CONCATENATE("Table!",ADDRESS($T211,MATCH(E$1,INDIRECT("Table!A" &amp; $AE211):INDIRECT("Table!" &amp; $AH$253 &amp; $AE211),0)))))</f>
        <v/>
      </c>
      <c r="F211" s="24" t="str">
        <f ca="1">IF(ISERROR(MATCH(F$1,INDIRECT("Table!A"&amp;$AE211):INDIRECT("Table!" &amp; $AH$253 &amp; $AE211),0)),"",INDIRECT(CONCATENATE("Table!",ADDRESS($T211,MATCH(F$1,INDIRECT("Table!A" &amp; $AE211):INDIRECT("Table!" &amp; $AH$253 &amp; $AE211),0)))))</f>
        <v/>
      </c>
      <c r="G211" s="24" t="str">
        <f ca="1">IF(ISERROR(MATCH(G$1,INDIRECT("Table!A"&amp;$AE211):INDIRECT("Table!" &amp; $AH$253 &amp; $AE211),0)),"",INDIRECT(CONCATENATE("Table!",ADDRESS($T211,MATCH(G$1,INDIRECT("Table!A" &amp; $AE211):INDIRECT("Table!" &amp; $AH$253 &amp; $AE211),0)))))</f>
        <v/>
      </c>
      <c r="H211" s="24" t="str">
        <f ca="1">IF(ISERROR(MATCH(H$1,INDIRECT("Table!A"&amp;$AE211):INDIRECT("Table!" &amp; $AH$253 &amp; $AE211),0)),"",INDIRECT(CONCATENATE("Table!",ADDRESS($T211,MATCH(H$1,INDIRECT("Table!A" &amp; $AE211):INDIRECT("Table!" &amp; $AH$253 &amp; $AE211),0)))))</f>
        <v/>
      </c>
      <c r="I211" s="273"/>
      <c r="J211" s="273"/>
      <c r="K211" s="24" t="str">
        <f ca="1">IF(ISERROR(MATCH(L$1,INDIRECT("Table!A"&amp;$AE211):INDIRECT("Table!" &amp; $AH$253 &amp; $AE211),0)),"",INDIRECT(CONCATENATE("Table!",ADDRESS($T211,MATCH(L$1,INDIRECT("Table!A" &amp; $AE211):INDIRECT("Table!" &amp; $AH$253 &amp; $AE211),0)))))</f>
        <v/>
      </c>
      <c r="L211" s="24" t="str">
        <f ca="1">IF(ISERROR(MATCH(M$1,INDIRECT("Table!A"&amp;$AE211):INDIRECT("Table!" &amp; $AH$253 &amp; $AE211),0)),"",INDIRECT(CONCATENATE("Table!",ADDRESS($T211,MATCH(M$1,INDIRECT("Table!A" &amp; $AE211):INDIRECT("Table!" &amp; $AH$253 &amp; $AE211),0)))))</f>
        <v/>
      </c>
      <c r="M211" s="24" t="str">
        <f ca="1">IF(ISERROR(MATCH(N$1,INDIRECT("Table!A"&amp;$AE211):INDIRECT("Table!" &amp; $AH$253 &amp; $AE211),0)),"",INDIRECT(CONCATENATE("Table!",ADDRESS($T211,MATCH(N$1,INDIRECT("Table!A" &amp; $AE211):INDIRECT("Table!" &amp; $AH$253 &amp; $AE211),0)))))</f>
        <v/>
      </c>
      <c r="N211" s="24" t="str">
        <f ca="1">IF(ISERROR(MATCH(O$1,INDIRECT("Table!A"&amp;$AE211):INDIRECT("Table!" &amp; $AH$253 &amp; $AE211),0)),"",INDIRECT(CONCATENATE("Table!",ADDRESS($T211,MATCH(O$1,INDIRECT("Table!A" &amp; $AE211):INDIRECT("Table!" &amp; $AH$253 &amp; $AE211),0)))))</f>
        <v/>
      </c>
      <c r="O211" s="24" t="str">
        <f ca="1">IF(ISERROR(MATCH(P$1,INDIRECT("Table!A"&amp;$AE211):INDIRECT("Table!" &amp; $AH$253 &amp; $AE211),0)),"",INDIRECT(CONCATENATE("Table!",ADDRESS($T211,MATCH(P$1,INDIRECT("Table!A" &amp; $AE211):INDIRECT("Table!" &amp; $AH$253 &amp; $AE211),0)))))</f>
        <v/>
      </c>
      <c r="P211" s="273" t="str">
        <f ca="1">IF(ISERROR(MATCH(Q$1,INDIRECT("Table!A"&amp;$AE211):INDIRECT("Table!" &amp; $AH$253 &amp; $AE211),0)),"",INDIRECT(CONCATENATE("Table!",ADDRESS($T211,MATCH(Q$1,INDIRECT("Table!A" &amp; $AE211):INDIRECT("Table!" &amp; $AH$253 &amp; $AE211),0)))))</f>
        <v/>
      </c>
      <c r="Q211" s="112"/>
      <c r="R211" s="112"/>
      <c r="S211" s="112"/>
      <c r="T211" s="22"/>
      <c r="AC211" s="112"/>
      <c r="AD211" s="112"/>
      <c r="AE211" s="22"/>
      <c r="AF211" s="112"/>
      <c r="AG211" s="112"/>
      <c r="AH211" s="112"/>
    </row>
    <row r="212" spans="2:34" ht="18" customHeight="1" x14ac:dyDescent="0.25">
      <c r="B212" s="24"/>
      <c r="C212" s="24" t="str">
        <f ca="1">IF(ISERROR(MATCH(C$1,INDIRECT("Table!A"&amp;$AE212):INDIRECT("Table!" &amp; $AH$253 &amp; $AE212),0)),"",INDIRECT(CONCATENATE("Table!",ADDRESS($T212,MATCH(C$1,INDIRECT("Table!A" &amp; $AE212):INDIRECT("Table!" &amp; $AH$253 &amp; $AE212),0)))))</f>
        <v/>
      </c>
      <c r="D212" s="24" t="str">
        <f ca="1">IF(ISERROR(MATCH(D$1,INDIRECT("Table!A"&amp;$AE212):INDIRECT("Table!" &amp; $AH$253 &amp; $AE212),0)),"",INDIRECT(CONCATENATE("Table!",ADDRESS($T212,MATCH(D$1,INDIRECT("Table!A" &amp; $AE212):INDIRECT("Table!" &amp; $AH$253 &amp; $AE212),0)))))</f>
        <v/>
      </c>
      <c r="E212" s="24" t="str">
        <f ca="1">IF(ISERROR(MATCH(E$1,INDIRECT("Table!A"&amp;$AE212):INDIRECT("Table!" &amp; $AH$253 &amp; $AE212),0)),"",INDIRECT(CONCATENATE("Table!",ADDRESS($T212,MATCH(E$1,INDIRECT("Table!A" &amp; $AE212):INDIRECT("Table!" &amp; $AH$253 &amp; $AE212),0)))))</f>
        <v/>
      </c>
      <c r="F212" s="24" t="str">
        <f ca="1">IF(ISERROR(MATCH(F$1,INDIRECT("Table!A"&amp;$AE212):INDIRECT("Table!" &amp; $AH$253 &amp; $AE212),0)),"",INDIRECT(CONCATENATE("Table!",ADDRESS($T212,MATCH(F$1,INDIRECT("Table!A" &amp; $AE212):INDIRECT("Table!" &amp; $AH$253 &amp; $AE212),0)))))</f>
        <v/>
      </c>
      <c r="G212" s="24" t="str">
        <f ca="1">IF(ISERROR(MATCH(G$1,INDIRECT("Table!A"&amp;$AE212):INDIRECT("Table!" &amp; $AH$253 &amp; $AE212),0)),"",INDIRECT(CONCATENATE("Table!",ADDRESS($T212,MATCH(G$1,INDIRECT("Table!A" &amp; $AE212):INDIRECT("Table!" &amp; $AH$253 &amp; $AE212),0)))))</f>
        <v/>
      </c>
      <c r="H212" s="24" t="str">
        <f ca="1">IF(ISERROR(MATCH(H$1,INDIRECT("Table!A"&amp;$AE212):INDIRECT("Table!" &amp; $AH$253 &amp; $AE212),0)),"",INDIRECT(CONCATENATE("Table!",ADDRESS($T212,MATCH(H$1,INDIRECT("Table!A" &amp; $AE212):INDIRECT("Table!" &amp; $AH$253 &amp; $AE212),0)))))</f>
        <v/>
      </c>
      <c r="I212" s="273"/>
      <c r="J212" s="273"/>
      <c r="K212" s="24" t="str">
        <f ca="1">IF(ISERROR(MATCH(L$1,INDIRECT("Table!A"&amp;$AE212):INDIRECT("Table!" &amp; $AH$253 &amp; $AE212),0)),"",INDIRECT(CONCATENATE("Table!",ADDRESS($T212,MATCH(L$1,INDIRECT("Table!A" &amp; $AE212):INDIRECT("Table!" &amp; $AH$253 &amp; $AE212),0)))))</f>
        <v/>
      </c>
      <c r="L212" s="24" t="str">
        <f ca="1">IF(ISERROR(MATCH(M$1,INDIRECT("Table!A"&amp;$AE212):INDIRECT("Table!" &amp; $AH$253 &amp; $AE212),0)),"",INDIRECT(CONCATENATE("Table!",ADDRESS($T212,MATCH(M$1,INDIRECT("Table!A" &amp; $AE212):INDIRECT("Table!" &amp; $AH$253 &amp; $AE212),0)))))</f>
        <v/>
      </c>
      <c r="M212" s="24" t="str">
        <f ca="1">IF(ISERROR(MATCH(N$1,INDIRECT("Table!A"&amp;$AE212):INDIRECT("Table!" &amp; $AH$253 &amp; $AE212),0)),"",INDIRECT(CONCATENATE("Table!",ADDRESS($T212,MATCH(N$1,INDIRECT("Table!A" &amp; $AE212):INDIRECT("Table!" &amp; $AH$253 &amp; $AE212),0)))))</f>
        <v/>
      </c>
      <c r="N212" s="24" t="str">
        <f ca="1">IF(ISERROR(MATCH(O$1,INDIRECT("Table!A"&amp;$AE212):INDIRECT("Table!" &amp; $AH$253 &amp; $AE212),0)),"",INDIRECT(CONCATENATE("Table!",ADDRESS($T212,MATCH(O$1,INDIRECT("Table!A" &amp; $AE212):INDIRECT("Table!" &amp; $AH$253 &amp; $AE212),0)))))</f>
        <v/>
      </c>
      <c r="O212" s="24" t="str">
        <f ca="1">IF(ISERROR(MATCH(P$1,INDIRECT("Table!A"&amp;$AE212):INDIRECT("Table!" &amp; $AH$253 &amp; $AE212),0)),"",INDIRECT(CONCATENATE("Table!",ADDRESS($T212,MATCH(P$1,INDIRECT("Table!A" &amp; $AE212):INDIRECT("Table!" &amp; $AH$253 &amp; $AE212),0)))))</f>
        <v/>
      </c>
      <c r="P212" s="273" t="str">
        <f ca="1">IF(ISERROR(MATCH(Q$1,INDIRECT("Table!A"&amp;$AE212):INDIRECT("Table!" &amp; $AH$253 &amp; $AE212),0)),"",INDIRECT(CONCATENATE("Table!",ADDRESS($T212,MATCH(Q$1,INDIRECT("Table!A" &amp; $AE212):INDIRECT("Table!" &amp; $AH$253 &amp; $AE212),0)))))</f>
        <v/>
      </c>
      <c r="Q212" s="111"/>
      <c r="R212" s="111"/>
      <c r="S212" s="111"/>
      <c r="T212" s="22"/>
      <c r="AC212" s="111"/>
      <c r="AD212" s="111"/>
      <c r="AE212" s="22"/>
      <c r="AF212" s="111"/>
      <c r="AG212" s="111"/>
      <c r="AH212" s="111"/>
    </row>
    <row r="213" spans="2:34" ht="18" customHeight="1" x14ac:dyDescent="0.25">
      <c r="B213" s="24"/>
      <c r="C213" s="24" t="str">
        <f ca="1">IF(ISERROR(MATCH(C$1,INDIRECT("Table!A"&amp;$AE213):INDIRECT("Table!" &amp; $AH$253 &amp; $AE213),0)),"",INDIRECT(CONCATENATE("Table!",ADDRESS($T213,MATCH(C$1,INDIRECT("Table!A" &amp; $AE213):INDIRECT("Table!" &amp; $AH$253 &amp; $AE213),0)))))</f>
        <v/>
      </c>
      <c r="D213" s="24" t="str">
        <f ca="1">IF(ISERROR(MATCH(D$1,INDIRECT("Table!A"&amp;$AE213):INDIRECT("Table!" &amp; $AH$253 &amp; $AE213),0)),"",INDIRECT(CONCATENATE("Table!",ADDRESS($T213,MATCH(D$1,INDIRECT("Table!A" &amp; $AE213):INDIRECT("Table!" &amp; $AH$253 &amp; $AE213),0)))))</f>
        <v/>
      </c>
      <c r="E213" s="24" t="str">
        <f ca="1">IF(ISERROR(MATCH(E$1,INDIRECT("Table!A"&amp;$AE213):INDIRECT("Table!" &amp; $AH$253 &amp; $AE213),0)),"",INDIRECT(CONCATENATE("Table!",ADDRESS($T213,MATCH(E$1,INDIRECT("Table!A" &amp; $AE213):INDIRECT("Table!" &amp; $AH$253 &amp; $AE213),0)))))</f>
        <v/>
      </c>
      <c r="F213" s="24" t="str">
        <f ca="1">IF(ISERROR(MATCH(F$1,INDIRECT("Table!A"&amp;$AE213):INDIRECT("Table!" &amp; $AH$253 &amp; $AE213),0)),"",INDIRECT(CONCATENATE("Table!",ADDRESS($T213,MATCH(F$1,INDIRECT("Table!A" &amp; $AE213):INDIRECT("Table!" &amp; $AH$253 &amp; $AE213),0)))))</f>
        <v/>
      </c>
      <c r="G213" s="24" t="str">
        <f ca="1">IF(ISERROR(MATCH(G$1,INDIRECT("Table!A"&amp;$AE213):INDIRECT("Table!" &amp; $AH$253 &amp; $AE213),0)),"",INDIRECT(CONCATENATE("Table!",ADDRESS($T213,MATCH(G$1,INDIRECT("Table!A" &amp; $AE213):INDIRECT("Table!" &amp; $AH$253 &amp; $AE213),0)))))</f>
        <v/>
      </c>
      <c r="H213" s="24" t="str">
        <f ca="1">IF(ISERROR(MATCH(H$1,INDIRECT("Table!A"&amp;$AE213):INDIRECT("Table!" &amp; $AH$253 &amp; $AE213),0)),"",INDIRECT(CONCATENATE("Table!",ADDRESS($T213,MATCH(H$1,INDIRECT("Table!A" &amp; $AE213):INDIRECT("Table!" &amp; $AH$253 &amp; $AE213),0)))))</f>
        <v/>
      </c>
      <c r="I213" s="273"/>
      <c r="J213" s="273"/>
      <c r="K213" s="24" t="str">
        <f ca="1">IF(ISERROR(MATCH(L$1,INDIRECT("Table!A"&amp;$AE213):INDIRECT("Table!" &amp; $AH$253 &amp; $AE213),0)),"",INDIRECT(CONCATENATE("Table!",ADDRESS($T213,MATCH(L$1,INDIRECT("Table!A" &amp; $AE213):INDIRECT("Table!" &amp; $AH$253 &amp; $AE213),0)))))</f>
        <v/>
      </c>
      <c r="L213" s="24" t="str">
        <f ca="1">IF(ISERROR(MATCH(M$1,INDIRECT("Table!A"&amp;$AE213):INDIRECT("Table!" &amp; $AH$253 &amp; $AE213),0)),"",INDIRECT(CONCATENATE("Table!",ADDRESS($T213,MATCH(M$1,INDIRECT("Table!A" &amp; $AE213):INDIRECT("Table!" &amp; $AH$253 &amp; $AE213),0)))))</f>
        <v/>
      </c>
      <c r="M213" s="24" t="str">
        <f ca="1">IF(ISERROR(MATCH(N$1,INDIRECT("Table!A"&amp;$AE213):INDIRECT("Table!" &amp; $AH$253 &amp; $AE213),0)),"",INDIRECT(CONCATENATE("Table!",ADDRESS($T213,MATCH(N$1,INDIRECT("Table!A" &amp; $AE213):INDIRECT("Table!" &amp; $AH$253 &amp; $AE213),0)))))</f>
        <v/>
      </c>
      <c r="N213" s="24" t="str">
        <f ca="1">IF(ISERROR(MATCH(O$1,INDIRECT("Table!A"&amp;$AE213):INDIRECT("Table!" &amp; $AH$253 &amp; $AE213),0)),"",INDIRECT(CONCATENATE("Table!",ADDRESS($T213,MATCH(O$1,INDIRECT("Table!A" &amp; $AE213):INDIRECT("Table!" &amp; $AH$253 &amp; $AE213),0)))))</f>
        <v/>
      </c>
      <c r="O213" s="24" t="str">
        <f ca="1">IF(ISERROR(MATCH(P$1,INDIRECT("Table!A"&amp;$AE213):INDIRECT("Table!" &amp; $AH$253 &amp; $AE213),0)),"",INDIRECT(CONCATENATE("Table!",ADDRESS($T213,MATCH(P$1,INDIRECT("Table!A" &amp; $AE213):INDIRECT("Table!" &amp; $AH$253 &amp; $AE213),0)))))</f>
        <v/>
      </c>
      <c r="P213" s="273" t="str">
        <f ca="1">IF(ISERROR(MATCH(Q$1,INDIRECT("Table!A"&amp;$AE213):INDIRECT("Table!" &amp; $AH$253 &amp; $AE213),0)),"",INDIRECT(CONCATENATE("Table!",ADDRESS($T213,MATCH(Q$1,INDIRECT("Table!A" &amp; $AE213):INDIRECT("Table!" &amp; $AH$253 &amp; $AE213),0)))))</f>
        <v/>
      </c>
      <c r="Q213" s="110"/>
      <c r="R213" s="110"/>
      <c r="S213" s="110"/>
      <c r="T213" s="22"/>
      <c r="AC213" s="110"/>
      <c r="AD213" s="110"/>
      <c r="AE213" s="22"/>
      <c r="AF213" s="110"/>
      <c r="AG213" s="110"/>
      <c r="AH213" s="110"/>
    </row>
    <row r="214" spans="2:34" ht="18" customHeight="1" x14ac:dyDescent="0.25">
      <c r="B214" s="24"/>
      <c r="C214" s="24" t="str">
        <f ca="1">IF(ISERROR(MATCH(C$1,INDIRECT("Table!A"&amp;$AE214):INDIRECT("Table!" &amp; $AH$253 &amp; $AE214),0)),"",INDIRECT(CONCATENATE("Table!",ADDRESS($T214,MATCH(C$1,INDIRECT("Table!A" &amp; $AE214):INDIRECT("Table!" &amp; $AH$253 &amp; $AE214),0)))))</f>
        <v/>
      </c>
      <c r="D214" s="24" t="str">
        <f ca="1">IF(ISERROR(MATCH(D$1,INDIRECT("Table!A"&amp;$AE214):INDIRECT("Table!" &amp; $AH$253 &amp; $AE214),0)),"",INDIRECT(CONCATENATE("Table!",ADDRESS($T214,MATCH(D$1,INDIRECT("Table!A" &amp; $AE214):INDIRECT("Table!" &amp; $AH$253 &amp; $AE214),0)))))</f>
        <v/>
      </c>
      <c r="E214" s="24" t="str">
        <f ca="1">IF(ISERROR(MATCH(E$1,INDIRECT("Table!A"&amp;$AE214):INDIRECT("Table!" &amp; $AH$253 &amp; $AE214),0)),"",INDIRECT(CONCATENATE("Table!",ADDRESS($T214,MATCH(E$1,INDIRECT("Table!A" &amp; $AE214):INDIRECT("Table!" &amp; $AH$253 &amp; $AE214),0)))))</f>
        <v/>
      </c>
      <c r="F214" s="24" t="str">
        <f ca="1">IF(ISERROR(MATCH(F$1,INDIRECT("Table!A"&amp;$AE214):INDIRECT("Table!" &amp; $AH$253 &amp; $AE214),0)),"",INDIRECT(CONCATENATE("Table!",ADDRESS($T214,MATCH(F$1,INDIRECT("Table!A" &amp; $AE214):INDIRECT("Table!" &amp; $AH$253 &amp; $AE214),0)))))</f>
        <v/>
      </c>
      <c r="G214" s="24" t="str">
        <f ca="1">IF(ISERROR(MATCH(G$1,INDIRECT("Table!A"&amp;$AE214):INDIRECT("Table!" &amp; $AH$253 &amp; $AE214),0)),"",INDIRECT(CONCATENATE("Table!",ADDRESS($T214,MATCH(G$1,INDIRECT("Table!A" &amp; $AE214):INDIRECT("Table!" &amp; $AH$253 &amp; $AE214),0)))))</f>
        <v/>
      </c>
      <c r="H214" s="24" t="str">
        <f ca="1">IF(ISERROR(MATCH(H$1,INDIRECT("Table!A"&amp;$AE214):INDIRECT("Table!" &amp; $AH$253 &amp; $AE214),0)),"",INDIRECT(CONCATENATE("Table!",ADDRESS($T214,MATCH(H$1,INDIRECT("Table!A" &amp; $AE214):INDIRECT("Table!" &amp; $AH$253 &amp; $AE214),0)))))</f>
        <v/>
      </c>
      <c r="I214" s="273"/>
      <c r="J214" s="273"/>
      <c r="K214" s="24" t="str">
        <f ca="1">IF(ISERROR(MATCH(L$1,INDIRECT("Table!A"&amp;$AE214):INDIRECT("Table!" &amp; $AH$253 &amp; $AE214),0)),"",INDIRECT(CONCATENATE("Table!",ADDRESS($T214,MATCH(L$1,INDIRECT("Table!A" &amp; $AE214):INDIRECT("Table!" &amp; $AH$253 &amp; $AE214),0)))))</f>
        <v/>
      </c>
      <c r="L214" s="24" t="str">
        <f ca="1">IF(ISERROR(MATCH(M$1,INDIRECT("Table!A"&amp;$AE214):INDIRECT("Table!" &amp; $AH$253 &amp; $AE214),0)),"",INDIRECT(CONCATENATE("Table!",ADDRESS($T214,MATCH(M$1,INDIRECT("Table!A" &amp; $AE214):INDIRECT("Table!" &amp; $AH$253 &amp; $AE214),0)))))</f>
        <v/>
      </c>
      <c r="M214" s="24" t="str">
        <f ca="1">IF(ISERROR(MATCH(N$1,INDIRECT("Table!A"&amp;$AE214):INDIRECT("Table!" &amp; $AH$253 &amp; $AE214),0)),"",INDIRECT(CONCATENATE("Table!",ADDRESS($T214,MATCH(N$1,INDIRECT("Table!A" &amp; $AE214):INDIRECT("Table!" &amp; $AH$253 &amp; $AE214),0)))))</f>
        <v/>
      </c>
      <c r="N214" s="24" t="str">
        <f ca="1">IF(ISERROR(MATCH(O$1,INDIRECT("Table!A"&amp;$AE214):INDIRECT("Table!" &amp; $AH$253 &amp; $AE214),0)),"",INDIRECT(CONCATENATE("Table!",ADDRESS($T214,MATCH(O$1,INDIRECT("Table!A" &amp; $AE214):INDIRECT("Table!" &amp; $AH$253 &amp; $AE214),0)))))</f>
        <v/>
      </c>
      <c r="O214" s="24" t="str">
        <f ca="1">IF(ISERROR(MATCH(P$1,INDIRECT("Table!A"&amp;$AE214):INDIRECT("Table!" &amp; $AH$253 &amp; $AE214),0)),"",INDIRECT(CONCATENATE("Table!",ADDRESS($T214,MATCH(P$1,INDIRECT("Table!A" &amp; $AE214):INDIRECT("Table!" &amp; $AH$253 &amp; $AE214),0)))))</f>
        <v/>
      </c>
      <c r="P214" s="273" t="str">
        <f ca="1">IF(ISERROR(MATCH(Q$1,INDIRECT("Table!A"&amp;$AE214):INDIRECT("Table!" &amp; $AH$253 &amp; $AE214),0)),"",INDIRECT(CONCATENATE("Table!",ADDRESS($T214,MATCH(Q$1,INDIRECT("Table!A" &amp; $AE214):INDIRECT("Table!" &amp; $AH$253 &amp; $AE214),0)))))</f>
        <v/>
      </c>
      <c r="Q214" s="109"/>
      <c r="R214" s="109"/>
      <c r="S214" s="109"/>
      <c r="T214" s="22"/>
      <c r="AC214" s="109"/>
      <c r="AD214" s="109"/>
      <c r="AE214" s="22"/>
      <c r="AF214" s="109"/>
      <c r="AG214" s="109"/>
      <c r="AH214" s="109"/>
    </row>
    <row r="215" spans="2:34" ht="18" customHeight="1" x14ac:dyDescent="0.25">
      <c r="B215" s="24"/>
      <c r="C215" s="24" t="str">
        <f ca="1">IF(ISERROR(MATCH(C$1,INDIRECT("Table!A"&amp;$AE215):INDIRECT("Table!" &amp; $AH$253 &amp; $AE215),0)),"",INDIRECT(CONCATENATE("Table!",ADDRESS($T215,MATCH(C$1,INDIRECT("Table!A" &amp; $AE215):INDIRECT("Table!" &amp; $AH$253 &amp; $AE215),0)))))</f>
        <v/>
      </c>
      <c r="D215" s="24" t="str">
        <f ca="1">IF(ISERROR(MATCH(D$1,INDIRECT("Table!A"&amp;$AE215):INDIRECT("Table!" &amp; $AH$253 &amp; $AE215),0)),"",INDIRECT(CONCATENATE("Table!",ADDRESS($T215,MATCH(D$1,INDIRECT("Table!A" &amp; $AE215):INDIRECT("Table!" &amp; $AH$253 &amp; $AE215),0)))))</f>
        <v/>
      </c>
      <c r="E215" s="24" t="str">
        <f ca="1">IF(ISERROR(MATCH(E$1,INDIRECT("Table!A"&amp;$AE215):INDIRECT("Table!" &amp; $AH$253 &amp; $AE215),0)),"",INDIRECT(CONCATENATE("Table!",ADDRESS($T215,MATCH(E$1,INDIRECT("Table!A" &amp; $AE215):INDIRECT("Table!" &amp; $AH$253 &amp; $AE215),0)))))</f>
        <v/>
      </c>
      <c r="F215" s="24" t="str">
        <f ca="1">IF(ISERROR(MATCH(F$1,INDIRECT("Table!A"&amp;$AE215):INDIRECT("Table!" &amp; $AH$253 &amp; $AE215),0)),"",INDIRECT(CONCATENATE("Table!",ADDRESS($T215,MATCH(F$1,INDIRECT("Table!A" &amp; $AE215):INDIRECT("Table!" &amp; $AH$253 &amp; $AE215),0)))))</f>
        <v/>
      </c>
      <c r="G215" s="24" t="str">
        <f ca="1">IF(ISERROR(MATCH(G$1,INDIRECT("Table!A"&amp;$AE215):INDIRECT("Table!" &amp; $AH$253 &amp; $AE215),0)),"",INDIRECT(CONCATENATE("Table!",ADDRESS($T215,MATCH(G$1,INDIRECT("Table!A" &amp; $AE215):INDIRECT("Table!" &amp; $AH$253 &amp; $AE215),0)))))</f>
        <v/>
      </c>
      <c r="H215" s="24" t="str">
        <f ca="1">IF(ISERROR(MATCH(H$1,INDIRECT("Table!A"&amp;$AE215):INDIRECT("Table!" &amp; $AH$253 &amp; $AE215),0)),"",INDIRECT(CONCATENATE("Table!",ADDRESS($T215,MATCH(H$1,INDIRECT("Table!A" &amp; $AE215):INDIRECT("Table!" &amp; $AH$253 &amp; $AE215),0)))))</f>
        <v/>
      </c>
      <c r="I215" s="273"/>
      <c r="J215" s="273"/>
      <c r="K215" s="24" t="str">
        <f ca="1">IF(ISERROR(MATCH(L$1,INDIRECT("Table!A"&amp;$AE215):INDIRECT("Table!" &amp; $AH$253 &amp; $AE215),0)),"",INDIRECT(CONCATENATE("Table!",ADDRESS($T215,MATCH(L$1,INDIRECT("Table!A" &amp; $AE215):INDIRECT("Table!" &amp; $AH$253 &amp; $AE215),0)))))</f>
        <v/>
      </c>
      <c r="L215" s="24" t="str">
        <f ca="1">IF(ISERROR(MATCH(M$1,INDIRECT("Table!A"&amp;$AE215):INDIRECT("Table!" &amp; $AH$253 &amp; $AE215),0)),"",INDIRECT(CONCATENATE("Table!",ADDRESS($T215,MATCH(M$1,INDIRECT("Table!A" &amp; $AE215):INDIRECT("Table!" &amp; $AH$253 &amp; $AE215),0)))))</f>
        <v/>
      </c>
      <c r="M215" s="24" t="str">
        <f ca="1">IF(ISERROR(MATCH(N$1,INDIRECT("Table!A"&amp;$AE215):INDIRECT("Table!" &amp; $AH$253 &amp; $AE215),0)),"",INDIRECT(CONCATENATE("Table!",ADDRESS($T215,MATCH(N$1,INDIRECT("Table!A" &amp; $AE215):INDIRECT("Table!" &amp; $AH$253 &amp; $AE215),0)))))</f>
        <v/>
      </c>
      <c r="N215" s="24" t="str">
        <f ca="1">IF(ISERROR(MATCH(O$1,INDIRECT("Table!A"&amp;$AE215):INDIRECT("Table!" &amp; $AH$253 &amp; $AE215),0)),"",INDIRECT(CONCATENATE("Table!",ADDRESS($T215,MATCH(O$1,INDIRECT("Table!A" &amp; $AE215):INDIRECT("Table!" &amp; $AH$253 &amp; $AE215),0)))))</f>
        <v/>
      </c>
      <c r="O215" s="24" t="str">
        <f ca="1">IF(ISERROR(MATCH(P$1,INDIRECT("Table!A"&amp;$AE215):INDIRECT("Table!" &amp; $AH$253 &amp; $AE215),0)),"",INDIRECT(CONCATENATE("Table!",ADDRESS($T215,MATCH(P$1,INDIRECT("Table!A" &amp; $AE215):INDIRECT("Table!" &amp; $AH$253 &amp; $AE215),0)))))</f>
        <v/>
      </c>
      <c r="P215" s="273" t="str">
        <f ca="1">IF(ISERROR(MATCH(Q$1,INDIRECT("Table!A"&amp;$AE215):INDIRECT("Table!" &amp; $AH$253 &amp; $AE215),0)),"",INDIRECT(CONCATENATE("Table!",ADDRESS($T215,MATCH(Q$1,INDIRECT("Table!A" &amp; $AE215):INDIRECT("Table!" &amp; $AH$253 &amp; $AE215),0)))))</f>
        <v/>
      </c>
      <c r="Q215" s="108"/>
      <c r="R215" s="108"/>
      <c r="S215" s="108"/>
      <c r="T215" s="22"/>
      <c r="AC215" s="108"/>
      <c r="AD215" s="108"/>
      <c r="AE215" s="22"/>
      <c r="AF215" s="108"/>
      <c r="AG215" s="108"/>
      <c r="AH215" s="108"/>
    </row>
    <row r="216" spans="2:34" ht="18" customHeight="1" x14ac:dyDescent="0.25">
      <c r="B216" s="24"/>
      <c r="C216" s="24" t="str">
        <f ca="1">IF(ISERROR(MATCH(C$1,INDIRECT("Table!A"&amp;$AE216):INDIRECT("Table!" &amp; $AH$253 &amp; $AE216),0)),"",INDIRECT(CONCATENATE("Table!",ADDRESS($T216,MATCH(C$1,INDIRECT("Table!A" &amp; $AE216):INDIRECT("Table!" &amp; $AH$253 &amp; $AE216),0)))))</f>
        <v/>
      </c>
      <c r="D216" s="24" t="str">
        <f ca="1">IF(ISERROR(MATCH(D$1,INDIRECT("Table!A"&amp;$AE216):INDIRECT("Table!" &amp; $AH$253 &amp; $AE216),0)),"",INDIRECT(CONCATENATE("Table!",ADDRESS($T216,MATCH(D$1,INDIRECT("Table!A" &amp; $AE216):INDIRECT("Table!" &amp; $AH$253 &amp; $AE216),0)))))</f>
        <v/>
      </c>
      <c r="E216" s="24" t="str">
        <f ca="1">IF(ISERROR(MATCH(E$1,INDIRECT("Table!A"&amp;$AE216):INDIRECT("Table!" &amp; $AH$253 &amp; $AE216),0)),"",INDIRECT(CONCATENATE("Table!",ADDRESS($T216,MATCH(E$1,INDIRECT("Table!A" &amp; $AE216):INDIRECT("Table!" &amp; $AH$253 &amp; $AE216),0)))))</f>
        <v/>
      </c>
      <c r="F216" s="24" t="str">
        <f ca="1">IF(ISERROR(MATCH(F$1,INDIRECT("Table!A"&amp;$AE216):INDIRECT("Table!" &amp; $AH$253 &amp; $AE216),0)),"",INDIRECT(CONCATENATE("Table!",ADDRESS($T216,MATCH(F$1,INDIRECT("Table!A" &amp; $AE216):INDIRECT("Table!" &amp; $AH$253 &amp; $AE216),0)))))</f>
        <v/>
      </c>
      <c r="G216" s="24" t="str">
        <f ca="1">IF(ISERROR(MATCH(G$1,INDIRECT("Table!A"&amp;$AE216):INDIRECT("Table!" &amp; $AH$253 &amp; $AE216),0)),"",INDIRECT(CONCATENATE("Table!",ADDRESS($T216,MATCH(G$1,INDIRECT("Table!A" &amp; $AE216):INDIRECT("Table!" &amp; $AH$253 &amp; $AE216),0)))))</f>
        <v/>
      </c>
      <c r="H216" s="24" t="str">
        <f ca="1">IF(ISERROR(MATCH(H$1,INDIRECT("Table!A"&amp;$AE216):INDIRECT("Table!" &amp; $AH$253 &amp; $AE216),0)),"",INDIRECT(CONCATENATE("Table!",ADDRESS($T216,MATCH(H$1,INDIRECT("Table!A" &amp; $AE216):INDIRECT("Table!" &amp; $AH$253 &amp; $AE216),0)))))</f>
        <v/>
      </c>
      <c r="I216" s="273"/>
      <c r="J216" s="273"/>
      <c r="K216" s="24" t="str">
        <f ca="1">IF(ISERROR(MATCH(L$1,INDIRECT("Table!A"&amp;$AE216):INDIRECT("Table!" &amp; $AH$253 &amp; $AE216),0)),"",INDIRECT(CONCATENATE("Table!",ADDRESS($T216,MATCH(L$1,INDIRECT("Table!A" &amp; $AE216):INDIRECT("Table!" &amp; $AH$253 &amp; $AE216),0)))))</f>
        <v/>
      </c>
      <c r="L216" s="24" t="str">
        <f ca="1">IF(ISERROR(MATCH(M$1,INDIRECT("Table!A"&amp;$AE216):INDIRECT("Table!" &amp; $AH$253 &amp; $AE216),0)),"",INDIRECT(CONCATENATE("Table!",ADDRESS($T216,MATCH(M$1,INDIRECT("Table!A" &amp; $AE216):INDIRECT("Table!" &amp; $AH$253 &amp; $AE216),0)))))</f>
        <v/>
      </c>
      <c r="M216" s="24" t="str">
        <f ca="1">IF(ISERROR(MATCH(N$1,INDIRECT("Table!A"&amp;$AE216):INDIRECT("Table!" &amp; $AH$253 &amp; $AE216),0)),"",INDIRECT(CONCATENATE("Table!",ADDRESS($T216,MATCH(N$1,INDIRECT("Table!A" &amp; $AE216):INDIRECT("Table!" &amp; $AH$253 &amp; $AE216),0)))))</f>
        <v/>
      </c>
      <c r="N216" s="24" t="str">
        <f ca="1">IF(ISERROR(MATCH(O$1,INDIRECT("Table!A"&amp;$AE216):INDIRECT("Table!" &amp; $AH$253 &amp; $AE216),0)),"",INDIRECT(CONCATENATE("Table!",ADDRESS($T216,MATCH(O$1,INDIRECT("Table!A" &amp; $AE216):INDIRECT("Table!" &amp; $AH$253 &amp; $AE216),0)))))</f>
        <v/>
      </c>
      <c r="O216" s="24" t="str">
        <f ca="1">IF(ISERROR(MATCH(P$1,INDIRECT("Table!A"&amp;$AE216):INDIRECT("Table!" &amp; $AH$253 &amp; $AE216),0)),"",INDIRECT(CONCATENATE("Table!",ADDRESS($T216,MATCH(P$1,INDIRECT("Table!A" &amp; $AE216):INDIRECT("Table!" &amp; $AH$253 &amp; $AE216),0)))))</f>
        <v/>
      </c>
      <c r="P216" s="273" t="str">
        <f ca="1">IF(ISERROR(MATCH(Q$1,INDIRECT("Table!A"&amp;$AE216):INDIRECT("Table!" &amp; $AH$253 &amp; $AE216),0)),"",INDIRECT(CONCATENATE("Table!",ADDRESS($T216,MATCH(Q$1,INDIRECT("Table!A" &amp; $AE216):INDIRECT("Table!" &amp; $AH$253 &amp; $AE216),0)))))</f>
        <v/>
      </c>
      <c r="Q216" s="107"/>
      <c r="R216" s="107"/>
      <c r="S216" s="107"/>
      <c r="T216" s="22"/>
      <c r="AC216" s="107"/>
      <c r="AD216" s="107"/>
      <c r="AE216" s="22"/>
      <c r="AF216" s="107"/>
      <c r="AG216" s="107"/>
      <c r="AH216" s="107"/>
    </row>
    <row r="217" spans="2:34" ht="18" customHeight="1" x14ac:dyDescent="0.25">
      <c r="B217" s="24"/>
      <c r="C217" s="24" t="str">
        <f ca="1">IF(ISERROR(MATCH(C$1,INDIRECT("Table!A"&amp;$AE217):INDIRECT("Table!" &amp; $AH$253 &amp; $AE217),0)),"",INDIRECT(CONCATENATE("Table!",ADDRESS($T217,MATCH(C$1,INDIRECT("Table!A" &amp; $AE217):INDIRECT("Table!" &amp; $AH$253 &amp; $AE217),0)))))</f>
        <v/>
      </c>
      <c r="D217" s="24" t="str">
        <f ca="1">IF(ISERROR(MATCH(D$1,INDIRECT("Table!A"&amp;$AE217):INDIRECT("Table!" &amp; $AH$253 &amp; $AE217),0)),"",INDIRECT(CONCATENATE("Table!",ADDRESS($T217,MATCH(D$1,INDIRECT("Table!A" &amp; $AE217):INDIRECT("Table!" &amp; $AH$253 &amp; $AE217),0)))))</f>
        <v/>
      </c>
      <c r="E217" s="24" t="str">
        <f ca="1">IF(ISERROR(MATCH(E$1,INDIRECT("Table!A"&amp;$AE217):INDIRECT("Table!" &amp; $AH$253 &amp; $AE217),0)),"",INDIRECT(CONCATENATE("Table!",ADDRESS($T217,MATCH(E$1,INDIRECT("Table!A" &amp; $AE217):INDIRECT("Table!" &amp; $AH$253 &amp; $AE217),0)))))</f>
        <v/>
      </c>
      <c r="F217" s="24" t="str">
        <f ca="1">IF(ISERROR(MATCH(F$1,INDIRECT("Table!A"&amp;$AE217):INDIRECT("Table!" &amp; $AH$253 &amp; $AE217),0)),"",INDIRECT(CONCATENATE("Table!",ADDRESS($T217,MATCH(F$1,INDIRECT("Table!A" &amp; $AE217):INDIRECT("Table!" &amp; $AH$253 &amp; $AE217),0)))))</f>
        <v/>
      </c>
      <c r="G217" s="24" t="str">
        <f ca="1">IF(ISERROR(MATCH(G$1,INDIRECT("Table!A"&amp;$AE217):INDIRECT("Table!" &amp; $AH$253 &amp; $AE217),0)),"",INDIRECT(CONCATENATE("Table!",ADDRESS($T217,MATCH(G$1,INDIRECT("Table!A" &amp; $AE217):INDIRECT("Table!" &amp; $AH$253 &amp; $AE217),0)))))</f>
        <v/>
      </c>
      <c r="H217" s="24" t="str">
        <f ca="1">IF(ISERROR(MATCH(H$1,INDIRECT("Table!A"&amp;$AE217):INDIRECT("Table!" &amp; $AH$253 &amp; $AE217),0)),"",INDIRECT(CONCATENATE("Table!",ADDRESS($T217,MATCH(H$1,INDIRECT("Table!A" &amp; $AE217):INDIRECT("Table!" &amp; $AH$253 &amp; $AE217),0)))))</f>
        <v/>
      </c>
      <c r="I217" s="273"/>
      <c r="J217" s="273"/>
      <c r="K217" s="24" t="str">
        <f ca="1">IF(ISERROR(MATCH(L$1,INDIRECT("Table!A"&amp;$AE217):INDIRECT("Table!" &amp; $AH$253 &amp; $AE217),0)),"",INDIRECT(CONCATENATE("Table!",ADDRESS($T217,MATCH(L$1,INDIRECT("Table!A" &amp; $AE217):INDIRECT("Table!" &amp; $AH$253 &amp; $AE217),0)))))</f>
        <v/>
      </c>
      <c r="L217" s="24" t="str">
        <f ca="1">IF(ISERROR(MATCH(M$1,INDIRECT("Table!A"&amp;$AE217):INDIRECT("Table!" &amp; $AH$253 &amp; $AE217),0)),"",INDIRECT(CONCATENATE("Table!",ADDRESS($T217,MATCH(M$1,INDIRECT("Table!A" &amp; $AE217):INDIRECT("Table!" &amp; $AH$253 &amp; $AE217),0)))))</f>
        <v/>
      </c>
      <c r="M217" s="24" t="str">
        <f ca="1">IF(ISERROR(MATCH(N$1,INDIRECT("Table!A"&amp;$AE217):INDIRECT("Table!" &amp; $AH$253 &amp; $AE217),0)),"",INDIRECT(CONCATENATE("Table!",ADDRESS($T217,MATCH(N$1,INDIRECT("Table!A" &amp; $AE217):INDIRECT("Table!" &amp; $AH$253 &amp; $AE217),0)))))</f>
        <v/>
      </c>
      <c r="N217" s="24" t="str">
        <f ca="1">IF(ISERROR(MATCH(O$1,INDIRECT("Table!A"&amp;$AE217):INDIRECT("Table!" &amp; $AH$253 &amp; $AE217),0)),"",INDIRECT(CONCATENATE("Table!",ADDRESS($T217,MATCH(O$1,INDIRECT("Table!A" &amp; $AE217):INDIRECT("Table!" &amp; $AH$253 &amp; $AE217),0)))))</f>
        <v/>
      </c>
      <c r="O217" s="24" t="str">
        <f ca="1">IF(ISERROR(MATCH(P$1,INDIRECT("Table!A"&amp;$AE217):INDIRECT("Table!" &amp; $AH$253 &amp; $AE217),0)),"",INDIRECT(CONCATENATE("Table!",ADDRESS($T217,MATCH(P$1,INDIRECT("Table!A" &amp; $AE217):INDIRECT("Table!" &amp; $AH$253 &amp; $AE217),0)))))</f>
        <v/>
      </c>
      <c r="P217" s="273" t="str">
        <f ca="1">IF(ISERROR(MATCH(Q$1,INDIRECT("Table!A"&amp;$AE217):INDIRECT("Table!" &amp; $AH$253 &amp; $AE217),0)),"",INDIRECT(CONCATENATE("Table!",ADDRESS($T217,MATCH(Q$1,INDIRECT("Table!A" &amp; $AE217):INDIRECT("Table!" &amp; $AH$253 &amp; $AE217),0)))))</f>
        <v/>
      </c>
      <c r="Q217" s="106"/>
      <c r="R217" s="106"/>
      <c r="S217" s="106"/>
      <c r="T217" s="22"/>
      <c r="AC217" s="106"/>
      <c r="AD217" s="106"/>
      <c r="AE217" s="22"/>
      <c r="AF217" s="106"/>
      <c r="AG217" s="106"/>
      <c r="AH217" s="106"/>
    </row>
    <row r="218" spans="2:34" ht="18" customHeight="1" x14ac:dyDescent="0.25">
      <c r="B218" s="24"/>
      <c r="C218" s="24" t="str">
        <f ca="1">IF(ISERROR(MATCH(C$1,INDIRECT("Table!A"&amp;$AE218):INDIRECT("Table!" &amp; $AH$253 &amp; $AE218),0)),"",INDIRECT(CONCATENATE("Table!",ADDRESS($T218,MATCH(C$1,INDIRECT("Table!A" &amp; $AE218):INDIRECT("Table!" &amp; $AH$253 &amp; $AE218),0)))))</f>
        <v/>
      </c>
      <c r="D218" s="24" t="str">
        <f ca="1">IF(ISERROR(MATCH(D$1,INDIRECT("Table!A"&amp;$AE218):INDIRECT("Table!" &amp; $AH$253 &amp; $AE218),0)),"",INDIRECT(CONCATENATE("Table!",ADDRESS($T218,MATCH(D$1,INDIRECT("Table!A" &amp; $AE218):INDIRECT("Table!" &amp; $AH$253 &amp; $AE218),0)))))</f>
        <v/>
      </c>
      <c r="E218" s="24" t="str">
        <f ca="1">IF(ISERROR(MATCH(E$1,INDIRECT("Table!A"&amp;$AE218):INDIRECT("Table!" &amp; $AH$253 &amp; $AE218),0)),"",INDIRECT(CONCATENATE("Table!",ADDRESS($T218,MATCH(E$1,INDIRECT("Table!A" &amp; $AE218):INDIRECT("Table!" &amp; $AH$253 &amp; $AE218),0)))))</f>
        <v/>
      </c>
      <c r="F218" s="24" t="str">
        <f ca="1">IF(ISERROR(MATCH(F$1,INDIRECT("Table!A"&amp;$AE218):INDIRECT("Table!" &amp; $AH$253 &amp; $AE218),0)),"",INDIRECT(CONCATENATE("Table!",ADDRESS($T218,MATCH(F$1,INDIRECT("Table!A" &amp; $AE218):INDIRECT("Table!" &amp; $AH$253 &amp; $AE218),0)))))</f>
        <v/>
      </c>
      <c r="G218" s="24" t="str">
        <f ca="1">IF(ISERROR(MATCH(G$1,INDIRECT("Table!A"&amp;$AE218):INDIRECT("Table!" &amp; $AH$253 &amp; $AE218),0)),"",INDIRECT(CONCATENATE("Table!",ADDRESS($T218,MATCH(G$1,INDIRECT("Table!A" &amp; $AE218):INDIRECT("Table!" &amp; $AH$253 &amp; $AE218),0)))))</f>
        <v/>
      </c>
      <c r="H218" s="24" t="str">
        <f ca="1">IF(ISERROR(MATCH(H$1,INDIRECT("Table!A"&amp;$AE218):INDIRECT("Table!" &amp; $AH$253 &amp; $AE218),0)),"",INDIRECT(CONCATENATE("Table!",ADDRESS($T218,MATCH(H$1,INDIRECT("Table!A" &amp; $AE218):INDIRECT("Table!" &amp; $AH$253 &amp; $AE218),0)))))</f>
        <v/>
      </c>
      <c r="I218" s="273"/>
      <c r="J218" s="273"/>
      <c r="K218" s="24" t="str">
        <f ca="1">IF(ISERROR(MATCH(L$1,INDIRECT("Table!A"&amp;$AE218):INDIRECT("Table!" &amp; $AH$253 &amp; $AE218),0)),"",INDIRECT(CONCATENATE("Table!",ADDRESS($T218,MATCH(L$1,INDIRECT("Table!A" &amp; $AE218):INDIRECT("Table!" &amp; $AH$253 &amp; $AE218),0)))))</f>
        <v/>
      </c>
      <c r="L218" s="24" t="str">
        <f ca="1">IF(ISERROR(MATCH(M$1,INDIRECT("Table!A"&amp;$AE218):INDIRECT("Table!" &amp; $AH$253 &amp; $AE218),0)),"",INDIRECT(CONCATENATE("Table!",ADDRESS($T218,MATCH(M$1,INDIRECT("Table!A" &amp; $AE218):INDIRECT("Table!" &amp; $AH$253 &amp; $AE218),0)))))</f>
        <v/>
      </c>
      <c r="M218" s="24" t="str">
        <f ca="1">IF(ISERROR(MATCH(N$1,INDIRECT("Table!A"&amp;$AE218):INDIRECT("Table!" &amp; $AH$253 &amp; $AE218),0)),"",INDIRECT(CONCATENATE("Table!",ADDRESS($T218,MATCH(N$1,INDIRECT("Table!A" &amp; $AE218):INDIRECT("Table!" &amp; $AH$253 &amp; $AE218),0)))))</f>
        <v/>
      </c>
      <c r="N218" s="24" t="str">
        <f ca="1">IF(ISERROR(MATCH(O$1,INDIRECT("Table!A"&amp;$AE218):INDIRECT("Table!" &amp; $AH$253 &amp; $AE218),0)),"",INDIRECT(CONCATENATE("Table!",ADDRESS($T218,MATCH(O$1,INDIRECT("Table!A" &amp; $AE218):INDIRECT("Table!" &amp; $AH$253 &amp; $AE218),0)))))</f>
        <v/>
      </c>
      <c r="O218" s="24" t="str">
        <f ca="1">IF(ISERROR(MATCH(P$1,INDIRECT("Table!A"&amp;$AE218):INDIRECT("Table!" &amp; $AH$253 &amp; $AE218),0)),"",INDIRECT(CONCATENATE("Table!",ADDRESS($T218,MATCH(P$1,INDIRECT("Table!A" &amp; $AE218):INDIRECT("Table!" &amp; $AH$253 &amp; $AE218),0)))))</f>
        <v/>
      </c>
      <c r="P218" s="273" t="str">
        <f ca="1">IF(ISERROR(MATCH(Q$1,INDIRECT("Table!A"&amp;$AE218):INDIRECT("Table!" &amp; $AH$253 &amp; $AE218),0)),"",INDIRECT(CONCATENATE("Table!",ADDRESS($T218,MATCH(Q$1,INDIRECT("Table!A" &amp; $AE218):INDIRECT("Table!" &amp; $AH$253 &amp; $AE218),0)))))</f>
        <v/>
      </c>
      <c r="Q218" s="105"/>
      <c r="R218" s="105"/>
      <c r="S218" s="105"/>
      <c r="T218" s="22"/>
      <c r="AC218" s="105"/>
      <c r="AD218" s="105"/>
      <c r="AE218" s="22"/>
      <c r="AF218" s="105"/>
      <c r="AG218" s="105"/>
      <c r="AH218" s="105"/>
    </row>
    <row r="219" spans="2:34" ht="18" customHeight="1" x14ac:dyDescent="0.25">
      <c r="B219" s="24"/>
      <c r="C219" s="24" t="str">
        <f ca="1">IF(ISERROR(MATCH(C$1,INDIRECT("Table!A"&amp;$AE219):INDIRECT("Table!" &amp; $AH$253 &amp; $AE219),0)),"",INDIRECT(CONCATENATE("Table!",ADDRESS($T219,MATCH(C$1,INDIRECT("Table!A" &amp; $AE219):INDIRECT("Table!" &amp; $AH$253 &amp; $AE219),0)))))</f>
        <v/>
      </c>
      <c r="D219" s="24" t="str">
        <f ca="1">IF(ISERROR(MATCH(D$1,INDIRECT("Table!A"&amp;$AE219):INDIRECT("Table!" &amp; $AH$253 &amp; $AE219),0)),"",INDIRECT(CONCATENATE("Table!",ADDRESS($T219,MATCH(D$1,INDIRECT("Table!A" &amp; $AE219):INDIRECT("Table!" &amp; $AH$253 &amp; $AE219),0)))))</f>
        <v/>
      </c>
      <c r="E219" s="24" t="str">
        <f ca="1">IF(ISERROR(MATCH(E$1,INDIRECT("Table!A"&amp;$AE219):INDIRECT("Table!" &amp; $AH$253 &amp; $AE219),0)),"",INDIRECT(CONCATENATE("Table!",ADDRESS($T219,MATCH(E$1,INDIRECT("Table!A" &amp; $AE219):INDIRECT("Table!" &amp; $AH$253 &amp; $AE219),0)))))</f>
        <v/>
      </c>
      <c r="F219" s="24" t="str">
        <f ca="1">IF(ISERROR(MATCH(F$1,INDIRECT("Table!A"&amp;$AE219):INDIRECT("Table!" &amp; $AH$253 &amp; $AE219),0)),"",INDIRECT(CONCATENATE("Table!",ADDRESS($T219,MATCH(F$1,INDIRECT("Table!A" &amp; $AE219):INDIRECT("Table!" &amp; $AH$253 &amp; $AE219),0)))))</f>
        <v/>
      </c>
      <c r="G219" s="24" t="str">
        <f ca="1">IF(ISERROR(MATCH(G$1,INDIRECT("Table!A"&amp;$AE219):INDIRECT("Table!" &amp; $AH$253 &amp; $AE219),0)),"",INDIRECT(CONCATENATE("Table!",ADDRESS($T219,MATCH(G$1,INDIRECT("Table!A" &amp; $AE219):INDIRECT("Table!" &amp; $AH$253 &amp; $AE219),0)))))</f>
        <v/>
      </c>
      <c r="H219" s="24" t="str">
        <f ca="1">IF(ISERROR(MATCH(H$1,INDIRECT("Table!A"&amp;$AE219):INDIRECT("Table!" &amp; $AH$253 &amp; $AE219),0)),"",INDIRECT(CONCATENATE("Table!",ADDRESS($T219,MATCH(H$1,INDIRECT("Table!A" &amp; $AE219):INDIRECT("Table!" &amp; $AH$253 &amp; $AE219),0)))))</f>
        <v/>
      </c>
      <c r="I219" s="273"/>
      <c r="J219" s="273"/>
      <c r="K219" s="24" t="str">
        <f ca="1">IF(ISERROR(MATCH(L$1,INDIRECT("Table!A"&amp;$AE219):INDIRECT("Table!" &amp; $AH$253 &amp; $AE219),0)),"",INDIRECT(CONCATENATE("Table!",ADDRESS($T219,MATCH(L$1,INDIRECT("Table!A" &amp; $AE219):INDIRECT("Table!" &amp; $AH$253 &amp; $AE219),0)))))</f>
        <v/>
      </c>
      <c r="L219" s="24" t="str">
        <f ca="1">IF(ISERROR(MATCH(M$1,INDIRECT("Table!A"&amp;$AE219):INDIRECT("Table!" &amp; $AH$253 &amp; $AE219),0)),"",INDIRECT(CONCATENATE("Table!",ADDRESS($T219,MATCH(M$1,INDIRECT("Table!A" &amp; $AE219):INDIRECT("Table!" &amp; $AH$253 &amp; $AE219),0)))))</f>
        <v/>
      </c>
      <c r="M219" s="24" t="str">
        <f ca="1">IF(ISERROR(MATCH(N$1,INDIRECT("Table!A"&amp;$AE219):INDIRECT("Table!" &amp; $AH$253 &amp; $AE219),0)),"",INDIRECT(CONCATENATE("Table!",ADDRESS($T219,MATCH(N$1,INDIRECT("Table!A" &amp; $AE219):INDIRECT("Table!" &amp; $AH$253 &amp; $AE219),0)))))</f>
        <v/>
      </c>
      <c r="N219" s="24" t="str">
        <f ca="1">IF(ISERROR(MATCH(O$1,INDIRECT("Table!A"&amp;$AE219):INDIRECT("Table!" &amp; $AH$253 &amp; $AE219),0)),"",INDIRECT(CONCATENATE("Table!",ADDRESS($T219,MATCH(O$1,INDIRECT("Table!A" &amp; $AE219):INDIRECT("Table!" &amp; $AH$253 &amp; $AE219),0)))))</f>
        <v/>
      </c>
      <c r="O219" s="24" t="str">
        <f ca="1">IF(ISERROR(MATCH(P$1,INDIRECT("Table!A"&amp;$AE219):INDIRECT("Table!" &amp; $AH$253 &amp; $AE219),0)),"",INDIRECT(CONCATENATE("Table!",ADDRESS($T219,MATCH(P$1,INDIRECT("Table!A" &amp; $AE219):INDIRECT("Table!" &amp; $AH$253 &amp; $AE219),0)))))</f>
        <v/>
      </c>
      <c r="P219" s="273" t="str">
        <f ca="1">IF(ISERROR(MATCH(Q$1,INDIRECT("Table!A"&amp;$AE219):INDIRECT("Table!" &amp; $AH$253 &amp; $AE219),0)),"",INDIRECT(CONCATENATE("Table!",ADDRESS($T219,MATCH(Q$1,INDIRECT("Table!A" &amp; $AE219):INDIRECT("Table!" &amp; $AH$253 &amp; $AE219),0)))))</f>
        <v/>
      </c>
      <c r="Q219" s="104"/>
      <c r="R219" s="104"/>
      <c r="S219" s="104"/>
      <c r="T219" s="22"/>
      <c r="AC219" s="104"/>
      <c r="AD219" s="104"/>
      <c r="AE219" s="22"/>
      <c r="AF219" s="104"/>
      <c r="AG219" s="104"/>
      <c r="AH219" s="104"/>
    </row>
    <row r="220" spans="2:34" ht="18" customHeight="1" x14ac:dyDescent="0.25">
      <c r="B220" s="24"/>
      <c r="C220" s="24" t="str">
        <f ca="1">IF(ISERROR(MATCH(C$1,INDIRECT("Table!A"&amp;$AE220):INDIRECT("Table!" &amp; $AH$253 &amp; $AE220),0)),"",INDIRECT(CONCATENATE("Table!",ADDRESS($T220,MATCH(C$1,INDIRECT("Table!A" &amp; $AE220):INDIRECT("Table!" &amp; $AH$253 &amp; $AE220),0)))))</f>
        <v/>
      </c>
      <c r="D220" s="24" t="str">
        <f ca="1">IF(ISERROR(MATCH(D$1,INDIRECT("Table!A"&amp;$AE220):INDIRECT("Table!" &amp; $AH$253 &amp; $AE220),0)),"",INDIRECT(CONCATENATE("Table!",ADDRESS($T220,MATCH(D$1,INDIRECT("Table!A" &amp; $AE220):INDIRECT("Table!" &amp; $AH$253 &amp; $AE220),0)))))</f>
        <v/>
      </c>
      <c r="E220" s="24" t="str">
        <f ca="1">IF(ISERROR(MATCH(E$1,INDIRECT("Table!A"&amp;$AE220):INDIRECT("Table!" &amp; $AH$253 &amp; $AE220),0)),"",INDIRECT(CONCATENATE("Table!",ADDRESS($T220,MATCH(E$1,INDIRECT("Table!A" &amp; $AE220):INDIRECT("Table!" &amp; $AH$253 &amp; $AE220),0)))))</f>
        <v/>
      </c>
      <c r="F220" s="24" t="str">
        <f ca="1">IF(ISERROR(MATCH(F$1,INDIRECT("Table!A"&amp;$AE220):INDIRECT("Table!" &amp; $AH$253 &amp; $AE220),0)),"",INDIRECT(CONCATENATE("Table!",ADDRESS($T220,MATCH(F$1,INDIRECT("Table!A" &amp; $AE220):INDIRECT("Table!" &amp; $AH$253 &amp; $AE220),0)))))</f>
        <v/>
      </c>
      <c r="G220" s="24" t="str">
        <f ca="1">IF(ISERROR(MATCH(G$1,INDIRECT("Table!A"&amp;$AE220):INDIRECT("Table!" &amp; $AH$253 &amp; $AE220),0)),"",INDIRECT(CONCATENATE("Table!",ADDRESS($T220,MATCH(G$1,INDIRECT("Table!A" &amp; $AE220):INDIRECT("Table!" &amp; $AH$253 &amp; $AE220),0)))))</f>
        <v/>
      </c>
      <c r="H220" s="24" t="str">
        <f ca="1">IF(ISERROR(MATCH(H$1,INDIRECT("Table!A"&amp;$AE220):INDIRECT("Table!" &amp; $AH$253 &amp; $AE220),0)),"",INDIRECT(CONCATENATE("Table!",ADDRESS($T220,MATCH(H$1,INDIRECT("Table!A" &amp; $AE220):INDIRECT("Table!" &amp; $AH$253 &amp; $AE220),0)))))</f>
        <v/>
      </c>
      <c r="I220" s="273"/>
      <c r="J220" s="273"/>
      <c r="K220" s="24" t="str">
        <f ca="1">IF(ISERROR(MATCH(L$1,INDIRECT("Table!A"&amp;$AE220):INDIRECT("Table!" &amp; $AH$253 &amp; $AE220),0)),"",INDIRECT(CONCATENATE("Table!",ADDRESS($T220,MATCH(L$1,INDIRECT("Table!A" &amp; $AE220):INDIRECT("Table!" &amp; $AH$253 &amp; $AE220),0)))))</f>
        <v/>
      </c>
      <c r="L220" s="24" t="str">
        <f ca="1">IF(ISERROR(MATCH(M$1,INDIRECT("Table!A"&amp;$AE220):INDIRECT("Table!" &amp; $AH$253 &amp; $AE220),0)),"",INDIRECT(CONCATENATE("Table!",ADDRESS($T220,MATCH(M$1,INDIRECT("Table!A" &amp; $AE220):INDIRECT("Table!" &amp; $AH$253 &amp; $AE220),0)))))</f>
        <v/>
      </c>
      <c r="M220" s="24" t="str">
        <f ca="1">IF(ISERROR(MATCH(N$1,INDIRECT("Table!A"&amp;$AE220):INDIRECT("Table!" &amp; $AH$253 &amp; $AE220),0)),"",INDIRECT(CONCATENATE("Table!",ADDRESS($T220,MATCH(N$1,INDIRECT("Table!A" &amp; $AE220):INDIRECT("Table!" &amp; $AH$253 &amp; $AE220),0)))))</f>
        <v/>
      </c>
      <c r="N220" s="24" t="str">
        <f ca="1">IF(ISERROR(MATCH(O$1,INDIRECT("Table!A"&amp;$AE220):INDIRECT("Table!" &amp; $AH$253 &amp; $AE220),0)),"",INDIRECT(CONCATENATE("Table!",ADDRESS($T220,MATCH(O$1,INDIRECT("Table!A" &amp; $AE220):INDIRECT("Table!" &amp; $AH$253 &amp; $AE220),0)))))</f>
        <v/>
      </c>
      <c r="O220" s="24" t="str">
        <f ca="1">IF(ISERROR(MATCH(P$1,INDIRECT("Table!A"&amp;$AE220):INDIRECT("Table!" &amp; $AH$253 &amp; $AE220),0)),"",INDIRECT(CONCATENATE("Table!",ADDRESS($T220,MATCH(P$1,INDIRECT("Table!A" &amp; $AE220):INDIRECT("Table!" &amp; $AH$253 &amp; $AE220),0)))))</f>
        <v/>
      </c>
      <c r="P220" s="273" t="str">
        <f ca="1">IF(ISERROR(MATCH(Q$1,INDIRECT("Table!A"&amp;$AE220):INDIRECT("Table!" &amp; $AH$253 &amp; $AE220),0)),"",INDIRECT(CONCATENATE("Table!",ADDRESS($T220,MATCH(Q$1,INDIRECT("Table!A" &amp; $AE220):INDIRECT("Table!" &amp; $AH$253 &amp; $AE220),0)))))</f>
        <v/>
      </c>
      <c r="Q220" s="103"/>
      <c r="R220" s="103"/>
      <c r="S220" s="103"/>
      <c r="T220" s="22"/>
      <c r="AC220" s="103"/>
      <c r="AD220" s="103"/>
      <c r="AE220" s="22"/>
      <c r="AF220" s="103"/>
      <c r="AG220" s="103"/>
      <c r="AH220" s="103"/>
    </row>
    <row r="221" spans="2:34" ht="18" customHeight="1" x14ac:dyDescent="0.25">
      <c r="B221" s="24"/>
      <c r="C221" s="24" t="str">
        <f ca="1">IF(ISERROR(MATCH(C$1,INDIRECT("Table!A"&amp;$AE221):INDIRECT("Table!" &amp; $AH$253 &amp; $AE221),0)),"",INDIRECT(CONCATENATE("Table!",ADDRESS($T221,MATCH(C$1,INDIRECT("Table!A" &amp; $AE221):INDIRECT("Table!" &amp; $AH$253 &amp; $AE221),0)))))</f>
        <v/>
      </c>
      <c r="D221" s="24" t="str">
        <f ca="1">IF(ISERROR(MATCH(D$1,INDIRECT("Table!A"&amp;$AE221):INDIRECT("Table!" &amp; $AH$253 &amp; $AE221),0)),"",INDIRECT(CONCATENATE("Table!",ADDRESS($T221,MATCH(D$1,INDIRECT("Table!A" &amp; $AE221):INDIRECT("Table!" &amp; $AH$253 &amp; $AE221),0)))))</f>
        <v/>
      </c>
      <c r="E221" s="24" t="str">
        <f ca="1">IF(ISERROR(MATCH(E$1,INDIRECT("Table!A"&amp;$AE221):INDIRECT("Table!" &amp; $AH$253 &amp; $AE221),0)),"",INDIRECT(CONCATENATE("Table!",ADDRESS($T221,MATCH(E$1,INDIRECT("Table!A" &amp; $AE221):INDIRECT("Table!" &amp; $AH$253 &amp; $AE221),0)))))</f>
        <v/>
      </c>
      <c r="F221" s="24" t="str">
        <f ca="1">IF(ISERROR(MATCH(F$1,INDIRECT("Table!A"&amp;$AE221):INDIRECT("Table!" &amp; $AH$253 &amp; $AE221),0)),"",INDIRECT(CONCATENATE("Table!",ADDRESS($T221,MATCH(F$1,INDIRECT("Table!A" &amp; $AE221):INDIRECT("Table!" &amp; $AH$253 &amp; $AE221),0)))))</f>
        <v/>
      </c>
      <c r="G221" s="24" t="str">
        <f ca="1">IF(ISERROR(MATCH(G$1,INDIRECT("Table!A"&amp;$AE221):INDIRECT("Table!" &amp; $AH$253 &amp; $AE221),0)),"",INDIRECT(CONCATENATE("Table!",ADDRESS($T221,MATCH(G$1,INDIRECT("Table!A" &amp; $AE221):INDIRECT("Table!" &amp; $AH$253 &amp; $AE221),0)))))</f>
        <v/>
      </c>
      <c r="H221" s="24" t="str">
        <f ca="1">IF(ISERROR(MATCH(H$1,INDIRECT("Table!A"&amp;$AE221):INDIRECT("Table!" &amp; $AH$253 &amp; $AE221),0)),"",INDIRECT(CONCATENATE("Table!",ADDRESS($T221,MATCH(H$1,INDIRECT("Table!A" &amp; $AE221):INDIRECT("Table!" &amp; $AH$253 &amp; $AE221),0)))))</f>
        <v/>
      </c>
      <c r="I221" s="273"/>
      <c r="J221" s="273"/>
      <c r="K221" s="24" t="str">
        <f ca="1">IF(ISERROR(MATCH(L$1,INDIRECT("Table!A"&amp;$AE221):INDIRECT("Table!" &amp; $AH$253 &amp; $AE221),0)),"",INDIRECT(CONCATENATE("Table!",ADDRESS($T221,MATCH(L$1,INDIRECT("Table!A" &amp; $AE221):INDIRECT("Table!" &amp; $AH$253 &amp; $AE221),0)))))</f>
        <v/>
      </c>
      <c r="L221" s="24" t="str">
        <f ca="1">IF(ISERROR(MATCH(M$1,INDIRECT("Table!A"&amp;$AE221):INDIRECT("Table!" &amp; $AH$253 &amp; $AE221),0)),"",INDIRECT(CONCATENATE("Table!",ADDRESS($T221,MATCH(M$1,INDIRECT("Table!A" &amp; $AE221):INDIRECT("Table!" &amp; $AH$253 &amp; $AE221),0)))))</f>
        <v/>
      </c>
      <c r="M221" s="24" t="str">
        <f ca="1">IF(ISERROR(MATCH(N$1,INDIRECT("Table!A"&amp;$AE221):INDIRECT("Table!" &amp; $AH$253 &amp; $AE221),0)),"",INDIRECT(CONCATENATE("Table!",ADDRESS($T221,MATCH(N$1,INDIRECT("Table!A" &amp; $AE221):INDIRECT("Table!" &amp; $AH$253 &amp; $AE221),0)))))</f>
        <v/>
      </c>
      <c r="N221" s="24" t="str">
        <f ca="1">IF(ISERROR(MATCH(O$1,INDIRECT("Table!A"&amp;$AE221):INDIRECT("Table!" &amp; $AH$253 &amp; $AE221),0)),"",INDIRECT(CONCATENATE("Table!",ADDRESS($T221,MATCH(O$1,INDIRECT("Table!A" &amp; $AE221):INDIRECT("Table!" &amp; $AH$253 &amp; $AE221),0)))))</f>
        <v/>
      </c>
      <c r="O221" s="24" t="str">
        <f ca="1">IF(ISERROR(MATCH(P$1,INDIRECT("Table!A"&amp;$AE221):INDIRECT("Table!" &amp; $AH$253 &amp; $AE221),0)),"",INDIRECT(CONCATENATE("Table!",ADDRESS($T221,MATCH(P$1,INDIRECT("Table!A" &amp; $AE221):INDIRECT("Table!" &amp; $AH$253 &amp; $AE221),0)))))</f>
        <v/>
      </c>
      <c r="P221" s="273" t="str">
        <f ca="1">IF(ISERROR(MATCH(Q$1,INDIRECT("Table!A"&amp;$AE221):INDIRECT("Table!" &amp; $AH$253 &amp; $AE221),0)),"",INDIRECT(CONCATENATE("Table!",ADDRESS($T221,MATCH(Q$1,INDIRECT("Table!A" &amp; $AE221):INDIRECT("Table!" &amp; $AH$253 &amp; $AE221),0)))))</f>
        <v/>
      </c>
      <c r="Q221" s="102"/>
      <c r="R221" s="102"/>
      <c r="S221" s="102"/>
      <c r="T221" s="22"/>
      <c r="AC221" s="102"/>
      <c r="AD221" s="102"/>
      <c r="AE221" s="22"/>
      <c r="AF221" s="102"/>
      <c r="AG221" s="102"/>
      <c r="AH221" s="102"/>
    </row>
    <row r="222" spans="2:34" ht="18" customHeight="1" x14ac:dyDescent="0.25">
      <c r="B222" s="24"/>
      <c r="C222" s="24" t="str">
        <f ca="1">IF(ISERROR(MATCH(C$1,INDIRECT("Table!A"&amp;$AE222):INDIRECT("Table!" &amp; $AH$253 &amp; $AE222),0)),"",INDIRECT(CONCATENATE("Table!",ADDRESS($T222,MATCH(C$1,INDIRECT("Table!A" &amp; $AE222):INDIRECT("Table!" &amp; $AH$253 &amp; $AE222),0)))))</f>
        <v/>
      </c>
      <c r="D222" s="24" t="str">
        <f ca="1">IF(ISERROR(MATCH(D$1,INDIRECT("Table!A"&amp;$AE222):INDIRECT("Table!" &amp; $AH$253 &amp; $AE222),0)),"",INDIRECT(CONCATENATE("Table!",ADDRESS($T222,MATCH(D$1,INDIRECT("Table!A" &amp; $AE222):INDIRECT("Table!" &amp; $AH$253 &amp; $AE222),0)))))</f>
        <v/>
      </c>
      <c r="E222" s="24" t="str">
        <f ca="1">IF(ISERROR(MATCH(E$1,INDIRECT("Table!A"&amp;$AE222):INDIRECT("Table!" &amp; $AH$253 &amp; $AE222),0)),"",INDIRECT(CONCATENATE("Table!",ADDRESS($T222,MATCH(E$1,INDIRECT("Table!A" &amp; $AE222):INDIRECT("Table!" &amp; $AH$253 &amp; $AE222),0)))))</f>
        <v/>
      </c>
      <c r="F222" s="24" t="str">
        <f ca="1">IF(ISERROR(MATCH(F$1,INDIRECT("Table!A"&amp;$AE222):INDIRECT("Table!" &amp; $AH$253 &amp; $AE222),0)),"",INDIRECT(CONCATENATE("Table!",ADDRESS($T222,MATCH(F$1,INDIRECT("Table!A" &amp; $AE222):INDIRECT("Table!" &amp; $AH$253 &amp; $AE222),0)))))</f>
        <v/>
      </c>
      <c r="G222" s="24" t="str">
        <f ca="1">IF(ISERROR(MATCH(G$1,INDIRECT("Table!A"&amp;$AE222):INDIRECT("Table!" &amp; $AH$253 &amp; $AE222),0)),"",INDIRECT(CONCATENATE("Table!",ADDRESS($T222,MATCH(G$1,INDIRECT("Table!A" &amp; $AE222):INDIRECT("Table!" &amp; $AH$253 &amp; $AE222),0)))))</f>
        <v/>
      </c>
      <c r="H222" s="24" t="str">
        <f ca="1">IF(ISERROR(MATCH(H$1,INDIRECT("Table!A"&amp;$AE222):INDIRECT("Table!" &amp; $AH$253 &amp; $AE222),0)),"",INDIRECT(CONCATENATE("Table!",ADDRESS($T222,MATCH(H$1,INDIRECT("Table!A" &amp; $AE222):INDIRECT("Table!" &amp; $AH$253 &amp; $AE222),0)))))</f>
        <v/>
      </c>
      <c r="I222" s="273"/>
      <c r="J222" s="273"/>
      <c r="K222" s="24" t="str">
        <f ca="1">IF(ISERROR(MATCH(L$1,INDIRECT("Table!A"&amp;$AE222):INDIRECT("Table!" &amp; $AH$253 &amp; $AE222),0)),"",INDIRECT(CONCATENATE("Table!",ADDRESS($T222,MATCH(L$1,INDIRECT("Table!A" &amp; $AE222):INDIRECT("Table!" &amp; $AH$253 &amp; $AE222),0)))))</f>
        <v/>
      </c>
      <c r="L222" s="24" t="str">
        <f ca="1">IF(ISERROR(MATCH(M$1,INDIRECT("Table!A"&amp;$AE222):INDIRECT("Table!" &amp; $AH$253 &amp; $AE222),0)),"",INDIRECT(CONCATENATE("Table!",ADDRESS($T222,MATCH(M$1,INDIRECT("Table!A" &amp; $AE222):INDIRECT("Table!" &amp; $AH$253 &amp; $AE222),0)))))</f>
        <v/>
      </c>
      <c r="M222" s="24" t="str">
        <f ca="1">IF(ISERROR(MATCH(N$1,INDIRECT("Table!A"&amp;$AE222):INDIRECT("Table!" &amp; $AH$253 &amp; $AE222),0)),"",INDIRECT(CONCATENATE("Table!",ADDRESS($T222,MATCH(N$1,INDIRECT("Table!A" &amp; $AE222):INDIRECT("Table!" &amp; $AH$253 &amp; $AE222),0)))))</f>
        <v/>
      </c>
      <c r="N222" s="24" t="str">
        <f ca="1">IF(ISERROR(MATCH(O$1,INDIRECT("Table!A"&amp;$AE222):INDIRECT("Table!" &amp; $AH$253 &amp; $AE222),0)),"",INDIRECT(CONCATENATE("Table!",ADDRESS($T222,MATCH(O$1,INDIRECT("Table!A" &amp; $AE222):INDIRECT("Table!" &amp; $AH$253 &amp; $AE222),0)))))</f>
        <v/>
      </c>
      <c r="O222" s="24" t="str">
        <f ca="1">IF(ISERROR(MATCH(P$1,INDIRECT("Table!A"&amp;$AE222):INDIRECT("Table!" &amp; $AH$253 &amp; $AE222),0)),"",INDIRECT(CONCATENATE("Table!",ADDRESS($T222,MATCH(P$1,INDIRECT("Table!A" &amp; $AE222):INDIRECT("Table!" &amp; $AH$253 &amp; $AE222),0)))))</f>
        <v/>
      </c>
      <c r="P222" s="273" t="str">
        <f ca="1">IF(ISERROR(MATCH(Q$1,INDIRECT("Table!A"&amp;$AE222):INDIRECT("Table!" &amp; $AH$253 &amp; $AE222),0)),"",INDIRECT(CONCATENATE("Table!",ADDRESS($T222,MATCH(Q$1,INDIRECT("Table!A" &amp; $AE222):INDIRECT("Table!" &amp; $AH$253 &amp; $AE222),0)))))</f>
        <v/>
      </c>
      <c r="Q222" s="101"/>
      <c r="R222" s="101"/>
      <c r="S222" s="101"/>
      <c r="T222" s="22"/>
      <c r="AC222" s="101"/>
      <c r="AD222" s="101"/>
      <c r="AE222" s="22"/>
      <c r="AF222" s="101"/>
      <c r="AG222" s="101"/>
      <c r="AH222" s="101"/>
    </row>
    <row r="223" spans="2:34" ht="18" customHeight="1" x14ac:dyDescent="0.25">
      <c r="B223" s="24"/>
      <c r="C223" s="24" t="str">
        <f ca="1">IF(ISERROR(MATCH(C$1,INDIRECT("Table!A"&amp;$AE223):INDIRECT("Table!" &amp; $AH$253 &amp; $AE223),0)),"",INDIRECT(CONCATENATE("Table!",ADDRESS($T223,MATCH(C$1,INDIRECT("Table!A" &amp; $AE223):INDIRECT("Table!" &amp; $AH$253 &amp; $AE223),0)))))</f>
        <v/>
      </c>
      <c r="D223" s="24" t="str">
        <f ca="1">IF(ISERROR(MATCH(D$1,INDIRECT("Table!A"&amp;$AE223):INDIRECT("Table!" &amp; $AH$253 &amp; $AE223),0)),"",INDIRECT(CONCATENATE("Table!",ADDRESS($T223,MATCH(D$1,INDIRECT("Table!A" &amp; $AE223):INDIRECT("Table!" &amp; $AH$253 &amp; $AE223),0)))))</f>
        <v/>
      </c>
      <c r="E223" s="24" t="str">
        <f ca="1">IF(ISERROR(MATCH(E$1,INDIRECT("Table!A"&amp;$AE223):INDIRECT("Table!" &amp; $AH$253 &amp; $AE223),0)),"",INDIRECT(CONCATENATE("Table!",ADDRESS($T223,MATCH(E$1,INDIRECT("Table!A" &amp; $AE223):INDIRECT("Table!" &amp; $AH$253 &amp; $AE223),0)))))</f>
        <v/>
      </c>
      <c r="F223" s="24" t="str">
        <f ca="1">IF(ISERROR(MATCH(F$1,INDIRECT("Table!A"&amp;$AE223):INDIRECT("Table!" &amp; $AH$253 &amp; $AE223),0)),"",INDIRECT(CONCATENATE("Table!",ADDRESS($T223,MATCH(F$1,INDIRECT("Table!A" &amp; $AE223):INDIRECT("Table!" &amp; $AH$253 &amp; $AE223),0)))))</f>
        <v/>
      </c>
      <c r="G223" s="24" t="str">
        <f ca="1">IF(ISERROR(MATCH(G$1,INDIRECT("Table!A"&amp;$AE223):INDIRECT("Table!" &amp; $AH$253 &amp; $AE223),0)),"",INDIRECT(CONCATENATE("Table!",ADDRESS($T223,MATCH(G$1,INDIRECT("Table!A" &amp; $AE223):INDIRECT("Table!" &amp; $AH$253 &amp; $AE223),0)))))</f>
        <v/>
      </c>
      <c r="H223" s="24" t="str">
        <f ca="1">IF(ISERROR(MATCH(H$1,INDIRECT("Table!A"&amp;$AE223):INDIRECT("Table!" &amp; $AH$253 &amp; $AE223),0)),"",INDIRECT(CONCATENATE("Table!",ADDRESS($T223,MATCH(H$1,INDIRECT("Table!A" &amp; $AE223):INDIRECT("Table!" &amp; $AH$253 &amp; $AE223),0)))))</f>
        <v/>
      </c>
      <c r="I223" s="273"/>
      <c r="J223" s="273"/>
      <c r="K223" s="24" t="str">
        <f ca="1">IF(ISERROR(MATCH(L$1,INDIRECT("Table!A"&amp;$AE223):INDIRECT("Table!" &amp; $AH$253 &amp; $AE223),0)),"",INDIRECT(CONCATENATE("Table!",ADDRESS($T223,MATCH(L$1,INDIRECT("Table!A" &amp; $AE223):INDIRECT("Table!" &amp; $AH$253 &amp; $AE223),0)))))</f>
        <v/>
      </c>
      <c r="L223" s="24" t="str">
        <f ca="1">IF(ISERROR(MATCH(M$1,INDIRECT("Table!A"&amp;$AE223):INDIRECT("Table!" &amp; $AH$253 &amp; $AE223),0)),"",INDIRECT(CONCATENATE("Table!",ADDRESS($T223,MATCH(M$1,INDIRECT("Table!A" &amp; $AE223):INDIRECT("Table!" &amp; $AH$253 &amp; $AE223),0)))))</f>
        <v/>
      </c>
      <c r="M223" s="24" t="str">
        <f ca="1">IF(ISERROR(MATCH(N$1,INDIRECT("Table!A"&amp;$AE223):INDIRECT("Table!" &amp; $AH$253 &amp; $AE223),0)),"",INDIRECT(CONCATENATE("Table!",ADDRESS($T223,MATCH(N$1,INDIRECT("Table!A" &amp; $AE223):INDIRECT("Table!" &amp; $AH$253 &amp; $AE223),0)))))</f>
        <v/>
      </c>
      <c r="N223" s="24" t="str">
        <f ca="1">IF(ISERROR(MATCH(O$1,INDIRECT("Table!A"&amp;$AE223):INDIRECT("Table!" &amp; $AH$253 &amp; $AE223),0)),"",INDIRECT(CONCATENATE("Table!",ADDRESS($T223,MATCH(O$1,INDIRECT("Table!A" &amp; $AE223):INDIRECT("Table!" &amp; $AH$253 &amp; $AE223),0)))))</f>
        <v/>
      </c>
      <c r="O223" s="24" t="str">
        <f ca="1">IF(ISERROR(MATCH(P$1,INDIRECT("Table!A"&amp;$AE223):INDIRECT("Table!" &amp; $AH$253 &amp; $AE223),0)),"",INDIRECT(CONCATENATE("Table!",ADDRESS($T223,MATCH(P$1,INDIRECT("Table!A" &amp; $AE223):INDIRECT("Table!" &amp; $AH$253 &amp; $AE223),0)))))</f>
        <v/>
      </c>
      <c r="P223" s="273" t="str">
        <f ca="1">IF(ISERROR(MATCH(Q$1,INDIRECT("Table!A"&amp;$AE223):INDIRECT("Table!" &amp; $AH$253 &amp; $AE223),0)),"",INDIRECT(CONCATENATE("Table!",ADDRESS($T223,MATCH(Q$1,INDIRECT("Table!A" &amp; $AE223):INDIRECT("Table!" &amp; $AH$253 &amp; $AE223),0)))))</f>
        <v/>
      </c>
      <c r="Q223" s="100"/>
      <c r="R223" s="100"/>
      <c r="S223" s="100"/>
      <c r="T223" s="22"/>
      <c r="AC223" s="100"/>
      <c r="AD223" s="100"/>
      <c r="AE223" s="22"/>
      <c r="AF223" s="100"/>
      <c r="AG223" s="100"/>
      <c r="AH223" s="100"/>
    </row>
    <row r="224" spans="2:34" ht="18" customHeight="1" x14ac:dyDescent="0.25">
      <c r="B224" s="24"/>
      <c r="C224" s="24" t="str">
        <f ca="1">IF(ISERROR(MATCH(C$1,INDIRECT("Table!A"&amp;$AE224):INDIRECT("Table!" &amp; $AH$253 &amp; $AE224),0)),"",INDIRECT(CONCATENATE("Table!",ADDRESS($T224,MATCH(C$1,INDIRECT("Table!A" &amp; $AE224):INDIRECT("Table!" &amp; $AH$253 &amp; $AE224),0)))))</f>
        <v/>
      </c>
      <c r="D224" s="24" t="str">
        <f ca="1">IF(ISERROR(MATCH(D$1,INDIRECT("Table!A"&amp;$AE224):INDIRECT("Table!" &amp; $AH$253 &amp; $AE224),0)),"",INDIRECT(CONCATENATE("Table!",ADDRESS($T224,MATCH(D$1,INDIRECT("Table!A" &amp; $AE224):INDIRECT("Table!" &amp; $AH$253 &amp; $AE224),0)))))</f>
        <v/>
      </c>
      <c r="E224" s="24" t="str">
        <f ca="1">IF(ISERROR(MATCH(E$1,INDIRECT("Table!A"&amp;$AE224):INDIRECT("Table!" &amp; $AH$253 &amp; $AE224),0)),"",INDIRECT(CONCATENATE("Table!",ADDRESS($T224,MATCH(E$1,INDIRECT("Table!A" &amp; $AE224):INDIRECT("Table!" &amp; $AH$253 &amp; $AE224),0)))))</f>
        <v/>
      </c>
      <c r="F224" s="24" t="str">
        <f ca="1">IF(ISERROR(MATCH(F$1,INDIRECT("Table!A"&amp;$AE224):INDIRECT("Table!" &amp; $AH$253 &amp; $AE224),0)),"",INDIRECT(CONCATENATE("Table!",ADDRESS($T224,MATCH(F$1,INDIRECT("Table!A" &amp; $AE224):INDIRECT("Table!" &amp; $AH$253 &amp; $AE224),0)))))</f>
        <v/>
      </c>
      <c r="G224" s="24" t="str">
        <f ca="1">IF(ISERROR(MATCH(G$1,INDIRECT("Table!A"&amp;$AE224):INDIRECT("Table!" &amp; $AH$253 &amp; $AE224),0)),"",INDIRECT(CONCATENATE("Table!",ADDRESS($T224,MATCH(G$1,INDIRECT("Table!A" &amp; $AE224):INDIRECT("Table!" &amp; $AH$253 &amp; $AE224),0)))))</f>
        <v/>
      </c>
      <c r="H224" s="24" t="str">
        <f ca="1">IF(ISERROR(MATCH(H$1,INDIRECT("Table!A"&amp;$AE224):INDIRECT("Table!" &amp; $AH$253 &amp; $AE224),0)),"",INDIRECT(CONCATENATE("Table!",ADDRESS($T224,MATCH(H$1,INDIRECT("Table!A" &amp; $AE224):INDIRECT("Table!" &amp; $AH$253 &amp; $AE224),0)))))</f>
        <v/>
      </c>
      <c r="I224" s="273"/>
      <c r="J224" s="273"/>
      <c r="K224" s="24" t="str">
        <f ca="1">IF(ISERROR(MATCH(L$1,INDIRECT("Table!A"&amp;$AE224):INDIRECT("Table!" &amp; $AH$253 &amp; $AE224),0)),"",INDIRECT(CONCATENATE("Table!",ADDRESS($T224,MATCH(L$1,INDIRECT("Table!A" &amp; $AE224):INDIRECT("Table!" &amp; $AH$253 &amp; $AE224),0)))))</f>
        <v/>
      </c>
      <c r="L224" s="24" t="str">
        <f ca="1">IF(ISERROR(MATCH(M$1,INDIRECT("Table!A"&amp;$AE224):INDIRECT("Table!" &amp; $AH$253 &amp; $AE224),0)),"",INDIRECT(CONCATENATE("Table!",ADDRESS($T224,MATCH(M$1,INDIRECT("Table!A" &amp; $AE224):INDIRECT("Table!" &amp; $AH$253 &amp; $AE224),0)))))</f>
        <v/>
      </c>
      <c r="M224" s="24" t="str">
        <f ca="1">IF(ISERROR(MATCH(N$1,INDIRECT("Table!A"&amp;$AE224):INDIRECT("Table!" &amp; $AH$253 &amp; $AE224),0)),"",INDIRECT(CONCATENATE("Table!",ADDRESS($T224,MATCH(N$1,INDIRECT("Table!A" &amp; $AE224):INDIRECT("Table!" &amp; $AH$253 &amp; $AE224),0)))))</f>
        <v/>
      </c>
      <c r="N224" s="24" t="str">
        <f ca="1">IF(ISERROR(MATCH(O$1,INDIRECT("Table!A"&amp;$AE224):INDIRECT("Table!" &amp; $AH$253 &amp; $AE224),0)),"",INDIRECT(CONCATENATE("Table!",ADDRESS($T224,MATCH(O$1,INDIRECT("Table!A" &amp; $AE224):INDIRECT("Table!" &amp; $AH$253 &amp; $AE224),0)))))</f>
        <v/>
      </c>
      <c r="O224" s="24" t="str">
        <f ca="1">IF(ISERROR(MATCH(P$1,INDIRECT("Table!A"&amp;$AE224):INDIRECT("Table!" &amp; $AH$253 &amp; $AE224),0)),"",INDIRECT(CONCATENATE("Table!",ADDRESS($T224,MATCH(P$1,INDIRECT("Table!A" &amp; $AE224):INDIRECT("Table!" &amp; $AH$253 &amp; $AE224),0)))))</f>
        <v/>
      </c>
      <c r="P224" s="273" t="str">
        <f ca="1">IF(ISERROR(MATCH(Q$1,INDIRECT("Table!A"&amp;$AE224):INDIRECT("Table!" &amp; $AH$253 &amp; $AE224),0)),"",INDIRECT(CONCATENATE("Table!",ADDRESS($T224,MATCH(Q$1,INDIRECT("Table!A" &amp; $AE224):INDIRECT("Table!" &amp; $AH$253 &amp; $AE224),0)))))</f>
        <v/>
      </c>
      <c r="Q224" s="99"/>
      <c r="R224" s="99"/>
      <c r="S224" s="99"/>
      <c r="T224" s="22"/>
      <c r="AC224" s="99"/>
      <c r="AD224" s="99"/>
      <c r="AE224" s="22"/>
      <c r="AF224" s="99"/>
      <c r="AG224" s="99"/>
      <c r="AH224" s="99"/>
    </row>
    <row r="225" spans="2:34" ht="18" customHeight="1" x14ac:dyDescent="0.25">
      <c r="B225" s="24"/>
      <c r="C225" s="24" t="str">
        <f ca="1">IF(ISERROR(MATCH(C$1,INDIRECT("Table!A"&amp;$AE225):INDIRECT("Table!" &amp; $AH$253 &amp; $AE225),0)),"",INDIRECT(CONCATENATE("Table!",ADDRESS($T225,MATCH(C$1,INDIRECT("Table!A" &amp; $AE225):INDIRECT("Table!" &amp; $AH$253 &amp; $AE225),0)))))</f>
        <v/>
      </c>
      <c r="D225" s="24" t="str">
        <f ca="1">IF(ISERROR(MATCH(D$1,INDIRECT("Table!A"&amp;$AE225):INDIRECT("Table!" &amp; $AH$253 &amp; $AE225),0)),"",INDIRECT(CONCATENATE("Table!",ADDRESS($T225,MATCH(D$1,INDIRECT("Table!A" &amp; $AE225):INDIRECT("Table!" &amp; $AH$253 &amp; $AE225),0)))))</f>
        <v/>
      </c>
      <c r="E225" s="24" t="str">
        <f ca="1">IF(ISERROR(MATCH(E$1,INDIRECT("Table!A"&amp;$AE225):INDIRECT("Table!" &amp; $AH$253 &amp; $AE225),0)),"",INDIRECT(CONCATENATE("Table!",ADDRESS($T225,MATCH(E$1,INDIRECT("Table!A" &amp; $AE225):INDIRECT("Table!" &amp; $AH$253 &amp; $AE225),0)))))</f>
        <v/>
      </c>
      <c r="F225" s="24" t="str">
        <f ca="1">IF(ISERROR(MATCH(F$1,INDIRECT("Table!A"&amp;$AE225):INDIRECT("Table!" &amp; $AH$253 &amp; $AE225),0)),"",INDIRECT(CONCATENATE("Table!",ADDRESS($T225,MATCH(F$1,INDIRECT("Table!A" &amp; $AE225):INDIRECT("Table!" &amp; $AH$253 &amp; $AE225),0)))))</f>
        <v/>
      </c>
      <c r="G225" s="24" t="str">
        <f ca="1">IF(ISERROR(MATCH(G$1,INDIRECT("Table!A"&amp;$AE225):INDIRECT("Table!" &amp; $AH$253 &amp; $AE225),0)),"",INDIRECT(CONCATENATE("Table!",ADDRESS($T225,MATCH(G$1,INDIRECT("Table!A" &amp; $AE225):INDIRECT("Table!" &amp; $AH$253 &amp; $AE225),0)))))</f>
        <v/>
      </c>
      <c r="H225" s="24" t="str">
        <f ca="1">IF(ISERROR(MATCH(H$1,INDIRECT("Table!A"&amp;$AE225):INDIRECT("Table!" &amp; $AH$253 &amp; $AE225),0)),"",INDIRECT(CONCATENATE("Table!",ADDRESS($T225,MATCH(H$1,INDIRECT("Table!A" &amp; $AE225):INDIRECT("Table!" &amp; $AH$253 &amp; $AE225),0)))))</f>
        <v/>
      </c>
      <c r="I225" s="273"/>
      <c r="J225" s="273"/>
      <c r="K225" s="24" t="str">
        <f ca="1">IF(ISERROR(MATCH(L$1,INDIRECT("Table!A"&amp;$AE225):INDIRECT("Table!" &amp; $AH$253 &amp; $AE225),0)),"",INDIRECT(CONCATENATE("Table!",ADDRESS($T225,MATCH(L$1,INDIRECT("Table!A" &amp; $AE225):INDIRECT("Table!" &amp; $AH$253 &amp; $AE225),0)))))</f>
        <v/>
      </c>
      <c r="L225" s="24" t="str">
        <f ca="1">IF(ISERROR(MATCH(M$1,INDIRECT("Table!A"&amp;$AE225):INDIRECT("Table!" &amp; $AH$253 &amp; $AE225),0)),"",INDIRECT(CONCATENATE("Table!",ADDRESS($T225,MATCH(M$1,INDIRECT("Table!A" &amp; $AE225):INDIRECT("Table!" &amp; $AH$253 &amp; $AE225),0)))))</f>
        <v/>
      </c>
      <c r="M225" s="24" t="str">
        <f ca="1">IF(ISERROR(MATCH(N$1,INDIRECT("Table!A"&amp;$AE225):INDIRECT("Table!" &amp; $AH$253 &amp; $AE225),0)),"",INDIRECT(CONCATENATE("Table!",ADDRESS($T225,MATCH(N$1,INDIRECT("Table!A" &amp; $AE225):INDIRECT("Table!" &amp; $AH$253 &amp; $AE225),0)))))</f>
        <v/>
      </c>
      <c r="N225" s="24" t="str">
        <f ca="1">IF(ISERROR(MATCH(O$1,INDIRECT("Table!A"&amp;$AE225):INDIRECT("Table!" &amp; $AH$253 &amp; $AE225),0)),"",INDIRECT(CONCATENATE("Table!",ADDRESS($T225,MATCH(O$1,INDIRECT("Table!A" &amp; $AE225):INDIRECT("Table!" &amp; $AH$253 &amp; $AE225),0)))))</f>
        <v/>
      </c>
      <c r="O225" s="24" t="str">
        <f ca="1">IF(ISERROR(MATCH(P$1,INDIRECT("Table!A"&amp;$AE225):INDIRECT("Table!" &amp; $AH$253 &amp; $AE225),0)),"",INDIRECT(CONCATENATE("Table!",ADDRESS($T225,MATCH(P$1,INDIRECT("Table!A" &amp; $AE225):INDIRECT("Table!" &amp; $AH$253 &amp; $AE225),0)))))</f>
        <v/>
      </c>
      <c r="P225" s="273" t="str">
        <f ca="1">IF(ISERROR(MATCH(Q$1,INDIRECT("Table!A"&amp;$AE225):INDIRECT("Table!" &amp; $AH$253 &amp; $AE225),0)),"",INDIRECT(CONCATENATE("Table!",ADDRESS($T225,MATCH(Q$1,INDIRECT("Table!A" &amp; $AE225):INDIRECT("Table!" &amp; $AH$253 &amp; $AE225),0)))))</f>
        <v/>
      </c>
      <c r="Q225" s="98"/>
      <c r="R225" s="98"/>
      <c r="S225" s="98"/>
      <c r="T225" s="22"/>
      <c r="AC225" s="98"/>
      <c r="AD225" s="98"/>
      <c r="AE225" s="22"/>
      <c r="AF225" s="98"/>
      <c r="AG225" s="98"/>
      <c r="AH225" s="98"/>
    </row>
    <row r="226" spans="2:34" ht="18" customHeight="1" x14ac:dyDescent="0.25">
      <c r="B226" s="24"/>
      <c r="C226" s="24" t="str">
        <f ca="1">IF(ISERROR(MATCH(C$1,INDIRECT("Table!A"&amp;$AE226):INDIRECT("Table!" &amp; $AH$253 &amp; $AE226),0)),"",INDIRECT(CONCATENATE("Table!",ADDRESS($T226,MATCH(C$1,INDIRECT("Table!A" &amp; $AE226):INDIRECT("Table!" &amp; $AH$253 &amp; $AE226),0)))))</f>
        <v/>
      </c>
      <c r="D226" s="24" t="str">
        <f ca="1">IF(ISERROR(MATCH(D$1,INDIRECT("Table!A"&amp;$AE226):INDIRECT("Table!" &amp; $AH$253 &amp; $AE226),0)),"",INDIRECT(CONCATENATE("Table!",ADDRESS($T226,MATCH(D$1,INDIRECT("Table!A" &amp; $AE226):INDIRECT("Table!" &amp; $AH$253 &amp; $AE226),0)))))</f>
        <v/>
      </c>
      <c r="E226" s="24" t="str">
        <f ca="1">IF(ISERROR(MATCH(E$1,INDIRECT("Table!A"&amp;$AE226):INDIRECT("Table!" &amp; $AH$253 &amp; $AE226),0)),"",INDIRECT(CONCATENATE("Table!",ADDRESS($T226,MATCH(E$1,INDIRECT("Table!A" &amp; $AE226):INDIRECT("Table!" &amp; $AH$253 &amp; $AE226),0)))))</f>
        <v/>
      </c>
      <c r="F226" s="24" t="str">
        <f ca="1">IF(ISERROR(MATCH(F$1,INDIRECT("Table!A"&amp;$AE226):INDIRECT("Table!" &amp; $AH$253 &amp; $AE226),0)),"",INDIRECT(CONCATENATE("Table!",ADDRESS($T226,MATCH(F$1,INDIRECT("Table!A" &amp; $AE226):INDIRECT("Table!" &amp; $AH$253 &amp; $AE226),0)))))</f>
        <v/>
      </c>
      <c r="G226" s="24" t="str">
        <f ca="1">IF(ISERROR(MATCH(G$1,INDIRECT("Table!A"&amp;$AE226):INDIRECT("Table!" &amp; $AH$253 &amp; $AE226),0)),"",INDIRECT(CONCATENATE("Table!",ADDRESS($T226,MATCH(G$1,INDIRECT("Table!A" &amp; $AE226):INDIRECT("Table!" &amp; $AH$253 &amp; $AE226),0)))))</f>
        <v/>
      </c>
      <c r="H226" s="24" t="str">
        <f ca="1">IF(ISERROR(MATCH(H$1,INDIRECT("Table!A"&amp;$AE226):INDIRECT("Table!" &amp; $AH$253 &amp; $AE226),0)),"",INDIRECT(CONCATENATE("Table!",ADDRESS($T226,MATCH(H$1,INDIRECT("Table!A" &amp; $AE226):INDIRECT("Table!" &amp; $AH$253 &amp; $AE226),0)))))</f>
        <v/>
      </c>
      <c r="I226" s="273"/>
      <c r="J226" s="273"/>
      <c r="K226" s="24" t="str">
        <f ca="1">IF(ISERROR(MATCH(L$1,INDIRECT("Table!A"&amp;$AE226):INDIRECT("Table!" &amp; $AH$253 &amp; $AE226),0)),"",INDIRECT(CONCATENATE("Table!",ADDRESS($T226,MATCH(L$1,INDIRECT("Table!A" &amp; $AE226):INDIRECT("Table!" &amp; $AH$253 &amp; $AE226),0)))))</f>
        <v/>
      </c>
      <c r="L226" s="24" t="str">
        <f ca="1">IF(ISERROR(MATCH(M$1,INDIRECT("Table!A"&amp;$AE226):INDIRECT("Table!" &amp; $AH$253 &amp; $AE226),0)),"",INDIRECT(CONCATENATE("Table!",ADDRESS($T226,MATCH(M$1,INDIRECT("Table!A" &amp; $AE226):INDIRECT("Table!" &amp; $AH$253 &amp; $AE226),0)))))</f>
        <v/>
      </c>
      <c r="M226" s="24" t="str">
        <f ca="1">IF(ISERROR(MATCH(N$1,INDIRECT("Table!A"&amp;$AE226):INDIRECT("Table!" &amp; $AH$253 &amp; $AE226),0)),"",INDIRECT(CONCATENATE("Table!",ADDRESS($T226,MATCH(N$1,INDIRECT("Table!A" &amp; $AE226):INDIRECT("Table!" &amp; $AH$253 &amp; $AE226),0)))))</f>
        <v/>
      </c>
      <c r="N226" s="24" t="str">
        <f ca="1">IF(ISERROR(MATCH(O$1,INDIRECT("Table!A"&amp;$AE226):INDIRECT("Table!" &amp; $AH$253 &amp; $AE226),0)),"",INDIRECT(CONCATENATE("Table!",ADDRESS($T226,MATCH(O$1,INDIRECT("Table!A" &amp; $AE226):INDIRECT("Table!" &amp; $AH$253 &amp; $AE226),0)))))</f>
        <v/>
      </c>
      <c r="O226" s="24" t="str">
        <f ca="1">IF(ISERROR(MATCH(P$1,INDIRECT("Table!A"&amp;$AE226):INDIRECT("Table!" &amp; $AH$253 &amp; $AE226),0)),"",INDIRECT(CONCATENATE("Table!",ADDRESS($T226,MATCH(P$1,INDIRECT("Table!A" &amp; $AE226):INDIRECT("Table!" &amp; $AH$253 &amp; $AE226),0)))))</f>
        <v/>
      </c>
      <c r="P226" s="273" t="str">
        <f ca="1">IF(ISERROR(MATCH(Q$1,INDIRECT("Table!A"&amp;$AE226):INDIRECT("Table!" &amp; $AH$253 &amp; $AE226),0)),"",INDIRECT(CONCATENATE("Table!",ADDRESS($T226,MATCH(Q$1,INDIRECT("Table!A" &amp; $AE226):INDIRECT("Table!" &amp; $AH$253 &amp; $AE226),0)))))</f>
        <v/>
      </c>
      <c r="Q226" s="98"/>
      <c r="R226" s="98"/>
      <c r="S226" s="98"/>
      <c r="T226" s="22"/>
      <c r="AC226" s="98"/>
      <c r="AD226" s="98"/>
      <c r="AE226" s="22"/>
      <c r="AF226" s="98"/>
      <c r="AG226" s="98"/>
      <c r="AH226" s="98"/>
    </row>
    <row r="227" spans="2:34" ht="18" customHeight="1" x14ac:dyDescent="0.25">
      <c r="B227" s="24"/>
      <c r="C227" s="24" t="str">
        <f ca="1">IF(ISERROR(MATCH(C$1,INDIRECT("Table!A"&amp;$AE227):INDIRECT("Table!" &amp; $AH$253 &amp; $AE227),0)),"",INDIRECT(CONCATENATE("Table!",ADDRESS($T227,MATCH(C$1,INDIRECT("Table!A" &amp; $AE227):INDIRECT("Table!" &amp; $AH$253 &amp; $AE227),0)))))</f>
        <v/>
      </c>
      <c r="D227" s="24" t="str">
        <f ca="1">IF(ISERROR(MATCH(D$1,INDIRECT("Table!A"&amp;$AE227):INDIRECT("Table!" &amp; $AH$253 &amp; $AE227),0)),"",INDIRECT(CONCATENATE("Table!",ADDRESS($T227,MATCH(D$1,INDIRECT("Table!A" &amp; $AE227):INDIRECT("Table!" &amp; $AH$253 &amp; $AE227),0)))))</f>
        <v/>
      </c>
      <c r="E227" s="24" t="str">
        <f ca="1">IF(ISERROR(MATCH(E$1,INDIRECT("Table!A"&amp;$AE227):INDIRECT("Table!" &amp; $AH$253 &amp; $AE227),0)),"",INDIRECT(CONCATENATE("Table!",ADDRESS($T227,MATCH(E$1,INDIRECT("Table!A" &amp; $AE227):INDIRECT("Table!" &amp; $AH$253 &amp; $AE227),0)))))</f>
        <v/>
      </c>
      <c r="F227" s="24" t="str">
        <f ca="1">IF(ISERROR(MATCH(F$1,INDIRECT("Table!A"&amp;$AE227):INDIRECT("Table!" &amp; $AH$253 &amp; $AE227),0)),"",INDIRECT(CONCATENATE("Table!",ADDRESS($T227,MATCH(F$1,INDIRECT("Table!A" &amp; $AE227):INDIRECT("Table!" &amp; $AH$253 &amp; $AE227),0)))))</f>
        <v/>
      </c>
      <c r="G227" s="24" t="str">
        <f ca="1">IF(ISERROR(MATCH(G$1,INDIRECT("Table!A"&amp;$AE227):INDIRECT("Table!" &amp; $AH$253 &amp; $AE227),0)),"",INDIRECT(CONCATENATE("Table!",ADDRESS($T227,MATCH(G$1,INDIRECT("Table!A" &amp; $AE227):INDIRECT("Table!" &amp; $AH$253 &amp; $AE227),0)))))</f>
        <v/>
      </c>
      <c r="H227" s="24" t="str">
        <f ca="1">IF(ISERROR(MATCH(H$1,INDIRECT("Table!A"&amp;$AE227):INDIRECT("Table!" &amp; $AH$253 &amp; $AE227),0)),"",INDIRECT(CONCATENATE("Table!",ADDRESS($T227,MATCH(H$1,INDIRECT("Table!A" &amp; $AE227):INDIRECT("Table!" &amp; $AH$253 &amp; $AE227),0)))))</f>
        <v/>
      </c>
      <c r="I227" s="273"/>
      <c r="J227" s="273"/>
      <c r="K227" s="24" t="str">
        <f ca="1">IF(ISERROR(MATCH(L$1,INDIRECT("Table!A"&amp;$AE227):INDIRECT("Table!" &amp; $AH$253 &amp; $AE227),0)),"",INDIRECT(CONCATENATE("Table!",ADDRESS($T227,MATCH(L$1,INDIRECT("Table!A" &amp; $AE227):INDIRECT("Table!" &amp; $AH$253 &amp; $AE227),0)))))</f>
        <v/>
      </c>
      <c r="L227" s="24" t="str">
        <f ca="1">IF(ISERROR(MATCH(M$1,INDIRECT("Table!A"&amp;$AE227):INDIRECT("Table!" &amp; $AH$253 &amp; $AE227),0)),"",INDIRECT(CONCATENATE("Table!",ADDRESS($T227,MATCH(M$1,INDIRECT("Table!A" &amp; $AE227):INDIRECT("Table!" &amp; $AH$253 &amp; $AE227),0)))))</f>
        <v/>
      </c>
      <c r="M227" s="24" t="str">
        <f ca="1">IF(ISERROR(MATCH(N$1,INDIRECT("Table!A"&amp;$AE227):INDIRECT("Table!" &amp; $AH$253 &amp; $AE227),0)),"",INDIRECT(CONCATENATE("Table!",ADDRESS($T227,MATCH(N$1,INDIRECT("Table!A" &amp; $AE227):INDIRECT("Table!" &amp; $AH$253 &amp; $AE227),0)))))</f>
        <v/>
      </c>
      <c r="N227" s="24" t="str">
        <f ca="1">IF(ISERROR(MATCH(O$1,INDIRECT("Table!A"&amp;$AE227):INDIRECT("Table!" &amp; $AH$253 &amp; $AE227),0)),"",INDIRECT(CONCATENATE("Table!",ADDRESS($T227,MATCH(O$1,INDIRECT("Table!A" &amp; $AE227):INDIRECT("Table!" &amp; $AH$253 &amp; $AE227),0)))))</f>
        <v/>
      </c>
      <c r="O227" s="24" t="str">
        <f ca="1">IF(ISERROR(MATCH(P$1,INDIRECT("Table!A"&amp;$AE227):INDIRECT("Table!" &amp; $AH$253 &amp; $AE227),0)),"",INDIRECT(CONCATENATE("Table!",ADDRESS($T227,MATCH(P$1,INDIRECT("Table!A" &amp; $AE227):INDIRECT("Table!" &amp; $AH$253 &amp; $AE227),0)))))</f>
        <v/>
      </c>
      <c r="P227" s="273" t="str">
        <f ca="1">IF(ISERROR(MATCH(Q$1,INDIRECT("Table!A"&amp;$AE227):INDIRECT("Table!" &amp; $AH$253 &amp; $AE227),0)),"",INDIRECT(CONCATENATE("Table!",ADDRESS($T227,MATCH(Q$1,INDIRECT("Table!A" &amp; $AE227):INDIRECT("Table!" &amp; $AH$253 &amp; $AE227),0)))))</f>
        <v/>
      </c>
      <c r="Q227" s="96"/>
      <c r="R227" s="96"/>
      <c r="S227" s="96"/>
      <c r="T227" s="22"/>
      <c r="AC227" s="96"/>
      <c r="AD227" s="96"/>
      <c r="AE227" s="22"/>
      <c r="AF227" s="96"/>
      <c r="AG227" s="96"/>
      <c r="AH227" s="96"/>
    </row>
    <row r="228" spans="2:34" ht="18" customHeight="1" x14ac:dyDescent="0.25">
      <c r="B228" s="24"/>
      <c r="C228" s="24" t="str">
        <f ca="1">IF(ISERROR(MATCH(C$1,INDIRECT("Table!A"&amp;$AE228):INDIRECT("Table!" &amp; $AH$253 &amp; $AE228),0)),"",INDIRECT(CONCATENATE("Table!",ADDRESS($T228,MATCH(C$1,INDIRECT("Table!A" &amp; $AE228):INDIRECT("Table!" &amp; $AH$253 &amp; $AE228),0)))))</f>
        <v/>
      </c>
      <c r="D228" s="24" t="str">
        <f ca="1">IF(ISERROR(MATCH(D$1,INDIRECT("Table!A"&amp;$AE228):INDIRECT("Table!" &amp; $AH$253 &amp; $AE228),0)),"",INDIRECT(CONCATENATE("Table!",ADDRESS($T228,MATCH(D$1,INDIRECT("Table!A" &amp; $AE228):INDIRECT("Table!" &amp; $AH$253 &amp; $AE228),0)))))</f>
        <v/>
      </c>
      <c r="E228" s="24" t="str">
        <f ca="1">IF(ISERROR(MATCH(E$1,INDIRECT("Table!A"&amp;$AE228):INDIRECT("Table!" &amp; $AH$253 &amp; $AE228),0)),"",INDIRECT(CONCATENATE("Table!",ADDRESS($T228,MATCH(E$1,INDIRECT("Table!A" &amp; $AE228):INDIRECT("Table!" &amp; $AH$253 &amp; $AE228),0)))))</f>
        <v/>
      </c>
      <c r="F228" s="24" t="str">
        <f ca="1">IF(ISERROR(MATCH(F$1,INDIRECT("Table!A"&amp;$AE228):INDIRECT("Table!" &amp; $AH$253 &amp; $AE228),0)),"",INDIRECT(CONCATENATE("Table!",ADDRESS($T228,MATCH(F$1,INDIRECT("Table!A" &amp; $AE228):INDIRECT("Table!" &amp; $AH$253 &amp; $AE228),0)))))</f>
        <v/>
      </c>
      <c r="G228" s="24" t="str">
        <f ca="1">IF(ISERROR(MATCH(G$1,INDIRECT("Table!A"&amp;$AE228):INDIRECT("Table!" &amp; $AH$253 &amp; $AE228),0)),"",INDIRECT(CONCATENATE("Table!",ADDRESS($T228,MATCH(G$1,INDIRECT("Table!A" &amp; $AE228):INDIRECT("Table!" &amp; $AH$253 &amp; $AE228),0)))))</f>
        <v/>
      </c>
      <c r="H228" s="24" t="str">
        <f ca="1">IF(ISERROR(MATCH(H$1,INDIRECT("Table!A"&amp;$AE228):INDIRECT("Table!" &amp; $AH$253 &amp; $AE228),0)),"",INDIRECT(CONCATENATE("Table!",ADDRESS($T228,MATCH(H$1,INDIRECT("Table!A" &amp; $AE228):INDIRECT("Table!" &amp; $AH$253 &amp; $AE228),0)))))</f>
        <v/>
      </c>
      <c r="I228" s="273"/>
      <c r="J228" s="273"/>
      <c r="K228" s="24" t="str">
        <f ca="1">IF(ISERROR(MATCH(L$1,INDIRECT("Table!A"&amp;$AE228):INDIRECT("Table!" &amp; $AH$253 &amp; $AE228),0)),"",INDIRECT(CONCATENATE("Table!",ADDRESS($T228,MATCH(L$1,INDIRECT("Table!A" &amp; $AE228):INDIRECT("Table!" &amp; $AH$253 &amp; $AE228),0)))))</f>
        <v/>
      </c>
      <c r="L228" s="24" t="str">
        <f ca="1">IF(ISERROR(MATCH(M$1,INDIRECT("Table!A"&amp;$AE228):INDIRECT("Table!" &amp; $AH$253 &amp; $AE228),0)),"",INDIRECT(CONCATENATE("Table!",ADDRESS($T228,MATCH(M$1,INDIRECT("Table!A" &amp; $AE228):INDIRECT("Table!" &amp; $AH$253 &amp; $AE228),0)))))</f>
        <v/>
      </c>
      <c r="M228" s="24" t="str">
        <f ca="1">IF(ISERROR(MATCH(N$1,INDIRECT("Table!A"&amp;$AE228):INDIRECT("Table!" &amp; $AH$253 &amp; $AE228),0)),"",INDIRECT(CONCATENATE("Table!",ADDRESS($T228,MATCH(N$1,INDIRECT("Table!A" &amp; $AE228):INDIRECT("Table!" &amp; $AH$253 &amp; $AE228),0)))))</f>
        <v/>
      </c>
      <c r="N228" s="24" t="str">
        <f ca="1">IF(ISERROR(MATCH(O$1,INDIRECT("Table!A"&amp;$AE228):INDIRECT("Table!" &amp; $AH$253 &amp; $AE228),0)),"",INDIRECT(CONCATENATE("Table!",ADDRESS($T228,MATCH(O$1,INDIRECT("Table!A" &amp; $AE228):INDIRECT("Table!" &amp; $AH$253 &amp; $AE228),0)))))</f>
        <v/>
      </c>
      <c r="O228" s="24" t="str">
        <f ca="1">IF(ISERROR(MATCH(P$1,INDIRECT("Table!A"&amp;$AE228):INDIRECT("Table!" &amp; $AH$253 &amp; $AE228),0)),"",INDIRECT(CONCATENATE("Table!",ADDRESS($T228,MATCH(P$1,INDIRECT("Table!A" &amp; $AE228):INDIRECT("Table!" &amp; $AH$253 &amp; $AE228),0)))))</f>
        <v/>
      </c>
      <c r="P228" s="273" t="str">
        <f ca="1">IF(ISERROR(MATCH(Q$1,INDIRECT("Table!A"&amp;$AE228):INDIRECT("Table!" &amp; $AH$253 &amp; $AE228),0)),"",INDIRECT(CONCATENATE("Table!",ADDRESS($T228,MATCH(Q$1,INDIRECT("Table!A" &amp; $AE228):INDIRECT("Table!" &amp; $AH$253 &amp; $AE228),0)))))</f>
        <v/>
      </c>
      <c r="Q228" s="95"/>
      <c r="R228" s="95"/>
      <c r="S228" s="95"/>
      <c r="T228" s="22"/>
      <c r="AC228" s="95"/>
      <c r="AD228" s="95"/>
      <c r="AE228" s="22"/>
      <c r="AF228" s="95"/>
      <c r="AG228" s="95"/>
      <c r="AH228" s="95"/>
    </row>
    <row r="229" spans="2:34" ht="18" customHeight="1" x14ac:dyDescent="0.25">
      <c r="B229" s="24"/>
      <c r="C229" s="24" t="str">
        <f ca="1">IF(ISERROR(MATCH(C$1,INDIRECT("Table!A"&amp;$AE229):INDIRECT("Table!" &amp; $AH$253 &amp; $AE229),0)),"",INDIRECT(CONCATENATE("Table!",ADDRESS($T229,MATCH(C$1,INDIRECT("Table!A" &amp; $AE229):INDIRECT("Table!" &amp; $AH$253 &amp; $AE229),0)))))</f>
        <v/>
      </c>
      <c r="D229" s="24" t="str">
        <f ca="1">IF(ISERROR(MATCH(D$1,INDIRECT("Table!A"&amp;$AE229):INDIRECT("Table!" &amp; $AH$253 &amp; $AE229),0)),"",INDIRECT(CONCATENATE("Table!",ADDRESS($T229,MATCH(D$1,INDIRECT("Table!A" &amp; $AE229):INDIRECT("Table!" &amp; $AH$253 &amp; $AE229),0)))))</f>
        <v/>
      </c>
      <c r="E229" s="24" t="str">
        <f ca="1">IF(ISERROR(MATCH(E$1,INDIRECT("Table!A"&amp;$AE229):INDIRECT("Table!" &amp; $AH$253 &amp; $AE229),0)),"",INDIRECT(CONCATENATE("Table!",ADDRESS($T229,MATCH(E$1,INDIRECT("Table!A" &amp; $AE229):INDIRECT("Table!" &amp; $AH$253 &amp; $AE229),0)))))</f>
        <v/>
      </c>
      <c r="F229" s="24" t="str">
        <f ca="1">IF(ISERROR(MATCH(F$1,INDIRECT("Table!A"&amp;$AE229):INDIRECT("Table!" &amp; $AH$253 &amp; $AE229),0)),"",INDIRECT(CONCATENATE("Table!",ADDRESS($T229,MATCH(F$1,INDIRECT("Table!A" &amp; $AE229):INDIRECT("Table!" &amp; $AH$253 &amp; $AE229),0)))))</f>
        <v/>
      </c>
      <c r="G229" s="24" t="str">
        <f ca="1">IF(ISERROR(MATCH(G$1,INDIRECT("Table!A"&amp;$AE229):INDIRECT("Table!" &amp; $AH$253 &amp; $AE229),0)),"",INDIRECT(CONCATENATE("Table!",ADDRESS($T229,MATCH(G$1,INDIRECT("Table!A" &amp; $AE229):INDIRECT("Table!" &amp; $AH$253 &amp; $AE229),0)))))</f>
        <v/>
      </c>
      <c r="H229" s="24" t="str">
        <f ca="1">IF(ISERROR(MATCH(H$1,INDIRECT("Table!A"&amp;$AE229):INDIRECT("Table!" &amp; $AH$253 &amp; $AE229),0)),"",INDIRECT(CONCATENATE("Table!",ADDRESS($T229,MATCH(H$1,INDIRECT("Table!A" &amp; $AE229):INDIRECT("Table!" &amp; $AH$253 &amp; $AE229),0)))))</f>
        <v/>
      </c>
      <c r="I229" s="273"/>
      <c r="J229" s="273"/>
      <c r="K229" s="24" t="str">
        <f ca="1">IF(ISERROR(MATCH(L$1,INDIRECT("Table!A"&amp;$AE229):INDIRECT("Table!" &amp; $AH$253 &amp; $AE229),0)),"",INDIRECT(CONCATENATE("Table!",ADDRESS($T229,MATCH(L$1,INDIRECT("Table!A" &amp; $AE229):INDIRECT("Table!" &amp; $AH$253 &amp; $AE229),0)))))</f>
        <v/>
      </c>
      <c r="L229" s="24" t="str">
        <f ca="1">IF(ISERROR(MATCH(M$1,INDIRECT("Table!A"&amp;$AE229):INDIRECT("Table!" &amp; $AH$253 &amp; $AE229),0)),"",INDIRECT(CONCATENATE("Table!",ADDRESS($T229,MATCH(M$1,INDIRECT("Table!A" &amp; $AE229):INDIRECT("Table!" &amp; $AH$253 &amp; $AE229),0)))))</f>
        <v/>
      </c>
      <c r="M229" s="24" t="str">
        <f ca="1">IF(ISERROR(MATCH(N$1,INDIRECT("Table!A"&amp;$AE229):INDIRECT("Table!" &amp; $AH$253 &amp; $AE229),0)),"",INDIRECT(CONCATENATE("Table!",ADDRESS($T229,MATCH(N$1,INDIRECT("Table!A" &amp; $AE229):INDIRECT("Table!" &amp; $AH$253 &amp; $AE229),0)))))</f>
        <v/>
      </c>
      <c r="N229" s="24" t="str">
        <f ca="1">IF(ISERROR(MATCH(O$1,INDIRECT("Table!A"&amp;$AE229):INDIRECT("Table!" &amp; $AH$253 &amp; $AE229),0)),"",INDIRECT(CONCATENATE("Table!",ADDRESS($T229,MATCH(O$1,INDIRECT("Table!A" &amp; $AE229):INDIRECT("Table!" &amp; $AH$253 &amp; $AE229),0)))))</f>
        <v/>
      </c>
      <c r="O229" s="24" t="str">
        <f ca="1">IF(ISERROR(MATCH(P$1,INDIRECT("Table!A"&amp;$AE229):INDIRECT("Table!" &amp; $AH$253 &amp; $AE229),0)),"",INDIRECT(CONCATENATE("Table!",ADDRESS($T229,MATCH(P$1,INDIRECT("Table!A" &amp; $AE229):INDIRECT("Table!" &amp; $AH$253 &amp; $AE229),0)))))</f>
        <v/>
      </c>
      <c r="P229" s="273" t="str">
        <f ca="1">IF(ISERROR(MATCH(Q$1,INDIRECT("Table!A"&amp;$AE229):INDIRECT("Table!" &amp; $AH$253 &amp; $AE229),0)),"",INDIRECT(CONCATENATE("Table!",ADDRESS($T229,MATCH(Q$1,INDIRECT("Table!A" &amp; $AE229):INDIRECT("Table!" &amp; $AH$253 &amp; $AE229),0)))))</f>
        <v/>
      </c>
      <c r="Q229" s="94"/>
      <c r="R229" s="94"/>
      <c r="S229" s="94"/>
      <c r="T229" s="22"/>
      <c r="AC229" s="94"/>
      <c r="AD229" s="94"/>
      <c r="AE229" s="22"/>
      <c r="AF229" s="94"/>
      <c r="AG229" s="94"/>
      <c r="AH229" s="94"/>
    </row>
    <row r="230" spans="2:34" ht="18" customHeight="1" x14ac:dyDescent="0.25">
      <c r="B230" s="24"/>
      <c r="C230" s="24" t="str">
        <f ca="1">IF(ISERROR(MATCH(C$1,INDIRECT("Table!A"&amp;$AE230):INDIRECT("Table!" &amp; $AH$253 &amp; $AE230),0)),"",INDIRECT(CONCATENATE("Table!",ADDRESS($T230,MATCH(C$1,INDIRECT("Table!A" &amp; $AE230):INDIRECT("Table!" &amp; $AH$253 &amp; $AE230),0)))))</f>
        <v/>
      </c>
      <c r="D230" s="24" t="str">
        <f ca="1">IF(ISERROR(MATCH(D$1,INDIRECT("Table!A"&amp;$AE230):INDIRECT("Table!" &amp; $AH$253 &amp; $AE230),0)),"",INDIRECT(CONCATENATE("Table!",ADDRESS($T230,MATCH(D$1,INDIRECT("Table!A" &amp; $AE230):INDIRECT("Table!" &amp; $AH$253 &amp; $AE230),0)))))</f>
        <v/>
      </c>
      <c r="E230" s="24" t="str">
        <f ca="1">IF(ISERROR(MATCH(E$1,INDIRECT("Table!A"&amp;$AE230):INDIRECT("Table!" &amp; $AH$253 &amp; $AE230),0)),"",INDIRECT(CONCATENATE("Table!",ADDRESS($T230,MATCH(E$1,INDIRECT("Table!A" &amp; $AE230):INDIRECT("Table!" &amp; $AH$253 &amp; $AE230),0)))))</f>
        <v/>
      </c>
      <c r="F230" s="24" t="str">
        <f ca="1">IF(ISERROR(MATCH(F$1,INDIRECT("Table!A"&amp;$AE230):INDIRECT("Table!" &amp; $AH$253 &amp; $AE230),0)),"",INDIRECT(CONCATENATE("Table!",ADDRESS($T230,MATCH(F$1,INDIRECT("Table!A" &amp; $AE230):INDIRECT("Table!" &amp; $AH$253 &amp; $AE230),0)))))</f>
        <v/>
      </c>
      <c r="G230" s="24" t="str">
        <f ca="1">IF(ISERROR(MATCH(G$1,INDIRECT("Table!A"&amp;$AE230):INDIRECT("Table!" &amp; $AH$253 &amp; $AE230),0)),"",INDIRECT(CONCATENATE("Table!",ADDRESS($T230,MATCH(G$1,INDIRECT("Table!A" &amp; $AE230):INDIRECT("Table!" &amp; $AH$253 &amp; $AE230),0)))))</f>
        <v/>
      </c>
      <c r="H230" s="24" t="str">
        <f ca="1">IF(ISERROR(MATCH(H$1,INDIRECT("Table!A"&amp;$AE230):INDIRECT("Table!" &amp; $AH$253 &amp; $AE230),0)),"",INDIRECT(CONCATENATE("Table!",ADDRESS($T230,MATCH(H$1,INDIRECT("Table!A" &amp; $AE230):INDIRECT("Table!" &amp; $AH$253 &amp; $AE230),0)))))</f>
        <v/>
      </c>
      <c r="I230" s="273"/>
      <c r="J230" s="273"/>
      <c r="K230" s="24" t="str">
        <f ca="1">IF(ISERROR(MATCH(L$1,INDIRECT("Table!A"&amp;$AE230):INDIRECT("Table!" &amp; $AH$253 &amp; $AE230),0)),"",INDIRECT(CONCATENATE("Table!",ADDRESS($T230,MATCH(L$1,INDIRECT("Table!A" &amp; $AE230):INDIRECT("Table!" &amp; $AH$253 &amp; $AE230),0)))))</f>
        <v/>
      </c>
      <c r="L230" s="24" t="str">
        <f ca="1">IF(ISERROR(MATCH(M$1,INDIRECT("Table!A"&amp;$AE230):INDIRECT("Table!" &amp; $AH$253 &amp; $AE230),0)),"",INDIRECT(CONCATENATE("Table!",ADDRESS($T230,MATCH(M$1,INDIRECT("Table!A" &amp; $AE230):INDIRECT("Table!" &amp; $AH$253 &amp; $AE230),0)))))</f>
        <v/>
      </c>
      <c r="M230" s="24" t="str">
        <f ca="1">IF(ISERROR(MATCH(N$1,INDIRECT("Table!A"&amp;$AE230):INDIRECT("Table!" &amp; $AH$253 &amp; $AE230),0)),"",INDIRECT(CONCATENATE("Table!",ADDRESS($T230,MATCH(N$1,INDIRECT("Table!A" &amp; $AE230):INDIRECT("Table!" &amp; $AH$253 &amp; $AE230),0)))))</f>
        <v/>
      </c>
      <c r="N230" s="24" t="str">
        <f ca="1">IF(ISERROR(MATCH(O$1,INDIRECT("Table!A"&amp;$AE230):INDIRECT("Table!" &amp; $AH$253 &amp; $AE230),0)),"",INDIRECT(CONCATENATE("Table!",ADDRESS($T230,MATCH(O$1,INDIRECT("Table!A" &amp; $AE230):INDIRECT("Table!" &amp; $AH$253 &amp; $AE230),0)))))</f>
        <v/>
      </c>
      <c r="O230" s="24" t="str">
        <f ca="1">IF(ISERROR(MATCH(P$1,INDIRECT("Table!A"&amp;$AE230):INDIRECT("Table!" &amp; $AH$253 &amp; $AE230),0)),"",INDIRECT(CONCATENATE("Table!",ADDRESS($T230,MATCH(P$1,INDIRECT("Table!A" &amp; $AE230):INDIRECT("Table!" &amp; $AH$253 &amp; $AE230),0)))))</f>
        <v/>
      </c>
      <c r="P230" s="273" t="str">
        <f ca="1">IF(ISERROR(MATCH(Q$1,INDIRECT("Table!A"&amp;$AE230):INDIRECT("Table!" &amp; $AH$253 &amp; $AE230),0)),"",INDIRECT(CONCATENATE("Table!",ADDRESS($T230,MATCH(Q$1,INDIRECT("Table!A" &amp; $AE230):INDIRECT("Table!" &amp; $AH$253 &amp; $AE230),0)))))</f>
        <v/>
      </c>
      <c r="Q230" s="93"/>
      <c r="R230" s="93"/>
      <c r="S230" s="93"/>
      <c r="T230" s="22"/>
      <c r="AC230" s="93"/>
      <c r="AD230" s="93"/>
      <c r="AE230" s="22"/>
      <c r="AF230" s="93"/>
      <c r="AG230" s="93"/>
      <c r="AH230" s="93"/>
    </row>
    <row r="231" spans="2:34" ht="18" customHeight="1" x14ac:dyDescent="0.25">
      <c r="B231" s="24"/>
      <c r="C231" s="24" t="str">
        <f ca="1">IF(ISERROR(MATCH(C$1,INDIRECT("Table!A"&amp;$AE231):INDIRECT("Table!" &amp; $AH$253 &amp; $AE231),0)),"",INDIRECT(CONCATENATE("Table!",ADDRESS($T231,MATCH(C$1,INDIRECT("Table!A" &amp; $AE231):INDIRECT("Table!" &amp; $AH$253 &amp; $AE231),0)))))</f>
        <v/>
      </c>
      <c r="D231" s="24" t="str">
        <f ca="1">IF(ISERROR(MATCH(D$1,INDIRECT("Table!A"&amp;$AE231):INDIRECT("Table!" &amp; $AH$253 &amp; $AE231),0)),"",INDIRECT(CONCATENATE("Table!",ADDRESS($T231,MATCH(D$1,INDIRECT("Table!A" &amp; $AE231):INDIRECT("Table!" &amp; $AH$253 &amp; $AE231),0)))))</f>
        <v/>
      </c>
      <c r="E231" s="24" t="str">
        <f ca="1">IF(ISERROR(MATCH(E$1,INDIRECT("Table!A"&amp;$AE231):INDIRECT("Table!" &amp; $AH$253 &amp; $AE231),0)),"",INDIRECT(CONCATENATE("Table!",ADDRESS($T231,MATCH(E$1,INDIRECT("Table!A" &amp; $AE231):INDIRECT("Table!" &amp; $AH$253 &amp; $AE231),0)))))</f>
        <v/>
      </c>
      <c r="F231" s="24" t="str">
        <f ca="1">IF(ISERROR(MATCH(F$1,INDIRECT("Table!A"&amp;$AE231):INDIRECT("Table!" &amp; $AH$253 &amp; $AE231),0)),"",INDIRECT(CONCATENATE("Table!",ADDRESS($T231,MATCH(F$1,INDIRECT("Table!A" &amp; $AE231):INDIRECT("Table!" &amp; $AH$253 &amp; $AE231),0)))))</f>
        <v/>
      </c>
      <c r="G231" s="24" t="str">
        <f ca="1">IF(ISERROR(MATCH(G$1,INDIRECT("Table!A"&amp;$AE231):INDIRECT("Table!" &amp; $AH$253 &amp; $AE231),0)),"",INDIRECT(CONCATENATE("Table!",ADDRESS($T231,MATCH(G$1,INDIRECT("Table!A" &amp; $AE231):INDIRECT("Table!" &amp; $AH$253 &amp; $AE231),0)))))</f>
        <v/>
      </c>
      <c r="H231" s="24" t="str">
        <f ca="1">IF(ISERROR(MATCH(H$1,INDIRECT("Table!A"&amp;$AE231):INDIRECT("Table!" &amp; $AH$253 &amp; $AE231),0)),"",INDIRECT(CONCATENATE("Table!",ADDRESS($T231,MATCH(H$1,INDIRECT("Table!A" &amp; $AE231):INDIRECT("Table!" &amp; $AH$253 &amp; $AE231),0)))))</f>
        <v/>
      </c>
      <c r="I231" s="273"/>
      <c r="J231" s="273"/>
      <c r="K231" s="24" t="str">
        <f ca="1">IF(ISERROR(MATCH(L$1,INDIRECT("Table!A"&amp;$AE231):INDIRECT("Table!" &amp; $AH$253 &amp; $AE231),0)),"",INDIRECT(CONCATENATE("Table!",ADDRESS($T231,MATCH(L$1,INDIRECT("Table!A" &amp; $AE231):INDIRECT("Table!" &amp; $AH$253 &amp; $AE231),0)))))</f>
        <v/>
      </c>
      <c r="L231" s="24" t="str">
        <f ca="1">IF(ISERROR(MATCH(M$1,INDIRECT("Table!A"&amp;$AE231):INDIRECT("Table!" &amp; $AH$253 &amp; $AE231),0)),"",INDIRECT(CONCATENATE("Table!",ADDRESS($T231,MATCH(M$1,INDIRECT("Table!A" &amp; $AE231):INDIRECT("Table!" &amp; $AH$253 &amp; $AE231),0)))))</f>
        <v/>
      </c>
      <c r="M231" s="24" t="str">
        <f ca="1">IF(ISERROR(MATCH(N$1,INDIRECT("Table!A"&amp;$AE231):INDIRECT("Table!" &amp; $AH$253 &amp; $AE231),0)),"",INDIRECT(CONCATENATE("Table!",ADDRESS($T231,MATCH(N$1,INDIRECT("Table!A" &amp; $AE231):INDIRECT("Table!" &amp; $AH$253 &amp; $AE231),0)))))</f>
        <v/>
      </c>
      <c r="N231" s="24" t="str">
        <f ca="1">IF(ISERROR(MATCH(O$1,INDIRECT("Table!A"&amp;$AE231):INDIRECT("Table!" &amp; $AH$253 &amp; $AE231),0)),"",INDIRECT(CONCATENATE("Table!",ADDRESS($T231,MATCH(O$1,INDIRECT("Table!A" &amp; $AE231):INDIRECT("Table!" &amp; $AH$253 &amp; $AE231),0)))))</f>
        <v/>
      </c>
      <c r="O231" s="24" t="str">
        <f ca="1">IF(ISERROR(MATCH(P$1,INDIRECT("Table!A"&amp;$AE231):INDIRECT("Table!" &amp; $AH$253 &amp; $AE231),0)),"",INDIRECT(CONCATENATE("Table!",ADDRESS($T231,MATCH(P$1,INDIRECT("Table!A" &amp; $AE231):INDIRECT("Table!" &amp; $AH$253 &amp; $AE231),0)))))</f>
        <v/>
      </c>
      <c r="P231" s="273" t="str">
        <f ca="1">IF(ISERROR(MATCH(Q$1,INDIRECT("Table!A"&amp;$AE231):INDIRECT("Table!" &amp; $AH$253 &amp; $AE231),0)),"",INDIRECT(CONCATENATE("Table!",ADDRESS($T231,MATCH(Q$1,INDIRECT("Table!A" &amp; $AE231):INDIRECT("Table!" &amp; $AH$253 &amp; $AE231),0)))))</f>
        <v/>
      </c>
      <c r="Q231" s="92"/>
      <c r="R231" s="92"/>
      <c r="S231" s="92"/>
      <c r="T231" s="22"/>
      <c r="AC231" s="92"/>
      <c r="AD231" s="92"/>
      <c r="AE231" s="22"/>
      <c r="AF231" s="92"/>
      <c r="AG231" s="92"/>
      <c r="AH231" s="92"/>
    </row>
    <row r="232" spans="2:34" ht="18" customHeight="1" x14ac:dyDescent="0.25">
      <c r="B232" s="24"/>
      <c r="C232" s="24" t="str">
        <f ca="1">IF(ISERROR(MATCH(C$1,INDIRECT("Table!A"&amp;$AE232):INDIRECT("Table!" &amp; $AH$253 &amp; $AE232),0)),"",INDIRECT(CONCATENATE("Table!",ADDRESS($T232,MATCH(C$1,INDIRECT("Table!A" &amp; $AE232):INDIRECT("Table!" &amp; $AH$253 &amp; $AE232),0)))))</f>
        <v/>
      </c>
      <c r="D232" s="24" t="str">
        <f ca="1">IF(ISERROR(MATCH(D$1,INDIRECT("Table!A"&amp;$AE232):INDIRECT("Table!" &amp; $AH$253 &amp; $AE232),0)),"",INDIRECT(CONCATENATE("Table!",ADDRESS($T232,MATCH(D$1,INDIRECT("Table!A" &amp; $AE232):INDIRECT("Table!" &amp; $AH$253 &amp; $AE232),0)))))</f>
        <v/>
      </c>
      <c r="E232" s="24" t="str">
        <f ca="1">IF(ISERROR(MATCH(E$1,INDIRECT("Table!A"&amp;$AE232):INDIRECT("Table!" &amp; $AH$253 &amp; $AE232),0)),"",INDIRECT(CONCATENATE("Table!",ADDRESS($T232,MATCH(E$1,INDIRECT("Table!A" &amp; $AE232):INDIRECT("Table!" &amp; $AH$253 &amp; $AE232),0)))))</f>
        <v/>
      </c>
      <c r="F232" s="24" t="str">
        <f ca="1">IF(ISERROR(MATCH(F$1,INDIRECT("Table!A"&amp;$AE232):INDIRECT("Table!" &amp; $AH$253 &amp; $AE232),0)),"",INDIRECT(CONCATENATE("Table!",ADDRESS($T232,MATCH(F$1,INDIRECT("Table!A" &amp; $AE232):INDIRECT("Table!" &amp; $AH$253 &amp; $AE232),0)))))</f>
        <v/>
      </c>
      <c r="G232" s="24" t="str">
        <f ca="1">IF(ISERROR(MATCH(G$1,INDIRECT("Table!A"&amp;$AE232):INDIRECT("Table!" &amp; $AH$253 &amp; $AE232),0)),"",INDIRECT(CONCATENATE("Table!",ADDRESS($T232,MATCH(G$1,INDIRECT("Table!A" &amp; $AE232):INDIRECT("Table!" &amp; $AH$253 &amp; $AE232),0)))))</f>
        <v/>
      </c>
      <c r="H232" s="24" t="str">
        <f ca="1">IF(ISERROR(MATCH(H$1,INDIRECT("Table!A"&amp;$AE232):INDIRECT("Table!" &amp; $AH$253 &amp; $AE232),0)),"",INDIRECT(CONCATENATE("Table!",ADDRESS($T232,MATCH(H$1,INDIRECT("Table!A" &amp; $AE232):INDIRECT("Table!" &amp; $AH$253 &amp; $AE232),0)))))</f>
        <v/>
      </c>
      <c r="I232" s="273"/>
      <c r="J232" s="273"/>
      <c r="K232" s="24" t="str">
        <f ca="1">IF(ISERROR(MATCH(L$1,INDIRECT("Table!A"&amp;$AE232):INDIRECT("Table!" &amp; $AH$253 &amp; $AE232),0)),"",INDIRECT(CONCATENATE("Table!",ADDRESS($T232,MATCH(L$1,INDIRECT("Table!A" &amp; $AE232):INDIRECT("Table!" &amp; $AH$253 &amp; $AE232),0)))))</f>
        <v/>
      </c>
      <c r="L232" s="24" t="str">
        <f ca="1">IF(ISERROR(MATCH(M$1,INDIRECT("Table!A"&amp;$AE232):INDIRECT("Table!" &amp; $AH$253 &amp; $AE232),0)),"",INDIRECT(CONCATENATE("Table!",ADDRESS($T232,MATCH(M$1,INDIRECT("Table!A" &amp; $AE232):INDIRECT("Table!" &amp; $AH$253 &amp; $AE232),0)))))</f>
        <v/>
      </c>
      <c r="M232" s="24" t="str">
        <f ca="1">IF(ISERROR(MATCH(N$1,INDIRECT("Table!A"&amp;$AE232):INDIRECT("Table!" &amp; $AH$253 &amp; $AE232),0)),"",INDIRECT(CONCATENATE("Table!",ADDRESS($T232,MATCH(N$1,INDIRECT("Table!A" &amp; $AE232):INDIRECT("Table!" &amp; $AH$253 &amp; $AE232),0)))))</f>
        <v/>
      </c>
      <c r="N232" s="24" t="str">
        <f ca="1">IF(ISERROR(MATCH(O$1,INDIRECT("Table!A"&amp;$AE232):INDIRECT("Table!" &amp; $AH$253 &amp; $AE232),0)),"",INDIRECT(CONCATENATE("Table!",ADDRESS($T232,MATCH(O$1,INDIRECT("Table!A" &amp; $AE232):INDIRECT("Table!" &amp; $AH$253 &amp; $AE232),0)))))</f>
        <v/>
      </c>
      <c r="O232" s="24" t="str">
        <f ca="1">IF(ISERROR(MATCH(P$1,INDIRECT("Table!A"&amp;$AE232):INDIRECT("Table!" &amp; $AH$253 &amp; $AE232),0)),"",INDIRECT(CONCATENATE("Table!",ADDRESS($T232,MATCH(P$1,INDIRECT("Table!A" &amp; $AE232):INDIRECT("Table!" &amp; $AH$253 &amp; $AE232),0)))))</f>
        <v/>
      </c>
      <c r="P232" s="273" t="str">
        <f ca="1">IF(ISERROR(MATCH(Q$1,INDIRECT("Table!A"&amp;$AE232):INDIRECT("Table!" &amp; $AH$253 &amp; $AE232),0)),"",INDIRECT(CONCATENATE("Table!",ADDRESS($T232,MATCH(Q$1,INDIRECT("Table!A" &amp; $AE232):INDIRECT("Table!" &amp; $AH$253 &amp; $AE232),0)))))</f>
        <v/>
      </c>
      <c r="Q232" s="91"/>
      <c r="R232" s="91"/>
      <c r="S232" s="91"/>
      <c r="T232" s="22"/>
      <c r="AC232" s="91"/>
      <c r="AD232" s="91"/>
      <c r="AE232" s="22"/>
      <c r="AF232" s="91"/>
      <c r="AG232" s="91"/>
      <c r="AH232" s="91"/>
    </row>
    <row r="233" spans="2:34" ht="18" customHeight="1" x14ac:dyDescent="0.25">
      <c r="B233" s="24"/>
      <c r="C233" s="24" t="str">
        <f ca="1">IF(ISERROR(MATCH(C$1,INDIRECT("Table!A"&amp;$AE233):INDIRECT("Table!" &amp; $AH$253 &amp; $AE233),0)),"",INDIRECT(CONCATENATE("Table!",ADDRESS($T233,MATCH(C$1,INDIRECT("Table!A" &amp; $AE233):INDIRECT("Table!" &amp; $AH$253 &amp; $AE233),0)))))</f>
        <v/>
      </c>
      <c r="D233" s="24" t="str">
        <f ca="1">IF(ISERROR(MATCH(D$1,INDIRECT("Table!A"&amp;$AE233):INDIRECT("Table!" &amp; $AH$253 &amp; $AE233),0)),"",INDIRECT(CONCATENATE("Table!",ADDRESS($T233,MATCH(D$1,INDIRECT("Table!A" &amp; $AE233):INDIRECT("Table!" &amp; $AH$253 &amp; $AE233),0)))))</f>
        <v/>
      </c>
      <c r="E233" s="24" t="str">
        <f ca="1">IF(ISERROR(MATCH(E$1,INDIRECT("Table!A"&amp;$AE233):INDIRECT("Table!" &amp; $AH$253 &amp; $AE233),0)),"",INDIRECT(CONCATENATE("Table!",ADDRESS($T233,MATCH(E$1,INDIRECT("Table!A" &amp; $AE233):INDIRECT("Table!" &amp; $AH$253 &amp; $AE233),0)))))</f>
        <v/>
      </c>
      <c r="F233" s="24" t="str">
        <f ca="1">IF(ISERROR(MATCH(F$1,INDIRECT("Table!A"&amp;$AE233):INDIRECT("Table!" &amp; $AH$253 &amp; $AE233),0)),"",INDIRECT(CONCATENATE("Table!",ADDRESS($T233,MATCH(F$1,INDIRECT("Table!A" &amp; $AE233):INDIRECT("Table!" &amp; $AH$253 &amp; $AE233),0)))))</f>
        <v/>
      </c>
      <c r="G233" s="24" t="str">
        <f ca="1">IF(ISERROR(MATCH(G$1,INDIRECT("Table!A"&amp;$AE233):INDIRECT("Table!" &amp; $AH$253 &amp; $AE233),0)),"",INDIRECT(CONCATENATE("Table!",ADDRESS($T233,MATCH(G$1,INDIRECT("Table!A" &amp; $AE233):INDIRECT("Table!" &amp; $AH$253 &amp; $AE233),0)))))</f>
        <v/>
      </c>
      <c r="H233" s="24" t="str">
        <f ca="1">IF(ISERROR(MATCH(H$1,INDIRECT("Table!A"&amp;$AE233):INDIRECT("Table!" &amp; $AH$253 &amp; $AE233),0)),"",INDIRECT(CONCATENATE("Table!",ADDRESS($T233,MATCH(H$1,INDIRECT("Table!A" &amp; $AE233):INDIRECT("Table!" &amp; $AH$253 &amp; $AE233),0)))))</f>
        <v/>
      </c>
      <c r="I233" s="273"/>
      <c r="J233" s="273"/>
      <c r="K233" s="24" t="str">
        <f ca="1">IF(ISERROR(MATCH(L$1,INDIRECT("Table!A"&amp;$AE233):INDIRECT("Table!" &amp; $AH$253 &amp; $AE233),0)),"",INDIRECT(CONCATENATE("Table!",ADDRESS($T233,MATCH(L$1,INDIRECT("Table!A" &amp; $AE233):INDIRECT("Table!" &amp; $AH$253 &amp; $AE233),0)))))</f>
        <v/>
      </c>
      <c r="L233" s="24" t="str">
        <f ca="1">IF(ISERROR(MATCH(M$1,INDIRECT("Table!A"&amp;$AE233):INDIRECT("Table!" &amp; $AH$253 &amp; $AE233),0)),"",INDIRECT(CONCATENATE("Table!",ADDRESS($T233,MATCH(M$1,INDIRECT("Table!A" &amp; $AE233):INDIRECT("Table!" &amp; $AH$253 &amp; $AE233),0)))))</f>
        <v/>
      </c>
      <c r="M233" s="24" t="str">
        <f ca="1">IF(ISERROR(MATCH(N$1,INDIRECT("Table!A"&amp;$AE233):INDIRECT("Table!" &amp; $AH$253 &amp; $AE233),0)),"",INDIRECT(CONCATENATE("Table!",ADDRESS($T233,MATCH(N$1,INDIRECT("Table!A" &amp; $AE233):INDIRECT("Table!" &amp; $AH$253 &amp; $AE233),0)))))</f>
        <v/>
      </c>
      <c r="N233" s="24" t="str">
        <f ca="1">IF(ISERROR(MATCH(O$1,INDIRECT("Table!A"&amp;$AE233):INDIRECT("Table!" &amp; $AH$253 &amp; $AE233),0)),"",INDIRECT(CONCATENATE("Table!",ADDRESS($T233,MATCH(O$1,INDIRECT("Table!A" &amp; $AE233):INDIRECT("Table!" &amp; $AH$253 &amp; $AE233),0)))))</f>
        <v/>
      </c>
      <c r="O233" s="24" t="str">
        <f ca="1">IF(ISERROR(MATCH(P$1,INDIRECT("Table!A"&amp;$AE233):INDIRECT("Table!" &amp; $AH$253 &amp; $AE233),0)),"",INDIRECT(CONCATENATE("Table!",ADDRESS($T233,MATCH(P$1,INDIRECT("Table!A" &amp; $AE233):INDIRECT("Table!" &amp; $AH$253 &amp; $AE233),0)))))</f>
        <v/>
      </c>
      <c r="P233" s="273" t="str">
        <f ca="1">IF(ISERROR(MATCH(Q$1,INDIRECT("Table!A"&amp;$AE233):INDIRECT("Table!" &amp; $AH$253 &amp; $AE233),0)),"",INDIRECT(CONCATENATE("Table!",ADDRESS($T233,MATCH(Q$1,INDIRECT("Table!A" &amp; $AE233):INDIRECT("Table!" &amp; $AH$253 &amp; $AE233),0)))))</f>
        <v/>
      </c>
      <c r="Q233" s="90"/>
      <c r="R233" s="90"/>
      <c r="S233" s="90"/>
      <c r="T233" s="22"/>
      <c r="AC233" s="90"/>
      <c r="AD233" s="90"/>
      <c r="AE233" s="22"/>
      <c r="AF233" s="90"/>
      <c r="AG233" s="90"/>
      <c r="AH233" s="90"/>
    </row>
    <row r="234" spans="2:34" ht="18" customHeight="1" x14ac:dyDescent="0.25">
      <c r="B234" s="24"/>
      <c r="C234" s="24" t="str">
        <f ca="1">IF(ISERROR(MATCH(C$1,INDIRECT("Table!A"&amp;$AE234):INDIRECT("Table!" &amp; $AH$253 &amp; $AE234),0)),"",INDIRECT(CONCATENATE("Table!",ADDRESS($T234,MATCH(C$1,INDIRECT("Table!A" &amp; $AE234):INDIRECT("Table!" &amp; $AH$253 &amp; $AE234),0)))))</f>
        <v/>
      </c>
      <c r="D234" s="24" t="str">
        <f ca="1">IF(ISERROR(MATCH(D$1,INDIRECT("Table!A"&amp;$AE234):INDIRECT("Table!" &amp; $AH$253 &amp; $AE234),0)),"",INDIRECT(CONCATENATE("Table!",ADDRESS($T234,MATCH(D$1,INDIRECT("Table!A" &amp; $AE234):INDIRECT("Table!" &amp; $AH$253 &amp; $AE234),0)))))</f>
        <v/>
      </c>
      <c r="E234" s="24" t="str">
        <f ca="1">IF(ISERROR(MATCH(E$1,INDIRECT("Table!A"&amp;$AE234):INDIRECT("Table!" &amp; $AH$253 &amp; $AE234),0)),"",INDIRECT(CONCATENATE("Table!",ADDRESS($T234,MATCH(E$1,INDIRECT("Table!A" &amp; $AE234):INDIRECT("Table!" &amp; $AH$253 &amp; $AE234),0)))))</f>
        <v/>
      </c>
      <c r="F234" s="24" t="str">
        <f ca="1">IF(ISERROR(MATCH(F$1,INDIRECT("Table!A"&amp;$AE234):INDIRECT("Table!" &amp; $AH$253 &amp; $AE234),0)),"",INDIRECT(CONCATENATE("Table!",ADDRESS($T234,MATCH(F$1,INDIRECT("Table!A" &amp; $AE234):INDIRECT("Table!" &amp; $AH$253 &amp; $AE234),0)))))</f>
        <v/>
      </c>
      <c r="G234" s="24" t="str">
        <f ca="1">IF(ISERROR(MATCH(G$1,INDIRECT("Table!A"&amp;$AE234):INDIRECT("Table!" &amp; $AH$253 &amp; $AE234),0)),"",INDIRECT(CONCATENATE("Table!",ADDRESS($T234,MATCH(G$1,INDIRECT("Table!A" &amp; $AE234):INDIRECT("Table!" &amp; $AH$253 &amp; $AE234),0)))))</f>
        <v/>
      </c>
      <c r="H234" s="24" t="str">
        <f ca="1">IF(ISERROR(MATCH(H$1,INDIRECT("Table!A"&amp;$AE234):INDIRECT("Table!" &amp; $AH$253 &amp; $AE234),0)),"",INDIRECT(CONCATENATE("Table!",ADDRESS($T234,MATCH(H$1,INDIRECT("Table!A" &amp; $AE234):INDIRECT("Table!" &amp; $AH$253 &amp; $AE234),0)))))</f>
        <v/>
      </c>
      <c r="I234" s="273"/>
      <c r="J234" s="273"/>
      <c r="K234" s="24" t="str">
        <f ca="1">IF(ISERROR(MATCH(L$1,INDIRECT("Table!A"&amp;$AE234):INDIRECT("Table!" &amp; $AH$253 &amp; $AE234),0)),"",INDIRECT(CONCATENATE("Table!",ADDRESS($T234,MATCH(L$1,INDIRECT("Table!A" &amp; $AE234):INDIRECT("Table!" &amp; $AH$253 &amp; $AE234),0)))))</f>
        <v/>
      </c>
      <c r="L234" s="24" t="str">
        <f ca="1">IF(ISERROR(MATCH(M$1,INDIRECT("Table!A"&amp;$AE234):INDIRECT("Table!" &amp; $AH$253 &amp; $AE234),0)),"",INDIRECT(CONCATENATE("Table!",ADDRESS($T234,MATCH(M$1,INDIRECT("Table!A" &amp; $AE234):INDIRECT("Table!" &amp; $AH$253 &amp; $AE234),0)))))</f>
        <v/>
      </c>
      <c r="M234" s="24" t="str">
        <f ca="1">IF(ISERROR(MATCH(N$1,INDIRECT("Table!A"&amp;$AE234):INDIRECT("Table!" &amp; $AH$253 &amp; $AE234),0)),"",INDIRECT(CONCATENATE("Table!",ADDRESS($T234,MATCH(N$1,INDIRECT("Table!A" &amp; $AE234):INDIRECT("Table!" &amp; $AH$253 &amp; $AE234),0)))))</f>
        <v/>
      </c>
      <c r="N234" s="24" t="str">
        <f ca="1">IF(ISERROR(MATCH(O$1,INDIRECT("Table!A"&amp;$AE234):INDIRECT("Table!" &amp; $AH$253 &amp; $AE234),0)),"",INDIRECT(CONCATENATE("Table!",ADDRESS($T234,MATCH(O$1,INDIRECT("Table!A" &amp; $AE234):INDIRECT("Table!" &amp; $AH$253 &amp; $AE234),0)))))</f>
        <v/>
      </c>
      <c r="O234" s="24" t="str">
        <f ca="1">IF(ISERROR(MATCH(P$1,INDIRECT("Table!A"&amp;$AE234):INDIRECT("Table!" &amp; $AH$253 &amp; $AE234),0)),"",INDIRECT(CONCATENATE("Table!",ADDRESS($T234,MATCH(P$1,INDIRECT("Table!A" &amp; $AE234):INDIRECT("Table!" &amp; $AH$253 &amp; $AE234),0)))))</f>
        <v/>
      </c>
      <c r="P234" s="273" t="str">
        <f ca="1">IF(ISERROR(MATCH(Q$1,INDIRECT("Table!A"&amp;$AE234):INDIRECT("Table!" &amp; $AH$253 &amp; $AE234),0)),"",INDIRECT(CONCATENATE("Table!",ADDRESS($T234,MATCH(Q$1,INDIRECT("Table!A" &amp; $AE234):INDIRECT("Table!" &amp; $AH$253 &amp; $AE234),0)))))</f>
        <v/>
      </c>
      <c r="Q234" s="89"/>
      <c r="R234" s="89"/>
      <c r="S234" s="89"/>
      <c r="T234" s="22"/>
      <c r="AC234" s="89"/>
      <c r="AD234" s="89"/>
      <c r="AE234" s="22"/>
      <c r="AF234" s="89"/>
      <c r="AG234" s="89"/>
      <c r="AH234" s="89"/>
    </row>
    <row r="235" spans="2:34" ht="18" customHeight="1" x14ac:dyDescent="0.25">
      <c r="B235" s="24"/>
      <c r="C235" s="24" t="str">
        <f ca="1">IF(ISERROR(MATCH(C$1,INDIRECT("Table!A"&amp;$AE235):INDIRECT("Table!" &amp; $AH$253 &amp; $AE235),0)),"",INDIRECT(CONCATENATE("Table!",ADDRESS($T235,MATCH(C$1,INDIRECT("Table!A" &amp; $AE235):INDIRECT("Table!" &amp; $AH$253 &amp; $AE235),0)))))</f>
        <v/>
      </c>
      <c r="D235" s="24" t="str">
        <f ca="1">IF(ISERROR(MATCH(D$1,INDIRECT("Table!A"&amp;$AE235):INDIRECT("Table!" &amp; $AH$253 &amp; $AE235),0)),"",INDIRECT(CONCATENATE("Table!",ADDRESS($T235,MATCH(D$1,INDIRECT("Table!A" &amp; $AE235):INDIRECT("Table!" &amp; $AH$253 &amp; $AE235),0)))))</f>
        <v/>
      </c>
      <c r="E235" s="24" t="str">
        <f ca="1">IF(ISERROR(MATCH(E$1,INDIRECT("Table!A"&amp;$AE235):INDIRECT("Table!" &amp; $AH$253 &amp; $AE235),0)),"",INDIRECT(CONCATENATE("Table!",ADDRESS($T235,MATCH(E$1,INDIRECT("Table!A" &amp; $AE235):INDIRECT("Table!" &amp; $AH$253 &amp; $AE235),0)))))</f>
        <v/>
      </c>
      <c r="F235" s="24" t="str">
        <f ca="1">IF(ISERROR(MATCH(F$1,INDIRECT("Table!A"&amp;$AE235):INDIRECT("Table!" &amp; $AH$253 &amp; $AE235),0)),"",INDIRECT(CONCATENATE("Table!",ADDRESS($T235,MATCH(F$1,INDIRECT("Table!A" &amp; $AE235):INDIRECT("Table!" &amp; $AH$253 &amp; $AE235),0)))))</f>
        <v/>
      </c>
      <c r="G235" s="24" t="str">
        <f ca="1">IF(ISERROR(MATCH(G$1,INDIRECT("Table!A"&amp;$AE235):INDIRECT("Table!" &amp; $AH$253 &amp; $AE235),0)),"",INDIRECT(CONCATENATE("Table!",ADDRESS($T235,MATCH(G$1,INDIRECT("Table!A" &amp; $AE235):INDIRECT("Table!" &amp; $AH$253 &amp; $AE235),0)))))</f>
        <v/>
      </c>
      <c r="H235" s="24" t="str">
        <f ca="1">IF(ISERROR(MATCH(H$1,INDIRECT("Table!A"&amp;$AE235):INDIRECT("Table!" &amp; $AH$253 &amp; $AE235),0)),"",INDIRECT(CONCATENATE("Table!",ADDRESS($T235,MATCH(H$1,INDIRECT("Table!A" &amp; $AE235):INDIRECT("Table!" &amp; $AH$253 &amp; $AE235),0)))))</f>
        <v/>
      </c>
      <c r="I235" s="273"/>
      <c r="J235" s="273"/>
      <c r="K235" s="24" t="str">
        <f ca="1">IF(ISERROR(MATCH(L$1,INDIRECT("Table!A"&amp;$AE235):INDIRECT("Table!" &amp; $AH$253 &amp; $AE235),0)),"",INDIRECT(CONCATENATE("Table!",ADDRESS($T235,MATCH(L$1,INDIRECT("Table!A" &amp; $AE235):INDIRECT("Table!" &amp; $AH$253 &amp; $AE235),0)))))</f>
        <v/>
      </c>
      <c r="L235" s="24" t="str">
        <f ca="1">IF(ISERROR(MATCH(M$1,INDIRECT("Table!A"&amp;$AE235):INDIRECT("Table!" &amp; $AH$253 &amp; $AE235),0)),"",INDIRECT(CONCATENATE("Table!",ADDRESS($T235,MATCH(M$1,INDIRECT("Table!A" &amp; $AE235):INDIRECT("Table!" &amp; $AH$253 &amp; $AE235),0)))))</f>
        <v/>
      </c>
      <c r="M235" s="24" t="str">
        <f ca="1">IF(ISERROR(MATCH(N$1,INDIRECT("Table!A"&amp;$AE235):INDIRECT("Table!" &amp; $AH$253 &amp; $AE235),0)),"",INDIRECT(CONCATENATE("Table!",ADDRESS($T235,MATCH(N$1,INDIRECT("Table!A" &amp; $AE235):INDIRECT("Table!" &amp; $AH$253 &amp; $AE235),0)))))</f>
        <v/>
      </c>
      <c r="N235" s="24" t="str">
        <f ca="1">IF(ISERROR(MATCH(O$1,INDIRECT("Table!A"&amp;$AE235):INDIRECT("Table!" &amp; $AH$253 &amp; $AE235),0)),"",INDIRECT(CONCATENATE("Table!",ADDRESS($T235,MATCH(O$1,INDIRECT("Table!A" &amp; $AE235):INDIRECT("Table!" &amp; $AH$253 &amp; $AE235),0)))))</f>
        <v/>
      </c>
      <c r="O235" s="24" t="str">
        <f ca="1">IF(ISERROR(MATCH(P$1,INDIRECT("Table!A"&amp;$AE235):INDIRECT("Table!" &amp; $AH$253 &amp; $AE235),0)),"",INDIRECT(CONCATENATE("Table!",ADDRESS($T235,MATCH(P$1,INDIRECT("Table!A" &amp; $AE235):INDIRECT("Table!" &amp; $AH$253 &amp; $AE235),0)))))</f>
        <v/>
      </c>
      <c r="P235" s="273" t="str">
        <f ca="1">IF(ISERROR(MATCH(Q$1,INDIRECT("Table!A"&amp;$AE235):INDIRECT("Table!" &amp; $AH$253 &amp; $AE235),0)),"",INDIRECT(CONCATENATE("Table!",ADDRESS($T235,MATCH(Q$1,INDIRECT("Table!A" &amp; $AE235):INDIRECT("Table!" &amp; $AH$253 &amp; $AE235),0)))))</f>
        <v/>
      </c>
      <c r="Q235" s="88"/>
      <c r="R235" s="88"/>
      <c r="S235" s="88"/>
      <c r="T235" s="22"/>
      <c r="AC235" s="88"/>
      <c r="AD235" s="88"/>
      <c r="AE235" s="22"/>
      <c r="AF235" s="88"/>
      <c r="AG235" s="88"/>
      <c r="AH235" s="88"/>
    </row>
    <row r="236" spans="2:34" ht="18" customHeight="1" x14ac:dyDescent="0.25">
      <c r="B236" s="24"/>
      <c r="C236" s="24" t="str">
        <f ca="1">IF(ISERROR(MATCH(C$1,INDIRECT("Table!A"&amp;$AE236):INDIRECT("Table!" &amp; $AH$253 &amp; $AE236),0)),"",INDIRECT(CONCATENATE("Table!",ADDRESS($T236,MATCH(C$1,INDIRECT("Table!A" &amp; $AE236):INDIRECT("Table!" &amp; $AH$253 &amp; $AE236),0)))))</f>
        <v/>
      </c>
      <c r="D236" s="24" t="str">
        <f ca="1">IF(ISERROR(MATCH(D$1,INDIRECT("Table!A"&amp;$AE236):INDIRECT("Table!" &amp; $AH$253 &amp; $AE236),0)),"",INDIRECT(CONCATENATE("Table!",ADDRESS($T236,MATCH(D$1,INDIRECT("Table!A" &amp; $AE236):INDIRECT("Table!" &amp; $AH$253 &amp; $AE236),0)))))</f>
        <v/>
      </c>
      <c r="E236" s="24" t="str">
        <f ca="1">IF(ISERROR(MATCH(E$1,INDIRECT("Table!A"&amp;$AE236):INDIRECT("Table!" &amp; $AH$253 &amp; $AE236),0)),"",INDIRECT(CONCATENATE("Table!",ADDRESS($T236,MATCH(E$1,INDIRECT("Table!A" &amp; $AE236):INDIRECT("Table!" &amp; $AH$253 &amp; $AE236),0)))))</f>
        <v/>
      </c>
      <c r="F236" s="24" t="str">
        <f ca="1">IF(ISERROR(MATCH(F$1,INDIRECT("Table!A"&amp;$AE236):INDIRECT("Table!" &amp; $AH$253 &amp; $AE236),0)),"",INDIRECT(CONCATENATE("Table!",ADDRESS($T236,MATCH(F$1,INDIRECT("Table!A" &amp; $AE236):INDIRECT("Table!" &amp; $AH$253 &amp; $AE236),0)))))</f>
        <v/>
      </c>
      <c r="G236" s="24" t="str">
        <f ca="1">IF(ISERROR(MATCH(G$1,INDIRECT("Table!A"&amp;$AE236):INDIRECT("Table!" &amp; $AH$253 &amp; $AE236),0)),"",INDIRECT(CONCATENATE("Table!",ADDRESS($T236,MATCH(G$1,INDIRECT("Table!A" &amp; $AE236):INDIRECT("Table!" &amp; $AH$253 &amp; $AE236),0)))))</f>
        <v/>
      </c>
      <c r="H236" s="24" t="str">
        <f ca="1">IF(ISERROR(MATCH(H$1,INDIRECT("Table!A"&amp;$AE236):INDIRECT("Table!" &amp; $AH$253 &amp; $AE236),0)),"",INDIRECT(CONCATENATE("Table!",ADDRESS($T236,MATCH(H$1,INDIRECT("Table!A" &amp; $AE236):INDIRECT("Table!" &amp; $AH$253 &amp; $AE236),0)))))</f>
        <v/>
      </c>
      <c r="I236" s="273"/>
      <c r="J236" s="273"/>
      <c r="K236" s="24" t="str">
        <f ca="1">IF(ISERROR(MATCH(L$1,INDIRECT("Table!A"&amp;$AE236):INDIRECT("Table!" &amp; $AH$253 &amp; $AE236),0)),"",INDIRECT(CONCATENATE("Table!",ADDRESS($T236,MATCH(L$1,INDIRECT("Table!A" &amp; $AE236):INDIRECT("Table!" &amp; $AH$253 &amp; $AE236),0)))))</f>
        <v/>
      </c>
      <c r="L236" s="24" t="str">
        <f ca="1">IF(ISERROR(MATCH(M$1,INDIRECT("Table!A"&amp;$AE236):INDIRECT("Table!" &amp; $AH$253 &amp; $AE236),0)),"",INDIRECT(CONCATENATE("Table!",ADDRESS($T236,MATCH(M$1,INDIRECT("Table!A" &amp; $AE236):INDIRECT("Table!" &amp; $AH$253 &amp; $AE236),0)))))</f>
        <v/>
      </c>
      <c r="M236" s="24" t="str">
        <f ca="1">IF(ISERROR(MATCH(N$1,INDIRECT("Table!A"&amp;$AE236):INDIRECT("Table!" &amp; $AH$253 &amp; $AE236),0)),"",INDIRECT(CONCATENATE("Table!",ADDRESS($T236,MATCH(N$1,INDIRECT("Table!A" &amp; $AE236):INDIRECT("Table!" &amp; $AH$253 &amp; $AE236),0)))))</f>
        <v/>
      </c>
      <c r="N236" s="24" t="str">
        <f ca="1">IF(ISERROR(MATCH(O$1,INDIRECT("Table!A"&amp;$AE236):INDIRECT("Table!" &amp; $AH$253 &amp; $AE236),0)),"",INDIRECT(CONCATENATE("Table!",ADDRESS($T236,MATCH(O$1,INDIRECT("Table!A" &amp; $AE236):INDIRECT("Table!" &amp; $AH$253 &amp; $AE236),0)))))</f>
        <v/>
      </c>
      <c r="O236" s="24" t="str">
        <f ca="1">IF(ISERROR(MATCH(P$1,INDIRECT("Table!A"&amp;$AE236):INDIRECT("Table!" &amp; $AH$253 &amp; $AE236),0)),"",INDIRECT(CONCATENATE("Table!",ADDRESS($T236,MATCH(P$1,INDIRECT("Table!A" &amp; $AE236):INDIRECT("Table!" &amp; $AH$253 &amp; $AE236),0)))))</f>
        <v/>
      </c>
      <c r="P236" s="273" t="str">
        <f ca="1">IF(ISERROR(MATCH(Q$1,INDIRECT("Table!A"&amp;$AE236):INDIRECT("Table!" &amp; $AH$253 &amp; $AE236),0)),"",INDIRECT(CONCATENATE("Table!",ADDRESS($T236,MATCH(Q$1,INDIRECT("Table!A" &amp; $AE236):INDIRECT("Table!" &amp; $AH$253 &amp; $AE236),0)))))</f>
        <v/>
      </c>
      <c r="Q236" s="87"/>
      <c r="R236" s="87"/>
      <c r="S236" s="87"/>
      <c r="T236" s="22"/>
      <c r="AC236" s="87"/>
      <c r="AD236" s="87"/>
      <c r="AE236" s="22"/>
      <c r="AF236" s="87"/>
      <c r="AG236" s="87"/>
      <c r="AH236" s="87"/>
    </row>
    <row r="237" spans="2:34" ht="18" customHeight="1" x14ac:dyDescent="0.25">
      <c r="B237" s="24"/>
      <c r="C237" s="24" t="str">
        <f ca="1">IF(ISERROR(MATCH(C$1,INDIRECT("Table!A"&amp;$AE237):INDIRECT("Table!" &amp; $AH$253 &amp; $AE237),0)),"",INDIRECT(CONCATENATE("Table!",ADDRESS($T237,MATCH(C$1,INDIRECT("Table!A" &amp; $AE237):INDIRECT("Table!" &amp; $AH$253 &amp; $AE237),0)))))</f>
        <v/>
      </c>
      <c r="D237" s="24" t="str">
        <f ca="1">IF(ISERROR(MATCH(D$1,INDIRECT("Table!A"&amp;$AE237):INDIRECT("Table!" &amp; $AH$253 &amp; $AE237),0)),"",INDIRECT(CONCATENATE("Table!",ADDRESS($T237,MATCH(D$1,INDIRECT("Table!A" &amp; $AE237):INDIRECT("Table!" &amp; $AH$253 &amp; $AE237),0)))))</f>
        <v/>
      </c>
      <c r="E237" s="24" t="str">
        <f ca="1">IF(ISERROR(MATCH(E$1,INDIRECT("Table!A"&amp;$AE237):INDIRECT("Table!" &amp; $AH$253 &amp; $AE237),0)),"",INDIRECT(CONCATENATE("Table!",ADDRESS($T237,MATCH(E$1,INDIRECT("Table!A" &amp; $AE237):INDIRECT("Table!" &amp; $AH$253 &amp; $AE237),0)))))</f>
        <v/>
      </c>
      <c r="F237" s="24" t="str">
        <f ca="1">IF(ISERROR(MATCH(F$1,INDIRECT("Table!A"&amp;$AE237):INDIRECT("Table!" &amp; $AH$253 &amp; $AE237),0)),"",INDIRECT(CONCATENATE("Table!",ADDRESS($T237,MATCH(F$1,INDIRECT("Table!A" &amp; $AE237):INDIRECT("Table!" &amp; $AH$253 &amp; $AE237),0)))))</f>
        <v/>
      </c>
      <c r="G237" s="24" t="str">
        <f ca="1">IF(ISERROR(MATCH(G$1,INDIRECT("Table!A"&amp;$AE237):INDIRECT("Table!" &amp; $AH$253 &amp; $AE237),0)),"",INDIRECT(CONCATENATE("Table!",ADDRESS($T237,MATCH(G$1,INDIRECT("Table!A" &amp; $AE237):INDIRECT("Table!" &amp; $AH$253 &amp; $AE237),0)))))</f>
        <v/>
      </c>
      <c r="H237" s="24" t="str">
        <f ca="1">IF(ISERROR(MATCH(H$1,INDIRECT("Table!A"&amp;$AE237):INDIRECT("Table!" &amp; $AH$253 &amp; $AE237),0)),"",INDIRECT(CONCATENATE("Table!",ADDRESS($T237,MATCH(H$1,INDIRECT("Table!A" &amp; $AE237):INDIRECT("Table!" &amp; $AH$253 &amp; $AE237),0)))))</f>
        <v/>
      </c>
      <c r="I237" s="273"/>
      <c r="J237" s="273"/>
      <c r="K237" s="24" t="str">
        <f ca="1">IF(ISERROR(MATCH(L$1,INDIRECT("Table!A"&amp;$AE237):INDIRECT("Table!" &amp; $AH$253 &amp; $AE237),0)),"",INDIRECT(CONCATENATE("Table!",ADDRESS($T237,MATCH(L$1,INDIRECT("Table!A" &amp; $AE237):INDIRECT("Table!" &amp; $AH$253 &amp; $AE237),0)))))</f>
        <v/>
      </c>
      <c r="L237" s="24" t="str">
        <f ca="1">IF(ISERROR(MATCH(M$1,INDIRECT("Table!A"&amp;$AE237):INDIRECT("Table!" &amp; $AH$253 &amp; $AE237),0)),"",INDIRECT(CONCATENATE("Table!",ADDRESS($T237,MATCH(M$1,INDIRECT("Table!A" &amp; $AE237):INDIRECT("Table!" &amp; $AH$253 &amp; $AE237),0)))))</f>
        <v/>
      </c>
      <c r="M237" s="24" t="str">
        <f ca="1">IF(ISERROR(MATCH(N$1,INDIRECT("Table!A"&amp;$AE237):INDIRECT("Table!" &amp; $AH$253 &amp; $AE237),0)),"",INDIRECT(CONCATENATE("Table!",ADDRESS($T237,MATCH(N$1,INDIRECT("Table!A" &amp; $AE237):INDIRECT("Table!" &amp; $AH$253 &amp; $AE237),0)))))</f>
        <v/>
      </c>
      <c r="N237" s="24" t="str">
        <f ca="1">IF(ISERROR(MATCH(O$1,INDIRECT("Table!A"&amp;$AE237):INDIRECT("Table!" &amp; $AH$253 &amp; $AE237),0)),"",INDIRECT(CONCATENATE("Table!",ADDRESS($T237,MATCH(O$1,INDIRECT("Table!A" &amp; $AE237):INDIRECT("Table!" &amp; $AH$253 &amp; $AE237),0)))))</f>
        <v/>
      </c>
      <c r="O237" s="24" t="str">
        <f ca="1">IF(ISERROR(MATCH(P$1,INDIRECT("Table!A"&amp;$AE237):INDIRECT("Table!" &amp; $AH$253 &amp; $AE237),0)),"",INDIRECT(CONCATENATE("Table!",ADDRESS($T237,MATCH(P$1,INDIRECT("Table!A" &amp; $AE237):INDIRECT("Table!" &amp; $AH$253 &amp; $AE237),0)))))</f>
        <v/>
      </c>
      <c r="P237" s="273" t="str">
        <f ca="1">IF(ISERROR(MATCH(Q$1,INDIRECT("Table!A"&amp;$AE237):INDIRECT("Table!" &amp; $AH$253 &amp; $AE237),0)),"",INDIRECT(CONCATENATE("Table!",ADDRESS($T237,MATCH(Q$1,INDIRECT("Table!A" &amp; $AE237):INDIRECT("Table!" &amp; $AH$253 &amp; $AE237),0)))))</f>
        <v/>
      </c>
      <c r="Q237" s="86"/>
      <c r="R237" s="86"/>
      <c r="S237" s="86"/>
      <c r="T237" s="22"/>
      <c r="AC237" s="86"/>
      <c r="AD237" s="86"/>
      <c r="AE237" s="22"/>
      <c r="AF237" s="86"/>
      <c r="AG237" s="86"/>
      <c r="AH237" s="86"/>
    </row>
    <row r="238" spans="2:34" ht="18" customHeight="1" x14ac:dyDescent="0.25">
      <c r="B238" s="24"/>
      <c r="C238" s="24" t="str">
        <f ca="1">IF(ISERROR(MATCH(C$1,INDIRECT("Table!A"&amp;$AE238):INDIRECT("Table!" &amp; $AH$253 &amp; $AE238),0)),"",INDIRECT(CONCATENATE("Table!",ADDRESS($T238,MATCH(C$1,INDIRECT("Table!A" &amp; $AE238):INDIRECT("Table!" &amp; $AH$253 &amp; $AE238),0)))))</f>
        <v/>
      </c>
      <c r="D238" s="24" t="str">
        <f ca="1">IF(ISERROR(MATCH(D$1,INDIRECT("Table!A"&amp;$AE238):INDIRECT("Table!" &amp; $AH$253 &amp; $AE238),0)),"",INDIRECT(CONCATENATE("Table!",ADDRESS($T238,MATCH(D$1,INDIRECT("Table!A" &amp; $AE238):INDIRECT("Table!" &amp; $AH$253 &amp; $AE238),0)))))</f>
        <v/>
      </c>
      <c r="E238" s="24" t="str">
        <f ca="1">IF(ISERROR(MATCH(E$1,INDIRECT("Table!A"&amp;$AE238):INDIRECT("Table!" &amp; $AH$253 &amp; $AE238),0)),"",INDIRECT(CONCATENATE("Table!",ADDRESS($T238,MATCH(E$1,INDIRECT("Table!A" &amp; $AE238):INDIRECT("Table!" &amp; $AH$253 &amp; $AE238),0)))))</f>
        <v/>
      </c>
      <c r="F238" s="24" t="str">
        <f ca="1">IF(ISERROR(MATCH(F$1,INDIRECT("Table!A"&amp;$AE238):INDIRECT("Table!" &amp; $AH$253 &amp; $AE238),0)),"",INDIRECT(CONCATENATE("Table!",ADDRESS($T238,MATCH(F$1,INDIRECT("Table!A" &amp; $AE238):INDIRECT("Table!" &amp; $AH$253 &amp; $AE238),0)))))</f>
        <v/>
      </c>
      <c r="G238" s="24" t="str">
        <f ca="1">IF(ISERROR(MATCH(G$1,INDIRECT("Table!A"&amp;$AE238):INDIRECT("Table!" &amp; $AH$253 &amp; $AE238),0)),"",INDIRECT(CONCATENATE("Table!",ADDRESS($T238,MATCH(G$1,INDIRECT("Table!A" &amp; $AE238):INDIRECT("Table!" &amp; $AH$253 &amp; $AE238),0)))))</f>
        <v/>
      </c>
      <c r="H238" s="24" t="str">
        <f ca="1">IF(ISERROR(MATCH(H$1,INDIRECT("Table!A"&amp;$AE238):INDIRECT("Table!" &amp; $AH$253 &amp; $AE238),0)),"",INDIRECT(CONCATENATE("Table!",ADDRESS($T238,MATCH(H$1,INDIRECT("Table!A" &amp; $AE238):INDIRECT("Table!" &amp; $AH$253 &amp; $AE238),0)))))</f>
        <v/>
      </c>
      <c r="I238" s="273"/>
      <c r="J238" s="273"/>
      <c r="K238" s="24" t="str">
        <f ca="1">IF(ISERROR(MATCH(L$1,INDIRECT("Table!A"&amp;$AE238):INDIRECT("Table!" &amp; $AH$253 &amp; $AE238),0)),"",INDIRECT(CONCATENATE("Table!",ADDRESS($T238,MATCH(L$1,INDIRECT("Table!A" &amp; $AE238):INDIRECT("Table!" &amp; $AH$253 &amp; $AE238),0)))))</f>
        <v/>
      </c>
      <c r="L238" s="24" t="str">
        <f ca="1">IF(ISERROR(MATCH(M$1,INDIRECT("Table!A"&amp;$AE238):INDIRECT("Table!" &amp; $AH$253 &amp; $AE238),0)),"",INDIRECT(CONCATENATE("Table!",ADDRESS($T238,MATCH(M$1,INDIRECT("Table!A" &amp; $AE238):INDIRECT("Table!" &amp; $AH$253 &amp; $AE238),0)))))</f>
        <v/>
      </c>
      <c r="M238" s="24" t="str">
        <f ca="1">IF(ISERROR(MATCH(N$1,INDIRECT("Table!A"&amp;$AE238):INDIRECT("Table!" &amp; $AH$253 &amp; $AE238),0)),"",INDIRECT(CONCATENATE("Table!",ADDRESS($T238,MATCH(N$1,INDIRECT("Table!A" &amp; $AE238):INDIRECT("Table!" &amp; $AH$253 &amp; $AE238),0)))))</f>
        <v/>
      </c>
      <c r="N238" s="24" t="str">
        <f ca="1">IF(ISERROR(MATCH(O$1,INDIRECT("Table!A"&amp;$AE238):INDIRECT("Table!" &amp; $AH$253 &amp; $AE238),0)),"",INDIRECT(CONCATENATE("Table!",ADDRESS($T238,MATCH(O$1,INDIRECT("Table!A" &amp; $AE238):INDIRECT("Table!" &amp; $AH$253 &amp; $AE238),0)))))</f>
        <v/>
      </c>
      <c r="O238" s="24" t="str">
        <f ca="1">IF(ISERROR(MATCH(P$1,INDIRECT("Table!A"&amp;$AE238):INDIRECT("Table!" &amp; $AH$253 &amp; $AE238),0)),"",INDIRECT(CONCATENATE("Table!",ADDRESS($T238,MATCH(P$1,INDIRECT("Table!A" &amp; $AE238):INDIRECT("Table!" &amp; $AH$253 &amp; $AE238),0)))))</f>
        <v/>
      </c>
      <c r="P238" s="273" t="str">
        <f ca="1">IF(ISERROR(MATCH(Q$1,INDIRECT("Table!A"&amp;$AE238):INDIRECT("Table!" &amp; $AH$253 &amp; $AE238),0)),"",INDIRECT(CONCATENATE("Table!",ADDRESS($T238,MATCH(Q$1,INDIRECT("Table!A" &amp; $AE238):INDIRECT("Table!" &amp; $AH$253 &amp; $AE238),0)))))</f>
        <v/>
      </c>
      <c r="Q238" s="85"/>
      <c r="R238" s="85"/>
      <c r="S238" s="85"/>
      <c r="T238" s="22"/>
      <c r="AC238" s="85"/>
      <c r="AD238" s="85"/>
      <c r="AE238" s="22"/>
      <c r="AF238" s="85"/>
      <c r="AG238" s="85"/>
      <c r="AH238" s="85"/>
    </row>
    <row r="239" spans="2:34" ht="18" customHeight="1" x14ac:dyDescent="0.25">
      <c r="B239" s="24"/>
      <c r="C239" s="24" t="str">
        <f ca="1">IF(ISERROR(MATCH(C$1,INDIRECT("Table!A"&amp;$AE239):INDIRECT("Table!" &amp; $AH$253 &amp; $AE239),0)),"",INDIRECT(CONCATENATE("Table!",ADDRESS($T239,MATCH(C$1,INDIRECT("Table!A" &amp; $AE239):INDIRECT("Table!" &amp; $AH$253 &amp; $AE239),0)))))</f>
        <v/>
      </c>
      <c r="D239" s="24" t="str">
        <f ca="1">IF(ISERROR(MATCH(D$1,INDIRECT("Table!A"&amp;$AE239):INDIRECT("Table!" &amp; $AH$253 &amp; $AE239),0)),"",INDIRECT(CONCATENATE("Table!",ADDRESS($T239,MATCH(D$1,INDIRECT("Table!A" &amp; $AE239):INDIRECT("Table!" &amp; $AH$253 &amp; $AE239),0)))))</f>
        <v/>
      </c>
      <c r="E239" s="24" t="str">
        <f ca="1">IF(ISERROR(MATCH(E$1,INDIRECT("Table!A"&amp;$AE239):INDIRECT("Table!" &amp; $AH$253 &amp; $AE239),0)),"",INDIRECT(CONCATENATE("Table!",ADDRESS($T239,MATCH(E$1,INDIRECT("Table!A" &amp; $AE239):INDIRECT("Table!" &amp; $AH$253 &amp; $AE239),0)))))</f>
        <v/>
      </c>
      <c r="F239" s="24" t="str">
        <f ca="1">IF(ISERROR(MATCH(F$1,INDIRECT("Table!A"&amp;$AE239):INDIRECT("Table!" &amp; $AH$253 &amp; $AE239),0)),"",INDIRECT(CONCATENATE("Table!",ADDRESS($T239,MATCH(F$1,INDIRECT("Table!A" &amp; $AE239):INDIRECT("Table!" &amp; $AH$253 &amp; $AE239),0)))))</f>
        <v/>
      </c>
      <c r="G239" s="24" t="str">
        <f ca="1">IF(ISERROR(MATCH(G$1,INDIRECT("Table!A"&amp;$AE239):INDIRECT("Table!" &amp; $AH$253 &amp; $AE239),0)),"",INDIRECT(CONCATENATE("Table!",ADDRESS($T239,MATCH(G$1,INDIRECT("Table!A" &amp; $AE239):INDIRECT("Table!" &amp; $AH$253 &amp; $AE239),0)))))</f>
        <v/>
      </c>
      <c r="H239" s="24" t="str">
        <f ca="1">IF(ISERROR(MATCH(H$1,INDIRECT("Table!A"&amp;$AE239):INDIRECT("Table!" &amp; $AH$253 &amp; $AE239),0)),"",INDIRECT(CONCATENATE("Table!",ADDRESS($T239,MATCH(H$1,INDIRECT("Table!A" &amp; $AE239):INDIRECT("Table!" &amp; $AH$253 &amp; $AE239),0)))))</f>
        <v/>
      </c>
      <c r="I239" s="273"/>
      <c r="J239" s="273"/>
      <c r="K239" s="24" t="str">
        <f ca="1">IF(ISERROR(MATCH(L$1,INDIRECT("Table!A"&amp;$AE239):INDIRECT("Table!" &amp; $AH$253 &amp; $AE239),0)),"",INDIRECT(CONCATENATE("Table!",ADDRESS($T239,MATCH(L$1,INDIRECT("Table!A" &amp; $AE239):INDIRECT("Table!" &amp; $AH$253 &amp; $AE239),0)))))</f>
        <v/>
      </c>
      <c r="L239" s="24" t="str">
        <f ca="1">IF(ISERROR(MATCH(M$1,INDIRECT("Table!A"&amp;$AE239):INDIRECT("Table!" &amp; $AH$253 &amp; $AE239),0)),"",INDIRECT(CONCATENATE("Table!",ADDRESS($T239,MATCH(M$1,INDIRECT("Table!A" &amp; $AE239):INDIRECT("Table!" &amp; $AH$253 &amp; $AE239),0)))))</f>
        <v/>
      </c>
      <c r="M239" s="24" t="str">
        <f ca="1">IF(ISERROR(MATCH(N$1,INDIRECT("Table!A"&amp;$AE239):INDIRECT("Table!" &amp; $AH$253 &amp; $AE239),0)),"",INDIRECT(CONCATENATE("Table!",ADDRESS($T239,MATCH(N$1,INDIRECT("Table!A" &amp; $AE239):INDIRECT("Table!" &amp; $AH$253 &amp; $AE239),0)))))</f>
        <v/>
      </c>
      <c r="N239" s="24" t="str">
        <f ca="1">IF(ISERROR(MATCH(O$1,INDIRECT("Table!A"&amp;$AE239):INDIRECT("Table!" &amp; $AH$253 &amp; $AE239),0)),"",INDIRECT(CONCATENATE("Table!",ADDRESS($T239,MATCH(O$1,INDIRECT("Table!A" &amp; $AE239):INDIRECT("Table!" &amp; $AH$253 &amp; $AE239),0)))))</f>
        <v/>
      </c>
      <c r="O239" s="24" t="str">
        <f ca="1">IF(ISERROR(MATCH(P$1,INDIRECT("Table!A"&amp;$AE239):INDIRECT("Table!" &amp; $AH$253 &amp; $AE239),0)),"",INDIRECT(CONCATENATE("Table!",ADDRESS($T239,MATCH(P$1,INDIRECT("Table!A" &amp; $AE239):INDIRECT("Table!" &amp; $AH$253 &amp; $AE239),0)))))</f>
        <v/>
      </c>
      <c r="P239" s="273" t="str">
        <f ca="1">IF(ISERROR(MATCH(Q$1,INDIRECT("Table!A"&amp;$AE239):INDIRECT("Table!" &amp; $AH$253 &amp; $AE239),0)),"",INDIRECT(CONCATENATE("Table!",ADDRESS($T239,MATCH(Q$1,INDIRECT("Table!A" &amp; $AE239):INDIRECT("Table!" &amp; $AH$253 &amp; $AE239),0)))))</f>
        <v/>
      </c>
      <c r="Q239" s="84"/>
      <c r="R239" s="84"/>
      <c r="S239" s="84"/>
      <c r="T239" s="22"/>
      <c r="AC239" s="84"/>
      <c r="AD239" s="84"/>
      <c r="AE239" s="22"/>
      <c r="AF239" s="84"/>
      <c r="AG239" s="84"/>
      <c r="AH239" s="84"/>
    </row>
    <row r="240" spans="2:34" ht="18" customHeight="1" x14ac:dyDescent="0.25">
      <c r="B240" s="24"/>
      <c r="C240" s="24" t="str">
        <f ca="1">IF(ISERROR(MATCH(C$1,INDIRECT("Table!A"&amp;$AE240):INDIRECT("Table!" &amp; $AH$253 &amp; $AE240),0)),"",INDIRECT(CONCATENATE("Table!",ADDRESS($T240,MATCH(C$1,INDIRECT("Table!A" &amp; $AE240):INDIRECT("Table!" &amp; $AH$253 &amp; $AE240),0)))))</f>
        <v/>
      </c>
      <c r="D240" s="24" t="str">
        <f ca="1">IF(ISERROR(MATCH(D$1,INDIRECT("Table!A"&amp;$AE240):INDIRECT("Table!" &amp; $AH$253 &amp; $AE240),0)),"",INDIRECT(CONCATENATE("Table!",ADDRESS($T240,MATCH(D$1,INDIRECT("Table!A" &amp; $AE240):INDIRECT("Table!" &amp; $AH$253 &amp; $AE240),0)))))</f>
        <v/>
      </c>
      <c r="E240" s="24" t="str">
        <f ca="1">IF(ISERROR(MATCH(E$1,INDIRECT("Table!A"&amp;$AE240):INDIRECT("Table!" &amp; $AH$253 &amp; $AE240),0)),"",INDIRECT(CONCATENATE("Table!",ADDRESS($T240,MATCH(E$1,INDIRECT("Table!A" &amp; $AE240):INDIRECT("Table!" &amp; $AH$253 &amp; $AE240),0)))))</f>
        <v/>
      </c>
      <c r="F240" s="24" t="str">
        <f ca="1">IF(ISERROR(MATCH(F$1,INDIRECT("Table!A"&amp;$AE240):INDIRECT("Table!" &amp; $AH$253 &amp; $AE240),0)),"",INDIRECT(CONCATENATE("Table!",ADDRESS($T240,MATCH(F$1,INDIRECT("Table!A" &amp; $AE240):INDIRECT("Table!" &amp; $AH$253 &amp; $AE240),0)))))</f>
        <v/>
      </c>
      <c r="G240" s="24" t="str">
        <f ca="1">IF(ISERROR(MATCH(G$1,INDIRECT("Table!A"&amp;$AE240):INDIRECT("Table!" &amp; $AH$253 &amp; $AE240),0)),"",INDIRECT(CONCATENATE("Table!",ADDRESS($T240,MATCH(G$1,INDIRECT("Table!A" &amp; $AE240):INDIRECT("Table!" &amp; $AH$253 &amp; $AE240),0)))))</f>
        <v/>
      </c>
      <c r="H240" s="24" t="str">
        <f ca="1">IF(ISERROR(MATCH(H$1,INDIRECT("Table!A"&amp;$AE240):INDIRECT("Table!" &amp; $AH$253 &amp; $AE240),0)),"",INDIRECT(CONCATENATE("Table!",ADDRESS($T240,MATCH(H$1,INDIRECT("Table!A" &amp; $AE240):INDIRECT("Table!" &amp; $AH$253 &amp; $AE240),0)))))</f>
        <v/>
      </c>
      <c r="I240" s="273"/>
      <c r="J240" s="273"/>
      <c r="K240" s="24" t="str">
        <f ca="1">IF(ISERROR(MATCH(L$1,INDIRECT("Table!A"&amp;$AE240):INDIRECT("Table!" &amp; $AH$253 &amp; $AE240),0)),"",INDIRECT(CONCATENATE("Table!",ADDRESS($T240,MATCH(L$1,INDIRECT("Table!A" &amp; $AE240):INDIRECT("Table!" &amp; $AH$253 &amp; $AE240),0)))))</f>
        <v/>
      </c>
      <c r="L240" s="24" t="str">
        <f ca="1">IF(ISERROR(MATCH(M$1,INDIRECT("Table!A"&amp;$AE240):INDIRECT("Table!" &amp; $AH$253 &amp; $AE240),0)),"",INDIRECT(CONCATENATE("Table!",ADDRESS($T240,MATCH(M$1,INDIRECT("Table!A" &amp; $AE240):INDIRECT("Table!" &amp; $AH$253 &amp; $AE240),0)))))</f>
        <v/>
      </c>
      <c r="M240" s="24" t="str">
        <f ca="1">IF(ISERROR(MATCH(N$1,INDIRECT("Table!A"&amp;$AE240):INDIRECT("Table!" &amp; $AH$253 &amp; $AE240),0)),"",INDIRECT(CONCATENATE("Table!",ADDRESS($T240,MATCH(N$1,INDIRECT("Table!A" &amp; $AE240):INDIRECT("Table!" &amp; $AH$253 &amp; $AE240),0)))))</f>
        <v/>
      </c>
      <c r="N240" s="24" t="str">
        <f ca="1">IF(ISERROR(MATCH(O$1,INDIRECT("Table!A"&amp;$AE240):INDIRECT("Table!" &amp; $AH$253 &amp; $AE240),0)),"",INDIRECT(CONCATENATE("Table!",ADDRESS($T240,MATCH(O$1,INDIRECT("Table!A" &amp; $AE240):INDIRECT("Table!" &amp; $AH$253 &amp; $AE240),0)))))</f>
        <v/>
      </c>
      <c r="O240" s="24" t="str">
        <f ca="1">IF(ISERROR(MATCH(P$1,INDIRECT("Table!A"&amp;$AE240):INDIRECT("Table!" &amp; $AH$253 &amp; $AE240),0)),"",INDIRECT(CONCATENATE("Table!",ADDRESS($T240,MATCH(P$1,INDIRECT("Table!A" &amp; $AE240):INDIRECT("Table!" &amp; $AH$253 &amp; $AE240),0)))))</f>
        <v/>
      </c>
      <c r="P240" s="273" t="str">
        <f ca="1">IF(ISERROR(MATCH(Q$1,INDIRECT("Table!A"&amp;$AE240):INDIRECT("Table!" &amp; $AH$253 &amp; $AE240),0)),"",INDIRECT(CONCATENATE("Table!",ADDRESS($T240,MATCH(Q$1,INDIRECT("Table!A" &amp; $AE240):INDIRECT("Table!" &amp; $AH$253 &amp; $AE240),0)))))</f>
        <v/>
      </c>
      <c r="Q240" s="83"/>
      <c r="R240" s="83"/>
      <c r="S240" s="83"/>
      <c r="T240" s="22"/>
      <c r="AC240" s="83"/>
      <c r="AD240" s="83"/>
      <c r="AE240" s="22"/>
      <c r="AF240" s="83"/>
      <c r="AG240" s="83"/>
      <c r="AH240" s="83"/>
    </row>
    <row r="241" spans="2:34" ht="18" customHeight="1" x14ac:dyDescent="0.25">
      <c r="B241" s="24"/>
      <c r="C241" s="24" t="str">
        <f ca="1">IF(ISERROR(MATCH(C$1,INDIRECT("Table!A"&amp;$AE241):INDIRECT("Table!" &amp; $AH$253 &amp; $AE241),0)),"",INDIRECT(CONCATENATE("Table!",ADDRESS($T241,MATCH(C$1,INDIRECT("Table!A" &amp; $AE241):INDIRECT("Table!" &amp; $AH$253 &amp; $AE241),0)))))</f>
        <v/>
      </c>
      <c r="D241" s="24" t="str">
        <f ca="1">IF(ISERROR(MATCH(D$1,INDIRECT("Table!A"&amp;$AE241):INDIRECT("Table!" &amp; $AH$253 &amp; $AE241),0)),"",INDIRECT(CONCATENATE("Table!",ADDRESS($T241,MATCH(D$1,INDIRECT("Table!A" &amp; $AE241):INDIRECT("Table!" &amp; $AH$253 &amp; $AE241),0)))))</f>
        <v/>
      </c>
      <c r="E241" s="24" t="str">
        <f ca="1">IF(ISERROR(MATCH(E$1,INDIRECT("Table!A"&amp;$AE241):INDIRECT("Table!" &amp; $AH$253 &amp; $AE241),0)),"",INDIRECT(CONCATENATE("Table!",ADDRESS($T241,MATCH(E$1,INDIRECT("Table!A" &amp; $AE241):INDIRECT("Table!" &amp; $AH$253 &amp; $AE241),0)))))</f>
        <v/>
      </c>
      <c r="F241" s="24" t="str">
        <f ca="1">IF(ISERROR(MATCH(F$1,INDIRECT("Table!A"&amp;$AE241):INDIRECT("Table!" &amp; $AH$253 &amp; $AE241),0)),"",INDIRECT(CONCATENATE("Table!",ADDRESS($T241,MATCH(F$1,INDIRECT("Table!A" &amp; $AE241):INDIRECT("Table!" &amp; $AH$253 &amp; $AE241),0)))))</f>
        <v/>
      </c>
      <c r="G241" s="24" t="str">
        <f ca="1">IF(ISERROR(MATCH(G$1,INDIRECT("Table!A"&amp;$AE241):INDIRECT("Table!" &amp; $AH$253 &amp; $AE241),0)),"",INDIRECT(CONCATENATE("Table!",ADDRESS($T241,MATCH(G$1,INDIRECT("Table!A" &amp; $AE241):INDIRECT("Table!" &amp; $AH$253 &amp; $AE241),0)))))</f>
        <v/>
      </c>
      <c r="H241" s="24" t="str">
        <f ca="1">IF(ISERROR(MATCH(H$1,INDIRECT("Table!A"&amp;$AE241):INDIRECT("Table!" &amp; $AH$253 &amp; $AE241),0)),"",INDIRECT(CONCATENATE("Table!",ADDRESS($T241,MATCH(H$1,INDIRECT("Table!A" &amp; $AE241):INDIRECT("Table!" &amp; $AH$253 &amp; $AE241),0)))))</f>
        <v/>
      </c>
      <c r="I241" s="273"/>
      <c r="J241" s="273"/>
      <c r="K241" s="24" t="str">
        <f ca="1">IF(ISERROR(MATCH(L$1,INDIRECT("Table!A"&amp;$AE241):INDIRECT("Table!" &amp; $AH$253 &amp; $AE241),0)),"",INDIRECT(CONCATENATE("Table!",ADDRESS($T241,MATCH(L$1,INDIRECT("Table!A" &amp; $AE241):INDIRECT("Table!" &amp; $AH$253 &amp; $AE241),0)))))</f>
        <v/>
      </c>
      <c r="L241" s="24" t="str">
        <f ca="1">IF(ISERROR(MATCH(M$1,INDIRECT("Table!A"&amp;$AE241):INDIRECT("Table!" &amp; $AH$253 &amp; $AE241),0)),"",INDIRECT(CONCATENATE("Table!",ADDRESS($T241,MATCH(M$1,INDIRECT("Table!A" &amp; $AE241):INDIRECT("Table!" &amp; $AH$253 &amp; $AE241),0)))))</f>
        <v/>
      </c>
      <c r="M241" s="24" t="str">
        <f ca="1">IF(ISERROR(MATCH(N$1,INDIRECT("Table!A"&amp;$AE241):INDIRECT("Table!" &amp; $AH$253 &amp; $AE241),0)),"",INDIRECT(CONCATENATE("Table!",ADDRESS($T241,MATCH(N$1,INDIRECT("Table!A" &amp; $AE241):INDIRECT("Table!" &amp; $AH$253 &amp; $AE241),0)))))</f>
        <v/>
      </c>
      <c r="N241" s="24" t="str">
        <f ca="1">IF(ISERROR(MATCH(O$1,INDIRECT("Table!A"&amp;$AE241):INDIRECT("Table!" &amp; $AH$253 &amp; $AE241),0)),"",INDIRECT(CONCATENATE("Table!",ADDRESS($T241,MATCH(O$1,INDIRECT("Table!A" &amp; $AE241):INDIRECT("Table!" &amp; $AH$253 &amp; $AE241),0)))))</f>
        <v/>
      </c>
      <c r="O241" s="24" t="str">
        <f ca="1">IF(ISERROR(MATCH(P$1,INDIRECT("Table!A"&amp;$AE241):INDIRECT("Table!" &amp; $AH$253 &amp; $AE241),0)),"",INDIRECT(CONCATENATE("Table!",ADDRESS($T241,MATCH(P$1,INDIRECT("Table!A" &amp; $AE241):INDIRECT("Table!" &amp; $AH$253 &amp; $AE241),0)))))</f>
        <v/>
      </c>
      <c r="P241" s="273" t="str">
        <f ca="1">IF(ISERROR(MATCH(Q$1,INDIRECT("Table!A"&amp;$AE241):INDIRECT("Table!" &amp; $AH$253 &amp; $AE241),0)),"",INDIRECT(CONCATENATE("Table!",ADDRESS($T241,MATCH(Q$1,INDIRECT("Table!A" &amp; $AE241):INDIRECT("Table!" &amp; $AH$253 &amp; $AE241),0)))))</f>
        <v/>
      </c>
      <c r="Q241" s="82"/>
      <c r="R241" s="82"/>
      <c r="S241" s="82"/>
      <c r="T241" s="22"/>
      <c r="AC241" s="82"/>
      <c r="AD241" s="82"/>
      <c r="AE241" s="22"/>
      <c r="AF241" s="82"/>
      <c r="AG241" s="82"/>
      <c r="AH241" s="82"/>
    </row>
    <row r="242" spans="2:34" ht="18" customHeight="1" x14ac:dyDescent="0.25">
      <c r="B242" s="24"/>
      <c r="C242" s="24" t="str">
        <f ca="1">IF(ISERROR(MATCH(C$1,INDIRECT("Table!A"&amp;$AE242):INDIRECT("Table!" &amp; $AH$253 &amp; $AE242),0)),"",INDIRECT(CONCATENATE("Table!",ADDRESS($T242,MATCH(C$1,INDIRECT("Table!A" &amp; $AE242):INDIRECT("Table!" &amp; $AH$253 &amp; $AE242),0)))))</f>
        <v/>
      </c>
      <c r="D242" s="24" t="str">
        <f ca="1">IF(ISERROR(MATCH(D$1,INDIRECT("Table!A"&amp;$AE242):INDIRECT("Table!" &amp; $AH$253 &amp; $AE242),0)),"",INDIRECT(CONCATENATE("Table!",ADDRESS($T242,MATCH(D$1,INDIRECT("Table!A" &amp; $AE242):INDIRECT("Table!" &amp; $AH$253 &amp; $AE242),0)))))</f>
        <v/>
      </c>
      <c r="E242" s="24" t="str">
        <f ca="1">IF(ISERROR(MATCH(E$1,INDIRECT("Table!A"&amp;$AE242):INDIRECT("Table!" &amp; $AH$253 &amp; $AE242),0)),"",INDIRECT(CONCATENATE("Table!",ADDRESS($T242,MATCH(E$1,INDIRECT("Table!A" &amp; $AE242):INDIRECT("Table!" &amp; $AH$253 &amp; $AE242),0)))))</f>
        <v/>
      </c>
      <c r="F242" s="24" t="str">
        <f ca="1">IF(ISERROR(MATCH(F$1,INDIRECT("Table!A"&amp;$AE242):INDIRECT("Table!" &amp; $AH$253 &amp; $AE242),0)),"",INDIRECT(CONCATENATE("Table!",ADDRESS($T242,MATCH(F$1,INDIRECT("Table!A" &amp; $AE242):INDIRECT("Table!" &amp; $AH$253 &amp; $AE242),0)))))</f>
        <v/>
      </c>
      <c r="G242" s="24" t="str">
        <f ca="1">IF(ISERROR(MATCH(G$1,INDIRECT("Table!A"&amp;$AE242):INDIRECT("Table!" &amp; $AH$253 &amp; $AE242),0)),"",INDIRECT(CONCATENATE("Table!",ADDRESS($T242,MATCH(G$1,INDIRECT("Table!A" &amp; $AE242):INDIRECT("Table!" &amp; $AH$253 &amp; $AE242),0)))))</f>
        <v/>
      </c>
      <c r="H242" s="24" t="str">
        <f ca="1">IF(ISERROR(MATCH(H$1,INDIRECT("Table!A"&amp;$AE242):INDIRECT("Table!" &amp; $AH$253 &amp; $AE242),0)),"",INDIRECT(CONCATENATE("Table!",ADDRESS($T242,MATCH(H$1,INDIRECT("Table!A" &amp; $AE242):INDIRECT("Table!" &amp; $AH$253 &amp; $AE242),0)))))</f>
        <v/>
      </c>
      <c r="I242" s="273"/>
      <c r="J242" s="273"/>
      <c r="K242" s="24" t="str">
        <f ca="1">IF(ISERROR(MATCH(L$1,INDIRECT("Table!A"&amp;$AE242):INDIRECT("Table!" &amp; $AH$253 &amp; $AE242),0)),"",INDIRECT(CONCATENATE("Table!",ADDRESS($T242,MATCH(L$1,INDIRECT("Table!A" &amp; $AE242):INDIRECT("Table!" &amp; $AH$253 &amp; $AE242),0)))))</f>
        <v/>
      </c>
      <c r="L242" s="24" t="str">
        <f ca="1">IF(ISERROR(MATCH(M$1,INDIRECT("Table!A"&amp;$AE242):INDIRECT("Table!" &amp; $AH$253 &amp; $AE242),0)),"",INDIRECT(CONCATENATE("Table!",ADDRESS($T242,MATCH(M$1,INDIRECT("Table!A" &amp; $AE242):INDIRECT("Table!" &amp; $AH$253 &amp; $AE242),0)))))</f>
        <v/>
      </c>
      <c r="M242" s="24" t="str">
        <f ca="1">IF(ISERROR(MATCH(N$1,INDIRECT("Table!A"&amp;$AE242):INDIRECT("Table!" &amp; $AH$253 &amp; $AE242),0)),"",INDIRECT(CONCATENATE("Table!",ADDRESS($T242,MATCH(N$1,INDIRECT("Table!A" &amp; $AE242):INDIRECT("Table!" &amp; $AH$253 &amp; $AE242),0)))))</f>
        <v/>
      </c>
      <c r="N242" s="24" t="str">
        <f ca="1">IF(ISERROR(MATCH(O$1,INDIRECT("Table!A"&amp;$AE242):INDIRECT("Table!" &amp; $AH$253 &amp; $AE242),0)),"",INDIRECT(CONCATENATE("Table!",ADDRESS($T242,MATCH(O$1,INDIRECT("Table!A" &amp; $AE242):INDIRECT("Table!" &amp; $AH$253 &amp; $AE242),0)))))</f>
        <v/>
      </c>
      <c r="O242" s="24" t="str">
        <f ca="1">IF(ISERROR(MATCH(P$1,INDIRECT("Table!A"&amp;$AE242):INDIRECT("Table!" &amp; $AH$253 &amp; $AE242),0)),"",INDIRECT(CONCATENATE("Table!",ADDRESS($T242,MATCH(P$1,INDIRECT("Table!A" &amp; $AE242):INDIRECT("Table!" &amp; $AH$253 &amp; $AE242),0)))))</f>
        <v/>
      </c>
      <c r="P242" s="273" t="str">
        <f ca="1">IF(ISERROR(MATCH(Q$1,INDIRECT("Table!A"&amp;$AE242):INDIRECT("Table!" &amp; $AH$253 &amp; $AE242),0)),"",INDIRECT(CONCATENATE("Table!",ADDRESS($T242,MATCH(Q$1,INDIRECT("Table!A" &amp; $AE242):INDIRECT("Table!" &amp; $AH$253 &amp; $AE242),0)))))</f>
        <v/>
      </c>
      <c r="Q242" s="81"/>
      <c r="R242" s="81"/>
      <c r="S242" s="81"/>
      <c r="T242" s="22"/>
      <c r="AC242" s="81"/>
      <c r="AD242" s="81"/>
      <c r="AE242" s="22"/>
      <c r="AF242" s="81"/>
      <c r="AG242" s="81"/>
      <c r="AH242" s="81"/>
    </row>
    <row r="243" spans="2:34" ht="18" customHeight="1" x14ac:dyDescent="0.25">
      <c r="B243" s="24"/>
      <c r="C243" s="24" t="str">
        <f ca="1">IF(ISERROR(MATCH(C$1,INDIRECT("Table!A"&amp;$AE243):INDIRECT("Table!" &amp; $AH$253 &amp; $AE243),0)),"",INDIRECT(CONCATENATE("Table!",ADDRESS($T243,MATCH(C$1,INDIRECT("Table!A" &amp; $AE243):INDIRECT("Table!" &amp; $AH$253 &amp; $AE243),0)))))</f>
        <v/>
      </c>
      <c r="D243" s="24" t="str">
        <f ca="1">IF(ISERROR(MATCH(D$1,INDIRECT("Table!A"&amp;$AE243):INDIRECT("Table!" &amp; $AH$253 &amp; $AE243),0)),"",INDIRECT(CONCATENATE("Table!",ADDRESS($T243,MATCH(D$1,INDIRECT("Table!A" &amp; $AE243):INDIRECT("Table!" &amp; $AH$253 &amp; $AE243),0)))))</f>
        <v/>
      </c>
      <c r="E243" s="24" t="str">
        <f ca="1">IF(ISERROR(MATCH(E$1,INDIRECT("Table!A"&amp;$AE243):INDIRECT("Table!" &amp; $AH$253 &amp; $AE243),0)),"",INDIRECT(CONCATENATE("Table!",ADDRESS($T243,MATCH(E$1,INDIRECT("Table!A" &amp; $AE243):INDIRECT("Table!" &amp; $AH$253 &amp; $AE243),0)))))</f>
        <v/>
      </c>
      <c r="F243" s="24" t="str">
        <f ca="1">IF(ISERROR(MATCH(F$1,INDIRECT("Table!A"&amp;$AE243):INDIRECT("Table!" &amp; $AH$253 &amp; $AE243),0)),"",INDIRECT(CONCATENATE("Table!",ADDRESS($T243,MATCH(F$1,INDIRECT("Table!A" &amp; $AE243):INDIRECT("Table!" &amp; $AH$253 &amp; $AE243),0)))))</f>
        <v/>
      </c>
      <c r="G243" s="24" t="str">
        <f ca="1">IF(ISERROR(MATCH(G$1,INDIRECT("Table!A"&amp;$AE243):INDIRECT("Table!" &amp; $AH$253 &amp; $AE243),0)),"",INDIRECT(CONCATENATE("Table!",ADDRESS($T243,MATCH(G$1,INDIRECT("Table!A" &amp; $AE243):INDIRECT("Table!" &amp; $AH$253 &amp; $AE243),0)))))</f>
        <v/>
      </c>
      <c r="H243" s="24" t="str">
        <f ca="1">IF(ISERROR(MATCH(H$1,INDIRECT("Table!A"&amp;$AE243):INDIRECT("Table!" &amp; $AH$253 &amp; $AE243),0)),"",INDIRECT(CONCATENATE("Table!",ADDRESS($T243,MATCH(H$1,INDIRECT("Table!A" &amp; $AE243):INDIRECT("Table!" &amp; $AH$253 &amp; $AE243),0)))))</f>
        <v/>
      </c>
      <c r="I243" s="273"/>
      <c r="J243" s="273"/>
      <c r="K243" s="24" t="str">
        <f ca="1">IF(ISERROR(MATCH(L$1,INDIRECT("Table!A"&amp;$AE243):INDIRECT("Table!" &amp; $AH$253 &amp; $AE243),0)),"",INDIRECT(CONCATENATE("Table!",ADDRESS($T243,MATCH(L$1,INDIRECT("Table!A" &amp; $AE243):INDIRECT("Table!" &amp; $AH$253 &amp; $AE243),0)))))</f>
        <v/>
      </c>
      <c r="L243" s="24" t="str">
        <f ca="1">IF(ISERROR(MATCH(M$1,INDIRECT("Table!A"&amp;$AE243):INDIRECT("Table!" &amp; $AH$253 &amp; $AE243),0)),"",INDIRECT(CONCATENATE("Table!",ADDRESS($T243,MATCH(M$1,INDIRECT("Table!A" &amp; $AE243):INDIRECT("Table!" &amp; $AH$253 &amp; $AE243),0)))))</f>
        <v/>
      </c>
      <c r="M243" s="24" t="str">
        <f ca="1">IF(ISERROR(MATCH(N$1,INDIRECT("Table!A"&amp;$AE243):INDIRECT("Table!" &amp; $AH$253 &amp; $AE243),0)),"",INDIRECT(CONCATENATE("Table!",ADDRESS($T243,MATCH(N$1,INDIRECT("Table!A" &amp; $AE243):INDIRECT("Table!" &amp; $AH$253 &amp; $AE243),0)))))</f>
        <v/>
      </c>
      <c r="N243" s="24" t="str">
        <f ca="1">IF(ISERROR(MATCH(O$1,INDIRECT("Table!A"&amp;$AE243):INDIRECT("Table!" &amp; $AH$253 &amp; $AE243),0)),"",INDIRECT(CONCATENATE("Table!",ADDRESS($T243,MATCH(O$1,INDIRECT("Table!A" &amp; $AE243):INDIRECT("Table!" &amp; $AH$253 &amp; $AE243),0)))))</f>
        <v/>
      </c>
      <c r="O243" s="24" t="str">
        <f ca="1">IF(ISERROR(MATCH(P$1,INDIRECT("Table!A"&amp;$AE243):INDIRECT("Table!" &amp; $AH$253 &amp; $AE243),0)),"",INDIRECT(CONCATENATE("Table!",ADDRESS($T243,MATCH(P$1,INDIRECT("Table!A" &amp; $AE243):INDIRECT("Table!" &amp; $AH$253 &amp; $AE243),0)))))</f>
        <v/>
      </c>
      <c r="P243" s="273" t="str">
        <f ca="1">IF(ISERROR(MATCH(Q$1,INDIRECT("Table!A"&amp;$AE243):INDIRECT("Table!" &amp; $AH$253 &amp; $AE243),0)),"",INDIRECT(CONCATENATE("Table!",ADDRESS($T243,MATCH(Q$1,INDIRECT("Table!A" &amp; $AE243):INDIRECT("Table!" &amp; $AH$253 &amp; $AE243),0)))))</f>
        <v/>
      </c>
      <c r="Q243" s="80"/>
      <c r="R243" s="80"/>
      <c r="S243" s="80"/>
      <c r="T243" s="22"/>
      <c r="AC243" s="80"/>
      <c r="AD243" s="80"/>
      <c r="AE243" s="22"/>
      <c r="AF243" s="80"/>
      <c r="AG243" s="80"/>
      <c r="AH243" s="80"/>
    </row>
    <row r="244" spans="2:34" ht="18" customHeight="1" x14ac:dyDescent="0.25">
      <c r="B244" s="24"/>
      <c r="C244" s="24" t="str">
        <f ca="1">IF(ISERROR(MATCH(C$1,INDIRECT("Table!A"&amp;$AE244):INDIRECT("Table!" &amp; $AH$253 &amp; $AE244),0)),"",INDIRECT(CONCATENATE("Table!",ADDRESS($T244,MATCH(C$1,INDIRECT("Table!A" &amp; $AE244):INDIRECT("Table!" &amp; $AH$253 &amp; $AE244),0)))))</f>
        <v/>
      </c>
      <c r="D244" s="24" t="str">
        <f ca="1">IF(ISERROR(MATCH(D$1,INDIRECT("Table!A"&amp;$AE244):INDIRECT("Table!" &amp; $AH$253 &amp; $AE244),0)),"",INDIRECT(CONCATENATE("Table!",ADDRESS($T244,MATCH(D$1,INDIRECT("Table!A" &amp; $AE244):INDIRECT("Table!" &amp; $AH$253 &amp; $AE244),0)))))</f>
        <v/>
      </c>
      <c r="E244" s="24" t="str">
        <f ca="1">IF(ISERROR(MATCH(E$1,INDIRECT("Table!A"&amp;$AE244):INDIRECT("Table!" &amp; $AH$253 &amp; $AE244),0)),"",INDIRECT(CONCATENATE("Table!",ADDRESS($T244,MATCH(E$1,INDIRECT("Table!A" &amp; $AE244):INDIRECT("Table!" &amp; $AH$253 &amp; $AE244),0)))))</f>
        <v/>
      </c>
      <c r="F244" s="24" t="str">
        <f ca="1">IF(ISERROR(MATCH(F$1,INDIRECT("Table!A"&amp;$AE244):INDIRECT("Table!" &amp; $AH$253 &amp; $AE244),0)),"",INDIRECT(CONCATENATE("Table!",ADDRESS($T244,MATCH(F$1,INDIRECT("Table!A" &amp; $AE244):INDIRECT("Table!" &amp; $AH$253 &amp; $AE244),0)))))</f>
        <v/>
      </c>
      <c r="G244" s="24" t="str">
        <f ca="1">IF(ISERROR(MATCH(G$1,INDIRECT("Table!A"&amp;$AE244):INDIRECT("Table!" &amp; $AH$253 &amp; $AE244),0)),"",INDIRECT(CONCATENATE("Table!",ADDRESS($T244,MATCH(G$1,INDIRECT("Table!A" &amp; $AE244):INDIRECT("Table!" &amp; $AH$253 &amp; $AE244),0)))))</f>
        <v/>
      </c>
      <c r="H244" s="24" t="str">
        <f ca="1">IF(ISERROR(MATCH(H$1,INDIRECT("Table!A"&amp;$AE244):INDIRECT("Table!" &amp; $AH$253 &amp; $AE244),0)),"",INDIRECT(CONCATENATE("Table!",ADDRESS($T244,MATCH(H$1,INDIRECT("Table!A" &amp; $AE244):INDIRECT("Table!" &amp; $AH$253 &amp; $AE244),0)))))</f>
        <v/>
      </c>
      <c r="I244" s="273"/>
      <c r="J244" s="273"/>
      <c r="K244" s="24" t="str">
        <f ca="1">IF(ISERROR(MATCH(L$1,INDIRECT("Table!A"&amp;$AE244):INDIRECT("Table!" &amp; $AH$253 &amp; $AE244),0)),"",INDIRECT(CONCATENATE("Table!",ADDRESS($T244,MATCH(L$1,INDIRECT("Table!A" &amp; $AE244):INDIRECT("Table!" &amp; $AH$253 &amp; $AE244),0)))))</f>
        <v/>
      </c>
      <c r="L244" s="24" t="str">
        <f ca="1">IF(ISERROR(MATCH(M$1,INDIRECT("Table!A"&amp;$AE244):INDIRECT("Table!" &amp; $AH$253 &amp; $AE244),0)),"",INDIRECT(CONCATENATE("Table!",ADDRESS($T244,MATCH(M$1,INDIRECT("Table!A" &amp; $AE244):INDIRECT("Table!" &amp; $AH$253 &amp; $AE244),0)))))</f>
        <v/>
      </c>
      <c r="M244" s="24" t="str">
        <f ca="1">IF(ISERROR(MATCH(N$1,INDIRECT("Table!A"&amp;$AE244):INDIRECT("Table!" &amp; $AH$253 &amp; $AE244),0)),"",INDIRECT(CONCATENATE("Table!",ADDRESS($T244,MATCH(N$1,INDIRECT("Table!A" &amp; $AE244):INDIRECT("Table!" &amp; $AH$253 &amp; $AE244),0)))))</f>
        <v/>
      </c>
      <c r="N244" s="24" t="str">
        <f ca="1">IF(ISERROR(MATCH(O$1,INDIRECT("Table!A"&amp;$AE244):INDIRECT("Table!" &amp; $AH$253 &amp; $AE244),0)),"",INDIRECT(CONCATENATE("Table!",ADDRESS($T244,MATCH(O$1,INDIRECT("Table!A" &amp; $AE244):INDIRECT("Table!" &amp; $AH$253 &amp; $AE244),0)))))</f>
        <v/>
      </c>
      <c r="O244" s="24" t="str">
        <f ca="1">IF(ISERROR(MATCH(P$1,INDIRECT("Table!A"&amp;$AE244):INDIRECT("Table!" &amp; $AH$253 &amp; $AE244),0)),"",INDIRECT(CONCATENATE("Table!",ADDRESS($T244,MATCH(P$1,INDIRECT("Table!A" &amp; $AE244):INDIRECT("Table!" &amp; $AH$253 &amp; $AE244),0)))))</f>
        <v/>
      </c>
      <c r="P244" s="273" t="str">
        <f ca="1">IF(ISERROR(MATCH(Q$1,INDIRECT("Table!A"&amp;$AE244):INDIRECT("Table!" &amp; $AH$253 &amp; $AE244),0)),"",INDIRECT(CONCATENATE("Table!",ADDRESS($T244,MATCH(Q$1,INDIRECT("Table!A" &amp; $AE244):INDIRECT("Table!" &amp; $AH$253 &amp; $AE244),0)))))</f>
        <v/>
      </c>
      <c r="Q244" s="79"/>
      <c r="R244" s="79"/>
      <c r="S244" s="79"/>
      <c r="T244" s="22"/>
      <c r="AC244" s="79"/>
      <c r="AD244" s="79"/>
      <c r="AE244" s="22"/>
      <c r="AF244" s="79"/>
      <c r="AG244" s="79"/>
      <c r="AH244" s="79"/>
    </row>
    <row r="245" spans="2:34" ht="18" customHeight="1" x14ac:dyDescent="0.25">
      <c r="B245" s="24"/>
      <c r="C245" s="24" t="str">
        <f ca="1">IF(ISERROR(MATCH(C$1,INDIRECT("Table!A"&amp;$AE245):INDIRECT("Table!" &amp; $AH$253 &amp; $AE245),0)),"",INDIRECT(CONCATENATE("Table!",ADDRESS($T245,MATCH(C$1,INDIRECT("Table!A" &amp; $AE245):INDIRECT("Table!" &amp; $AH$253 &amp; $AE245),0)))))</f>
        <v/>
      </c>
      <c r="D245" s="24" t="str">
        <f ca="1">IF(ISERROR(MATCH(D$1,INDIRECT("Table!A"&amp;$AE245):INDIRECT("Table!" &amp; $AH$253 &amp; $AE245),0)),"",INDIRECT(CONCATENATE("Table!",ADDRESS($T245,MATCH(D$1,INDIRECT("Table!A" &amp; $AE245):INDIRECT("Table!" &amp; $AH$253 &amp; $AE245),0)))))</f>
        <v/>
      </c>
      <c r="E245" s="24" t="str">
        <f ca="1">IF(ISERROR(MATCH(E$1,INDIRECT("Table!A"&amp;$AE245):INDIRECT("Table!" &amp; $AH$253 &amp; $AE245),0)),"",INDIRECT(CONCATENATE("Table!",ADDRESS($T245,MATCH(E$1,INDIRECT("Table!A" &amp; $AE245):INDIRECT("Table!" &amp; $AH$253 &amp; $AE245),0)))))</f>
        <v/>
      </c>
      <c r="F245" s="24" t="str">
        <f ca="1">IF(ISERROR(MATCH(F$1,INDIRECT("Table!A"&amp;$AE245):INDIRECT("Table!" &amp; $AH$253 &amp; $AE245),0)),"",INDIRECT(CONCATENATE("Table!",ADDRESS($T245,MATCH(F$1,INDIRECT("Table!A" &amp; $AE245):INDIRECT("Table!" &amp; $AH$253 &amp; $AE245),0)))))</f>
        <v/>
      </c>
      <c r="G245" s="24" t="str">
        <f ca="1">IF(ISERROR(MATCH(G$1,INDIRECT("Table!A"&amp;$AE245):INDIRECT("Table!" &amp; $AH$253 &amp; $AE245),0)),"",INDIRECT(CONCATENATE("Table!",ADDRESS($T245,MATCH(G$1,INDIRECT("Table!A" &amp; $AE245):INDIRECT("Table!" &amp; $AH$253 &amp; $AE245),0)))))</f>
        <v/>
      </c>
      <c r="H245" s="24" t="str">
        <f ca="1">IF(ISERROR(MATCH(H$1,INDIRECT("Table!A"&amp;$AE245):INDIRECT("Table!" &amp; $AH$253 &amp; $AE245),0)),"",INDIRECT(CONCATENATE("Table!",ADDRESS($T245,MATCH(H$1,INDIRECT("Table!A" &amp; $AE245):INDIRECT("Table!" &amp; $AH$253 &amp; $AE245),0)))))</f>
        <v/>
      </c>
      <c r="I245" s="273"/>
      <c r="J245" s="273"/>
      <c r="K245" s="24" t="str">
        <f ca="1">IF(ISERROR(MATCH(L$1,INDIRECT("Table!A"&amp;$AE245):INDIRECT("Table!" &amp; $AH$253 &amp; $AE245),0)),"",INDIRECT(CONCATENATE("Table!",ADDRESS($T245,MATCH(L$1,INDIRECT("Table!A" &amp; $AE245):INDIRECT("Table!" &amp; $AH$253 &amp; $AE245),0)))))</f>
        <v/>
      </c>
      <c r="L245" s="24" t="str">
        <f ca="1">IF(ISERROR(MATCH(M$1,INDIRECT("Table!A"&amp;$AE245):INDIRECT("Table!" &amp; $AH$253 &amp; $AE245),0)),"",INDIRECT(CONCATENATE("Table!",ADDRESS($T245,MATCH(M$1,INDIRECT("Table!A" &amp; $AE245):INDIRECT("Table!" &amp; $AH$253 &amp; $AE245),0)))))</f>
        <v/>
      </c>
      <c r="M245" s="24" t="str">
        <f ca="1">IF(ISERROR(MATCH(N$1,INDIRECT("Table!A"&amp;$AE245):INDIRECT("Table!" &amp; $AH$253 &amp; $AE245),0)),"",INDIRECT(CONCATENATE("Table!",ADDRESS($T245,MATCH(N$1,INDIRECT("Table!A" &amp; $AE245):INDIRECT("Table!" &amp; $AH$253 &amp; $AE245),0)))))</f>
        <v/>
      </c>
      <c r="N245" s="24" t="str">
        <f ca="1">IF(ISERROR(MATCH(O$1,INDIRECT("Table!A"&amp;$AE245):INDIRECT("Table!" &amp; $AH$253 &amp; $AE245),0)),"",INDIRECT(CONCATENATE("Table!",ADDRESS($T245,MATCH(O$1,INDIRECT("Table!A" &amp; $AE245):INDIRECT("Table!" &amp; $AH$253 &amp; $AE245),0)))))</f>
        <v/>
      </c>
      <c r="O245" s="24" t="str">
        <f ca="1">IF(ISERROR(MATCH(P$1,INDIRECT("Table!A"&amp;$AE245):INDIRECT("Table!" &amp; $AH$253 &amp; $AE245),0)),"",INDIRECT(CONCATENATE("Table!",ADDRESS($T245,MATCH(P$1,INDIRECT("Table!A" &amp; $AE245):INDIRECT("Table!" &amp; $AH$253 &amp; $AE245),0)))))</f>
        <v/>
      </c>
      <c r="P245" s="273" t="str">
        <f ca="1">IF(ISERROR(MATCH(Q$1,INDIRECT("Table!A"&amp;$AE245):INDIRECT("Table!" &amp; $AH$253 &amp; $AE245),0)),"",INDIRECT(CONCATENATE("Table!",ADDRESS($T245,MATCH(Q$1,INDIRECT("Table!A" &amp; $AE245):INDIRECT("Table!" &amp; $AH$253 &amp; $AE245),0)))))</f>
        <v/>
      </c>
      <c r="Q245" s="79"/>
      <c r="R245" s="79"/>
      <c r="S245" s="79"/>
      <c r="T245" s="22"/>
      <c r="AC245" s="79"/>
      <c r="AD245" s="79"/>
      <c r="AE245" s="22"/>
      <c r="AF245" s="79"/>
      <c r="AG245" s="79"/>
      <c r="AH245" s="79"/>
    </row>
    <row r="246" spans="2:34" ht="18" customHeight="1" x14ac:dyDescent="0.25">
      <c r="B246" s="24"/>
      <c r="C246" s="24" t="str">
        <f ca="1">IF(ISERROR(MATCH(C$1,INDIRECT("Table!A"&amp;$AE246):INDIRECT("Table!" &amp; $AH$253 &amp; $AE246),0)),"",INDIRECT(CONCATENATE("Table!",ADDRESS($T246,MATCH(C$1,INDIRECT("Table!A" &amp; $AE246):INDIRECT("Table!" &amp; $AH$253 &amp; $AE246),0)))))</f>
        <v/>
      </c>
      <c r="D246" s="24" t="str">
        <f ca="1">IF(ISERROR(MATCH(D$1,INDIRECT("Table!A"&amp;$AE246):INDIRECT("Table!" &amp; $AH$253 &amp; $AE246),0)),"",INDIRECT(CONCATENATE("Table!",ADDRESS($T246,MATCH(D$1,INDIRECT("Table!A" &amp; $AE246):INDIRECT("Table!" &amp; $AH$253 &amp; $AE246),0)))))</f>
        <v/>
      </c>
      <c r="E246" s="24" t="str">
        <f ca="1">IF(ISERROR(MATCH(E$1,INDIRECT("Table!A"&amp;$AE246):INDIRECT("Table!" &amp; $AH$253 &amp; $AE246),0)),"",INDIRECT(CONCATENATE("Table!",ADDRESS($T246,MATCH(E$1,INDIRECT("Table!A" &amp; $AE246):INDIRECT("Table!" &amp; $AH$253 &amp; $AE246),0)))))</f>
        <v/>
      </c>
      <c r="F246" s="24" t="str">
        <f ca="1">IF(ISERROR(MATCH(F$1,INDIRECT("Table!A"&amp;$AE246):INDIRECT("Table!" &amp; $AH$253 &amp; $AE246),0)),"",INDIRECT(CONCATENATE("Table!",ADDRESS($T246,MATCH(F$1,INDIRECT("Table!A" &amp; $AE246):INDIRECT("Table!" &amp; $AH$253 &amp; $AE246),0)))))</f>
        <v/>
      </c>
      <c r="G246" s="24" t="str">
        <f ca="1">IF(ISERROR(MATCH(G$1,INDIRECT("Table!A"&amp;$AE246):INDIRECT("Table!" &amp; $AH$253 &amp; $AE246),0)),"",INDIRECT(CONCATENATE("Table!",ADDRESS($T246,MATCH(G$1,INDIRECT("Table!A" &amp; $AE246):INDIRECT("Table!" &amp; $AH$253 &amp; $AE246),0)))))</f>
        <v/>
      </c>
      <c r="H246" s="24" t="str">
        <f ca="1">IF(ISERROR(MATCH(H$1,INDIRECT("Table!A"&amp;$AE246):INDIRECT("Table!" &amp; $AH$253 &amp; $AE246),0)),"",INDIRECT(CONCATENATE("Table!",ADDRESS($T246,MATCH(H$1,INDIRECT("Table!A" &amp; $AE246):INDIRECT("Table!" &amp; $AH$253 &amp; $AE246),0)))))</f>
        <v/>
      </c>
      <c r="I246" s="273"/>
      <c r="J246" s="273"/>
      <c r="K246" s="24" t="str">
        <f ca="1">IF(ISERROR(MATCH(L$1,INDIRECT("Table!A"&amp;$AE246):INDIRECT("Table!" &amp; $AH$253 &amp; $AE246),0)),"",INDIRECT(CONCATENATE("Table!",ADDRESS($T246,MATCH(L$1,INDIRECT("Table!A" &amp; $AE246):INDIRECT("Table!" &amp; $AH$253 &amp; $AE246),0)))))</f>
        <v/>
      </c>
      <c r="L246" s="24" t="str">
        <f ca="1">IF(ISERROR(MATCH(M$1,INDIRECT("Table!A"&amp;$AE246):INDIRECT("Table!" &amp; $AH$253 &amp; $AE246),0)),"",INDIRECT(CONCATENATE("Table!",ADDRESS($T246,MATCH(M$1,INDIRECT("Table!A" &amp; $AE246):INDIRECT("Table!" &amp; $AH$253 &amp; $AE246),0)))))</f>
        <v/>
      </c>
      <c r="M246" s="24" t="str">
        <f ca="1">IF(ISERROR(MATCH(N$1,INDIRECT("Table!A"&amp;$AE246):INDIRECT("Table!" &amp; $AH$253 &amp; $AE246),0)),"",INDIRECT(CONCATENATE("Table!",ADDRESS($T246,MATCH(N$1,INDIRECT("Table!A" &amp; $AE246):INDIRECT("Table!" &amp; $AH$253 &amp; $AE246),0)))))</f>
        <v/>
      </c>
      <c r="N246" s="24" t="str">
        <f ca="1">IF(ISERROR(MATCH(O$1,INDIRECT("Table!A"&amp;$AE246):INDIRECT("Table!" &amp; $AH$253 &amp; $AE246),0)),"",INDIRECT(CONCATENATE("Table!",ADDRESS($T246,MATCH(O$1,INDIRECT("Table!A" &amp; $AE246):INDIRECT("Table!" &amp; $AH$253 &amp; $AE246),0)))))</f>
        <v/>
      </c>
      <c r="O246" s="24" t="str">
        <f ca="1">IF(ISERROR(MATCH(P$1,INDIRECT("Table!A"&amp;$AE246):INDIRECT("Table!" &amp; $AH$253 &amp; $AE246),0)),"",INDIRECT(CONCATENATE("Table!",ADDRESS($T246,MATCH(P$1,INDIRECT("Table!A" &amp; $AE246):INDIRECT("Table!" &amp; $AH$253 &amp; $AE246),0)))))</f>
        <v/>
      </c>
      <c r="P246" s="273" t="str">
        <f ca="1">IF(ISERROR(MATCH(Q$1,INDIRECT("Table!A"&amp;$AE246):INDIRECT("Table!" &amp; $AH$253 &amp; $AE246),0)),"",INDIRECT(CONCATENATE("Table!",ADDRESS($T246,MATCH(Q$1,INDIRECT("Table!A" &amp; $AE246):INDIRECT("Table!" &amp; $AH$253 &amp; $AE246),0)))))</f>
        <v/>
      </c>
      <c r="Q246" s="77"/>
      <c r="R246" s="77"/>
      <c r="S246" s="77"/>
      <c r="T246" s="22"/>
      <c r="AC246" s="77"/>
      <c r="AD246" s="77"/>
      <c r="AE246" s="22"/>
      <c r="AF246" s="77"/>
      <c r="AG246" s="77"/>
      <c r="AH246" s="77"/>
    </row>
    <row r="247" spans="2:34" ht="18" customHeight="1" x14ac:dyDescent="0.25">
      <c r="B247" s="24"/>
      <c r="C247" s="24" t="str">
        <f ca="1">IF(ISERROR(MATCH(C$1,INDIRECT("Table!A"&amp;$AE247):INDIRECT("Table!" &amp; $AH$253 &amp; $AE247),0)),"",INDIRECT(CONCATENATE("Table!",ADDRESS($T247,MATCH(C$1,INDIRECT("Table!A" &amp; $AE247):INDIRECT("Table!" &amp; $AH$253 &amp; $AE247),0)))))</f>
        <v/>
      </c>
      <c r="D247" s="24" t="str">
        <f ca="1">IF(ISERROR(MATCH(D$1,INDIRECT("Table!A"&amp;$AE247):INDIRECT("Table!" &amp; $AH$253 &amp; $AE247),0)),"",INDIRECT(CONCATENATE("Table!",ADDRESS($T247,MATCH(D$1,INDIRECT("Table!A" &amp; $AE247):INDIRECT("Table!" &amp; $AH$253 &amp; $AE247),0)))))</f>
        <v/>
      </c>
      <c r="E247" s="24" t="str">
        <f ca="1">IF(ISERROR(MATCH(E$1,INDIRECT("Table!A"&amp;$AE247):INDIRECT("Table!" &amp; $AH$253 &amp; $AE247),0)),"",INDIRECT(CONCATENATE("Table!",ADDRESS($T247,MATCH(E$1,INDIRECT("Table!A" &amp; $AE247):INDIRECT("Table!" &amp; $AH$253 &amp; $AE247),0)))))</f>
        <v/>
      </c>
      <c r="F247" s="24" t="str">
        <f ca="1">IF(ISERROR(MATCH(F$1,INDIRECT("Table!A"&amp;$AE247):INDIRECT("Table!" &amp; $AH$253 &amp; $AE247),0)),"",INDIRECT(CONCATENATE("Table!",ADDRESS($T247,MATCH(F$1,INDIRECT("Table!A" &amp; $AE247):INDIRECT("Table!" &amp; $AH$253 &amp; $AE247),0)))))</f>
        <v/>
      </c>
      <c r="G247" s="24" t="str">
        <f ca="1">IF(ISERROR(MATCH(G$1,INDIRECT("Table!A"&amp;$AE247):INDIRECT("Table!" &amp; $AH$253 &amp; $AE247),0)),"",INDIRECT(CONCATENATE("Table!",ADDRESS($T247,MATCH(G$1,INDIRECT("Table!A" &amp; $AE247):INDIRECT("Table!" &amp; $AH$253 &amp; $AE247),0)))))</f>
        <v/>
      </c>
      <c r="H247" s="24" t="str">
        <f ca="1">IF(ISERROR(MATCH(H$1,INDIRECT("Table!A"&amp;$AE247):INDIRECT("Table!" &amp; $AH$253 &amp; $AE247),0)),"",INDIRECT(CONCATENATE("Table!",ADDRESS($T247,MATCH(H$1,INDIRECT("Table!A" &amp; $AE247):INDIRECT("Table!" &amp; $AH$253 &amp; $AE247),0)))))</f>
        <v/>
      </c>
      <c r="I247" s="273"/>
      <c r="J247" s="273"/>
      <c r="K247" s="24" t="str">
        <f ca="1">IF(ISERROR(MATCH(L$1,INDIRECT("Table!A"&amp;$AE247):INDIRECT("Table!" &amp; $AH$253 &amp; $AE247),0)),"",INDIRECT(CONCATENATE("Table!",ADDRESS($T247,MATCH(L$1,INDIRECT("Table!A" &amp; $AE247):INDIRECT("Table!" &amp; $AH$253 &amp; $AE247),0)))))</f>
        <v/>
      </c>
      <c r="L247" s="24" t="str">
        <f ca="1">IF(ISERROR(MATCH(M$1,INDIRECT("Table!A"&amp;$AE247):INDIRECT("Table!" &amp; $AH$253 &amp; $AE247),0)),"",INDIRECT(CONCATENATE("Table!",ADDRESS($T247,MATCH(M$1,INDIRECT("Table!A" &amp; $AE247):INDIRECT("Table!" &amp; $AH$253 &amp; $AE247),0)))))</f>
        <v/>
      </c>
      <c r="M247" s="24" t="str">
        <f ca="1">IF(ISERROR(MATCH(N$1,INDIRECT("Table!A"&amp;$AE247):INDIRECT("Table!" &amp; $AH$253 &amp; $AE247),0)),"",INDIRECT(CONCATENATE("Table!",ADDRESS($T247,MATCH(N$1,INDIRECT("Table!A" &amp; $AE247):INDIRECT("Table!" &amp; $AH$253 &amp; $AE247),0)))))</f>
        <v/>
      </c>
      <c r="N247" s="24" t="str">
        <f ca="1">IF(ISERROR(MATCH(O$1,INDIRECT("Table!A"&amp;$AE247):INDIRECT("Table!" &amp; $AH$253 &amp; $AE247),0)),"",INDIRECT(CONCATENATE("Table!",ADDRESS($T247,MATCH(O$1,INDIRECT("Table!A" &amp; $AE247):INDIRECT("Table!" &amp; $AH$253 &amp; $AE247),0)))))</f>
        <v/>
      </c>
      <c r="O247" s="24" t="str">
        <f ca="1">IF(ISERROR(MATCH(P$1,INDIRECT("Table!A"&amp;$AE247):INDIRECT("Table!" &amp; $AH$253 &amp; $AE247),0)),"",INDIRECT(CONCATENATE("Table!",ADDRESS($T247,MATCH(P$1,INDIRECT("Table!A" &amp; $AE247):INDIRECT("Table!" &amp; $AH$253 &amp; $AE247),0)))))</f>
        <v/>
      </c>
      <c r="P247" s="273" t="str">
        <f ca="1">IF(ISERROR(MATCH(Q$1,INDIRECT("Table!A"&amp;$AE247):INDIRECT("Table!" &amp; $AH$253 &amp; $AE247),0)),"",INDIRECT(CONCATENATE("Table!",ADDRESS($T247,MATCH(Q$1,INDIRECT("Table!A" &amp; $AE247):INDIRECT("Table!" &amp; $AH$253 &amp; $AE247),0)))))</f>
        <v/>
      </c>
      <c r="Q247" s="76"/>
      <c r="R247" s="76"/>
      <c r="S247" s="76"/>
      <c r="T247" s="22"/>
      <c r="AC247" s="76"/>
      <c r="AD247" s="76"/>
      <c r="AE247" s="22"/>
      <c r="AF247" s="76"/>
      <c r="AG247" s="76"/>
      <c r="AH247" s="76"/>
    </row>
    <row r="248" spans="2:34" ht="18" customHeight="1" x14ac:dyDescent="0.25">
      <c r="B248" s="24"/>
      <c r="C248" s="24" t="str">
        <f ca="1">IF(ISERROR(MATCH(C$1,INDIRECT("Table!A"&amp;$AE248):INDIRECT("Table!" &amp; $AH$253 &amp; $AE248),0)),"",INDIRECT(CONCATENATE("Table!",ADDRESS($T248,MATCH(C$1,INDIRECT("Table!A" &amp; $AE248):INDIRECT("Table!" &amp; $AH$253 &amp; $AE248),0)))))</f>
        <v/>
      </c>
      <c r="D248" s="24" t="str">
        <f ca="1">IF(ISERROR(MATCH(D$1,INDIRECT("Table!A"&amp;$AE248):INDIRECT("Table!" &amp; $AH$253 &amp; $AE248),0)),"",INDIRECT(CONCATENATE("Table!",ADDRESS($T248,MATCH(D$1,INDIRECT("Table!A" &amp; $AE248):INDIRECT("Table!" &amp; $AH$253 &amp; $AE248),0)))))</f>
        <v/>
      </c>
      <c r="E248" s="24" t="str">
        <f ca="1">IF(ISERROR(MATCH(E$1,INDIRECT("Table!A"&amp;$AE248):INDIRECT("Table!" &amp; $AH$253 &amp; $AE248),0)),"",INDIRECT(CONCATENATE("Table!",ADDRESS($T248,MATCH(E$1,INDIRECT("Table!A" &amp; $AE248):INDIRECT("Table!" &amp; $AH$253 &amp; $AE248),0)))))</f>
        <v/>
      </c>
      <c r="F248" s="24" t="str">
        <f ca="1">IF(ISERROR(MATCH(F$1,INDIRECT("Table!A"&amp;$AE248):INDIRECT("Table!" &amp; $AH$253 &amp; $AE248),0)),"",INDIRECT(CONCATENATE("Table!",ADDRESS($T248,MATCH(F$1,INDIRECT("Table!A" &amp; $AE248):INDIRECT("Table!" &amp; $AH$253 &amp; $AE248),0)))))</f>
        <v/>
      </c>
      <c r="G248" s="24" t="str">
        <f ca="1">IF(ISERROR(MATCH(G$1,INDIRECT("Table!A"&amp;$AE248):INDIRECT("Table!" &amp; $AH$253 &amp; $AE248),0)),"",INDIRECT(CONCATENATE("Table!",ADDRESS($T248,MATCH(G$1,INDIRECT("Table!A" &amp; $AE248):INDIRECT("Table!" &amp; $AH$253 &amp; $AE248),0)))))</f>
        <v/>
      </c>
      <c r="H248" s="24" t="str">
        <f ca="1">IF(ISERROR(MATCH(H$1,INDIRECT("Table!A"&amp;$AE248):INDIRECT("Table!" &amp; $AH$253 &amp; $AE248),0)),"",INDIRECT(CONCATENATE("Table!",ADDRESS($T248,MATCH(H$1,INDIRECT("Table!A" &amp; $AE248):INDIRECT("Table!" &amp; $AH$253 &amp; $AE248),0)))))</f>
        <v/>
      </c>
      <c r="I248" s="273"/>
      <c r="J248" s="273"/>
      <c r="K248" s="24" t="str">
        <f ca="1">IF(ISERROR(MATCH(L$1,INDIRECT("Table!A"&amp;$AE248):INDIRECT("Table!" &amp; $AH$253 &amp; $AE248),0)),"",INDIRECT(CONCATENATE("Table!",ADDRESS($T248,MATCH(L$1,INDIRECT("Table!A" &amp; $AE248):INDIRECT("Table!" &amp; $AH$253 &amp; $AE248),0)))))</f>
        <v/>
      </c>
      <c r="L248" s="24" t="str">
        <f ca="1">IF(ISERROR(MATCH(M$1,INDIRECT("Table!A"&amp;$AE248):INDIRECT("Table!" &amp; $AH$253 &amp; $AE248),0)),"",INDIRECT(CONCATENATE("Table!",ADDRESS($T248,MATCH(M$1,INDIRECT("Table!A" &amp; $AE248):INDIRECT("Table!" &amp; $AH$253 &amp; $AE248),0)))))</f>
        <v/>
      </c>
      <c r="M248" s="24" t="str">
        <f ca="1">IF(ISERROR(MATCH(N$1,INDIRECT("Table!A"&amp;$AE248):INDIRECT("Table!" &amp; $AH$253 &amp; $AE248),0)),"",INDIRECT(CONCATENATE("Table!",ADDRESS($T248,MATCH(N$1,INDIRECT("Table!A" &amp; $AE248):INDIRECT("Table!" &amp; $AH$253 &amp; $AE248),0)))))</f>
        <v/>
      </c>
      <c r="N248" s="24" t="str">
        <f ca="1">IF(ISERROR(MATCH(O$1,INDIRECT("Table!A"&amp;$AE248):INDIRECT("Table!" &amp; $AH$253 &amp; $AE248),0)),"",INDIRECT(CONCATENATE("Table!",ADDRESS($T248,MATCH(O$1,INDIRECT("Table!A" &amp; $AE248):INDIRECT("Table!" &amp; $AH$253 &amp; $AE248),0)))))</f>
        <v/>
      </c>
      <c r="O248" s="24" t="str">
        <f ca="1">IF(ISERROR(MATCH(P$1,INDIRECT("Table!A"&amp;$AE248):INDIRECT("Table!" &amp; $AH$253 &amp; $AE248),0)),"",INDIRECT(CONCATENATE("Table!",ADDRESS($T248,MATCH(P$1,INDIRECT("Table!A" &amp; $AE248):INDIRECT("Table!" &amp; $AH$253 &amp; $AE248),0)))))</f>
        <v/>
      </c>
      <c r="P248" s="273" t="str">
        <f ca="1">IF(ISERROR(MATCH(Q$1,INDIRECT("Table!A"&amp;$AE248):INDIRECT("Table!" &amp; $AH$253 &amp; $AE248),0)),"",INDIRECT(CONCATENATE("Table!",ADDRESS($T248,MATCH(Q$1,INDIRECT("Table!A" &amp; $AE248):INDIRECT("Table!" &amp; $AH$253 &amp; $AE248),0)))))</f>
        <v/>
      </c>
      <c r="Q248" s="75"/>
      <c r="R248" s="75"/>
      <c r="S248" s="75"/>
      <c r="T248" s="22"/>
      <c r="AC248" s="75"/>
      <c r="AD248" s="75"/>
      <c r="AE248" s="22"/>
      <c r="AF248" s="75"/>
      <c r="AG248" s="75"/>
      <c r="AH248" s="75"/>
    </row>
    <row r="249" spans="2:34" ht="18" customHeight="1" x14ac:dyDescent="0.25">
      <c r="B249" s="24"/>
      <c r="C249" s="24" t="str">
        <f ca="1">IF(ISERROR(MATCH(C$1,INDIRECT("Table!A"&amp;$AE249):INDIRECT("Table!" &amp; $AH$253 &amp; $AE249),0)),"",INDIRECT(CONCATENATE("Table!",ADDRESS($T249,MATCH(C$1,INDIRECT("Table!A" &amp; $AE249):INDIRECT("Table!" &amp; $AH$253 &amp; $AE249),0)))))</f>
        <v/>
      </c>
      <c r="D249" s="24" t="str">
        <f ca="1">IF(ISERROR(MATCH(D$1,INDIRECT("Table!A"&amp;$AE249):INDIRECT("Table!" &amp; $AH$253 &amp; $AE249),0)),"",INDIRECT(CONCATENATE("Table!",ADDRESS($T249,MATCH(D$1,INDIRECT("Table!A" &amp; $AE249):INDIRECT("Table!" &amp; $AH$253 &amp; $AE249),0)))))</f>
        <v/>
      </c>
      <c r="E249" s="24" t="str">
        <f ca="1">IF(ISERROR(MATCH(E$1,INDIRECT("Table!A"&amp;$AE249):INDIRECT("Table!" &amp; $AH$253 &amp; $AE249),0)),"",INDIRECT(CONCATENATE("Table!",ADDRESS($T249,MATCH(E$1,INDIRECT("Table!A" &amp; $AE249):INDIRECT("Table!" &amp; $AH$253 &amp; $AE249),0)))))</f>
        <v/>
      </c>
      <c r="F249" s="24" t="str">
        <f ca="1">IF(ISERROR(MATCH(F$1,INDIRECT("Table!A"&amp;$AE249):INDIRECT("Table!" &amp; $AH$253 &amp; $AE249),0)),"",INDIRECT(CONCATENATE("Table!",ADDRESS($T249,MATCH(F$1,INDIRECT("Table!A" &amp; $AE249):INDIRECT("Table!" &amp; $AH$253 &amp; $AE249),0)))))</f>
        <v/>
      </c>
      <c r="G249" s="24" t="str">
        <f ca="1">IF(ISERROR(MATCH(G$1,INDIRECT("Table!A"&amp;$AE249):INDIRECT("Table!" &amp; $AH$253 &amp; $AE249),0)),"",INDIRECT(CONCATENATE("Table!",ADDRESS($T249,MATCH(G$1,INDIRECT("Table!A" &amp; $AE249):INDIRECT("Table!" &amp; $AH$253 &amp; $AE249),0)))))</f>
        <v/>
      </c>
      <c r="H249" s="24" t="str">
        <f ca="1">IF(ISERROR(MATCH(H$1,INDIRECT("Table!A"&amp;$AE249):INDIRECT("Table!" &amp; $AH$253 &amp; $AE249),0)),"",INDIRECT(CONCATENATE("Table!",ADDRESS($T249,MATCH(H$1,INDIRECT("Table!A" &amp; $AE249):INDIRECT("Table!" &amp; $AH$253 &amp; $AE249),0)))))</f>
        <v/>
      </c>
      <c r="I249" s="273"/>
      <c r="J249" s="273"/>
      <c r="K249" s="24" t="str">
        <f ca="1">IF(ISERROR(MATCH(L$1,INDIRECT("Table!A"&amp;$AE249):INDIRECT("Table!" &amp; $AH$253 &amp; $AE249),0)),"",INDIRECT(CONCATENATE("Table!",ADDRESS($T249,MATCH(L$1,INDIRECT("Table!A" &amp; $AE249):INDIRECT("Table!" &amp; $AH$253 &amp; $AE249),0)))))</f>
        <v/>
      </c>
      <c r="L249" s="24" t="str">
        <f ca="1">IF(ISERROR(MATCH(M$1,INDIRECT("Table!A"&amp;$AE249):INDIRECT("Table!" &amp; $AH$253 &amp; $AE249),0)),"",INDIRECT(CONCATENATE("Table!",ADDRESS($T249,MATCH(M$1,INDIRECT("Table!A" &amp; $AE249):INDIRECT("Table!" &amp; $AH$253 &amp; $AE249),0)))))</f>
        <v/>
      </c>
      <c r="M249" s="24" t="str">
        <f ca="1">IF(ISERROR(MATCH(N$1,INDIRECT("Table!A"&amp;$AE249):INDIRECT("Table!" &amp; $AH$253 &amp; $AE249),0)),"",INDIRECT(CONCATENATE("Table!",ADDRESS($T249,MATCH(N$1,INDIRECT("Table!A" &amp; $AE249):INDIRECT("Table!" &amp; $AH$253 &amp; $AE249),0)))))</f>
        <v/>
      </c>
      <c r="N249" s="24" t="str">
        <f ca="1">IF(ISERROR(MATCH(O$1,INDIRECT("Table!A"&amp;$AE249):INDIRECT("Table!" &amp; $AH$253 &amp; $AE249),0)),"",INDIRECT(CONCATENATE("Table!",ADDRESS($T249,MATCH(O$1,INDIRECT("Table!A" &amp; $AE249):INDIRECT("Table!" &amp; $AH$253 &amp; $AE249),0)))))</f>
        <v/>
      </c>
      <c r="O249" s="24" t="str">
        <f ca="1">IF(ISERROR(MATCH(P$1,INDIRECT("Table!A"&amp;$AE249):INDIRECT("Table!" &amp; $AH$253 &amp; $AE249),0)),"",INDIRECT(CONCATENATE("Table!",ADDRESS($T249,MATCH(P$1,INDIRECT("Table!A" &amp; $AE249):INDIRECT("Table!" &amp; $AH$253 &amp; $AE249),0)))))</f>
        <v/>
      </c>
      <c r="P249" s="273" t="str">
        <f ca="1">IF(ISERROR(MATCH(Q$1,INDIRECT("Table!A"&amp;$AE249):INDIRECT("Table!" &amp; $AH$253 &amp; $AE249),0)),"",INDIRECT(CONCATENATE("Table!",ADDRESS($T249,MATCH(Q$1,INDIRECT("Table!A" &amp; $AE249):INDIRECT("Table!" &amp; $AH$253 &amp; $AE249),0)))))</f>
        <v/>
      </c>
      <c r="Q249" s="74"/>
      <c r="R249" s="74"/>
      <c r="S249" s="74"/>
      <c r="T249" s="22"/>
      <c r="AC249" s="74"/>
      <c r="AD249" s="74"/>
      <c r="AE249" s="22"/>
      <c r="AF249" s="74"/>
      <c r="AG249" s="74"/>
      <c r="AH249" s="74"/>
    </row>
    <row r="250" spans="2:34" ht="18" customHeight="1" x14ac:dyDescent="0.25">
      <c r="B250" s="24"/>
      <c r="C250" s="24" t="str">
        <f ca="1">IF(ISERROR(MATCH(C$1,INDIRECT("Table!A"&amp;$AE250):INDIRECT("Table!" &amp; $AH$253 &amp; $AE250),0)),"",INDIRECT(CONCATENATE("Table!",ADDRESS($T250,MATCH(C$1,INDIRECT("Table!A" &amp; $AE250):INDIRECT("Table!" &amp; $AH$253 &amp; $AE250),0)))))</f>
        <v/>
      </c>
      <c r="D250" s="24" t="str">
        <f ca="1">IF(ISERROR(MATCH(D$1,INDIRECT("Table!A"&amp;$AE250):INDIRECT("Table!" &amp; $AH$253 &amp; $AE250),0)),"",INDIRECT(CONCATENATE("Table!",ADDRESS($T250,MATCH(D$1,INDIRECT("Table!A" &amp; $AE250):INDIRECT("Table!" &amp; $AH$253 &amp; $AE250),0)))))</f>
        <v/>
      </c>
      <c r="E250" s="24" t="str">
        <f ca="1">IF(ISERROR(MATCH(E$1,INDIRECT("Table!A"&amp;$AE250):INDIRECT("Table!" &amp; $AH$253 &amp; $AE250),0)),"",INDIRECT(CONCATENATE("Table!",ADDRESS($T250,MATCH(E$1,INDIRECT("Table!A" &amp; $AE250):INDIRECT("Table!" &amp; $AH$253 &amp; $AE250),0)))))</f>
        <v/>
      </c>
      <c r="F250" s="24" t="str">
        <f ca="1">IF(ISERROR(MATCH(F$1,INDIRECT("Table!A"&amp;$AE250):INDIRECT("Table!" &amp; $AH$253 &amp; $AE250),0)),"",INDIRECT(CONCATENATE("Table!",ADDRESS($T250,MATCH(F$1,INDIRECT("Table!A" &amp; $AE250):INDIRECT("Table!" &amp; $AH$253 &amp; $AE250),0)))))</f>
        <v/>
      </c>
      <c r="G250" s="24" t="str">
        <f ca="1">IF(ISERROR(MATCH(G$1,INDIRECT("Table!A"&amp;$AE250):INDIRECT("Table!" &amp; $AH$253 &amp; $AE250),0)),"",INDIRECT(CONCATENATE("Table!",ADDRESS($T250,MATCH(G$1,INDIRECT("Table!A" &amp; $AE250):INDIRECT("Table!" &amp; $AH$253 &amp; $AE250),0)))))</f>
        <v/>
      </c>
      <c r="H250" s="24" t="str">
        <f ca="1">IF(ISERROR(MATCH(H$1,INDIRECT("Table!A"&amp;$AE250):INDIRECT("Table!" &amp; $AH$253 &amp; $AE250),0)),"",INDIRECT(CONCATENATE("Table!",ADDRESS($T250,MATCH(H$1,INDIRECT("Table!A" &amp; $AE250):INDIRECT("Table!" &amp; $AH$253 &amp; $AE250),0)))))</f>
        <v/>
      </c>
      <c r="I250" s="273"/>
      <c r="J250" s="273"/>
      <c r="K250" s="24" t="str">
        <f ca="1">IF(ISERROR(MATCH(L$1,INDIRECT("Table!A"&amp;$AE250):INDIRECT("Table!" &amp; $AH$253 &amp; $AE250),0)),"",INDIRECT(CONCATENATE("Table!",ADDRESS($T250,MATCH(L$1,INDIRECT("Table!A" &amp; $AE250):INDIRECT("Table!" &amp; $AH$253 &amp; $AE250),0)))))</f>
        <v/>
      </c>
      <c r="L250" s="24" t="str">
        <f ca="1">IF(ISERROR(MATCH(M$1,INDIRECT("Table!A"&amp;$AE250):INDIRECT("Table!" &amp; $AH$253 &amp; $AE250),0)),"",INDIRECT(CONCATENATE("Table!",ADDRESS($T250,MATCH(M$1,INDIRECT("Table!A" &amp; $AE250):INDIRECT("Table!" &amp; $AH$253 &amp; $AE250),0)))))</f>
        <v/>
      </c>
      <c r="M250" s="24" t="str">
        <f ca="1">IF(ISERROR(MATCH(N$1,INDIRECT("Table!A"&amp;$AE250):INDIRECT("Table!" &amp; $AH$253 &amp; $AE250),0)),"",INDIRECT(CONCATENATE("Table!",ADDRESS($T250,MATCH(N$1,INDIRECT("Table!A" &amp; $AE250):INDIRECT("Table!" &amp; $AH$253 &amp; $AE250),0)))))</f>
        <v/>
      </c>
      <c r="N250" s="24" t="str">
        <f ca="1">IF(ISERROR(MATCH(O$1,INDIRECT("Table!A"&amp;$AE250):INDIRECT("Table!" &amp; $AH$253 &amp; $AE250),0)),"",INDIRECT(CONCATENATE("Table!",ADDRESS($T250,MATCH(O$1,INDIRECT("Table!A" &amp; $AE250):INDIRECT("Table!" &amp; $AH$253 &amp; $AE250),0)))))</f>
        <v/>
      </c>
      <c r="O250" s="24" t="str">
        <f ca="1">IF(ISERROR(MATCH(P$1,INDIRECT("Table!A"&amp;$AE250):INDIRECT("Table!" &amp; $AH$253 &amp; $AE250),0)),"",INDIRECT(CONCATENATE("Table!",ADDRESS($T250,MATCH(P$1,INDIRECT("Table!A" &amp; $AE250):INDIRECT("Table!" &amp; $AH$253 &amp; $AE250),0)))))</f>
        <v/>
      </c>
      <c r="P250" s="273" t="str">
        <f ca="1">IF(ISERROR(MATCH(Q$1,INDIRECT("Table!A"&amp;$AE250):INDIRECT("Table!" &amp; $AH$253 &amp; $AE250),0)),"",INDIRECT(CONCATENATE("Table!",ADDRESS($T250,MATCH(Q$1,INDIRECT("Table!A" &amp; $AE250):INDIRECT("Table!" &amp; $AH$253 &amp; $AE250),0)))))</f>
        <v/>
      </c>
      <c r="Q250" s="73"/>
      <c r="R250" s="73"/>
      <c r="S250" s="73"/>
      <c r="T250" s="22"/>
      <c r="AC250" s="73"/>
      <c r="AD250" s="73"/>
      <c r="AE250" s="22"/>
      <c r="AF250" s="73"/>
      <c r="AG250" s="73"/>
      <c r="AH250" s="73"/>
    </row>
    <row r="251" spans="2:34" ht="18" customHeight="1" x14ac:dyDescent="0.25">
      <c r="B251" s="24"/>
      <c r="C251" s="24" t="str">
        <f ca="1">IF(ISERROR(MATCH(C$1,INDIRECT("Table!A"&amp;$AE251):INDIRECT("Table!" &amp; $AH$253 &amp; $AE251),0)),"",INDIRECT(CONCATENATE("Table!",ADDRESS($T251,MATCH(C$1,INDIRECT("Table!A" &amp; $AE251):INDIRECT("Table!" &amp; $AH$253 &amp; $AE251),0)))))</f>
        <v/>
      </c>
      <c r="D251" s="24" t="str">
        <f ca="1">IF(ISERROR(MATCH(D$1,INDIRECT("Table!A"&amp;$AE251):INDIRECT("Table!" &amp; $AH$253 &amp; $AE251),0)),"",INDIRECT(CONCATENATE("Table!",ADDRESS($T251,MATCH(D$1,INDIRECT("Table!A" &amp; $AE251):INDIRECT("Table!" &amp; $AH$253 &amp; $AE251),0)))))</f>
        <v/>
      </c>
      <c r="E251" s="24" t="str">
        <f ca="1">IF(ISERROR(MATCH(E$1,INDIRECT("Table!A"&amp;$AE251):INDIRECT("Table!" &amp; $AH$253 &amp; $AE251),0)),"",INDIRECT(CONCATENATE("Table!",ADDRESS($T251,MATCH(E$1,INDIRECT("Table!A" &amp; $AE251):INDIRECT("Table!" &amp; $AH$253 &amp; $AE251),0)))))</f>
        <v/>
      </c>
      <c r="F251" s="24" t="str">
        <f ca="1">IF(ISERROR(MATCH(F$1,INDIRECT("Table!A"&amp;$AE251):INDIRECT("Table!" &amp; $AH$253 &amp; $AE251),0)),"",INDIRECT(CONCATENATE("Table!",ADDRESS($T251,MATCH(F$1,INDIRECT("Table!A" &amp; $AE251):INDIRECT("Table!" &amp; $AH$253 &amp; $AE251),0)))))</f>
        <v/>
      </c>
      <c r="G251" s="24" t="str">
        <f ca="1">IF(ISERROR(MATCH(G$1,INDIRECT("Table!A"&amp;$AE251):INDIRECT("Table!" &amp; $AH$253 &amp; $AE251),0)),"",INDIRECT(CONCATENATE("Table!",ADDRESS($T251,MATCH(G$1,INDIRECT("Table!A" &amp; $AE251):INDIRECT("Table!" &amp; $AH$253 &amp; $AE251),0)))))</f>
        <v/>
      </c>
      <c r="H251" s="24" t="str">
        <f ca="1">IF(ISERROR(MATCH(H$1,INDIRECT("Table!A"&amp;$AE251):INDIRECT("Table!" &amp; $AH$253 &amp; $AE251),0)),"",INDIRECT(CONCATENATE("Table!",ADDRESS($T251,MATCH(H$1,INDIRECT("Table!A" &amp; $AE251):INDIRECT("Table!" &amp; $AH$253 &amp; $AE251),0)))))</f>
        <v/>
      </c>
      <c r="I251" s="273"/>
      <c r="J251" s="273"/>
      <c r="K251" s="24" t="str">
        <f ca="1">IF(ISERROR(MATCH(L$1,INDIRECT("Table!A"&amp;$AE251):INDIRECT("Table!" &amp; $AH$253 &amp; $AE251),0)),"",INDIRECT(CONCATENATE("Table!",ADDRESS($T251,MATCH(L$1,INDIRECT("Table!A" &amp; $AE251):INDIRECT("Table!" &amp; $AH$253 &amp; $AE251),0)))))</f>
        <v/>
      </c>
      <c r="L251" s="24" t="str">
        <f ca="1">IF(ISERROR(MATCH(M$1,INDIRECT("Table!A"&amp;$AE251):INDIRECT("Table!" &amp; $AH$253 &amp; $AE251),0)),"",INDIRECT(CONCATENATE("Table!",ADDRESS($T251,MATCH(M$1,INDIRECT("Table!A" &amp; $AE251):INDIRECT("Table!" &amp; $AH$253 &amp; $AE251),0)))))</f>
        <v/>
      </c>
      <c r="M251" s="24" t="str">
        <f ca="1">IF(ISERROR(MATCH(N$1,INDIRECT("Table!A"&amp;$AE251):INDIRECT("Table!" &amp; $AH$253 &amp; $AE251),0)),"",INDIRECT(CONCATENATE("Table!",ADDRESS($T251,MATCH(N$1,INDIRECT("Table!A" &amp; $AE251):INDIRECT("Table!" &amp; $AH$253 &amp; $AE251),0)))))</f>
        <v/>
      </c>
      <c r="N251" s="24" t="str">
        <f ca="1">IF(ISERROR(MATCH(O$1,INDIRECT("Table!A"&amp;$AE251):INDIRECT("Table!" &amp; $AH$253 &amp; $AE251),0)),"",INDIRECT(CONCATENATE("Table!",ADDRESS($T251,MATCH(O$1,INDIRECT("Table!A" &amp; $AE251):INDIRECT("Table!" &amp; $AH$253 &amp; $AE251),0)))))</f>
        <v/>
      </c>
      <c r="O251" s="24" t="str">
        <f ca="1">IF(ISERROR(MATCH(P$1,INDIRECT("Table!A"&amp;$AE251):INDIRECT("Table!" &amp; $AH$253 &amp; $AE251),0)),"",INDIRECT(CONCATENATE("Table!",ADDRESS($T251,MATCH(P$1,INDIRECT("Table!A" &amp; $AE251):INDIRECT("Table!" &amp; $AH$253 &amp; $AE251),0)))))</f>
        <v/>
      </c>
      <c r="P251" s="273" t="str">
        <f ca="1">IF(ISERROR(MATCH(Q$1,INDIRECT("Table!A"&amp;$AE251):INDIRECT("Table!" &amp; $AH$253 &amp; $AE251),0)),"",INDIRECT(CONCATENATE("Table!",ADDRESS($T251,MATCH(Q$1,INDIRECT("Table!A" &amp; $AE251):INDIRECT("Table!" &amp; $AH$253 &amp; $AE251),0)))))</f>
        <v/>
      </c>
      <c r="Q251" s="72"/>
      <c r="R251" s="72"/>
      <c r="S251" s="72"/>
      <c r="T251" s="22"/>
      <c r="AC251" s="72"/>
      <c r="AD251" s="72"/>
      <c r="AE251" s="22"/>
      <c r="AF251" s="72"/>
      <c r="AG251" s="72"/>
      <c r="AH251" s="72"/>
    </row>
    <row r="252" spans="2:34" ht="18" customHeight="1" x14ac:dyDescent="0.25">
      <c r="B252" s="24"/>
      <c r="C252" s="24" t="str">
        <f ca="1">IF(ISERROR(MATCH(C$1,INDIRECT("Table!A"&amp;$AE252):INDIRECT("Table!" &amp; $AH$253 &amp; $AE252),0)),"",INDIRECT(CONCATENATE("Table!",ADDRESS($T252,MATCH(C$1,INDIRECT("Table!A" &amp; $AE252):INDIRECT("Table!" &amp; $AH$253 &amp; $AE252),0)))))</f>
        <v/>
      </c>
      <c r="D252" s="24" t="str">
        <f ca="1">IF(ISERROR(MATCH(D$1,INDIRECT("Table!A"&amp;$AE252):INDIRECT("Table!" &amp; $AH$253 &amp; $AE252),0)),"",INDIRECT(CONCATENATE("Table!",ADDRESS($T252,MATCH(D$1,INDIRECT("Table!A" &amp; $AE252):INDIRECT("Table!" &amp; $AH$253 &amp; $AE252),0)))))</f>
        <v/>
      </c>
      <c r="E252" s="24" t="str">
        <f ca="1">IF(ISERROR(MATCH(E$1,INDIRECT("Table!A"&amp;$AE252):INDIRECT("Table!" &amp; $AH$253 &amp; $AE252),0)),"",INDIRECT(CONCATENATE("Table!",ADDRESS($T252,MATCH(E$1,INDIRECT("Table!A" &amp; $AE252):INDIRECT("Table!" &amp; $AH$253 &amp; $AE252),0)))))</f>
        <v/>
      </c>
      <c r="F252" s="24" t="str">
        <f ca="1">IF(ISERROR(MATCH(F$1,INDIRECT("Table!A"&amp;$AE252):INDIRECT("Table!" &amp; $AH$253 &amp; $AE252),0)),"",INDIRECT(CONCATENATE("Table!",ADDRESS($T252,MATCH(F$1,INDIRECT("Table!A" &amp; $AE252):INDIRECT("Table!" &amp; $AH$253 &amp; $AE252),0)))))</f>
        <v/>
      </c>
      <c r="G252" s="24" t="str">
        <f ca="1">IF(ISERROR(MATCH(G$1,INDIRECT("Table!A"&amp;$AE252):INDIRECT("Table!" &amp; $AH$253 &amp; $AE252),0)),"",INDIRECT(CONCATENATE("Table!",ADDRESS($T252,MATCH(G$1,INDIRECT("Table!A" &amp; $AE252):INDIRECT("Table!" &amp; $AH$253 &amp; $AE252),0)))))</f>
        <v/>
      </c>
      <c r="H252" s="24" t="str">
        <f ca="1">IF(ISERROR(MATCH(H$1,INDIRECT("Table!A"&amp;$AE252):INDIRECT("Table!" &amp; $AH$253 &amp; $AE252),0)),"",INDIRECT(CONCATENATE("Table!",ADDRESS($T252,MATCH(H$1,INDIRECT("Table!A" &amp; $AE252):INDIRECT("Table!" &amp; $AH$253 &amp; $AE252),0)))))</f>
        <v/>
      </c>
      <c r="I252" s="273"/>
      <c r="J252" s="273"/>
      <c r="K252" s="24" t="str">
        <f ca="1">IF(ISERROR(MATCH(L$1,INDIRECT("Table!A"&amp;$AE252):INDIRECT("Table!" &amp; $AH$253 &amp; $AE252),0)),"",INDIRECT(CONCATENATE("Table!",ADDRESS($T252,MATCH(L$1,INDIRECT("Table!A" &amp; $AE252):INDIRECT("Table!" &amp; $AH$253 &amp; $AE252),0)))))</f>
        <v/>
      </c>
      <c r="L252" s="24" t="str">
        <f ca="1">IF(ISERROR(MATCH(M$1,INDIRECT("Table!A"&amp;$AE252):INDIRECT("Table!" &amp; $AH$253 &amp; $AE252),0)),"",INDIRECT(CONCATENATE("Table!",ADDRESS($T252,MATCH(M$1,INDIRECT("Table!A" &amp; $AE252):INDIRECT("Table!" &amp; $AH$253 &amp; $AE252),0)))))</f>
        <v/>
      </c>
      <c r="M252" s="24" t="str">
        <f ca="1">IF(ISERROR(MATCH(N$1,INDIRECT("Table!A"&amp;$AE252):INDIRECT("Table!" &amp; $AH$253 &amp; $AE252),0)),"",INDIRECT(CONCATENATE("Table!",ADDRESS($T252,MATCH(N$1,INDIRECT("Table!A" &amp; $AE252):INDIRECT("Table!" &amp; $AH$253 &amp; $AE252),0)))))</f>
        <v/>
      </c>
      <c r="N252" s="24" t="str">
        <f ca="1">IF(ISERROR(MATCH(O$1,INDIRECT("Table!A"&amp;$AE252):INDIRECT("Table!" &amp; $AH$253 &amp; $AE252),0)),"",INDIRECT(CONCATENATE("Table!",ADDRESS($T252,MATCH(O$1,INDIRECT("Table!A" &amp; $AE252):INDIRECT("Table!" &amp; $AH$253 &amp; $AE252),0)))))</f>
        <v/>
      </c>
      <c r="O252" s="24" t="str">
        <f ca="1">IF(ISERROR(MATCH(P$1,INDIRECT("Table!A"&amp;$AE252):INDIRECT("Table!" &amp; $AH$253 &amp; $AE252),0)),"",INDIRECT(CONCATENATE("Table!",ADDRESS($T252,MATCH(P$1,INDIRECT("Table!A" &amp; $AE252):INDIRECT("Table!" &amp; $AH$253 &amp; $AE252),0)))))</f>
        <v/>
      </c>
      <c r="P252" s="273" t="str">
        <f ca="1">IF(ISERROR(MATCH(Q$1,INDIRECT("Table!A"&amp;$AE252):INDIRECT("Table!" &amp; $AH$253 &amp; $AE252),0)),"",INDIRECT(CONCATENATE("Table!",ADDRESS($T252,MATCH(Q$1,INDIRECT("Table!A" &amp; $AE252):INDIRECT("Table!" &amp; $AH$253 &amp; $AE252),0)))))</f>
        <v/>
      </c>
      <c r="Q252" s="71"/>
      <c r="R252" s="71"/>
      <c r="S252" s="71"/>
      <c r="T252" s="22"/>
      <c r="AC252" s="71"/>
      <c r="AD252" s="71"/>
      <c r="AE252" s="22"/>
      <c r="AF252" s="71"/>
      <c r="AG252" s="71"/>
      <c r="AH252" s="71"/>
    </row>
    <row r="253" spans="2:34" ht="18" customHeight="1" x14ac:dyDescent="0.25">
      <c r="B253" s="24"/>
      <c r="C253" s="24" t="str">
        <f ca="1">IF(ISERROR(MATCH(C$1,INDIRECT("Table!A"&amp;$AE253):INDIRECT("Table!" &amp; $AH$253 &amp; $AE253),0)),"",INDIRECT(CONCATENATE("Table!",ADDRESS($T253,MATCH(C$1,INDIRECT("Table!A" &amp; $AE253):INDIRECT("Table!" &amp; $AH$253 &amp; $AE253),0)))))</f>
        <v/>
      </c>
      <c r="D253" s="24" t="str">
        <f ca="1">IF(ISERROR(MATCH(D$1,INDIRECT("Table!A"&amp;$AE253):INDIRECT("Table!" &amp; $AH$253 &amp; $AE253),0)),"",INDIRECT(CONCATENATE("Table!",ADDRESS($T253,MATCH(D$1,INDIRECT("Table!A" &amp; $AE253):INDIRECT("Table!" &amp; $AH$253 &amp; $AE253),0)))))</f>
        <v/>
      </c>
      <c r="E253" s="24" t="str">
        <f ca="1">IF(ISERROR(MATCH(E$1,INDIRECT("Table!A"&amp;$AE253):INDIRECT("Table!" &amp; $AH$253 &amp; $AE253),0)),"",INDIRECT(CONCATENATE("Table!",ADDRESS($T253,MATCH(E$1,INDIRECT("Table!A" &amp; $AE253):INDIRECT("Table!" &amp; $AH$253 &amp; $AE253),0)))))</f>
        <v/>
      </c>
      <c r="F253" s="24" t="str">
        <f ca="1">IF(ISERROR(MATCH(F$1,INDIRECT("Table!A"&amp;$AE253):INDIRECT("Table!" &amp; $AH$253 &amp; $AE253),0)),"",INDIRECT(CONCATENATE("Table!",ADDRESS($T253,MATCH(F$1,INDIRECT("Table!A" &amp; $AE253):INDIRECT("Table!" &amp; $AH$253 &amp; $AE253),0)))))</f>
        <v/>
      </c>
      <c r="G253" s="24" t="str">
        <f ca="1">IF(ISERROR(MATCH(G$1,INDIRECT("Table!A"&amp;$AE253):INDIRECT("Table!" &amp; $AH$253 &amp; $AE253),0)),"",INDIRECT(CONCATENATE("Table!",ADDRESS($T253,MATCH(G$1,INDIRECT("Table!A" &amp; $AE253):INDIRECT("Table!" &amp; $AH$253 &amp; $AE253),0)))))</f>
        <v/>
      </c>
      <c r="H253" s="24" t="str">
        <f ca="1">IF(ISERROR(MATCH(H$1,INDIRECT("Table!A"&amp;$AE253):INDIRECT("Table!" &amp; $AH$253 &amp; $AE253),0)),"",INDIRECT(CONCATENATE("Table!",ADDRESS($T253,MATCH(H$1,INDIRECT("Table!A" &amp; $AE253):INDIRECT("Table!" &amp; $AH$253 &amp; $AE253),0)))))</f>
        <v/>
      </c>
      <c r="I253" s="273"/>
      <c r="J253" s="273"/>
      <c r="K253" s="24" t="str">
        <f ca="1">IF(ISERROR(MATCH(L$1,INDIRECT("Table!A"&amp;$AE253):INDIRECT("Table!" &amp; $AH$253 &amp; $AE253),0)),"",INDIRECT(CONCATENATE("Table!",ADDRESS($T253,MATCH(L$1,INDIRECT("Table!A" &amp; $AE253):INDIRECT("Table!" &amp; $AH$253 &amp; $AE253),0)))))</f>
        <v/>
      </c>
      <c r="L253" s="24" t="str">
        <f ca="1">IF(ISERROR(MATCH(M$1,INDIRECT("Table!A"&amp;$AE253):INDIRECT("Table!" &amp; $AH$253 &amp; $AE253),0)),"",INDIRECT(CONCATENATE("Table!",ADDRESS($T253,MATCH(M$1,INDIRECT("Table!A" &amp; $AE253):INDIRECT("Table!" &amp; $AH$253 &amp; $AE253),0)))))</f>
        <v/>
      </c>
      <c r="M253" s="24" t="str">
        <f ca="1">IF(ISERROR(MATCH(N$1,INDIRECT("Table!A"&amp;$AE253):INDIRECT("Table!" &amp; $AH$253 &amp; $AE253),0)),"",INDIRECT(CONCATENATE("Table!",ADDRESS($T253,MATCH(N$1,INDIRECT("Table!A" &amp; $AE253):INDIRECT("Table!" &amp; $AH$253 &amp; $AE253),0)))))</f>
        <v/>
      </c>
      <c r="N253" s="24" t="str">
        <f ca="1">IF(ISERROR(MATCH(O$1,INDIRECT("Table!A"&amp;$AE253):INDIRECT("Table!" &amp; $AH$253 &amp; $AE253),0)),"",INDIRECT(CONCATENATE("Table!",ADDRESS($T253,MATCH(O$1,INDIRECT("Table!A" &amp; $AE253):INDIRECT("Table!" &amp; $AH$253 &amp; $AE253),0)))))</f>
        <v/>
      </c>
      <c r="O253" s="24" t="str">
        <f ca="1">IF(ISERROR(MATCH(P$1,INDIRECT("Table!A"&amp;$AE253):INDIRECT("Table!" &amp; $AH$253 &amp; $AE253),0)),"",INDIRECT(CONCATENATE("Table!",ADDRESS($T253,MATCH(P$1,INDIRECT("Table!A" &amp; $AE253):INDIRECT("Table!" &amp; $AH$253 &amp; $AE253),0)))))</f>
        <v/>
      </c>
      <c r="P253" s="273" t="str">
        <f ca="1">IF(ISERROR(MATCH(Q$1,INDIRECT("Table!A"&amp;$AE253):INDIRECT("Table!" &amp; $AH$253 &amp; $AE253),0)),"",INDIRECT(CONCATENATE("Table!",ADDRESS($T253,MATCH(Q$1,INDIRECT("Table!A" &amp; $AE253):INDIRECT("Table!" &amp; $AH$253 &amp; $AE253),0)))))</f>
        <v/>
      </c>
      <c r="Q253" s="30"/>
      <c r="R253" s="30"/>
      <c r="S253" s="30"/>
      <c r="T253" s="22"/>
      <c r="AC253" s="30"/>
      <c r="AD253" s="30"/>
      <c r="AE253" s="22"/>
      <c r="AF253" s="30"/>
      <c r="AG253" s="30"/>
      <c r="AH253" s="30"/>
    </row>
    <row r="254" spans="2:34" ht="18" customHeight="1" x14ac:dyDescent="0.25">
      <c r="B254" s="24"/>
      <c r="C254" s="24"/>
      <c r="D254" s="24"/>
      <c r="E254" s="24"/>
      <c r="F254" s="24"/>
      <c r="G254" s="24"/>
      <c r="H254" s="24"/>
      <c r="I254" s="273"/>
      <c r="J254" s="273"/>
      <c r="K254" s="24"/>
      <c r="L254" s="24"/>
      <c r="M254" s="24"/>
      <c r="N254" s="24"/>
      <c r="O254" s="24"/>
      <c r="P254" s="273"/>
      <c r="Q254" s="64"/>
      <c r="R254" s="64"/>
      <c r="S254" s="64"/>
      <c r="T254" s="22"/>
      <c r="AC254" s="64"/>
      <c r="AD254" s="64"/>
      <c r="AE254" s="22"/>
      <c r="AF254" s="64"/>
      <c r="AG254" s="64"/>
      <c r="AH254" s="64"/>
    </row>
    <row r="255" spans="2:34" ht="18" customHeight="1" x14ac:dyDescent="0.25">
      <c r="B255" s="24"/>
      <c r="C255" s="24"/>
      <c r="D255" s="24"/>
      <c r="E255" s="24"/>
      <c r="F255" s="24"/>
      <c r="G255" s="24"/>
      <c r="H255" s="24"/>
      <c r="I255" s="273"/>
      <c r="J255" s="273"/>
      <c r="K255" s="24"/>
      <c r="L255" s="24"/>
      <c r="M255" s="24"/>
      <c r="N255" s="24"/>
      <c r="O255" s="24"/>
      <c r="P255" s="273"/>
      <c r="Q255" s="51"/>
      <c r="R255" s="51"/>
      <c r="S255" s="51"/>
      <c r="T255" s="22"/>
      <c r="AC255" s="51"/>
      <c r="AD255" s="51"/>
      <c r="AE255" s="22"/>
      <c r="AF255" s="51"/>
      <c r="AG255" s="51"/>
      <c r="AH255" s="51"/>
    </row>
    <row r="256" spans="2:34" ht="18" customHeight="1" x14ac:dyDescent="0.25">
      <c r="B256" s="24"/>
      <c r="C256" s="24"/>
      <c r="D256" s="24"/>
      <c r="E256" s="24"/>
      <c r="F256" s="24"/>
      <c r="G256" s="24"/>
      <c r="H256" s="24"/>
      <c r="I256" s="273"/>
      <c r="J256" s="273"/>
      <c r="K256" s="24"/>
      <c r="L256" s="24"/>
      <c r="M256" s="24"/>
      <c r="N256" s="24"/>
      <c r="O256" s="24"/>
      <c r="P256" s="273"/>
      <c r="Q256" s="50"/>
      <c r="R256" s="50"/>
      <c r="S256" s="50"/>
      <c r="T256" s="22"/>
      <c r="AC256" s="50"/>
      <c r="AD256" s="50"/>
      <c r="AE256" s="22"/>
      <c r="AF256" s="50"/>
      <c r="AG256" s="50"/>
      <c r="AH256" s="50"/>
    </row>
    <row r="257" spans="2:34" ht="18" customHeight="1" x14ac:dyDescent="0.25">
      <c r="B257" s="24"/>
      <c r="C257" s="24"/>
      <c r="D257" s="24"/>
      <c r="E257" s="24"/>
      <c r="F257" s="24"/>
      <c r="G257" s="24"/>
      <c r="H257" s="24"/>
      <c r="I257" s="273"/>
      <c r="J257" s="273"/>
      <c r="K257" s="24"/>
      <c r="L257" s="24"/>
      <c r="M257" s="24"/>
      <c r="N257" s="24"/>
      <c r="O257" s="24"/>
      <c r="P257" s="273"/>
      <c r="Q257" s="49"/>
      <c r="R257" s="49"/>
      <c r="S257" s="49"/>
      <c r="T257" s="22"/>
      <c r="AC257" s="49"/>
      <c r="AD257" s="49"/>
      <c r="AE257" s="22"/>
      <c r="AF257" s="49"/>
      <c r="AG257" s="49"/>
      <c r="AH257" s="49"/>
    </row>
    <row r="258" spans="2:34" ht="18" customHeight="1" x14ac:dyDescent="0.25">
      <c r="B258" s="24"/>
      <c r="C258" s="24"/>
      <c r="D258" s="24"/>
      <c r="E258" s="24"/>
      <c r="F258" s="24"/>
      <c r="G258" s="24"/>
      <c r="H258" s="24"/>
      <c r="I258" s="273"/>
      <c r="J258" s="273"/>
      <c r="K258" s="24"/>
      <c r="L258" s="24"/>
      <c r="M258" s="24"/>
      <c r="N258" s="24"/>
      <c r="O258" s="24"/>
      <c r="P258" s="273"/>
      <c r="Q258" s="48"/>
      <c r="R258" s="48"/>
      <c r="S258" s="48"/>
      <c r="T258" s="22"/>
      <c r="AC258" s="48"/>
      <c r="AD258" s="48"/>
      <c r="AE258" s="22"/>
      <c r="AF258" s="48"/>
      <c r="AG258" s="48"/>
      <c r="AH258" s="48"/>
    </row>
    <row r="259" spans="2:34" ht="18" customHeight="1" x14ac:dyDescent="0.25">
      <c r="B259" s="24"/>
      <c r="C259" s="24"/>
      <c r="D259" s="24"/>
      <c r="E259" s="24"/>
      <c r="F259" s="24"/>
      <c r="G259" s="24"/>
      <c r="H259" s="24"/>
      <c r="I259" s="273"/>
      <c r="J259" s="273"/>
      <c r="K259" s="24"/>
      <c r="L259" s="24"/>
      <c r="M259" s="24"/>
      <c r="N259" s="24"/>
      <c r="O259" s="24"/>
      <c r="P259" s="273"/>
      <c r="Q259" s="47"/>
      <c r="R259" s="47"/>
      <c r="S259" s="47"/>
      <c r="T259" s="22"/>
      <c r="AC259" s="47"/>
      <c r="AD259" s="47"/>
      <c r="AE259" s="22"/>
      <c r="AF259" s="47"/>
      <c r="AG259" s="47"/>
      <c r="AH259" s="47"/>
    </row>
    <row r="260" spans="2:34" ht="18" customHeight="1" x14ac:dyDescent="0.25">
      <c r="B260" s="24"/>
      <c r="C260" s="24"/>
      <c r="D260" s="24"/>
      <c r="E260" s="24"/>
      <c r="F260" s="24"/>
      <c r="G260" s="24"/>
      <c r="H260" s="24"/>
      <c r="I260" s="273"/>
      <c r="J260" s="273"/>
      <c r="K260" s="24"/>
      <c r="L260" s="24"/>
      <c r="M260" s="24"/>
      <c r="N260" s="24"/>
      <c r="O260" s="24"/>
      <c r="P260" s="273"/>
      <c r="Q260" s="46"/>
      <c r="R260" s="46"/>
      <c r="S260" s="46"/>
      <c r="T260" s="22"/>
      <c r="AC260" s="46"/>
      <c r="AD260" s="46"/>
      <c r="AE260" s="22"/>
      <c r="AF260" s="46"/>
      <c r="AG260" s="46"/>
      <c r="AH260" s="46"/>
    </row>
    <row r="261" spans="2:34" ht="18" customHeight="1" x14ac:dyDescent="0.25">
      <c r="B261" s="24"/>
      <c r="C261" s="24"/>
      <c r="D261" s="24"/>
      <c r="E261" s="24"/>
      <c r="F261" s="24"/>
      <c r="G261" s="24"/>
      <c r="H261" s="24"/>
      <c r="I261" s="273"/>
      <c r="J261" s="273"/>
      <c r="K261" s="24"/>
      <c r="L261" s="24"/>
      <c r="M261" s="24"/>
      <c r="N261" s="24"/>
      <c r="O261" s="24"/>
      <c r="P261" s="273"/>
      <c r="Q261" s="45"/>
      <c r="R261" s="45"/>
      <c r="S261" s="45"/>
      <c r="T261" s="22"/>
    </row>
    <row r="262" spans="2:34" ht="18" customHeight="1" x14ac:dyDescent="0.25">
      <c r="B262" s="24"/>
      <c r="C262" s="24"/>
      <c r="D262" s="24"/>
      <c r="E262" s="24"/>
      <c r="F262" s="24"/>
      <c r="G262" s="24"/>
      <c r="H262" s="24"/>
      <c r="I262" s="273"/>
      <c r="J262" s="273"/>
      <c r="K262" s="24"/>
      <c r="L262" s="24"/>
      <c r="M262" s="24"/>
      <c r="N262" s="24"/>
      <c r="O262" s="24"/>
      <c r="P262" s="273"/>
      <c r="Q262" s="45"/>
      <c r="R262" s="45"/>
      <c r="S262" s="45"/>
      <c r="T262" s="22"/>
    </row>
    <row r="263" spans="2:34" ht="18" customHeight="1" x14ac:dyDescent="0.25">
      <c r="B263" s="24"/>
      <c r="C263" s="24"/>
      <c r="D263" s="24"/>
      <c r="E263" s="24"/>
      <c r="F263" s="24"/>
      <c r="G263" s="24"/>
      <c r="H263" s="24"/>
      <c r="I263" s="273"/>
      <c r="J263" s="273"/>
      <c r="K263" s="24"/>
      <c r="L263" s="24"/>
      <c r="M263" s="24"/>
      <c r="N263" s="24"/>
      <c r="O263" s="24"/>
      <c r="P263" s="273"/>
      <c r="Q263" s="44"/>
      <c r="R263" s="44"/>
      <c r="S263" s="44"/>
      <c r="T263" s="22"/>
    </row>
    <row r="264" spans="2:34" ht="18" customHeight="1" x14ac:dyDescent="0.25">
      <c r="B264" s="24"/>
      <c r="C264" s="24"/>
      <c r="D264" s="24"/>
      <c r="E264" s="24"/>
      <c r="F264" s="24"/>
      <c r="G264" s="24"/>
      <c r="H264" s="24"/>
      <c r="I264" s="273"/>
      <c r="J264" s="273"/>
      <c r="K264" s="24"/>
      <c r="L264" s="24"/>
      <c r="M264" s="24"/>
      <c r="N264" s="24"/>
      <c r="O264" s="24"/>
      <c r="P264" s="273"/>
      <c r="Q264" s="43"/>
      <c r="R264" s="43"/>
      <c r="S264" s="43"/>
      <c r="T264" s="22"/>
    </row>
    <row r="265" spans="2:34" ht="18" customHeight="1" x14ac:dyDescent="0.25">
      <c r="B265" s="24"/>
      <c r="C265" s="24"/>
      <c r="D265" s="24"/>
      <c r="E265" s="24"/>
      <c r="F265" s="24"/>
      <c r="G265" s="24"/>
      <c r="H265" s="24"/>
      <c r="I265" s="273"/>
      <c r="J265" s="273"/>
      <c r="K265" s="24"/>
      <c r="L265" s="24"/>
      <c r="M265" s="24"/>
      <c r="N265" s="24"/>
      <c r="O265" s="24"/>
      <c r="P265" s="273"/>
      <c r="Q265" s="43"/>
      <c r="R265" s="43"/>
      <c r="S265" s="43"/>
      <c r="T265" s="22"/>
    </row>
    <row r="266" spans="2:34" ht="18" customHeight="1" x14ac:dyDescent="0.25">
      <c r="B266" s="24"/>
      <c r="C266" s="24"/>
      <c r="D266" s="24"/>
      <c r="E266" s="24"/>
      <c r="F266" s="24"/>
      <c r="G266" s="24"/>
      <c r="H266" s="24"/>
      <c r="I266" s="273"/>
      <c r="J266" s="273"/>
      <c r="K266" s="24"/>
      <c r="L266" s="24"/>
      <c r="M266" s="24"/>
      <c r="N266" s="24"/>
      <c r="O266" s="24"/>
      <c r="P266" s="273"/>
      <c r="Q266" s="42"/>
      <c r="R266" s="42"/>
      <c r="S266" s="42"/>
      <c r="T266" s="22"/>
    </row>
    <row r="267" spans="2:34" ht="18" customHeight="1" x14ac:dyDescent="0.25">
      <c r="B267" s="24"/>
      <c r="C267" s="24"/>
      <c r="D267" s="24"/>
      <c r="E267" s="24"/>
      <c r="F267" s="24"/>
      <c r="G267" s="24"/>
      <c r="H267" s="24"/>
      <c r="I267" s="273"/>
      <c r="J267" s="273"/>
      <c r="K267" s="24"/>
      <c r="L267" s="24"/>
      <c r="M267" s="24"/>
      <c r="N267" s="24"/>
      <c r="O267" s="24"/>
      <c r="P267" s="273"/>
      <c r="Q267" s="41"/>
      <c r="R267" s="41"/>
      <c r="S267" s="41"/>
      <c r="T267" s="22"/>
    </row>
    <row r="268" spans="2:34" ht="18" customHeight="1" x14ac:dyDescent="0.25">
      <c r="B268" s="24"/>
      <c r="C268" s="24"/>
      <c r="D268" s="24"/>
      <c r="E268" s="24"/>
      <c r="F268" s="24"/>
      <c r="G268" s="24"/>
      <c r="H268" s="24"/>
      <c r="I268" s="273"/>
      <c r="J268" s="273"/>
      <c r="K268" s="24"/>
      <c r="L268" s="24"/>
      <c r="M268" s="24"/>
      <c r="N268" s="24"/>
      <c r="O268" s="24"/>
      <c r="P268" s="273"/>
      <c r="Q268" s="40"/>
      <c r="R268" s="40"/>
      <c r="S268" s="40"/>
      <c r="T268" s="22"/>
    </row>
    <row r="269" spans="2:34" ht="18" customHeight="1" x14ac:dyDescent="0.25">
      <c r="B269" s="24"/>
      <c r="C269" s="24"/>
      <c r="D269" s="24"/>
      <c r="E269" s="24"/>
      <c r="F269" s="24"/>
      <c r="G269" s="24"/>
      <c r="H269" s="24"/>
      <c r="I269" s="273"/>
      <c r="J269" s="273"/>
      <c r="K269" s="24"/>
      <c r="L269" s="24"/>
      <c r="M269" s="24"/>
      <c r="N269" s="24"/>
      <c r="O269" s="24"/>
      <c r="P269" s="273"/>
      <c r="Q269" s="39"/>
      <c r="R269" s="39"/>
      <c r="S269" s="39"/>
      <c r="T269" s="22"/>
    </row>
    <row r="270" spans="2:34" ht="18" customHeight="1" x14ac:dyDescent="0.25">
      <c r="B270" s="24"/>
      <c r="C270" s="24"/>
      <c r="D270" s="24"/>
      <c r="E270" s="24"/>
      <c r="F270" s="24"/>
      <c r="G270" s="24"/>
      <c r="H270" s="24"/>
      <c r="I270" s="273"/>
      <c r="J270" s="273"/>
      <c r="K270" s="24"/>
      <c r="L270" s="24"/>
      <c r="M270" s="24"/>
      <c r="N270" s="24"/>
      <c r="O270" s="24"/>
      <c r="P270" s="273"/>
      <c r="Q270" s="36"/>
      <c r="R270" s="36"/>
      <c r="S270" s="36"/>
      <c r="T270" s="22"/>
    </row>
    <row r="271" spans="2:34" ht="18" customHeight="1" x14ac:dyDescent="0.25">
      <c r="B271" s="24"/>
      <c r="C271" s="24"/>
      <c r="D271" s="24"/>
      <c r="E271" s="24"/>
      <c r="F271" s="24"/>
      <c r="G271" s="24"/>
      <c r="H271" s="24"/>
      <c r="I271" s="273"/>
      <c r="J271" s="273"/>
      <c r="K271" s="24"/>
      <c r="L271" s="24"/>
      <c r="M271" s="24"/>
      <c r="N271" s="24"/>
      <c r="O271" s="24"/>
      <c r="P271" s="273"/>
      <c r="Q271" s="33"/>
      <c r="R271" s="33"/>
      <c r="S271" s="33"/>
      <c r="T271" s="22"/>
    </row>
    <row r="272" spans="2:34" ht="18" customHeight="1" x14ac:dyDescent="0.25">
      <c r="B272" s="24"/>
      <c r="C272" s="24"/>
      <c r="D272" s="24"/>
      <c r="E272" s="24"/>
      <c r="F272" s="24"/>
      <c r="G272" s="24"/>
      <c r="H272" s="24"/>
      <c r="I272" s="273"/>
      <c r="J272" s="273"/>
      <c r="K272" s="24"/>
      <c r="L272" s="24"/>
      <c r="M272" s="24"/>
      <c r="N272" s="24"/>
      <c r="O272" s="24"/>
      <c r="P272" s="273"/>
      <c r="Q272" s="31"/>
      <c r="R272" s="31"/>
      <c r="S272" s="31"/>
      <c r="T272" s="22"/>
    </row>
    <row r="273" spans="2:20" ht="18" customHeight="1" x14ac:dyDescent="0.25">
      <c r="B273" s="24"/>
      <c r="C273" s="24"/>
      <c r="D273" s="24"/>
      <c r="E273" s="24"/>
      <c r="F273" s="24"/>
      <c r="G273" s="24"/>
      <c r="H273" s="24"/>
      <c r="I273" s="273"/>
      <c r="J273" s="273"/>
      <c r="K273" s="24"/>
      <c r="L273" s="24"/>
      <c r="M273" s="24"/>
      <c r="N273" s="24"/>
      <c r="O273" s="24"/>
      <c r="P273" s="273"/>
      <c r="Q273" s="27"/>
      <c r="R273" s="27"/>
      <c r="S273" s="27"/>
      <c r="T273" s="22"/>
    </row>
    <row r="274" spans="2:20" ht="18" customHeight="1" x14ac:dyDescent="0.25">
      <c r="B274" s="24"/>
      <c r="C274" s="24"/>
      <c r="D274" s="24"/>
      <c r="E274" s="24"/>
      <c r="F274" s="24"/>
      <c r="G274" s="24"/>
      <c r="H274" s="24"/>
      <c r="I274" s="273"/>
      <c r="J274" s="273"/>
      <c r="K274" s="24"/>
      <c r="L274" s="24"/>
      <c r="M274" s="24"/>
      <c r="N274" s="24"/>
      <c r="O274" s="24"/>
      <c r="P274" s="273"/>
      <c r="T274" s="22"/>
    </row>
    <row r="275" spans="2:20" ht="18" customHeight="1" x14ac:dyDescent="0.25">
      <c r="B275" s="24"/>
      <c r="C275" s="24"/>
      <c r="D275" s="24"/>
      <c r="E275" s="24"/>
      <c r="F275" s="24"/>
      <c r="G275" s="24"/>
      <c r="H275" s="24"/>
      <c r="I275" s="273"/>
      <c r="J275" s="273"/>
      <c r="K275" s="24"/>
      <c r="L275" s="24"/>
      <c r="M275" s="24"/>
      <c r="N275" s="24"/>
      <c r="O275" s="24"/>
      <c r="P275" s="273"/>
      <c r="T275" s="22"/>
    </row>
    <row r="276" spans="2:20" ht="18" customHeight="1" x14ac:dyDescent="0.25">
      <c r="B276" s="24"/>
      <c r="C276" s="24"/>
      <c r="D276" s="24"/>
      <c r="E276" s="24"/>
      <c r="F276" s="24"/>
      <c r="G276" s="24"/>
      <c r="H276" s="24"/>
      <c r="I276" s="273"/>
      <c r="J276" s="273"/>
      <c r="K276" s="24"/>
      <c r="L276" s="24"/>
      <c r="M276" s="24"/>
      <c r="N276" s="24"/>
      <c r="O276" s="24"/>
      <c r="P276" s="273"/>
      <c r="T276" s="22"/>
    </row>
    <row r="277" spans="2:20" ht="18" customHeight="1" x14ac:dyDescent="0.25">
      <c r="B277" s="24"/>
      <c r="C277" s="24"/>
      <c r="D277" s="24"/>
      <c r="E277" s="24"/>
      <c r="F277" s="24"/>
      <c r="G277" s="24"/>
      <c r="H277" s="24"/>
      <c r="I277" s="273"/>
      <c r="J277" s="273"/>
      <c r="K277" s="24"/>
      <c r="L277" s="24"/>
      <c r="M277" s="24"/>
      <c r="N277" s="24"/>
      <c r="O277" s="24"/>
      <c r="P277" s="273"/>
      <c r="T277" s="22"/>
    </row>
    <row r="278" spans="2:20" ht="18" customHeight="1" x14ac:dyDescent="0.25">
      <c r="B278" s="24"/>
      <c r="C278" s="24"/>
      <c r="D278" s="24"/>
      <c r="E278" s="24"/>
      <c r="F278" s="24"/>
      <c r="G278" s="24"/>
      <c r="H278" s="24"/>
      <c r="I278" s="273"/>
      <c r="J278" s="273"/>
      <c r="K278" s="24"/>
      <c r="L278" s="24"/>
      <c r="M278" s="24"/>
      <c r="N278" s="24"/>
      <c r="O278" s="24"/>
      <c r="P278" s="273"/>
      <c r="T278" s="22"/>
    </row>
    <row r="279" spans="2:20" ht="18" customHeight="1" x14ac:dyDescent="0.25">
      <c r="B279" s="24"/>
      <c r="C279" s="24"/>
      <c r="D279" s="24"/>
      <c r="E279" s="24"/>
      <c r="F279" s="24"/>
      <c r="G279" s="24"/>
      <c r="H279" s="24"/>
      <c r="I279" s="273"/>
      <c r="J279" s="273"/>
      <c r="K279" s="24"/>
      <c r="L279" s="24"/>
      <c r="M279" s="24"/>
      <c r="N279" s="24"/>
      <c r="O279" s="24"/>
      <c r="P279" s="273"/>
      <c r="T279" s="22"/>
    </row>
    <row r="280" spans="2:20" ht="18" customHeight="1" x14ac:dyDescent="0.25">
      <c r="B280" s="24"/>
      <c r="C280" s="24"/>
      <c r="D280" s="24"/>
      <c r="E280" s="24"/>
      <c r="F280" s="24"/>
      <c r="G280" s="24"/>
      <c r="H280" s="24"/>
      <c r="I280" s="273"/>
      <c r="J280" s="273"/>
      <c r="K280" s="24"/>
      <c r="L280" s="24"/>
      <c r="M280" s="24"/>
      <c r="N280" s="24"/>
      <c r="O280" s="24"/>
      <c r="P280" s="273"/>
      <c r="T280" s="22"/>
    </row>
    <row r="281" spans="2:20" ht="18" customHeight="1" x14ac:dyDescent="0.25">
      <c r="B281" s="24"/>
      <c r="C281" s="24"/>
      <c r="D281" s="24"/>
      <c r="E281" s="24"/>
      <c r="F281" s="24"/>
      <c r="G281" s="24"/>
      <c r="H281" s="24"/>
      <c r="I281" s="273"/>
      <c r="J281" s="273"/>
      <c r="K281" s="24"/>
      <c r="L281" s="24"/>
      <c r="M281" s="24"/>
      <c r="N281" s="24"/>
      <c r="O281" s="24"/>
      <c r="P281" s="273"/>
      <c r="T281" s="22"/>
    </row>
    <row r="282" spans="2:20" ht="18" customHeight="1" x14ac:dyDescent="0.25">
      <c r="B282" s="24"/>
      <c r="C282" s="24"/>
      <c r="D282" s="24"/>
      <c r="E282" s="24"/>
      <c r="F282" s="24"/>
      <c r="G282" s="24"/>
      <c r="H282" s="24"/>
      <c r="I282" s="273"/>
      <c r="J282" s="273"/>
      <c r="K282" s="24"/>
      <c r="L282" s="24"/>
      <c r="M282" s="24"/>
      <c r="N282" s="24"/>
      <c r="O282" s="24"/>
      <c r="P282" s="273"/>
      <c r="T282" s="22"/>
    </row>
    <row r="283" spans="2:20" ht="18" customHeight="1" x14ac:dyDescent="0.25">
      <c r="B283" s="24"/>
      <c r="C283" s="24"/>
      <c r="D283" s="24"/>
      <c r="E283" s="24"/>
      <c r="F283" s="24"/>
      <c r="G283" s="24"/>
      <c r="H283" s="24"/>
      <c r="I283" s="273"/>
      <c r="J283" s="273"/>
      <c r="K283" s="24"/>
      <c r="L283" s="24"/>
      <c r="M283" s="24"/>
      <c r="N283" s="24"/>
      <c r="O283" s="24"/>
      <c r="P283" s="273"/>
      <c r="T283" s="22"/>
    </row>
    <row r="284" spans="2:20" ht="18" customHeight="1" x14ac:dyDescent="0.25">
      <c r="B284" s="24"/>
      <c r="C284" s="24"/>
      <c r="D284" s="24"/>
      <c r="E284" s="24"/>
      <c r="K284" s="24"/>
      <c r="N284" s="24"/>
      <c r="O284" s="24"/>
      <c r="P284" s="273"/>
      <c r="T284" s="22"/>
    </row>
    <row r="285" spans="2:20" ht="18" customHeight="1" x14ac:dyDescent="0.25">
      <c r="B285" s="24"/>
      <c r="C285" s="24"/>
      <c r="D285" s="24"/>
      <c r="E285" s="24"/>
      <c r="K285" s="24"/>
      <c r="N285" s="24"/>
      <c r="O285" s="24"/>
      <c r="P285" s="273"/>
      <c r="T285" s="22"/>
    </row>
    <row r="286" spans="2:20" ht="18" customHeight="1" x14ac:dyDescent="0.25">
      <c r="B286" s="24"/>
      <c r="C286" s="24"/>
      <c r="D286" s="24"/>
      <c r="E286" s="24"/>
      <c r="K286" s="24"/>
      <c r="N286" s="24"/>
      <c r="O286" s="24"/>
      <c r="P286" s="273"/>
      <c r="T286" s="22"/>
    </row>
    <row r="287" spans="2:20" ht="18" customHeight="1" x14ac:dyDescent="0.25">
      <c r="B287" s="24"/>
      <c r="C287" s="24"/>
      <c r="D287" s="24"/>
      <c r="E287" s="24"/>
      <c r="K287" s="24"/>
      <c r="N287" s="24"/>
      <c r="O287" s="24"/>
      <c r="P287" s="273"/>
      <c r="T287" s="22"/>
    </row>
    <row r="288" spans="2:20" ht="18" customHeight="1" x14ac:dyDescent="0.25">
      <c r="B288" s="24"/>
      <c r="C288" s="24"/>
      <c r="D288" s="24"/>
      <c r="E288" s="24"/>
      <c r="K288" s="24"/>
      <c r="N288" s="24"/>
      <c r="O288" s="24"/>
      <c r="P288" s="273"/>
      <c r="T288" s="22"/>
    </row>
    <row r="289" spans="2:20" ht="18" customHeight="1" x14ac:dyDescent="0.25">
      <c r="B289" s="24"/>
      <c r="C289" s="24"/>
      <c r="D289" s="24"/>
      <c r="E289" s="24"/>
      <c r="K289" s="24"/>
      <c r="N289" s="24"/>
      <c r="O289" s="24"/>
      <c r="P289" s="273"/>
      <c r="T289" s="22"/>
    </row>
    <row r="290" spans="2:20" ht="18" customHeight="1" x14ac:dyDescent="0.25">
      <c r="B290" s="24"/>
      <c r="C290" s="24"/>
      <c r="D290" s="24"/>
      <c r="E290" s="24"/>
      <c r="K290" s="24"/>
      <c r="N290" s="24"/>
      <c r="O290" s="24"/>
      <c r="P290" s="273"/>
      <c r="T290" s="22"/>
    </row>
    <row r="291" spans="2:20" ht="18" customHeight="1" x14ac:dyDescent="0.25">
      <c r="B291" s="24"/>
      <c r="C291" s="24"/>
      <c r="D291" s="24"/>
      <c r="E291" s="24"/>
      <c r="K291" s="24"/>
      <c r="N291" s="24"/>
      <c r="O291" s="24"/>
      <c r="P291" s="273"/>
      <c r="T291" s="22"/>
    </row>
    <row r="292" spans="2:20" ht="18" customHeight="1" x14ac:dyDescent="0.25">
      <c r="B292" s="24"/>
      <c r="C292" s="24"/>
      <c r="D292" s="24"/>
      <c r="E292" s="24"/>
      <c r="K292" s="24"/>
      <c r="N292" s="24"/>
      <c r="O292" s="24"/>
      <c r="P292" s="273"/>
      <c r="T292" s="22"/>
    </row>
    <row r="293" spans="2:20" ht="18" customHeight="1" x14ac:dyDescent="0.25">
      <c r="B293" s="24"/>
      <c r="C293" s="24"/>
      <c r="D293" s="24"/>
      <c r="E293" s="24"/>
      <c r="K293" s="24"/>
      <c r="N293" s="24"/>
      <c r="O293" s="24"/>
      <c r="P293" s="273"/>
      <c r="T293" s="22"/>
    </row>
    <row r="294" spans="2:20" ht="18" customHeight="1" x14ac:dyDescent="0.25">
      <c r="B294" s="24"/>
      <c r="C294" s="24"/>
      <c r="D294" s="24"/>
      <c r="E294" s="24"/>
      <c r="K294" s="24"/>
      <c r="N294" s="24"/>
      <c r="O294" s="24"/>
      <c r="P294" s="273"/>
      <c r="T294" s="22"/>
    </row>
    <row r="295" spans="2:20" ht="18" customHeight="1" x14ac:dyDescent="0.25">
      <c r="B295" s="24"/>
      <c r="C295" s="24"/>
      <c r="D295" s="24"/>
      <c r="E295" s="24"/>
      <c r="K295" s="24"/>
      <c r="N295" s="24"/>
      <c r="O295" s="24"/>
      <c r="P295" s="273"/>
      <c r="T295" s="22"/>
    </row>
    <row r="296" spans="2:20" ht="18" customHeight="1" x14ac:dyDescent="0.25">
      <c r="B296" s="24"/>
      <c r="C296" s="24"/>
      <c r="D296" s="24"/>
      <c r="E296" s="24"/>
      <c r="K296" s="24"/>
      <c r="N296" s="24"/>
      <c r="O296" s="24"/>
      <c r="P296" s="273"/>
      <c r="T296" s="22"/>
    </row>
    <row r="297" spans="2:20" ht="18" customHeight="1" x14ac:dyDescent="0.25">
      <c r="B297" s="24"/>
      <c r="C297" s="24"/>
      <c r="D297" s="24"/>
      <c r="E297" s="24"/>
      <c r="K297" s="24"/>
      <c r="N297" s="24"/>
      <c r="O297" s="24"/>
      <c r="P297" s="273"/>
      <c r="T297" s="22"/>
    </row>
    <row r="298" spans="2:20" ht="18" customHeight="1" x14ac:dyDescent="0.25">
      <c r="B298" s="24"/>
      <c r="C298" s="24"/>
      <c r="D298" s="24"/>
      <c r="E298" s="24"/>
      <c r="K298" s="24"/>
      <c r="N298" s="24"/>
      <c r="O298" s="24"/>
      <c r="P298" s="273"/>
      <c r="T298" s="22"/>
    </row>
    <row r="299" spans="2:20" ht="18" customHeight="1" x14ac:dyDescent="0.25">
      <c r="B299" s="24"/>
      <c r="C299" s="24"/>
      <c r="D299" s="24"/>
      <c r="E299" s="24"/>
      <c r="K299" s="24"/>
      <c r="N299" s="24"/>
      <c r="O299" s="24"/>
      <c r="P299" s="273"/>
      <c r="T299" s="22"/>
    </row>
    <row r="300" spans="2:20" ht="18" customHeight="1" x14ac:dyDescent="0.25">
      <c r="B300" s="24"/>
      <c r="C300" s="24"/>
      <c r="D300" s="24"/>
      <c r="E300" s="24"/>
      <c r="K300" s="24"/>
      <c r="N300" s="24"/>
      <c r="O300" s="24"/>
      <c r="P300" s="273"/>
      <c r="T300" s="22"/>
    </row>
    <row r="301" spans="2:20" ht="18" customHeight="1" x14ac:dyDescent="0.25">
      <c r="B301" s="24"/>
      <c r="C301" s="24"/>
      <c r="D301" s="24"/>
      <c r="E301" s="24"/>
      <c r="K301" s="24"/>
      <c r="N301" s="24"/>
      <c r="O301" s="24"/>
      <c r="P301" s="273"/>
      <c r="T301" s="22"/>
    </row>
    <row r="302" spans="2:20" ht="18" customHeight="1" x14ac:dyDescent="0.25">
      <c r="B302" s="24"/>
      <c r="C302" s="24"/>
      <c r="D302" s="24"/>
      <c r="E302" s="24"/>
      <c r="K302" s="24"/>
      <c r="N302" s="24"/>
      <c r="O302" s="24"/>
      <c r="P302" s="273"/>
      <c r="T302" s="22"/>
    </row>
    <row r="303" spans="2:20" ht="18" customHeight="1" x14ac:dyDescent="0.25">
      <c r="B303" s="24"/>
      <c r="C303" s="24"/>
      <c r="D303" s="24"/>
      <c r="E303" s="24"/>
      <c r="K303" s="24"/>
      <c r="N303" s="24"/>
      <c r="O303" s="24"/>
      <c r="P303" s="273"/>
      <c r="T303" s="22"/>
    </row>
    <row r="304" spans="2:20" ht="18" customHeight="1" x14ac:dyDescent="0.25">
      <c r="B304" s="24"/>
      <c r="C304" s="24"/>
      <c r="D304" s="24"/>
      <c r="E304" s="24"/>
      <c r="K304" s="24"/>
      <c r="N304" s="24"/>
      <c r="O304" s="24"/>
      <c r="P304" s="273"/>
      <c r="T304" s="22"/>
    </row>
    <row r="305" spans="2:20" ht="18" customHeight="1" x14ac:dyDescent="0.25">
      <c r="B305" s="24"/>
      <c r="C305" s="24"/>
      <c r="D305" s="24"/>
      <c r="E305" s="24"/>
      <c r="K305" s="24"/>
      <c r="N305" s="24"/>
      <c r="O305" s="24"/>
      <c r="P305" s="273"/>
      <c r="T305" s="22"/>
    </row>
    <row r="306" spans="2:20" ht="18" customHeight="1" x14ac:dyDescent="0.25">
      <c r="B306" s="24"/>
      <c r="C306" s="24"/>
      <c r="D306" s="24"/>
      <c r="E306" s="24"/>
      <c r="K306" s="24"/>
      <c r="N306" s="24"/>
      <c r="O306" s="24"/>
      <c r="P306" s="273"/>
      <c r="T306" s="22"/>
    </row>
    <row r="307" spans="2:20" ht="18" customHeight="1" x14ac:dyDescent="0.25">
      <c r="B307" s="24"/>
      <c r="C307" s="24"/>
      <c r="D307" s="24"/>
      <c r="E307" s="24"/>
      <c r="K307" s="24"/>
      <c r="N307" s="24"/>
      <c r="O307" s="24"/>
      <c r="P307" s="273"/>
      <c r="T307" s="22"/>
    </row>
    <row r="308" spans="2:20" ht="18" customHeight="1" x14ac:dyDescent="0.25">
      <c r="B308" s="24"/>
      <c r="C308" s="24"/>
      <c r="D308" s="24"/>
      <c r="E308" s="24"/>
      <c r="K308" s="24"/>
      <c r="N308" s="24"/>
      <c r="O308" s="24"/>
      <c r="P308" s="273"/>
      <c r="T308" s="22"/>
    </row>
    <row r="309" spans="2:20" ht="18" customHeight="1" x14ac:dyDescent="0.25">
      <c r="B309" s="24"/>
      <c r="C309" s="24"/>
      <c r="D309" s="24"/>
      <c r="E309" s="24"/>
      <c r="K309" s="24"/>
      <c r="N309" s="24"/>
      <c r="O309" s="24"/>
      <c r="P309" s="273"/>
      <c r="T309" s="22"/>
    </row>
    <row r="310" spans="2:20" ht="18" customHeight="1" x14ac:dyDescent="0.25">
      <c r="B310" s="24"/>
      <c r="C310" s="24"/>
      <c r="D310" s="24"/>
      <c r="E310" s="24"/>
      <c r="K310" s="24"/>
      <c r="N310" s="24"/>
      <c r="O310" s="24"/>
      <c r="P310" s="273"/>
      <c r="T310" s="22"/>
    </row>
    <row r="311" spans="2:20" ht="18" customHeight="1" x14ac:dyDescent="0.25">
      <c r="B311" s="24"/>
      <c r="C311" s="24"/>
      <c r="D311" s="24"/>
      <c r="E311" s="24"/>
      <c r="K311" s="24"/>
      <c r="N311" s="24"/>
      <c r="O311" s="24"/>
      <c r="P311" s="273"/>
      <c r="T311" s="22"/>
    </row>
    <row r="312" spans="2:20" ht="18" customHeight="1" x14ac:dyDescent="0.25">
      <c r="B312" s="24"/>
      <c r="C312" s="24"/>
      <c r="D312" s="24"/>
      <c r="E312" s="24"/>
      <c r="K312" s="24"/>
      <c r="N312" s="24"/>
      <c r="O312" s="24"/>
      <c r="P312" s="273"/>
      <c r="T312" s="22"/>
    </row>
    <row r="313" spans="2:20" ht="18" customHeight="1" x14ac:dyDescent="0.25">
      <c r="B313" s="24"/>
      <c r="C313" s="24"/>
      <c r="D313" s="24"/>
      <c r="E313" s="24"/>
      <c r="K313" s="24"/>
      <c r="N313" s="24"/>
      <c r="O313" s="24"/>
      <c r="P313" s="273"/>
      <c r="T313" s="22"/>
    </row>
    <row r="314" spans="2:20" ht="18" customHeight="1" x14ac:dyDescent="0.25">
      <c r="B314" s="24"/>
      <c r="C314" s="24"/>
      <c r="D314" s="24"/>
      <c r="E314" s="24"/>
      <c r="K314" s="24"/>
      <c r="N314" s="24"/>
      <c r="O314" s="24"/>
      <c r="P314" s="273"/>
      <c r="T314" s="22"/>
    </row>
    <row r="315" spans="2:20" ht="18" customHeight="1" x14ac:dyDescent="0.25">
      <c r="B315" s="24"/>
      <c r="C315" s="24"/>
      <c r="D315" s="24"/>
      <c r="E315" s="24"/>
      <c r="K315" s="24"/>
      <c r="N315" s="24"/>
      <c r="O315" s="24"/>
      <c r="P315" s="273"/>
      <c r="T315" s="22"/>
    </row>
    <row r="316" spans="2:20" ht="18" customHeight="1" x14ac:dyDescent="0.25">
      <c r="B316" s="24"/>
      <c r="C316" s="24"/>
      <c r="D316" s="24"/>
      <c r="E316" s="24"/>
      <c r="K316" s="24"/>
      <c r="N316" s="24"/>
      <c r="O316" s="24"/>
      <c r="P316" s="273"/>
      <c r="T316" s="22"/>
    </row>
    <row r="317" spans="2:20" ht="18" customHeight="1" x14ac:dyDescent="0.25">
      <c r="B317" s="24"/>
      <c r="C317" s="24"/>
      <c r="D317" s="24"/>
      <c r="E317" s="24"/>
      <c r="K317" s="24"/>
      <c r="N317" s="24"/>
      <c r="O317" s="24"/>
      <c r="P317" s="273"/>
      <c r="T317" s="22"/>
    </row>
    <row r="318" spans="2:20" ht="18" customHeight="1" x14ac:dyDescent="0.25">
      <c r="B318" s="24"/>
      <c r="C318" s="24"/>
      <c r="D318" s="24"/>
      <c r="E318" s="24"/>
      <c r="K318" s="24"/>
      <c r="N318" s="24"/>
      <c r="O318" s="24"/>
      <c r="P318" s="273"/>
      <c r="T318" s="22"/>
    </row>
    <row r="319" spans="2:20" ht="18" customHeight="1" x14ac:dyDescent="0.25">
      <c r="B319" s="24"/>
      <c r="C319" s="24"/>
      <c r="D319" s="24"/>
      <c r="E319" s="24"/>
      <c r="K319" s="24"/>
      <c r="N319" s="24"/>
      <c r="O319" s="24"/>
      <c r="P319" s="273"/>
      <c r="T319" s="22"/>
    </row>
    <row r="320" spans="2:20" ht="18" customHeight="1" x14ac:dyDescent="0.25">
      <c r="B320" s="24"/>
      <c r="C320" s="24"/>
      <c r="D320" s="24"/>
      <c r="E320" s="24"/>
      <c r="K320" s="24"/>
      <c r="N320" s="24"/>
      <c r="O320" s="24"/>
      <c r="P320" s="273"/>
      <c r="T320" s="22"/>
    </row>
    <row r="321" spans="2:20" ht="18" customHeight="1" x14ac:dyDescent="0.25">
      <c r="B321" s="24"/>
      <c r="C321" s="24"/>
      <c r="D321" s="24"/>
      <c r="E321" s="24"/>
      <c r="K321" s="24"/>
      <c r="N321" s="24"/>
      <c r="O321" s="24"/>
      <c r="P321" s="273"/>
      <c r="T321" s="22"/>
    </row>
    <row r="322" spans="2:20" ht="18" customHeight="1" x14ac:dyDescent="0.25">
      <c r="B322" s="24"/>
      <c r="C322" s="24"/>
      <c r="D322" s="24"/>
      <c r="E322" s="24"/>
      <c r="K322" s="24"/>
      <c r="N322" s="24"/>
      <c r="O322" s="24"/>
      <c r="P322" s="273"/>
      <c r="T322" s="22"/>
    </row>
    <row r="323" spans="2:20" ht="18" customHeight="1" x14ac:dyDescent="0.25">
      <c r="B323" s="24"/>
      <c r="C323" s="24"/>
      <c r="D323" s="24"/>
      <c r="E323" s="24"/>
      <c r="K323" s="24"/>
      <c r="N323" s="24"/>
      <c r="O323" s="24"/>
      <c r="P323" s="273"/>
      <c r="T323" s="22"/>
    </row>
    <row r="324" spans="2:20" ht="18" customHeight="1" x14ac:dyDescent="0.25">
      <c r="B324" s="24"/>
      <c r="C324" s="24"/>
      <c r="D324" s="24"/>
      <c r="E324" s="24"/>
      <c r="K324" s="24"/>
      <c r="N324" s="24"/>
      <c r="O324" s="24"/>
      <c r="P324" s="273"/>
      <c r="T324" s="22"/>
    </row>
    <row r="325" spans="2:20" ht="18" customHeight="1" x14ac:dyDescent="0.25">
      <c r="B325" s="24"/>
      <c r="C325" s="24"/>
      <c r="D325" s="24"/>
      <c r="E325" s="24"/>
      <c r="K325" s="24"/>
      <c r="N325" s="24"/>
      <c r="O325" s="24"/>
      <c r="P325" s="273"/>
      <c r="T325" s="22"/>
    </row>
    <row r="326" spans="2:20" ht="18" customHeight="1" x14ac:dyDescent="0.25">
      <c r="B326" s="24"/>
      <c r="C326" s="24"/>
      <c r="D326" s="24"/>
      <c r="E326" s="24"/>
      <c r="K326" s="24"/>
      <c r="N326" s="24"/>
      <c r="O326" s="24"/>
      <c r="P326" s="273"/>
      <c r="T326" s="22"/>
    </row>
    <row r="327" spans="2:20" ht="18" customHeight="1" x14ac:dyDescent="0.25">
      <c r="B327" s="24"/>
      <c r="C327" s="24"/>
      <c r="D327" s="24"/>
      <c r="E327" s="24"/>
      <c r="K327" s="24"/>
      <c r="N327" s="24"/>
      <c r="O327" s="24"/>
      <c r="P327" s="273"/>
      <c r="T327" s="22"/>
    </row>
    <row r="328" spans="2:20" ht="18" customHeight="1" x14ac:dyDescent="0.25">
      <c r="B328" s="24"/>
      <c r="C328" s="24"/>
      <c r="D328" s="24"/>
      <c r="E328" s="24"/>
      <c r="K328" s="24"/>
      <c r="N328" s="24"/>
      <c r="O328" s="24"/>
      <c r="P328" s="273"/>
      <c r="T328" s="22"/>
    </row>
    <row r="329" spans="2:20" ht="18" customHeight="1" x14ac:dyDescent="0.25">
      <c r="B329" s="24"/>
      <c r="C329" s="24"/>
      <c r="D329" s="24"/>
      <c r="E329" s="24"/>
      <c r="K329" s="24"/>
      <c r="N329" s="24"/>
      <c r="O329" s="24"/>
      <c r="P329" s="273"/>
      <c r="T329" s="22"/>
    </row>
    <row r="330" spans="2:20" ht="18" customHeight="1" x14ac:dyDescent="0.25">
      <c r="B330" s="24"/>
      <c r="C330" s="24"/>
      <c r="D330" s="24"/>
      <c r="E330" s="24"/>
      <c r="K330" s="24"/>
      <c r="N330" s="24"/>
      <c r="O330" s="24"/>
      <c r="P330" s="273"/>
      <c r="T330" s="22"/>
    </row>
    <row r="331" spans="2:20" ht="18" customHeight="1" x14ac:dyDescent="0.25">
      <c r="B331" s="24"/>
      <c r="C331" s="24"/>
      <c r="D331" s="24"/>
      <c r="E331" s="24"/>
      <c r="K331" s="24"/>
      <c r="N331" s="24"/>
      <c r="O331" s="24"/>
      <c r="P331" s="273"/>
      <c r="T331" s="22"/>
    </row>
    <row r="332" spans="2:20" ht="18" customHeight="1" x14ac:dyDescent="0.25">
      <c r="B332" s="24"/>
      <c r="C332" s="24"/>
      <c r="D332" s="24"/>
      <c r="E332" s="24"/>
      <c r="K332" s="24"/>
      <c r="N332" s="24"/>
      <c r="O332" s="24"/>
      <c r="P332" s="273"/>
      <c r="T332" s="22"/>
    </row>
    <row r="333" spans="2:20" ht="18" customHeight="1" x14ac:dyDescent="0.25">
      <c r="B333" s="24"/>
      <c r="C333" s="24"/>
      <c r="D333" s="24"/>
      <c r="E333" s="24"/>
      <c r="K333" s="24"/>
      <c r="N333" s="24"/>
      <c r="O333" s="24"/>
      <c r="P333" s="273"/>
      <c r="T333" s="22"/>
    </row>
    <row r="334" spans="2:20" ht="18" customHeight="1" x14ac:dyDescent="0.25">
      <c r="B334" s="24"/>
      <c r="C334" s="24"/>
      <c r="D334" s="24"/>
      <c r="E334" s="24"/>
      <c r="K334" s="24"/>
      <c r="N334" s="24"/>
      <c r="O334" s="24"/>
      <c r="P334" s="273"/>
      <c r="T334" s="22"/>
    </row>
    <row r="335" spans="2:20" ht="18" customHeight="1" x14ac:dyDescent="0.25">
      <c r="B335" s="24"/>
      <c r="C335" s="24"/>
      <c r="D335" s="24"/>
      <c r="E335" s="24"/>
      <c r="K335" s="24"/>
      <c r="N335" s="24"/>
      <c r="O335" s="24"/>
      <c r="P335" s="273"/>
      <c r="T335" s="22"/>
    </row>
    <row r="336" spans="2:20" ht="18" customHeight="1" x14ac:dyDescent="0.25">
      <c r="B336" s="24"/>
      <c r="C336" s="24"/>
      <c r="D336" s="24"/>
      <c r="E336" s="24"/>
      <c r="K336" s="24"/>
      <c r="N336" s="24"/>
      <c r="O336" s="24"/>
      <c r="P336" s="273"/>
      <c r="T336" s="22"/>
    </row>
    <row r="337" spans="2:31" ht="18" customHeight="1" x14ac:dyDescent="0.25">
      <c r="B337" s="24"/>
      <c r="C337" s="24"/>
      <c r="D337" s="24"/>
      <c r="E337" s="24"/>
      <c r="K337" s="24"/>
      <c r="N337" s="24"/>
      <c r="O337" s="24"/>
      <c r="P337" s="273"/>
      <c r="T337" s="22"/>
    </row>
    <row r="338" spans="2:31" ht="18" customHeight="1" x14ac:dyDescent="0.25">
      <c r="B338" s="24"/>
      <c r="C338" s="24"/>
      <c r="D338" s="24"/>
      <c r="E338" s="24"/>
      <c r="K338" s="24"/>
      <c r="N338" s="24"/>
      <c r="O338" s="24"/>
      <c r="P338" s="273"/>
      <c r="T338" s="22"/>
    </row>
    <row r="339" spans="2:31" ht="18" customHeight="1" x14ac:dyDescent="0.25">
      <c r="B339" s="24"/>
      <c r="C339" s="24"/>
      <c r="D339" s="24"/>
      <c r="E339" s="24"/>
      <c r="K339" s="24"/>
      <c r="N339" s="24"/>
      <c r="O339" s="24"/>
      <c r="P339" s="273"/>
      <c r="T339" s="22"/>
    </row>
    <row r="340" spans="2:31" ht="18" customHeight="1" x14ac:dyDescent="0.25">
      <c r="B340" s="24"/>
      <c r="C340" s="24"/>
      <c r="D340" s="24"/>
      <c r="E340" s="24"/>
      <c r="K340" s="24"/>
      <c r="N340" s="24"/>
      <c r="O340" s="24"/>
      <c r="P340" s="273"/>
      <c r="T340" s="22"/>
      <c r="AE340" s="22"/>
    </row>
    <row r="341" spans="2:31" ht="18" customHeight="1" x14ac:dyDescent="0.25">
      <c r="B341" s="24"/>
      <c r="C341" s="24"/>
      <c r="D341" s="24"/>
      <c r="E341" s="24"/>
      <c r="K341" s="24"/>
      <c r="N341" s="24"/>
      <c r="O341" s="24"/>
      <c r="P341" s="273"/>
      <c r="T341" s="22"/>
      <c r="AE341" s="22"/>
    </row>
    <row r="342" spans="2:31" ht="18" customHeight="1" x14ac:dyDescent="0.25">
      <c r="B342" s="24"/>
      <c r="C342" s="24"/>
      <c r="D342" s="24"/>
      <c r="E342" s="24"/>
      <c r="K342" s="24"/>
      <c r="N342" s="24"/>
      <c r="O342" s="24"/>
      <c r="P342" s="273"/>
      <c r="T342" s="22"/>
      <c r="AE342" s="22"/>
    </row>
    <row r="343" spans="2:31" ht="18" customHeight="1" x14ac:dyDescent="0.25">
      <c r="B343" s="24"/>
      <c r="C343" s="24"/>
      <c r="D343" s="24"/>
      <c r="E343" s="24"/>
      <c r="K343" s="24"/>
      <c r="N343" s="24"/>
      <c r="O343" s="24"/>
      <c r="P343" s="273"/>
      <c r="T343" s="22"/>
      <c r="AE343" s="22"/>
    </row>
    <row r="344" spans="2:31" ht="18" customHeight="1" x14ac:dyDescent="0.25">
      <c r="B344" s="24"/>
      <c r="C344" s="24"/>
      <c r="D344" s="24"/>
      <c r="E344" s="24"/>
      <c r="K344" s="24"/>
      <c r="N344" s="24"/>
      <c r="O344" s="24"/>
      <c r="P344" s="273"/>
      <c r="T344" s="22"/>
      <c r="AE344" s="22"/>
    </row>
    <row r="345" spans="2:31" ht="18" customHeight="1" x14ac:dyDescent="0.25">
      <c r="B345" s="24"/>
      <c r="C345" s="24"/>
      <c r="D345" s="24"/>
      <c r="E345" s="24"/>
      <c r="K345" s="24"/>
      <c r="N345" s="24"/>
      <c r="O345" s="24"/>
      <c r="P345" s="273"/>
      <c r="T345" s="22"/>
      <c r="AE345" s="22"/>
    </row>
    <row r="346" spans="2:31" ht="18" customHeight="1" x14ac:dyDescent="0.25">
      <c r="B346" s="24"/>
      <c r="C346" s="24"/>
      <c r="D346" s="24"/>
      <c r="E346" s="24"/>
      <c r="K346" s="24"/>
      <c r="N346" s="24"/>
      <c r="O346" s="24"/>
      <c r="P346" s="273"/>
      <c r="T346" s="22"/>
      <c r="AE346" s="22"/>
    </row>
    <row r="347" spans="2:31" ht="18" customHeight="1" x14ac:dyDescent="0.25">
      <c r="B347" s="24"/>
      <c r="C347" s="24"/>
      <c r="D347" s="24"/>
      <c r="E347" s="24"/>
      <c r="K347" s="24"/>
      <c r="N347" s="24"/>
      <c r="O347" s="24"/>
      <c r="P347" s="273"/>
      <c r="T347" s="22"/>
      <c r="AE347" s="22"/>
    </row>
    <row r="348" spans="2:31" ht="18" customHeight="1" x14ac:dyDescent="0.25">
      <c r="B348" s="24"/>
      <c r="C348" s="24"/>
      <c r="D348" s="24"/>
      <c r="E348" s="24"/>
      <c r="K348" s="24"/>
      <c r="N348" s="24"/>
      <c r="O348" s="24"/>
      <c r="P348" s="273"/>
      <c r="T348" s="22"/>
      <c r="AE348" s="22"/>
    </row>
    <row r="349" spans="2:31" ht="18" customHeight="1" x14ac:dyDescent="0.25">
      <c r="B349" s="24"/>
      <c r="C349" s="24"/>
      <c r="D349" s="24"/>
      <c r="E349" s="24"/>
      <c r="K349" s="24"/>
      <c r="N349" s="24"/>
      <c r="O349" s="24"/>
      <c r="P349" s="273"/>
      <c r="T349" s="22"/>
      <c r="AE349" s="22"/>
    </row>
    <row r="350" spans="2:31" ht="18" customHeight="1" x14ac:dyDescent="0.25">
      <c r="B350" s="24"/>
      <c r="C350" s="24"/>
      <c r="D350" s="24"/>
      <c r="E350" s="24"/>
      <c r="K350" s="24"/>
      <c r="N350" s="24"/>
      <c r="O350" s="24"/>
      <c r="P350" s="273"/>
      <c r="T350" s="22"/>
      <c r="AE350" s="22"/>
    </row>
    <row r="351" spans="2:31" ht="18" customHeight="1" x14ac:dyDescent="0.25">
      <c r="B351" s="24"/>
      <c r="C351" s="24"/>
      <c r="D351" s="24"/>
      <c r="E351" s="24"/>
      <c r="K351" s="24"/>
      <c r="N351" s="24"/>
      <c r="O351" s="24"/>
      <c r="P351" s="273"/>
      <c r="T351" s="22"/>
      <c r="AE351" s="22"/>
    </row>
    <row r="352" spans="2:31" ht="18" customHeight="1" x14ac:dyDescent="0.25">
      <c r="B352" s="24"/>
      <c r="C352" s="24"/>
      <c r="D352" s="24"/>
      <c r="E352" s="24"/>
      <c r="K352" s="24"/>
      <c r="N352" s="24"/>
      <c r="O352" s="24"/>
      <c r="P352" s="273"/>
      <c r="T352" s="22"/>
      <c r="AE352" s="22"/>
    </row>
    <row r="353" spans="2:31" ht="18" customHeight="1" x14ac:dyDescent="0.25">
      <c r="B353" s="24"/>
      <c r="C353" s="24"/>
      <c r="D353" s="24"/>
      <c r="E353" s="24"/>
      <c r="K353" s="24"/>
      <c r="N353" s="24"/>
      <c r="O353" s="24"/>
      <c r="P353" s="273"/>
      <c r="T353" s="22"/>
      <c r="AE353" s="22"/>
    </row>
    <row r="354" spans="2:31" ht="18" customHeight="1" x14ac:dyDescent="0.25">
      <c r="B354" s="24"/>
      <c r="C354" s="24"/>
      <c r="D354" s="24"/>
      <c r="E354" s="24"/>
      <c r="K354" s="24"/>
      <c r="N354" s="24"/>
      <c r="O354" s="24"/>
      <c r="P354" s="273"/>
      <c r="T354" s="22"/>
      <c r="AE354" s="22"/>
    </row>
    <row r="355" spans="2:31" ht="18" customHeight="1" x14ac:dyDescent="0.25">
      <c r="B355" s="24"/>
      <c r="C355" s="24"/>
      <c r="D355" s="24"/>
      <c r="E355" s="24"/>
      <c r="K355" s="24"/>
      <c r="N355" s="24"/>
      <c r="O355" s="24"/>
      <c r="P355" s="273"/>
      <c r="T355" s="22"/>
      <c r="AE355" s="22"/>
    </row>
    <row r="356" spans="2:31" ht="18" customHeight="1" x14ac:dyDescent="0.25">
      <c r="B356" s="24"/>
      <c r="C356" s="24"/>
      <c r="D356" s="24"/>
      <c r="E356" s="24"/>
      <c r="K356" s="24"/>
      <c r="N356" s="24"/>
      <c r="O356" s="24"/>
      <c r="P356" s="273"/>
      <c r="T356" s="22"/>
      <c r="AE356" s="22"/>
    </row>
    <row r="357" spans="2:31" x14ac:dyDescent="0.25">
      <c r="B357" s="24"/>
      <c r="C357" s="24"/>
      <c r="D357" s="24"/>
      <c r="E357" s="24"/>
      <c r="K357" s="24"/>
      <c r="N357" s="24"/>
      <c r="O357" s="24"/>
      <c r="P357" s="273"/>
      <c r="T357" s="22"/>
      <c r="AE357" s="22"/>
    </row>
    <row r="358" spans="2:31" x14ac:dyDescent="0.25">
      <c r="B358" s="24"/>
      <c r="C358" s="24"/>
      <c r="D358" s="24"/>
      <c r="E358" s="24"/>
      <c r="K358" s="24"/>
      <c r="N358" s="24"/>
      <c r="O358" s="24"/>
      <c r="P358" s="273"/>
      <c r="T358" s="22"/>
      <c r="AE358" s="22"/>
    </row>
    <row r="359" spans="2:31" x14ac:dyDescent="0.25">
      <c r="B359" s="24"/>
      <c r="C359" s="24"/>
      <c r="D359" s="24"/>
      <c r="E359" s="24"/>
      <c r="K359" s="24"/>
      <c r="N359" s="24"/>
      <c r="O359" s="24"/>
      <c r="P359" s="273"/>
    </row>
    <row r="360" spans="2:31" x14ac:dyDescent="0.25">
      <c r="B360" s="24"/>
      <c r="C360" s="24"/>
      <c r="D360" s="24"/>
      <c r="E360" s="24"/>
      <c r="K360" s="24"/>
      <c r="N360" s="24"/>
      <c r="O360" s="24"/>
      <c r="P360" s="273"/>
    </row>
    <row r="361" spans="2:31" x14ac:dyDescent="0.25">
      <c r="B361" s="24"/>
      <c r="C361" s="24"/>
      <c r="D361" s="24"/>
      <c r="E361" s="24"/>
      <c r="K361" s="24"/>
      <c r="N361" s="24"/>
      <c r="O361" s="24"/>
      <c r="P361" s="273"/>
    </row>
    <row r="362" spans="2:31" x14ac:dyDescent="0.25">
      <c r="B362" s="24"/>
      <c r="C362" s="24"/>
      <c r="D362" s="24"/>
      <c r="E362" s="24"/>
      <c r="K362" s="24"/>
      <c r="N362" s="24"/>
      <c r="O362" s="24"/>
      <c r="P362" s="273"/>
    </row>
    <row r="363" spans="2:31" x14ac:dyDescent="0.25">
      <c r="B363" s="24"/>
      <c r="C363" s="24"/>
      <c r="D363" s="24"/>
      <c r="E363" s="24"/>
      <c r="K363" s="24"/>
      <c r="N363" s="24"/>
      <c r="O363" s="24"/>
      <c r="P363" s="273"/>
    </row>
    <row r="364" spans="2:31" x14ac:dyDescent="0.25">
      <c r="B364" s="24"/>
      <c r="C364" s="24"/>
      <c r="D364" s="24"/>
      <c r="E364" s="24"/>
      <c r="K364" s="24"/>
      <c r="N364" s="24"/>
      <c r="O364" s="24"/>
      <c r="P364" s="273"/>
    </row>
    <row r="365" spans="2:31" x14ac:dyDescent="0.25">
      <c r="B365" s="24"/>
      <c r="C365" s="24"/>
      <c r="D365" s="24"/>
      <c r="E365" s="24"/>
      <c r="K365" s="24"/>
      <c r="N365" s="24"/>
      <c r="O365" s="24"/>
      <c r="P365" s="273"/>
    </row>
    <row r="366" spans="2:31" x14ac:dyDescent="0.25">
      <c r="B366" s="24"/>
      <c r="C366" s="24"/>
      <c r="D366" s="24"/>
      <c r="E366" s="24"/>
      <c r="K366" s="24"/>
      <c r="N366" s="24"/>
      <c r="O366" s="24"/>
      <c r="P366" s="273"/>
    </row>
    <row r="367" spans="2:31" x14ac:dyDescent="0.25">
      <c r="B367" s="24"/>
      <c r="C367" s="24"/>
      <c r="D367" s="24"/>
      <c r="E367" s="24"/>
      <c r="K367" s="24"/>
      <c r="N367" s="24"/>
      <c r="O367" s="24"/>
      <c r="P367" s="273"/>
    </row>
    <row r="368" spans="2:31" x14ac:dyDescent="0.25">
      <c r="B368" s="24"/>
      <c r="C368" s="24"/>
      <c r="D368" s="24"/>
      <c r="E368" s="24"/>
      <c r="K368" s="24"/>
      <c r="N368" s="24"/>
      <c r="O368" s="24"/>
      <c r="P368" s="273"/>
    </row>
    <row r="369" spans="2:16" x14ac:dyDescent="0.25">
      <c r="B369" s="24"/>
      <c r="C369" s="24"/>
      <c r="D369" s="24"/>
      <c r="E369" s="24"/>
      <c r="K369" s="24"/>
      <c r="N369" s="24"/>
      <c r="O369" s="24"/>
      <c r="P369" s="273"/>
    </row>
    <row r="370" spans="2:16" x14ac:dyDescent="0.25">
      <c r="B370" s="24"/>
      <c r="C370" s="24"/>
      <c r="D370" s="24"/>
      <c r="E370" s="24"/>
      <c r="K370" s="24"/>
      <c r="N370" s="24"/>
      <c r="O370" s="24"/>
      <c r="P370" s="273"/>
    </row>
    <row r="371" spans="2:16" x14ac:dyDescent="0.25">
      <c r="B371" s="24"/>
      <c r="C371" s="24"/>
      <c r="D371" s="24"/>
      <c r="E371" s="24"/>
      <c r="K371" s="24"/>
      <c r="N371" s="24"/>
      <c r="O371" s="24"/>
      <c r="P371" s="273"/>
    </row>
    <row r="372" spans="2:16" x14ac:dyDescent="0.25">
      <c r="B372" s="24"/>
      <c r="C372" s="24"/>
      <c r="D372" s="24"/>
      <c r="E372" s="24"/>
      <c r="K372" s="24"/>
      <c r="N372" s="24"/>
      <c r="O372" s="24"/>
      <c r="P372" s="273"/>
    </row>
    <row r="373" spans="2:16" x14ac:dyDescent="0.25">
      <c r="B373" s="24"/>
      <c r="C373" s="24"/>
      <c r="D373" s="24"/>
      <c r="E373" s="24"/>
      <c r="K373" s="24"/>
      <c r="N373" s="24"/>
      <c r="O373" s="24"/>
      <c r="P373" s="273"/>
    </row>
    <row r="374" spans="2:16" x14ac:dyDescent="0.25">
      <c r="B374" s="24"/>
      <c r="C374" s="24"/>
      <c r="D374" s="24"/>
      <c r="E374" s="24"/>
      <c r="K374" s="24"/>
      <c r="N374" s="24"/>
      <c r="O374" s="24"/>
      <c r="P374" s="273"/>
    </row>
    <row r="375" spans="2:16" x14ac:dyDescent="0.25">
      <c r="B375" s="24"/>
      <c r="C375" s="24"/>
      <c r="D375" s="24"/>
      <c r="E375" s="24"/>
      <c r="K375" s="24"/>
      <c r="N375" s="24"/>
      <c r="O375" s="24"/>
      <c r="P375" s="273"/>
    </row>
    <row r="376" spans="2:16" x14ac:dyDescent="0.25">
      <c r="B376" s="24"/>
      <c r="C376" s="24"/>
      <c r="D376" s="24"/>
      <c r="E376" s="24"/>
      <c r="K376" s="24"/>
      <c r="N376" s="24"/>
      <c r="O376" s="24"/>
      <c r="P376" s="273"/>
    </row>
    <row r="377" spans="2:16" x14ac:dyDescent="0.25">
      <c r="B377" s="24"/>
      <c r="C377" s="24"/>
      <c r="D377" s="24"/>
      <c r="E377" s="24"/>
      <c r="K377" s="24"/>
      <c r="N377" s="24"/>
      <c r="O377" s="24"/>
      <c r="P377" s="273"/>
    </row>
    <row r="378" spans="2:16" x14ac:dyDescent="0.25">
      <c r="B378" s="24"/>
      <c r="C378" s="24"/>
      <c r="D378" s="24"/>
      <c r="E378" s="24"/>
      <c r="K378" s="24"/>
      <c r="N378" s="24"/>
      <c r="O378" s="24"/>
      <c r="P378" s="273"/>
    </row>
    <row r="379" spans="2:16" x14ac:dyDescent="0.25">
      <c r="B379" s="24"/>
      <c r="C379" s="24"/>
      <c r="D379" s="24"/>
      <c r="E379" s="24"/>
      <c r="K379" s="24"/>
      <c r="N379" s="24"/>
      <c r="O379" s="24"/>
      <c r="P379" s="273"/>
    </row>
    <row r="380" spans="2:16" x14ac:dyDescent="0.25">
      <c r="B380" s="24"/>
      <c r="C380" s="24"/>
      <c r="D380" s="24"/>
      <c r="E380" s="24"/>
      <c r="K380" s="24"/>
      <c r="N380" s="24"/>
      <c r="O380" s="24"/>
      <c r="P380" s="273"/>
    </row>
    <row r="381" spans="2:16" x14ac:dyDescent="0.25">
      <c r="B381" s="24"/>
      <c r="C381" s="24"/>
      <c r="D381" s="24"/>
      <c r="E381" s="24"/>
      <c r="K381" s="24"/>
      <c r="N381" s="24"/>
      <c r="O381" s="24"/>
      <c r="P381" s="273"/>
    </row>
    <row r="382" spans="2:16" x14ac:dyDescent="0.25">
      <c r="B382" s="24"/>
      <c r="C382" s="24"/>
      <c r="D382" s="24"/>
      <c r="E382" s="24"/>
      <c r="K382" s="24"/>
      <c r="N382" s="24"/>
      <c r="O382" s="24"/>
      <c r="P382" s="273"/>
    </row>
    <row r="383" spans="2:16" x14ac:dyDescent="0.25">
      <c r="B383" s="24"/>
      <c r="C383" s="24"/>
      <c r="D383" s="24"/>
      <c r="E383" s="24"/>
      <c r="K383" s="24"/>
      <c r="N383" s="24"/>
      <c r="O383" s="24"/>
      <c r="P383" s="273"/>
    </row>
    <row r="384" spans="2:16" x14ac:dyDescent="0.25">
      <c r="B384" s="24"/>
      <c r="C384" s="24"/>
      <c r="D384" s="24"/>
      <c r="E384" s="24"/>
      <c r="K384" s="24"/>
      <c r="N384" s="24"/>
      <c r="O384" s="24"/>
      <c r="P384" s="273"/>
    </row>
    <row r="385" spans="2:16" x14ac:dyDescent="0.25">
      <c r="B385" s="24"/>
      <c r="C385" s="24"/>
      <c r="D385" s="24"/>
      <c r="E385" s="24"/>
      <c r="K385" s="24"/>
      <c r="N385" s="24"/>
      <c r="O385" s="24"/>
      <c r="P385" s="273"/>
    </row>
    <row r="386" spans="2:16" x14ac:dyDescent="0.25">
      <c r="B386" s="24"/>
      <c r="C386" s="24"/>
      <c r="D386" s="24"/>
      <c r="E386" s="24"/>
      <c r="K386" s="24"/>
      <c r="N386" s="24"/>
      <c r="O386" s="24"/>
      <c r="P386" s="273"/>
    </row>
    <row r="387" spans="2:16" x14ac:dyDescent="0.25">
      <c r="B387" s="24"/>
      <c r="C387" s="24"/>
      <c r="D387" s="24"/>
      <c r="E387" s="24"/>
      <c r="K387" s="24"/>
      <c r="N387" s="24"/>
      <c r="O387" s="24"/>
      <c r="P387" s="273"/>
    </row>
    <row r="388" spans="2:16" x14ac:dyDescent="0.25">
      <c r="B388" s="24"/>
      <c r="C388" s="24"/>
      <c r="D388" s="24"/>
      <c r="E388" s="24"/>
      <c r="K388" s="24"/>
      <c r="N388" s="24"/>
      <c r="O388" s="24"/>
      <c r="P388" s="273"/>
    </row>
    <row r="389" spans="2:16" x14ac:dyDescent="0.25">
      <c r="B389" s="24"/>
      <c r="C389" s="24"/>
      <c r="D389" s="24"/>
      <c r="E389" s="24"/>
      <c r="K389" s="24"/>
      <c r="N389" s="24"/>
      <c r="O389" s="24"/>
      <c r="P389" s="273"/>
    </row>
    <row r="390" spans="2:16" x14ac:dyDescent="0.25">
      <c r="B390" s="24"/>
      <c r="C390" s="24"/>
      <c r="D390" s="24"/>
      <c r="E390" s="24"/>
      <c r="K390" s="24"/>
      <c r="N390" s="24"/>
      <c r="O390" s="24"/>
      <c r="P390" s="273"/>
    </row>
    <row r="391" spans="2:16" x14ac:dyDescent="0.25">
      <c r="B391" s="24"/>
      <c r="C391" s="24"/>
      <c r="D391" s="24"/>
      <c r="E391" s="24"/>
      <c r="K391" s="24"/>
      <c r="N391" s="24"/>
      <c r="O391" s="24"/>
      <c r="P391" s="273"/>
    </row>
    <row r="392" spans="2:16" x14ac:dyDescent="0.25">
      <c r="B392" s="24"/>
      <c r="C392" s="24"/>
      <c r="D392" s="24"/>
      <c r="E392" s="24"/>
      <c r="K392" s="24"/>
      <c r="N392" s="24"/>
      <c r="O392" s="24"/>
      <c r="P392" s="273"/>
    </row>
    <row r="393" spans="2:16" x14ac:dyDescent="0.25">
      <c r="B393" s="24"/>
      <c r="C393" s="24"/>
      <c r="D393" s="24"/>
      <c r="E393" s="24"/>
      <c r="K393" s="24"/>
      <c r="N393" s="24"/>
      <c r="O393" s="24"/>
      <c r="P393" s="273"/>
    </row>
    <row r="394" spans="2:16" x14ac:dyDescent="0.25">
      <c r="B394" s="24"/>
      <c r="C394" s="24"/>
      <c r="D394" s="24"/>
      <c r="E394" s="24"/>
      <c r="K394" s="24"/>
    </row>
    <row r="395" spans="2:16" x14ac:dyDescent="0.25">
      <c r="B395" s="24"/>
      <c r="C395" s="24"/>
      <c r="D395" s="24"/>
      <c r="E395" s="24"/>
      <c r="K395" s="24"/>
    </row>
    <row r="396" spans="2:16" x14ac:dyDescent="0.25">
      <c r="B396" s="24"/>
      <c r="C396" s="24"/>
      <c r="D396" s="24"/>
      <c r="E396" s="24"/>
      <c r="K396" s="24"/>
    </row>
    <row r="397" spans="2:16" x14ac:dyDescent="0.25">
      <c r="B397" s="24"/>
      <c r="C397" s="24"/>
      <c r="D397" s="24"/>
      <c r="E397" s="24"/>
      <c r="K397" s="24"/>
    </row>
    <row r="398" spans="2:16" x14ac:dyDescent="0.25">
      <c r="B398" s="24"/>
      <c r="C398" s="24"/>
      <c r="D398" s="24"/>
      <c r="E398" s="24"/>
      <c r="K398" s="24"/>
    </row>
    <row r="399" spans="2:16" x14ac:dyDescent="0.25">
      <c r="B399" s="24"/>
      <c r="C399" s="24"/>
      <c r="D399" s="24"/>
      <c r="E399" s="24"/>
      <c r="K399" s="24"/>
    </row>
  </sheetData>
  <phoneticPr fontId="2"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B471"/>
  <sheetViews>
    <sheetView zoomScale="70" zoomScaleNormal="70" workbookViewId="0">
      <selection activeCell="A4" sqref="A4"/>
    </sheetView>
  </sheetViews>
  <sheetFormatPr defaultRowHeight="15" x14ac:dyDescent="0.25"/>
  <cols>
    <col min="1" max="1" width="11.7109375" style="16" bestFit="1" customWidth="1"/>
    <col min="2" max="3" width="22.140625" style="17" bestFit="1" customWidth="1"/>
    <col min="4" max="4" width="22" style="17" bestFit="1" customWidth="1"/>
    <col min="5" max="5" width="22" bestFit="1" customWidth="1"/>
    <col min="6" max="8" width="17.42578125" bestFit="1" customWidth="1"/>
    <col min="9" max="10" width="17.42578125" style="267" bestFit="1" customWidth="1"/>
    <col min="11" max="11" width="17.42578125" bestFit="1" customWidth="1"/>
    <col min="12" max="12" width="21.7109375" bestFit="1" customWidth="1"/>
    <col min="13" max="14" width="23" bestFit="1" customWidth="1"/>
    <col min="15" max="15" width="21.42578125" style="267" bestFit="1" customWidth="1"/>
    <col min="16" max="18" width="17.28515625" style="267" bestFit="1" customWidth="1"/>
    <col min="19" max="20" width="20.140625" style="591" bestFit="1" customWidth="1"/>
    <col min="21" max="21" width="20.140625" bestFit="1" customWidth="1"/>
    <col min="22" max="28" width="20.140625" style="743" customWidth="1"/>
    <col min="29" max="29" width="8.140625" bestFit="1" customWidth="1"/>
    <col min="30" max="31" width="22.140625" bestFit="1" customWidth="1"/>
    <col min="32" max="33" width="22" bestFit="1" customWidth="1"/>
    <col min="34" max="34" width="17.42578125" bestFit="1" customWidth="1"/>
    <col min="35" max="36" width="17.42578125" style="267" bestFit="1" customWidth="1"/>
    <col min="37" max="39" width="23.140625" bestFit="1" customWidth="1"/>
    <col min="40" max="40" width="21.7109375" bestFit="1" customWidth="1"/>
    <col min="41" max="41" width="23" bestFit="1" customWidth="1"/>
    <col min="42" max="42" width="23" style="267" bestFit="1" customWidth="1"/>
    <col min="43" max="43" width="21.42578125" style="267" bestFit="1" customWidth="1"/>
    <col min="44" max="46" width="23" bestFit="1" customWidth="1"/>
    <col min="47" max="47" width="20.140625" bestFit="1" customWidth="1"/>
    <col min="48" max="48" width="12.5703125" bestFit="1" customWidth="1"/>
    <col min="49" max="49" width="18.85546875" style="591" bestFit="1" customWidth="1"/>
    <col min="50" max="57" width="18.85546875" style="743" customWidth="1"/>
    <col min="58" max="58" width="5" bestFit="1" customWidth="1"/>
    <col min="59" max="59" width="9.7109375" bestFit="1" customWidth="1"/>
    <col min="60" max="60" width="2.5703125" bestFit="1" customWidth="1"/>
    <col min="62" max="62" width="5.42578125" bestFit="1" customWidth="1"/>
    <col min="63" max="63" width="7.28515625" bestFit="1" customWidth="1"/>
    <col min="64" max="64" width="2.5703125" bestFit="1" customWidth="1"/>
    <col min="66" max="66" width="5.42578125" bestFit="1" customWidth="1"/>
    <col min="67" max="67" width="9.5703125" bestFit="1" customWidth="1"/>
    <col min="68" max="68" width="2.5703125" bestFit="1" customWidth="1"/>
    <col min="70" max="70" width="5.42578125" bestFit="1" customWidth="1"/>
    <col min="71" max="71" width="7.28515625" bestFit="1" customWidth="1"/>
    <col min="72" max="72" width="2.5703125" bestFit="1" customWidth="1"/>
    <col min="74" max="74" width="12.85546875" bestFit="1" customWidth="1"/>
    <col min="75" max="76" width="9.140625" style="699"/>
    <col min="79" max="79" width="9.140625" style="699"/>
  </cols>
  <sheetData>
    <row r="1" spans="1:80" x14ac:dyDescent="0.25">
      <c r="A1" s="709"/>
      <c r="B1" s="710" t="s">
        <v>99</v>
      </c>
      <c r="C1" s="710" t="s">
        <v>100</v>
      </c>
      <c r="D1" s="710" t="s">
        <v>101</v>
      </c>
      <c r="E1" s="710" t="s">
        <v>102</v>
      </c>
      <c r="F1" s="710" t="s">
        <v>97</v>
      </c>
      <c r="G1" s="710" t="s">
        <v>104</v>
      </c>
      <c r="H1" s="710" t="s">
        <v>103</v>
      </c>
      <c r="I1" s="710" t="s">
        <v>179</v>
      </c>
      <c r="J1" s="710" t="s">
        <v>200</v>
      </c>
      <c r="K1" s="710" t="s">
        <v>207</v>
      </c>
      <c r="L1" s="710" t="s">
        <v>105</v>
      </c>
      <c r="M1" s="710" t="s">
        <v>107</v>
      </c>
      <c r="N1" s="710" t="s">
        <v>98</v>
      </c>
      <c r="O1" s="710" t="s">
        <v>106</v>
      </c>
      <c r="P1" s="710" t="s">
        <v>178</v>
      </c>
      <c r="Q1" s="710" t="s">
        <v>199</v>
      </c>
      <c r="R1" s="710" t="s">
        <v>208</v>
      </c>
      <c r="S1" s="710" t="s">
        <v>182</v>
      </c>
      <c r="T1" s="710" t="s">
        <v>184</v>
      </c>
      <c r="U1" s="710" t="s">
        <v>222</v>
      </c>
      <c r="V1" s="710" t="s">
        <v>223</v>
      </c>
      <c r="W1" s="710" t="s">
        <v>256</v>
      </c>
      <c r="X1" s="710" t="s">
        <v>257</v>
      </c>
      <c r="Y1" s="710" t="s">
        <v>267</v>
      </c>
      <c r="Z1" s="710" t="s">
        <v>268</v>
      </c>
      <c r="AA1" s="710" t="s">
        <v>269</v>
      </c>
      <c r="AB1" s="710" t="s">
        <v>270</v>
      </c>
      <c r="AC1" s="705"/>
      <c r="AD1" s="710" t="s">
        <v>99</v>
      </c>
      <c r="AE1" s="710" t="s">
        <v>100</v>
      </c>
      <c r="AF1" s="710" t="s">
        <v>101</v>
      </c>
      <c r="AG1" s="710" t="s">
        <v>102</v>
      </c>
      <c r="AH1" s="710" t="s">
        <v>97</v>
      </c>
      <c r="AI1" s="710" t="s">
        <v>104</v>
      </c>
      <c r="AJ1" s="710" t="s">
        <v>103</v>
      </c>
      <c r="AK1" s="710" t="s">
        <v>178</v>
      </c>
      <c r="AL1" s="710" t="s">
        <v>200</v>
      </c>
      <c r="AM1" s="710" t="s">
        <v>207</v>
      </c>
      <c r="AN1" s="710" t="s">
        <v>105</v>
      </c>
      <c r="AO1" s="710" t="s">
        <v>107</v>
      </c>
      <c r="AP1" s="710" t="s">
        <v>98</v>
      </c>
      <c r="AQ1" s="710" t="s">
        <v>106</v>
      </c>
      <c r="AR1" s="710" t="s">
        <v>179</v>
      </c>
      <c r="AS1" s="710" t="s">
        <v>199</v>
      </c>
      <c r="AT1" s="710" t="s">
        <v>208</v>
      </c>
      <c r="AU1" s="710" t="s">
        <v>182</v>
      </c>
      <c r="AV1" s="710" t="s">
        <v>184</v>
      </c>
      <c r="AW1" s="710" t="s">
        <v>222</v>
      </c>
      <c r="AX1" s="710" t="s">
        <v>223</v>
      </c>
      <c r="AY1" s="710" t="s">
        <v>256</v>
      </c>
      <c r="AZ1" s="710" t="s">
        <v>257</v>
      </c>
      <c r="BA1" s="710" t="s">
        <v>267</v>
      </c>
      <c r="BB1" s="710" t="s">
        <v>268</v>
      </c>
      <c r="BC1" s="710" t="s">
        <v>269</v>
      </c>
      <c r="BD1" s="710" t="s">
        <v>270</v>
      </c>
      <c r="BF1" s="705"/>
      <c r="BG1" s="705"/>
      <c r="BH1" s="705"/>
      <c r="BI1" s="705"/>
      <c r="BJ1" s="705"/>
      <c r="BK1" s="705"/>
      <c r="BL1" s="705"/>
      <c r="BM1" s="705"/>
      <c r="BN1" s="705"/>
      <c r="BO1" s="705"/>
      <c r="BP1" s="705"/>
      <c r="BQ1" s="705"/>
      <c r="BR1" s="705"/>
      <c r="BS1" s="705"/>
      <c r="BT1" s="705"/>
      <c r="BU1" s="705"/>
      <c r="BV1" s="711"/>
      <c r="BW1" s="712"/>
      <c r="BX1" s="712"/>
      <c r="BY1" s="705"/>
      <c r="BZ1" s="705"/>
      <c r="CA1" s="712"/>
      <c r="CB1" s="705"/>
    </row>
    <row r="2" spans="1:80" s="14" customFormat="1" ht="30.75" customHeight="1" x14ac:dyDescent="0.25">
      <c r="A2" s="713" t="s">
        <v>81</v>
      </c>
      <c r="B2" s="711" t="s">
        <v>14</v>
      </c>
      <c r="C2" s="711" t="s">
        <v>21</v>
      </c>
      <c r="D2" s="711" t="s">
        <v>15</v>
      </c>
      <c r="E2" s="711" t="s">
        <v>16</v>
      </c>
      <c r="F2" s="711" t="s">
        <v>108</v>
      </c>
      <c r="G2" s="711" t="s">
        <v>109</v>
      </c>
      <c r="H2" s="711" t="s">
        <v>110</v>
      </c>
      <c r="I2" s="711" t="s">
        <v>180</v>
      </c>
      <c r="J2" s="711" t="s">
        <v>203</v>
      </c>
      <c r="K2" s="711" t="s">
        <v>211</v>
      </c>
      <c r="L2" s="711" t="s">
        <v>22</v>
      </c>
      <c r="M2" s="711" t="s">
        <v>111</v>
      </c>
      <c r="N2" s="711" t="s">
        <v>112</v>
      </c>
      <c r="O2" s="711" t="s">
        <v>86</v>
      </c>
      <c r="P2" s="711" t="s">
        <v>181</v>
      </c>
      <c r="Q2" s="711" t="s">
        <v>204</v>
      </c>
      <c r="R2" s="711" t="s">
        <v>212</v>
      </c>
      <c r="S2" s="711" t="s">
        <v>185</v>
      </c>
      <c r="T2" s="711" t="s">
        <v>186</v>
      </c>
      <c r="U2" s="711" t="s">
        <v>225</v>
      </c>
      <c r="V2" s="711" t="s">
        <v>224</v>
      </c>
      <c r="W2" s="711" t="s">
        <v>278</v>
      </c>
      <c r="X2" s="711" t="s">
        <v>280</v>
      </c>
      <c r="Y2" s="711" t="s">
        <v>279</v>
      </c>
      <c r="Z2" s="711" t="s">
        <v>281</v>
      </c>
      <c r="AA2" s="711" t="s">
        <v>282</v>
      </c>
      <c r="AB2" s="711" t="s">
        <v>283</v>
      </c>
      <c r="AC2" s="714" t="s">
        <v>80</v>
      </c>
      <c r="AD2" s="711" t="s">
        <v>14</v>
      </c>
      <c r="AE2" s="711" t="s">
        <v>21</v>
      </c>
      <c r="AF2" s="711" t="s">
        <v>15</v>
      </c>
      <c r="AG2" s="711" t="s">
        <v>16</v>
      </c>
      <c r="AH2" s="711" t="s">
        <v>108</v>
      </c>
      <c r="AI2" s="711" t="s">
        <v>109</v>
      </c>
      <c r="AJ2" s="711" t="s">
        <v>110</v>
      </c>
      <c r="AK2" s="711" t="s">
        <v>189</v>
      </c>
      <c r="AL2" s="711" t="s">
        <v>205</v>
      </c>
      <c r="AM2" s="711" t="s">
        <v>213</v>
      </c>
      <c r="AN2" s="711" t="s">
        <v>22</v>
      </c>
      <c r="AO2" s="711" t="s">
        <v>111</v>
      </c>
      <c r="AP2" s="711" t="s">
        <v>112</v>
      </c>
      <c r="AQ2" s="711" t="s">
        <v>86</v>
      </c>
      <c r="AR2" s="711" t="s">
        <v>188</v>
      </c>
      <c r="AS2" s="711" t="s">
        <v>206</v>
      </c>
      <c r="AT2" s="711" t="s">
        <v>214</v>
      </c>
      <c r="AU2" s="711" t="s">
        <v>185</v>
      </c>
      <c r="AV2" s="715" t="s">
        <v>186</v>
      </c>
      <c r="AW2" s="711" t="s">
        <v>225</v>
      </c>
      <c r="AX2" s="711" t="s">
        <v>224</v>
      </c>
      <c r="AY2" s="711" t="s">
        <v>286</v>
      </c>
      <c r="AZ2" s="711" t="s">
        <v>287</v>
      </c>
      <c r="BA2" s="711" t="s">
        <v>288</v>
      </c>
      <c r="BB2" s="711" t="s">
        <v>289</v>
      </c>
      <c r="BC2" s="711" t="s">
        <v>290</v>
      </c>
      <c r="BD2" s="711" t="s">
        <v>292</v>
      </c>
      <c r="BF2" s="705"/>
      <c r="BG2" s="705" t="s">
        <v>5</v>
      </c>
      <c r="BH2" s="705">
        <f>MATCH(BG2,Table!$B:$B,0)</f>
        <v>5</v>
      </c>
      <c r="BI2" s="716"/>
      <c r="BJ2" s="705" t="s">
        <v>96</v>
      </c>
      <c r="BK2" s="705" t="s">
        <v>0</v>
      </c>
      <c r="BL2" s="705">
        <f>MATCH(BK2,Table!$A:$A,0)</f>
        <v>3</v>
      </c>
      <c r="BM2" s="716"/>
      <c r="BN2" s="705" t="s">
        <v>96</v>
      </c>
      <c r="BO2" s="705" t="s">
        <v>4</v>
      </c>
      <c r="BP2" s="705">
        <f>MATCH(BO2,Table!$B:$B,0)</f>
        <v>4</v>
      </c>
      <c r="BQ2" s="716"/>
      <c r="BR2" s="705" t="s">
        <v>96</v>
      </c>
      <c r="BS2" s="705" t="s">
        <v>0</v>
      </c>
      <c r="BT2" s="705">
        <f>MATCH(BS2,Table!$A:$A,0)</f>
        <v>3</v>
      </c>
      <c r="BU2" s="716"/>
      <c r="BV2" s="711" t="s">
        <v>113</v>
      </c>
      <c r="BW2" s="712" t="s">
        <v>227</v>
      </c>
      <c r="BX2" s="712" t="s">
        <v>228</v>
      </c>
      <c r="BY2" s="716" t="s">
        <v>229</v>
      </c>
      <c r="BZ2" s="716" t="s">
        <v>230</v>
      </c>
      <c r="CA2" s="712" t="s">
        <v>247</v>
      </c>
      <c r="CB2" s="716" t="s">
        <v>248</v>
      </c>
    </row>
    <row r="3" spans="1:80" s="743" customFormat="1" x14ac:dyDescent="0.25">
      <c r="A3" s="703">
        <v>41822</v>
      </c>
      <c r="B3" s="709">
        <f ca="1">IF(ISERROR(MATCH(B$1,INDIRECT("Table!A"&amp;$BJ3):INDIRECT("Table!" &amp; $BV$88 &amp; $BJ3),0)),"",INDIRECT(CONCATENATE("Table!",ADDRESS($BF3,MATCH(B$1,INDIRECT("Table!A" &amp; $BJ3):INDIRECT("Table!" &amp; $BV$88 &amp; $BJ3),0)))))/1024</f>
        <v>100.90361328125</v>
      </c>
      <c r="C3" s="709">
        <f ca="1">IF(ISERROR(MATCH(C$1,INDIRECT("Table!A"&amp;$BJ3):INDIRECT("Table!" &amp; $BV$88 &amp; $BJ3),0)),"",INDIRECT(CONCATENATE("Table!",ADDRESS($BF3,MATCH(C$1,INDIRECT("Table!A" &amp; $BJ3):INDIRECT("Table!" &amp; $BV$88 &amp; $BJ3),0)))))/1024</f>
        <v>81.887597656249994</v>
      </c>
      <c r="D3" s="709">
        <f ca="1">IF(ISERROR(MATCH(D$1,INDIRECT("Table!A"&amp;$BJ3):INDIRECT("Table!" &amp; $BV$88 &amp; $BJ3),0)),"",INDIRECT(CONCATENATE("Table!",ADDRESS($BF3,MATCH(D$1,INDIRECT("Table!A" &amp; $BJ3):INDIRECT("Table!" &amp; $BV$88 &amp; $BJ3),0)))))/1024</f>
        <v>82.580078125</v>
      </c>
      <c r="E3" s="709">
        <f ca="1">IF(ISERROR(MATCH(E$1,INDIRECT("Table!A"&amp;$BJ3):INDIRECT("Table!" &amp; $BV$88 &amp; $BJ3),0)),"",INDIRECT(CONCATENATE("Table!",ADDRESS($BF3,MATCH(E$1,INDIRECT("Table!A" &amp; $BJ3):INDIRECT("Table!" &amp; $BV$88 &amp; $BJ3),0)))))/1024</f>
        <v>135.03769531250001</v>
      </c>
      <c r="F3" s="709">
        <f ca="1">IF(ISERROR(MATCH(F$1,INDIRECT("Table!A"&amp;$BJ3):INDIRECT("Table!" &amp; $BV$88 &amp; $BJ3),0)),"",INDIRECT(CONCATENATE("Table!",ADDRESS($BF3,MATCH(F$1,INDIRECT("Table!A" &amp; $BJ3):INDIRECT("Table!" &amp; $BV$88 &amp; $BJ3),0)))))/1024</f>
        <v>113.27988281250001</v>
      </c>
      <c r="G3" s="709">
        <f ca="1">IF(ISERROR(MATCH(G$1,INDIRECT("Table!A"&amp;$BJ3):INDIRECT("Table!" &amp; $BV$88 &amp; $BJ3),0)),"",INDIRECT(CONCATENATE("Table!",ADDRESS($BF3,MATCH(G$1,INDIRECT("Table!A" &amp; $BJ3):INDIRECT("Table!" &amp; $BV$88 &amp; $BJ3),0)))))/1024</f>
        <v>211.29023437500001</v>
      </c>
      <c r="H3" s="709">
        <f ca="1">IF(ISERROR(MATCH(H$1,INDIRECT("Table!A"&amp;$BJ3):INDIRECT("Table!" &amp; $BV$88 &amp; $BJ3),0)),"",INDIRECT(CONCATENATE("Table!",ADDRESS($BF3,MATCH(H$1,INDIRECT("Table!A" &amp; $BJ3):INDIRECT("Table!" &amp; $BV$88 &amp; $BJ3),0)))))/1024</f>
        <v>119.53574218750001</v>
      </c>
      <c r="I3" s="709">
        <f ca="1">IF(ISERROR(MATCH(I$1,INDIRECT("Table!A"&amp;$BJ3):INDIRECT("Table!" &amp; $BV$88 &amp; $BJ3),0)),"",INDIRECT(CONCATENATE("Table!",ADDRESS($BF3,MATCH(I$1,INDIRECT("Table!A" &amp; $BJ3):INDIRECT("Table!" &amp; $BV$88 &amp; $BJ3),0)))))/1024</f>
        <v>25.433300781250001</v>
      </c>
      <c r="J3" s="709">
        <f ca="1">IF(ISERROR(MATCH(J$1,INDIRECT("Table!A"&amp;$BJ3):INDIRECT("Table!" &amp; $BV$88 &amp; $BJ3),0)),"",INDIRECT(CONCATENATE("Table!",ADDRESS($BF3,MATCH(J$1,INDIRECT("Table!A" &amp; $BJ3):INDIRECT("Table!" &amp; $BV$88 &amp; $BJ3),0)))))/1024</f>
        <v>82.284863281249997</v>
      </c>
      <c r="K3" s="709">
        <f ca="1">IF(ISERROR(MATCH(K$1,INDIRECT("Table!A"&amp;$BJ3):INDIRECT("Table!" &amp; $BV$88 &amp; $BJ3),0)),"",INDIRECT(CONCATENATE("Table!",ADDRESS($BF3,MATCH(K$1,INDIRECT("Table!A" &amp; $BJ3):INDIRECT("Table!" &amp; $BV$88 &amp; $BJ3),0)))))/1024</f>
        <v>75.314648437499997</v>
      </c>
      <c r="L3" s="709">
        <f ca="1">IF(ISERROR(MATCH(L$1,INDIRECT("Table!A"&amp;$BJ3):INDIRECT("Table!" &amp; $BV$88 &amp; $BJ3),0)),"",INDIRECT(CONCATENATE("Table!",ADDRESS($BF3,MATCH(L$1,INDIRECT("Table!A" &amp; $BJ3):INDIRECT("Table!" &amp; $BV$88 &amp; $BJ3),0)))))/1024</f>
        <v>132.5615234375</v>
      </c>
      <c r="M3" s="709">
        <f ca="1">IF(ISERROR(MATCH(M$1,INDIRECT("Table!A"&amp;$BJ3):INDIRECT("Table!" &amp; $BV$88 &amp; $BJ3),0)),"",INDIRECT(CONCATENATE("Table!",ADDRESS($BF3,MATCH(M$1,INDIRECT("Table!A" &amp; $BJ3):INDIRECT("Table!" &amp; $BV$88 &amp; $BJ3),0)))))/1024</f>
        <v>207.24658203125</v>
      </c>
      <c r="N3" s="709">
        <f ca="1">IF(ISERROR(MATCH(N$1,INDIRECT("Table!A"&amp;$BJ3):INDIRECT("Table!" &amp; $BV$88 &amp; $BJ3),0)),"",INDIRECT(CONCATENATE("Table!",ADDRESS($BF3,MATCH(N$1,INDIRECT("Table!A" &amp; $BJ3):INDIRECT("Table!" &amp; $BV$88 &amp; $BJ3),0)))))/1024</f>
        <v>57.166894531250001</v>
      </c>
      <c r="O3" s="709">
        <f ca="1">IF(ISERROR(MATCH(O$1,INDIRECT("Table!A"&amp;$BJ3):INDIRECT("Table!" &amp; $BV$88 &amp; $BJ3),0)),"",INDIRECT(CONCATENATE("Table!",ADDRESS($BF3,MATCH(O$1,INDIRECT("Table!A" &amp; $BJ3):INDIRECT("Table!" &amp; $BV$88 &amp; $BJ3),0)))))/1024</f>
        <v>221.17109375000001</v>
      </c>
      <c r="P3" s="709">
        <f ca="1">IF(ISERROR(MATCH(P$1,INDIRECT("Table!A"&amp;$BJ3):INDIRECT("Table!" &amp; $BV$88 &amp; $BJ3),0)),"",INDIRECT(CONCATENATE("Table!",ADDRESS($BF3,MATCH(P$1,INDIRECT("Table!A" &amp; $BJ3):INDIRECT("Table!" &amp; $BV$88 &amp; $BJ3),0)))))/1024</f>
        <v>49.19091796875</v>
      </c>
      <c r="Q3" s="709">
        <f ca="1">IF(ISERROR(MATCH(Q$1,INDIRECT("Table!A"&amp;$BJ3):INDIRECT("Table!" &amp; $BV$88 &amp; $BJ3),0)),"",INDIRECT(CONCATENATE("Table!",ADDRESS($BF3,MATCH(Q$1,INDIRECT("Table!A" &amp; $BJ3):INDIRECT("Table!" &amp; $BV$88 &amp; $BJ3),0)))))/1024</f>
        <v>130.12656250000001</v>
      </c>
      <c r="R3" s="709">
        <f ca="1">IF(ISERROR(MATCH(R$1,INDIRECT("Table!A"&amp;$BJ3):INDIRECT("Table!" &amp; $BV$88 &amp; $BJ3),0)),"",INDIRECT(CONCATENATE("Table!",ADDRESS($BF3,MATCH(R$1,INDIRECT("Table!A" &amp; $BJ3):INDIRECT("Table!" &amp; $BV$88 &amp; $BJ3),0)))))/1024</f>
        <v>169.24638671874999</v>
      </c>
      <c r="S3" s="709">
        <f ca="1">IF(ISERROR(MATCH(S$1,INDIRECT("Table!A"&amp;$BJ3):INDIRECT("Table!" &amp; $BV$43 &amp; $BJ3),0)),"",INDIRECT(CONCATENATE("Table!",ADDRESS($BF3,MATCH(S$1,INDIRECT("Table!A" &amp; $BJ3):INDIRECT("Table!" &amp; $BV$43 &amp; $BJ3),0)))))/1024</f>
        <v>16.204785156250001</v>
      </c>
      <c r="T3" s="709">
        <f ca="1">IF(ISERROR(MATCH(T$1,INDIRECT("Table!A"&amp;$BJ3):INDIRECT("Table!" &amp; $BV$43 &amp; $BJ3),0)),"",INDIRECT(CONCATENATE("Table!",ADDRESS($BF3,MATCH(T$1,INDIRECT("Table!A" &amp; $BJ3):INDIRECT("Table!" &amp; $BV$43 &amp; $BJ3),0)))))/1024</f>
        <v>9.9869140625000004</v>
      </c>
      <c r="U3" s="709">
        <f ca="1">IF(ISERROR(MATCH(U$1,INDIRECT("Table!A"&amp;$BJ3):INDIRECT("Table!" &amp; $BV$43 &amp; $BJ3),0)),"",INDIRECT(CONCATENATE("Table!",ADDRESS($BF3,MATCH(U$1,INDIRECT("Table!A" &amp; $BJ3):INDIRECT("Table!" &amp; $BV$43 &amp; $BJ3),0)))))/1024</f>
        <v>14.512988281249999</v>
      </c>
      <c r="V3" s="709">
        <f ca="1">IF(ISERROR(MATCH(V$1,INDIRECT("Table!A"&amp;$BJ3):INDIRECT("Table!" &amp; $BV$43 &amp; $BJ3),0)),"",INDIRECT(CONCATENATE("Table!",ADDRESS($BF3,MATCH(V$1,INDIRECT("Table!A" &amp; $BJ3):INDIRECT("Table!" &amp; $BV$43 &amp; $BJ3),0)))))/1024</f>
        <v>29.025683593749999</v>
      </c>
      <c r="W3" s="709">
        <f ca="1">IF(ISERROR(MATCH(W$1,INDIRECT("Table!A"&amp;$BJ3):INDIRECT("Table!" &amp; $BV$43 &amp; $BJ3),0)),"",INDIRECT(CONCATENATE("Table!",ADDRESS($BF3,MATCH(W$1,INDIRECT("Table!A" &amp; $BJ3):INDIRECT("Table!" &amp; $BV$43 &amp; $BJ3),0)))))/1024</f>
        <v>15.10068359375</v>
      </c>
      <c r="X3" s="709">
        <f ca="1">IF(ISERROR(MATCH(X$1,INDIRECT("Table!A"&amp;$BJ3):INDIRECT("Table!" &amp; $BV$43 &amp; $BJ3),0)),"",INDIRECT(CONCATENATE("Table!",ADDRESS($BF3,MATCH(X$1,INDIRECT("Table!A" &amp; $BJ3):INDIRECT("Table!" &amp; $BV$43 &amp; $BJ3),0)))))/1024</f>
        <v>30.193750000000001</v>
      </c>
      <c r="Y3" s="709">
        <f ca="1">IF(ISERROR(MATCH(Y$1,INDIRECT("Table!A"&amp;$BJ3):INDIRECT("Table!" &amp; $BV$43 &amp; $BJ3),0)),"",INDIRECT(CONCATENATE("Table!",ADDRESS($BF3,MATCH(Y$1,INDIRECT("Table!A" &amp; $BJ3):INDIRECT("Table!" &amp; $BV$43 &amp; $BJ3),0)))))/1024</f>
        <v>3.0273437500000001E-3</v>
      </c>
      <c r="Z3" s="709">
        <f ca="1">IF(ISERROR(MATCH(Z$1,INDIRECT("Table!A"&amp;$BJ3):INDIRECT("Table!" &amp; $BV$43 &amp; $BJ3),0)),"",INDIRECT(CONCATENATE("Table!",ADDRESS($BF3,MATCH(Z$1,INDIRECT("Table!A" &amp; $BJ3):INDIRECT("Table!" &amp; $BV$43 &amp; $BJ3),0)))))/1024</f>
        <v>5.859375E-3</v>
      </c>
      <c r="AA3" s="709">
        <f ca="1">IF(ISERROR(MATCH(AA$1,INDIRECT("Table!A"&amp;$BJ3):INDIRECT("Table!" &amp; $BV$43 &amp; $BJ3),0)),"",INDIRECT(CONCATENATE("Table!",ADDRESS($BF3,MATCH(AA$1,INDIRECT("Table!A" &amp; $BJ3):INDIRECT("Table!" &amp; $BV$43 &amp; $BJ3),0)))))/1024</f>
        <v>22.849902343749999</v>
      </c>
      <c r="AB3" s="709">
        <f ca="1">IF(ISERROR(MATCH(AB$1,INDIRECT("Table!A"&amp;$BJ3):INDIRECT("Table!" &amp; $BV$43 &amp; $BJ3),0)),"",INDIRECT(CONCATENATE("Table!",ADDRESS($BF3,MATCH(AB$1,INDIRECT("Table!A" &amp; $BJ3):INDIRECT("Table!" &amp; $BV$43 &amp; $BJ3),0)))))/1024</f>
        <v>4.7851562500000003E-3</v>
      </c>
      <c r="AC3" s="709" t="str">
        <f ca="1">IF(ISERROR(MATCH(AC$1,INDIRECT("Table!A"&amp;$BJ3):INDIRECT("Table!" &amp; $BV$88 &amp; $BJ3),0)),"",INDIRECT(CONCATENATE("Table!",ADDRESS($BF3,MATCH(AC$1,INDIRECT("Table!A" &amp; $BJ3):INDIRECT("Table!" &amp; $BV$88 &amp; $BJ3),0)))))</f>
        <v/>
      </c>
      <c r="AD3" s="709">
        <f ca="1">IF(ISERROR(MATCH(AD$1,INDIRECT("Table!A"&amp;$BJ3):INDIRECT("Table!" &amp; $BV$88 &amp; $BJ3),0)),"",INDIRECT(CONCATENATE("Table!",ADDRESS($BN3,MATCH(AD$1,INDIRECT("Table!A" &amp; $BJ3):INDIRECT("Table!" &amp; $BV$88 &amp; $BJ3),0)))))/1024</f>
        <v>244.15859374999999</v>
      </c>
      <c r="AE3" s="709">
        <f ca="1">IF(ISERROR(MATCH(AE$1,INDIRECT("Table!A"&amp;$BJ3):INDIRECT("Table!" &amp; $BV$88 &amp; $BJ3),0)),"",INDIRECT(CONCATENATE("Table!",ADDRESS($BN3,MATCH(AE$1,INDIRECT("Table!A" &amp; $BJ3):INDIRECT("Table!" &amp; $BV$88 &amp; $BJ3),0)))))/1024</f>
        <v>146.98896484375001</v>
      </c>
      <c r="AF3" s="709">
        <f ca="1">IF(ISERROR(MATCH(AF$1,INDIRECT("Table!A"&amp;$BJ3):INDIRECT("Table!" &amp; $BV$88 &amp; $BJ3),0)),"",INDIRECT(CONCATENATE("Table!",ADDRESS($BN3,MATCH(AF$1,INDIRECT("Table!A" &amp; $BJ3):INDIRECT("Table!" &amp; $BV$88 &amp; $BJ3),0)))))/1024</f>
        <v>146.98896484375001</v>
      </c>
      <c r="AG3" s="709">
        <f ca="1">IF(ISERROR(MATCH(AG$1,INDIRECT("Table!A"&amp;$BJ3):INDIRECT("Table!" &amp; $BV$88 &amp; $BJ3),0)),"",INDIRECT(CONCATENATE("Table!",ADDRESS($BN3,MATCH(AG$1,INDIRECT("Table!A" &amp; $BJ3):INDIRECT("Table!" &amp; $BV$88 &amp; $BJ3),0)))))/1024</f>
        <v>177.73320312499999</v>
      </c>
      <c r="AH3" s="709">
        <f ca="1">IF(ISERROR(MATCH(AH$1,INDIRECT("Table!A"&amp;$BJ3):INDIRECT("Table!" &amp; $BV$88 &amp; $BJ3),0)),"",INDIRECT(CONCATENATE("Table!",ADDRESS($BN3,MATCH(AH$1,INDIRECT("Table!A" &amp; $BJ3):INDIRECT("Table!" &amp; $BV$88 &amp; $BJ3),0)))))/1024</f>
        <v>161.88056640625001</v>
      </c>
      <c r="AI3" s="709">
        <f ca="1">IF(ISERROR(MATCH(AI$1,INDIRECT("Table!A"&amp;$BJ3):INDIRECT("Table!" &amp; $BV$88 &amp; $BJ3),0)),"",INDIRECT(CONCATENATE("Table!",ADDRESS($BN3,MATCH(AI$1,INDIRECT("Table!A" &amp; $BJ3):INDIRECT("Table!" &amp; $BV$88 &amp; $BJ3),0)))))/1024</f>
        <v>380.3759765625</v>
      </c>
      <c r="AJ3" s="709">
        <f ca="1">IF(ISERROR(MATCH(AJ$1,INDIRECT("Table!A"&amp;$BJ3):INDIRECT("Table!" &amp; $BV$88 &amp; $BJ3),0)),"",INDIRECT(CONCATENATE("Table!",ADDRESS($BN3,MATCH(AJ$1,INDIRECT("Table!A" &amp; $BJ3):INDIRECT("Table!" &amp; $BV$88 &amp; $BJ3),0)))))/1024</f>
        <v>167.94482421875</v>
      </c>
      <c r="AK3" s="709">
        <f ca="1">IF(ISERROR(MATCH(AK$1,INDIRECT("Table!A"&amp;$BJ3):INDIRECT("Table!" &amp; $BV$88 &amp; $BJ3),0)),"",INDIRECT(CONCATENATE("Table!",ADDRESS($BN3,MATCH(AK$1,INDIRECT("Table!A" &amp; $BJ3):INDIRECT("Table!" &amp; $BV$88 &amp; $BJ3),0)))))/1024</f>
        <v>162.185546875</v>
      </c>
      <c r="AL3" s="709">
        <f ca="1">IF(ISERROR(MATCH(AL$1,INDIRECT("Table!A"&amp;$BJ3):INDIRECT("Table!" &amp; $BV$88 &amp; $BJ3),0)),"",INDIRECT(CONCATENATE("Table!",ADDRESS($BN3,MATCH(AL$1,INDIRECT("Table!A" &amp; $BJ3):INDIRECT("Table!" &amp; $BV$88 &amp; $BJ3),0)))))/1024</f>
        <v>121.1125</v>
      </c>
      <c r="AM3" s="709">
        <f ca="1">IF(ISERROR(MATCH(AM$1,INDIRECT("Table!A"&amp;$BJ3):INDIRECT("Table!" &amp; $BV$88 &amp; $BJ3),0)),"",INDIRECT(CONCATENATE("Table!",ADDRESS($BN3,MATCH(AM$1,INDIRECT("Table!A" &amp; $BJ3):INDIRECT("Table!" &amp; $BV$88 &amp; $BJ3),0)))))/1024</f>
        <v>218.81953125000001</v>
      </c>
      <c r="AN3" s="709">
        <f ca="1">IF(ISERROR(MATCH(AN$1,INDIRECT("Table!A"&amp;$BJ3):INDIRECT("Table!" &amp; $BV$88 &amp; $BJ3),0)),"",INDIRECT(CONCATENATE("Table!",ADDRESS($BN3,MATCH(AN$1,INDIRECT("Table!A" &amp; $BJ3):INDIRECT("Table!" &amp; $BV$88 &amp; $BJ3),0)))))/1024</f>
        <v>188.50498046875001</v>
      </c>
      <c r="AO3" s="709">
        <f ca="1">IF(ISERROR(MATCH(AO$1,INDIRECT("Table!A"&amp;$BJ3):INDIRECT("Table!" &amp; $BV$88 &amp; $BJ3),0)),"",INDIRECT(CONCATENATE("Table!",ADDRESS($BN3,MATCH(AO$1,INDIRECT("Table!A" &amp; $BJ3):INDIRECT("Table!" &amp; $BV$88 &amp; $BJ3),0)))))/1024</f>
        <v>427.94912109375002</v>
      </c>
      <c r="AP3" s="709">
        <f ca="1">IF(ISERROR(MATCH(AP$1,INDIRECT("Table!A"&amp;$BJ3):INDIRECT("Table!" &amp; $BV$88 &amp; $BJ3),0)),"",INDIRECT(CONCATENATE("Table!",ADDRESS($BN3,MATCH(AP$1,INDIRECT("Table!A" &amp; $BJ3):INDIRECT("Table!" &amp; $BV$88 &amp; $BJ3),0)))))/1024</f>
        <v>81.092578125000003</v>
      </c>
      <c r="AQ3" s="709">
        <f ca="1">IF(ISERROR(MATCH(AQ$1,INDIRECT("Table!A"&amp;$BJ3):INDIRECT("Table!" &amp; $BV$88 &amp; $BJ3),0)),"",INDIRECT(CONCATENATE("Table!",ADDRESS($BN3,MATCH(AQ$1,INDIRECT("Table!A" &amp; $BJ3):INDIRECT("Table!" &amp; $BV$88 &amp; $BJ3),0)))))/1024</f>
        <v>269.65859375000002</v>
      </c>
      <c r="AR3" s="709">
        <f ca="1">IF(ISERROR(MATCH(AR$1,INDIRECT("Table!A"&amp;$BJ3):INDIRECT("Table!" &amp; $BV$88 &amp; $BJ3),0)),"",INDIRECT(CONCATENATE("Table!",ADDRESS($BN3,MATCH(AR$1,INDIRECT("Table!A" &amp; $BJ3):INDIRECT("Table!" &amp; $BV$88 &amp; $BJ3),0)))))/1024</f>
        <v>81.092578125000003</v>
      </c>
      <c r="AS3" s="709">
        <f ca="1">IF(ISERROR(MATCH(AS$1,INDIRECT("Table!A"&amp;$BJ3):INDIRECT("Table!" &amp; $BV$88 &amp; $BJ3),0)),"",INDIRECT(CONCATENATE("Table!",ADDRESS($BN3,MATCH(AS$1,INDIRECT("Table!A" &amp; $BJ3):INDIRECT("Table!" &amp; $BV$88 &amp; $BJ3),0)))))/1024</f>
        <v>187.12714843750001</v>
      </c>
      <c r="AT3" s="709">
        <f ca="1">IF(ISERROR(MATCH(AT$1,INDIRECT("Table!A"&amp;$BJ3):INDIRECT("Table!" &amp; $BV$88 &amp; $BJ3),0)),"",INDIRECT(CONCATENATE("Table!",ADDRESS($BN3,MATCH(AT$1,INDIRECT("Table!A" &amp; $BJ3):INDIRECT("Table!" &amp; $BV$88 &amp; $BJ3),0)))))/1024</f>
        <v>251.84228515625</v>
      </c>
      <c r="AU3" s="709">
        <f ca="1">IF(ISERROR(MATCH(AU$1,INDIRECT("Table!A"&amp;$BJ3):INDIRECT("Table!" &amp; $BV$88 &amp; $BJ3),0)),"",INDIRECT(CONCATENATE("Table!",ADDRESS($BN3,MATCH(AU$1,INDIRECT("Table!A" &amp; $BJ3):INDIRECT("Table!" &amp; $BV$88 &amp; $BJ3),0)))))/1024</f>
        <v>53.8583984375</v>
      </c>
      <c r="AV3" s="709">
        <f ca="1">IF(ISERROR(MATCH(AV$1,INDIRECT("Table!A"&amp;$BJ3):INDIRECT("Table!" &amp; $BV$88 &amp; $BJ3),0)),"",INDIRECT(CONCATENATE("Table!",ADDRESS($BN3,MATCH(AV$1,INDIRECT("Table!A" &amp; $BJ3):INDIRECT("Table!" &amp; $BV$88 &amp; $BJ3),0)))))/1024</f>
        <v>32.31494140625</v>
      </c>
      <c r="AW3" s="709">
        <f ca="1">IF(ISERROR(MATCH(AW$1,INDIRECT("Table!A"&amp;$BJ3):INDIRECT("Table!" &amp; $BV$88 &amp; $BJ3),0)),"",INDIRECT(CONCATENATE("Table!",ADDRESS($BN3,MATCH(AW$1,INDIRECT("Table!A" &amp; $BJ3):INDIRECT("Table!" &amp; $BV$88 &amp; $BJ3),0)))))/1024</f>
        <v>99.80126953125</v>
      </c>
      <c r="AX3" s="709">
        <f ca="1">IF(ISERROR(MATCH(AX$1,INDIRECT("Table!A"&amp;$BJ3):INDIRECT("Table!" &amp; $BV$88 &amp; $BJ3),0)),"",INDIRECT(CONCATENATE("Table!",ADDRESS($BN3,MATCH(AX$1,INDIRECT("Table!A" &amp; $BJ3):INDIRECT("Table!" &amp; $BV$88 &amp; $BJ3),0)))))/1024</f>
        <v>204.58642578125</v>
      </c>
      <c r="AY3" s="909">
        <f ca="1">IF(ISERROR(MATCH(AY$1,INDIRECT("Table!A"&amp;$BJ3):INDIRECT("Table!" &amp; $BV$88 &amp; $BJ3),0)),"",INDIRECT(CONCATENATE("Table!",ADDRESS($BN3,MATCH(AY$1,INDIRECT("Table!A" &amp; $BJ3):INDIRECT("Table!" &amp; $BV$88 &amp; $BJ3),0)))))/1024</f>
        <v>99.80126953125</v>
      </c>
      <c r="AZ3" s="909">
        <f ca="1">IF(ISERROR(MATCH(AZ$1,INDIRECT("Table!A"&amp;$BJ3):INDIRECT("Table!" &amp; $BV$88 &amp; $BJ3),0)),"",INDIRECT(CONCATENATE("Table!",ADDRESS($BN3,MATCH(AZ$1,INDIRECT("Table!A" &amp; $BJ3):INDIRECT("Table!" &amp; $BV$88 &amp; $BJ3),0)))))/1024</f>
        <v>204.58642578125</v>
      </c>
      <c r="BA3" s="909">
        <f ca="1">IF(ISERROR(MATCH(BA$1,INDIRECT("Table!A"&amp;$BJ3):INDIRECT("Table!" &amp; $BV$88 &amp; $BJ3),0)),"",INDIRECT(CONCATENATE("Table!",ADDRESS($BN3,MATCH(BA$1,INDIRECT("Table!A" &amp; $BJ3):INDIRECT("Table!" &amp; $BV$88 &amp; $BJ3),0)))))/1024</f>
        <v>99.80126953125</v>
      </c>
      <c r="BB3" s="909">
        <f ca="1">IF(ISERROR(MATCH(BB$1,INDIRECT("Table!A"&amp;$BJ3):INDIRECT("Table!" &amp; $BV$88 &amp; $BJ3),0)),"",INDIRECT(CONCATENATE("Table!",ADDRESS($BN3,MATCH(BB$1,INDIRECT("Table!A" &amp; $BJ3):INDIRECT("Table!" &amp; $BV$88 &amp; $BJ3),0)))))/1024</f>
        <v>204.58642578125</v>
      </c>
      <c r="BC3" s="909">
        <f ca="1">IF(ISERROR(MATCH(BC$1,INDIRECT("Table!A"&amp;$BJ3):INDIRECT("Table!" &amp; $BV$88 &amp; $BJ3),0)),"",INDIRECT(CONCATENATE("Table!",ADDRESS($BN3,MATCH(BC$1,INDIRECT("Table!A" &amp; $BJ3):INDIRECT("Table!" &amp; $BV$88 &amp; $BJ3),0)))))/1024</f>
        <v>320.99140625000001</v>
      </c>
      <c r="BD3" s="909">
        <f ca="1">IF(ISERROR(MATCH(BD$1,INDIRECT("Table!A"&amp;$BJ3):INDIRECT("Table!" &amp; $BV$88 &amp; $BJ3),0)),"",INDIRECT(CONCATENATE("Table!",ADDRESS($BN3,MATCH(BD$1,INDIRECT("Table!A" &amp; $BJ3):INDIRECT("Table!" &amp; $BV$88 &amp; $BJ3),0)))))/1024</f>
        <v>186.39765625000001</v>
      </c>
      <c r="BF3" s="704">
        <f>MATCH($A3,Table!$A:$A,0)+$BH$2-1</f>
        <v>5</v>
      </c>
      <c r="BG3" s="744"/>
      <c r="BH3" s="744"/>
      <c r="BI3" s="744"/>
      <c r="BJ3" s="717">
        <f>MATCH($A3,Table!$A:$A,0)+$BL$2-1</f>
        <v>3</v>
      </c>
      <c r="BK3" s="744"/>
      <c r="BL3" s="744"/>
      <c r="BM3" s="744"/>
      <c r="BN3" s="704">
        <f>MATCH($A3,Table!$A:$A,0)+$BP$2-1</f>
        <v>4</v>
      </c>
      <c r="BO3" s="744"/>
      <c r="BP3" s="744"/>
      <c r="BQ3" s="744"/>
      <c r="BR3" s="717">
        <f>MATCH($A3,Table!$A:$A,0)+$BL$2-1</f>
        <v>3</v>
      </c>
      <c r="BS3" s="744"/>
      <c r="BT3" s="744"/>
      <c r="BU3" s="744"/>
      <c r="BV3" s="711" t="s">
        <v>284</v>
      </c>
      <c r="BW3" s="712">
        <f ca="1">SUM(AD3:BD3)</f>
        <v>4922.1814453124998</v>
      </c>
      <c r="BX3" s="712">
        <f t="shared" ref="BX3:BX21" ca="1" si="0">SUM(B3:V3)</f>
        <v>2063.9879882812502</v>
      </c>
      <c r="BY3" s="712">
        <f t="shared" ref="BY3" ca="1" si="1">BW3-BX3</f>
        <v>2858.1934570312496</v>
      </c>
      <c r="BZ3" s="718">
        <f t="shared" ref="BZ3" ca="1" si="2">BX3/BW3</f>
        <v>0.4193238325756623</v>
      </c>
      <c r="CA3" s="712">
        <f ca="1">SUMIF('Alloc Feed'!A:A,A:A,'Alloc Feed'!I:I)</f>
        <v>3682.561520507812</v>
      </c>
      <c r="CB3" s="718">
        <f t="shared" ref="CB3" ca="1" si="3">CA3/BW3</f>
        <v>0.74815639395309075</v>
      </c>
    </row>
    <row r="4" spans="1:80" s="743" customFormat="1" x14ac:dyDescent="0.25">
      <c r="A4" s="703">
        <v>41815</v>
      </c>
      <c r="B4" s="709">
        <f ca="1">IF(ISERROR(MATCH(B$1,INDIRECT("Table!A"&amp;$BJ4):INDIRECT("Table!" &amp; $BV$88 &amp; $BJ4),0)),"",INDIRECT(CONCATENATE("Table!",ADDRESS($BF4,MATCH(B$1,INDIRECT("Table!A" &amp; $BJ4):INDIRECT("Table!" &amp; $BV$88 &amp; $BJ4),0)))))/1024</f>
        <v>100.64873046875</v>
      </c>
      <c r="C4" s="709">
        <f ca="1">IF(ISERROR(MATCH(C$1,INDIRECT("Table!A"&amp;$BJ4):INDIRECT("Table!" &amp; $BV$88 &amp; $BJ4),0)),"",INDIRECT(CONCATENATE("Table!",ADDRESS($BF4,MATCH(C$1,INDIRECT("Table!A" &amp; $BJ4):INDIRECT("Table!" &amp; $BV$88 &amp; $BJ4),0)))))/1024</f>
        <v>81.83056640625</v>
      </c>
      <c r="D4" s="709">
        <f ca="1">IF(ISERROR(MATCH(D$1,INDIRECT("Table!A"&amp;$BJ4):INDIRECT("Table!" &amp; $BV$88 &amp; $BJ4),0)),"",INDIRECT(CONCATENATE("Table!",ADDRESS($BF4,MATCH(D$1,INDIRECT("Table!A" &amp; $BJ4):INDIRECT("Table!" &amp; $BV$88 &amp; $BJ4),0)))))/1024</f>
        <v>82.523242187500003</v>
      </c>
      <c r="E4" s="709">
        <f ca="1">IF(ISERROR(MATCH(E$1,INDIRECT("Table!A"&amp;$BJ4):INDIRECT("Table!" &amp; $BV$88 &amp; $BJ4),0)),"",INDIRECT(CONCATENATE("Table!",ADDRESS($BF4,MATCH(E$1,INDIRECT("Table!A" &amp; $BJ4):INDIRECT("Table!" &amp; $BV$88 &amp; $BJ4),0)))))/1024</f>
        <v>134.97919921875001</v>
      </c>
      <c r="F4" s="709">
        <f ca="1">IF(ISERROR(MATCH(F$1,INDIRECT("Table!A"&amp;$BJ4):INDIRECT("Table!" &amp; $BV$88 &amp; $BJ4),0)),"",INDIRECT(CONCATENATE("Table!",ADDRESS($BF4,MATCH(F$1,INDIRECT("Table!A" &amp; $BJ4):INDIRECT("Table!" &amp; $BV$88 &amp; $BJ4),0)))))/1024</f>
        <v>112.87900390625001</v>
      </c>
      <c r="G4" s="709">
        <f ca="1">IF(ISERROR(MATCH(G$1,INDIRECT("Table!A"&amp;$BJ4):INDIRECT("Table!" &amp; $BV$88 &amp; $BJ4),0)),"",INDIRECT(CONCATENATE("Table!",ADDRESS($BF4,MATCH(G$1,INDIRECT("Table!A" &amp; $BJ4):INDIRECT("Table!" &amp; $BV$88 &amp; $BJ4),0)))))/1024</f>
        <v>210.60800781250001</v>
      </c>
      <c r="H4" s="709">
        <f ca="1">IF(ISERROR(MATCH(H$1,INDIRECT("Table!A"&amp;$BJ4):INDIRECT("Table!" &amp; $BV$88 &amp; $BJ4),0)),"",INDIRECT(CONCATENATE("Table!",ADDRESS($BF4,MATCH(H$1,INDIRECT("Table!A" &amp; $BJ4):INDIRECT("Table!" &amp; $BV$88 &amp; $BJ4),0)))))/1024</f>
        <v>119.34580078125001</v>
      </c>
      <c r="I4" s="709">
        <f ca="1">IF(ISERROR(MATCH(I$1,INDIRECT("Table!A"&amp;$BJ4):INDIRECT("Table!" &amp; $BV$88 &amp; $BJ4),0)),"",INDIRECT(CONCATENATE("Table!",ADDRESS($BF4,MATCH(I$1,INDIRECT("Table!A" &amp; $BJ4):INDIRECT("Table!" &amp; $BV$88 &amp; $BJ4),0)))))/1024</f>
        <v>25.372363281249999</v>
      </c>
      <c r="J4" s="709">
        <f ca="1">IF(ISERROR(MATCH(J$1,INDIRECT("Table!A"&amp;$BJ4):INDIRECT("Table!" &amp; $BV$88 &amp; $BJ4),0)),"",INDIRECT(CONCATENATE("Table!",ADDRESS($BF4,MATCH(J$1,INDIRECT("Table!A" &amp; $BJ4):INDIRECT("Table!" &amp; $BV$88 &amp; $BJ4),0)))))/1024</f>
        <v>81.802636718749994</v>
      </c>
      <c r="K4" s="709">
        <f ca="1">IF(ISERROR(MATCH(K$1,INDIRECT("Table!A"&amp;$BJ4):INDIRECT("Table!" &amp; $BV$88 &amp; $BJ4),0)),"",INDIRECT(CONCATENATE("Table!",ADDRESS($BF4,MATCH(K$1,INDIRECT("Table!A" &amp; $BJ4):INDIRECT("Table!" &amp; $BV$88 &amp; $BJ4),0)))))/1024</f>
        <v>74.00830078125</v>
      </c>
      <c r="L4" s="709">
        <f ca="1">IF(ISERROR(MATCH(L$1,INDIRECT("Table!A"&amp;$BJ4):INDIRECT("Table!" &amp; $BV$88 &amp; $BJ4),0)),"",INDIRECT(CONCATENATE("Table!",ADDRESS($BF4,MATCH(L$1,INDIRECT("Table!A" &amp; $BJ4):INDIRECT("Table!" &amp; $BV$88 &amp; $BJ4),0)))))/1024</f>
        <v>132.42529296875</v>
      </c>
      <c r="M4" s="709">
        <f ca="1">IF(ISERROR(MATCH(M$1,INDIRECT("Table!A"&amp;$BJ4):INDIRECT("Table!" &amp; $BV$88 &amp; $BJ4),0)),"",INDIRECT(CONCATENATE("Table!",ADDRESS($BF4,MATCH(M$1,INDIRECT("Table!A" &amp; $BJ4):INDIRECT("Table!" &amp; $BV$88 &amp; $BJ4),0)))))/1024</f>
        <v>206.93515625000001</v>
      </c>
      <c r="N4" s="709">
        <f ca="1">IF(ISERROR(MATCH(N$1,INDIRECT("Table!A"&amp;$BJ4):INDIRECT("Table!" &amp; $BV$88 &amp; $BJ4),0)),"",INDIRECT(CONCATENATE("Table!",ADDRESS($BF4,MATCH(N$1,INDIRECT("Table!A" &amp; $BJ4):INDIRECT("Table!" &amp; $BV$88 &amp; $BJ4),0)))))/1024</f>
        <v>56.970898437499997</v>
      </c>
      <c r="O4" s="709">
        <f ca="1">IF(ISERROR(MATCH(O$1,INDIRECT("Table!A"&amp;$BJ4):INDIRECT("Table!" &amp; $BV$88 &amp; $BJ4),0)),"",INDIRECT(CONCATENATE("Table!",ADDRESS($BF4,MATCH(O$1,INDIRECT("Table!A" &amp; $BJ4):INDIRECT("Table!" &amp; $BV$88 &amp; $BJ4),0)))))/1024</f>
        <v>220.85683593749999</v>
      </c>
      <c r="P4" s="709">
        <f ca="1">IF(ISERROR(MATCH(P$1,INDIRECT("Table!A"&amp;$BJ4):INDIRECT("Table!" &amp; $BV$88 &amp; $BJ4),0)),"",INDIRECT(CONCATENATE("Table!",ADDRESS($BF4,MATCH(P$1,INDIRECT("Table!A" &amp; $BJ4):INDIRECT("Table!" &amp; $BV$88 &amp; $BJ4),0)))))/1024</f>
        <v>49.069238281250001</v>
      </c>
      <c r="Q4" s="709">
        <f ca="1">IF(ISERROR(MATCH(Q$1,INDIRECT("Table!A"&amp;$BJ4):INDIRECT("Table!" &amp; $BV$88 &amp; $BJ4),0)),"",INDIRECT(CONCATENATE("Table!",ADDRESS($BF4,MATCH(Q$1,INDIRECT("Table!A" &amp; $BJ4):INDIRECT("Table!" &amp; $BV$88 &amp; $BJ4),0)))))/1024</f>
        <v>129.37568359375001</v>
      </c>
      <c r="R4" s="709">
        <f ca="1">IF(ISERROR(MATCH(R$1,INDIRECT("Table!A"&amp;$BJ4):INDIRECT("Table!" &amp; $BV$88 &amp; $BJ4),0)),"",INDIRECT(CONCATENATE("Table!",ADDRESS($BF4,MATCH(R$1,INDIRECT("Table!A" &amp; $BJ4):INDIRECT("Table!" &amp; $BV$88 &amp; $BJ4),0)))))/1024</f>
        <v>167.90517578124999</v>
      </c>
      <c r="S4" s="709">
        <f ca="1">IF(ISERROR(MATCH(S$1,INDIRECT("Table!A"&amp;$BJ4):INDIRECT("Table!" &amp; $BV$43 &amp; $BJ4),0)),"",INDIRECT(CONCATENATE("Table!",ADDRESS($BF4,MATCH(S$1,INDIRECT("Table!A" &amp; $BJ4):INDIRECT("Table!" &amp; $BV$43 &amp; $BJ4),0)))))/1024</f>
        <v>16.204785156250001</v>
      </c>
      <c r="T4" s="709">
        <f ca="1">IF(ISERROR(MATCH(T$1,INDIRECT("Table!A"&amp;$BJ4):INDIRECT("Table!" &amp; $BV$43 &amp; $BJ4),0)),"",INDIRECT(CONCATENATE("Table!",ADDRESS($BF4,MATCH(T$1,INDIRECT("Table!A" &amp; $BJ4):INDIRECT("Table!" &amp; $BV$43 &amp; $BJ4),0)))))/1024</f>
        <v>9.9869140625000004</v>
      </c>
      <c r="U4" s="709">
        <f ca="1">IF(ISERROR(MATCH(U$1,INDIRECT("Table!A"&amp;$BJ4):INDIRECT("Table!" &amp; $BV$43 &amp; $BJ4),0)),"",INDIRECT(CONCATENATE("Table!",ADDRESS($BF4,MATCH(U$1,INDIRECT("Table!A" &amp; $BJ4):INDIRECT("Table!" &amp; $BV$43 &amp; $BJ4),0)))))/1024</f>
        <v>14.450488281249999</v>
      </c>
      <c r="V4" s="709">
        <f ca="1">IF(ISERROR(MATCH(V$1,INDIRECT("Table!A"&amp;$BJ4):INDIRECT("Table!" &amp; $BV$43 &amp; $BJ4),0)),"",INDIRECT(CONCATENATE("Table!",ADDRESS($BF4,MATCH(V$1,INDIRECT("Table!A" &amp; $BJ4):INDIRECT("Table!" &amp; $BV$43 &amp; $BJ4),0)))))/1024</f>
        <v>28.90087890625</v>
      </c>
      <c r="W4" s="709">
        <f ca="1">IF(ISERROR(MATCH(W$1,INDIRECT("Table!A"&amp;$BJ4):INDIRECT("Table!" &amp; $BV$43 &amp; $BJ4),0)),"",INDIRECT(CONCATENATE("Table!",ADDRESS($BF4,MATCH(W$1,INDIRECT("Table!A" &amp; $BJ4):INDIRECT("Table!" &amp; $BV$43 &amp; $BJ4),0)))))/1024</f>
        <v>15.09091796875</v>
      </c>
      <c r="X4" s="709">
        <f ca="1">IF(ISERROR(MATCH(X$1,INDIRECT("Table!A"&amp;$BJ4):INDIRECT("Table!" &amp; $BV$43 &amp; $BJ4),0)),"",INDIRECT(CONCATENATE("Table!",ADDRESS($BF4,MATCH(X$1,INDIRECT("Table!A" &amp; $BJ4):INDIRECT("Table!" &amp; $BV$43 &amp; $BJ4),0)))))/1024</f>
        <v>30.172753906250001</v>
      </c>
      <c r="Y4" s="709">
        <f ca="1">IF(ISERROR(MATCH(Y$1,INDIRECT("Table!A"&amp;$BJ4):INDIRECT("Table!" &amp; $BV$43 &amp; $BJ4),0)),"",INDIRECT(CONCATENATE("Table!",ADDRESS($BF4,MATCH(Y$1,INDIRECT("Table!A" &amp; $BJ4):INDIRECT("Table!" &amp; $BV$43 &amp; $BJ4),0)))))/1024</f>
        <v>3.0273437500000001E-3</v>
      </c>
      <c r="Z4" s="709">
        <f ca="1">IF(ISERROR(MATCH(Z$1,INDIRECT("Table!A"&amp;$BJ4):INDIRECT("Table!" &amp; $BV$43 &amp; $BJ4),0)),"",INDIRECT(CONCATENATE("Table!",ADDRESS($BF4,MATCH(Z$1,INDIRECT("Table!A" &amp; $BJ4):INDIRECT("Table!" &amp; $BV$43 &amp; $BJ4),0)))))/1024</f>
        <v>5.859375E-3</v>
      </c>
      <c r="AA4" s="709">
        <f ca="1">IF(ISERROR(MATCH(AA$1,INDIRECT("Table!A"&amp;$BJ4):INDIRECT("Table!" &amp; $BV$43 &amp; $BJ4),0)),"",INDIRECT(CONCATENATE("Table!",ADDRESS($BF4,MATCH(AA$1,INDIRECT("Table!A" &amp; $BJ4):INDIRECT("Table!" &amp; $BV$43 &amp; $BJ4),0)))))/1024</f>
        <v>22.825878906250001</v>
      </c>
      <c r="AB4" s="709">
        <f ca="1">IF(ISERROR(MATCH(AB$1,INDIRECT("Table!A"&amp;$BJ4):INDIRECT("Table!" &amp; $BV$43 &amp; $BJ4),0)),"",INDIRECT(CONCATENATE("Table!",ADDRESS($BF4,MATCH(AB$1,INDIRECT("Table!A" &amp; $BJ4):INDIRECT("Table!" &amp; $BV$43 &amp; $BJ4),0)))))/1024</f>
        <v>4.7851562500000003E-3</v>
      </c>
      <c r="AC4" s="709" t="str">
        <f ca="1">IF(ISERROR(MATCH(AC$1,INDIRECT("Table!A"&amp;$BJ4):INDIRECT("Table!" &amp; $BV$88 &amp; $BJ4),0)),"",INDIRECT(CONCATENATE("Table!",ADDRESS($BF4,MATCH(AC$1,INDIRECT("Table!A" &amp; $BJ4):INDIRECT("Table!" &amp; $BV$88 &amp; $BJ4),0)))))</f>
        <v/>
      </c>
      <c r="AD4" s="709">
        <f ca="1">IF(ISERROR(MATCH(AD$1,INDIRECT("Table!A"&amp;$BJ4):INDIRECT("Table!" &amp; $BV$88 &amp; $BJ4),0)),"",INDIRECT(CONCATENATE("Table!",ADDRESS($BN4,MATCH(AD$1,INDIRECT("Table!A" &amp; $BJ4):INDIRECT("Table!" &amp; $BV$88 &amp; $BJ4),0)))))/1024</f>
        <v>244.15859374999999</v>
      </c>
      <c r="AE4" s="709">
        <f ca="1">IF(ISERROR(MATCH(AE$1,INDIRECT("Table!A"&amp;$BJ4):INDIRECT("Table!" &amp; $BV$88 &amp; $BJ4),0)),"",INDIRECT(CONCATENATE("Table!",ADDRESS($BN4,MATCH(AE$1,INDIRECT("Table!A" &amp; $BJ4):INDIRECT("Table!" &amp; $BV$88 &amp; $BJ4),0)))))/1024</f>
        <v>146.98896484375001</v>
      </c>
      <c r="AF4" s="709">
        <f ca="1">IF(ISERROR(MATCH(AF$1,INDIRECT("Table!A"&amp;$BJ4):INDIRECT("Table!" &amp; $BV$88 &amp; $BJ4),0)),"",INDIRECT(CONCATENATE("Table!",ADDRESS($BN4,MATCH(AF$1,INDIRECT("Table!A" &amp; $BJ4):INDIRECT("Table!" &amp; $BV$88 &amp; $BJ4),0)))))/1024</f>
        <v>146.98896484375001</v>
      </c>
      <c r="AG4" s="709">
        <f ca="1">IF(ISERROR(MATCH(AG$1,INDIRECT("Table!A"&amp;$BJ4):INDIRECT("Table!" &amp; $BV$88 &amp; $BJ4),0)),"",INDIRECT(CONCATENATE("Table!",ADDRESS($BN4,MATCH(AG$1,INDIRECT("Table!A" &amp; $BJ4):INDIRECT("Table!" &amp; $BV$88 &amp; $BJ4),0)))))/1024</f>
        <v>177.73320312499999</v>
      </c>
      <c r="AH4" s="709">
        <f ca="1">IF(ISERROR(MATCH(AH$1,INDIRECT("Table!A"&amp;$BJ4):INDIRECT("Table!" &amp; $BV$88 &amp; $BJ4),0)),"",INDIRECT(CONCATENATE("Table!",ADDRESS($BN4,MATCH(AH$1,INDIRECT("Table!A" &amp; $BJ4):INDIRECT("Table!" &amp; $BV$88 &amp; $BJ4),0)))))/1024</f>
        <v>161.88056640625001</v>
      </c>
      <c r="AI4" s="709">
        <f ca="1">IF(ISERROR(MATCH(AI$1,INDIRECT("Table!A"&amp;$BJ4):INDIRECT("Table!" &amp; $BV$88 &amp; $BJ4),0)),"",INDIRECT(CONCATENATE("Table!",ADDRESS($BN4,MATCH(AI$1,INDIRECT("Table!A" &amp; $BJ4):INDIRECT("Table!" &amp; $BV$88 &amp; $BJ4),0)))))/1024</f>
        <v>380.3759765625</v>
      </c>
      <c r="AJ4" s="709">
        <f ca="1">IF(ISERROR(MATCH(AJ$1,INDIRECT("Table!A"&amp;$BJ4):INDIRECT("Table!" &amp; $BV$88 &amp; $BJ4),0)),"",INDIRECT(CONCATENATE("Table!",ADDRESS($BN4,MATCH(AJ$1,INDIRECT("Table!A" &amp; $BJ4):INDIRECT("Table!" &amp; $BV$88 &amp; $BJ4),0)))))/1024</f>
        <v>167.94482421875</v>
      </c>
      <c r="AK4" s="709">
        <f ca="1">IF(ISERROR(MATCH(AK$1,INDIRECT("Table!A"&amp;$BJ4):INDIRECT("Table!" &amp; $BV$88 &amp; $BJ4),0)),"",INDIRECT(CONCATENATE("Table!",ADDRESS($BN4,MATCH(AK$1,INDIRECT("Table!A" &amp; $BJ4):INDIRECT("Table!" &amp; $BV$88 &amp; $BJ4),0)))))/1024</f>
        <v>162.185546875</v>
      </c>
      <c r="AL4" s="709">
        <f ca="1">IF(ISERROR(MATCH(AL$1,INDIRECT("Table!A"&amp;$BJ4):INDIRECT("Table!" &amp; $BV$88 &amp; $BJ4),0)),"",INDIRECT(CONCATENATE("Table!",ADDRESS($BN4,MATCH(AL$1,INDIRECT("Table!A" &amp; $BJ4):INDIRECT("Table!" &amp; $BV$88 &amp; $BJ4),0)))))/1024</f>
        <v>121.1125</v>
      </c>
      <c r="AM4" s="709">
        <f ca="1">IF(ISERROR(MATCH(AM$1,INDIRECT("Table!A"&amp;$BJ4):INDIRECT("Table!" &amp; $BV$88 &amp; $BJ4),0)),"",INDIRECT(CONCATENATE("Table!",ADDRESS($BN4,MATCH(AM$1,INDIRECT("Table!A" &amp; $BJ4):INDIRECT("Table!" &amp; $BV$88 &amp; $BJ4),0)))))/1024</f>
        <v>218.81953125000001</v>
      </c>
      <c r="AN4" s="709">
        <f ca="1">IF(ISERROR(MATCH(AN$1,INDIRECT("Table!A"&amp;$BJ4):INDIRECT("Table!" &amp; $BV$88 &amp; $BJ4),0)),"",INDIRECT(CONCATENATE("Table!",ADDRESS($BN4,MATCH(AN$1,INDIRECT("Table!A" &amp; $BJ4):INDIRECT("Table!" &amp; $BV$88 &amp; $BJ4),0)))))/1024</f>
        <v>188.50498046875001</v>
      </c>
      <c r="AO4" s="709">
        <f ca="1">IF(ISERROR(MATCH(AO$1,INDIRECT("Table!A"&amp;$BJ4):INDIRECT("Table!" &amp; $BV$88 &amp; $BJ4),0)),"",INDIRECT(CONCATENATE("Table!",ADDRESS($BN4,MATCH(AO$1,INDIRECT("Table!A" &amp; $BJ4):INDIRECT("Table!" &amp; $BV$88 &amp; $BJ4),0)))))/1024</f>
        <v>427.94912109375002</v>
      </c>
      <c r="AP4" s="709">
        <f ca="1">IF(ISERROR(MATCH(AP$1,INDIRECT("Table!A"&amp;$BJ4):INDIRECT("Table!" &amp; $BV$88 &amp; $BJ4),0)),"",INDIRECT(CONCATENATE("Table!",ADDRESS($BN4,MATCH(AP$1,INDIRECT("Table!A" &amp; $BJ4):INDIRECT("Table!" &amp; $BV$88 &amp; $BJ4),0)))))/1024</f>
        <v>81.092578125000003</v>
      </c>
      <c r="AQ4" s="709">
        <f ca="1">IF(ISERROR(MATCH(AQ$1,INDIRECT("Table!A"&amp;$BJ4):INDIRECT("Table!" &amp; $BV$88 &amp; $BJ4),0)),"",INDIRECT(CONCATENATE("Table!",ADDRESS($BN4,MATCH(AQ$1,INDIRECT("Table!A" &amp; $BJ4):INDIRECT("Table!" &amp; $BV$88 &amp; $BJ4),0)))))/1024</f>
        <v>269.65859375000002</v>
      </c>
      <c r="AR4" s="709">
        <f ca="1">IF(ISERROR(MATCH(AR$1,INDIRECT("Table!A"&amp;$BJ4):INDIRECT("Table!" &amp; $BV$88 &amp; $BJ4),0)),"",INDIRECT(CONCATENATE("Table!",ADDRESS($BN4,MATCH(AR$1,INDIRECT("Table!A" &amp; $BJ4):INDIRECT("Table!" &amp; $BV$88 &amp; $BJ4),0)))))/1024</f>
        <v>81.092578125000003</v>
      </c>
      <c r="AS4" s="709">
        <f ca="1">IF(ISERROR(MATCH(AS$1,INDIRECT("Table!A"&amp;$BJ4):INDIRECT("Table!" &amp; $BV$88 &amp; $BJ4),0)),"",INDIRECT(CONCATENATE("Table!",ADDRESS($BN4,MATCH(AS$1,INDIRECT("Table!A" &amp; $BJ4):INDIRECT("Table!" &amp; $BV$88 &amp; $BJ4),0)))))/1024</f>
        <v>187.12714843750001</v>
      </c>
      <c r="AT4" s="709">
        <f ca="1">IF(ISERROR(MATCH(AT$1,INDIRECT("Table!A"&amp;$BJ4):INDIRECT("Table!" &amp; $BV$88 &amp; $BJ4),0)),"",INDIRECT(CONCATENATE("Table!",ADDRESS($BN4,MATCH(AT$1,INDIRECT("Table!A" &amp; $BJ4):INDIRECT("Table!" &amp; $BV$88 &amp; $BJ4),0)))))/1024</f>
        <v>251.84228515625</v>
      </c>
      <c r="AU4" s="709">
        <f ca="1">IF(ISERROR(MATCH(AU$1,INDIRECT("Table!A"&amp;$BJ4):INDIRECT("Table!" &amp; $BV$88 &amp; $BJ4),0)),"",INDIRECT(CONCATENATE("Table!",ADDRESS($BN4,MATCH(AU$1,INDIRECT("Table!A" &amp; $BJ4):INDIRECT("Table!" &amp; $BV$88 &amp; $BJ4),0)))))/1024</f>
        <v>53.8583984375</v>
      </c>
      <c r="AV4" s="709">
        <f ca="1">IF(ISERROR(MATCH(AV$1,INDIRECT("Table!A"&amp;$BJ4):INDIRECT("Table!" &amp; $BV$88 &amp; $BJ4),0)),"",INDIRECT(CONCATENATE("Table!",ADDRESS($BN4,MATCH(AV$1,INDIRECT("Table!A" &amp; $BJ4):INDIRECT("Table!" &amp; $BV$88 &amp; $BJ4),0)))))/1024</f>
        <v>32.31494140625</v>
      </c>
      <c r="AW4" s="709">
        <f ca="1">IF(ISERROR(MATCH(AW$1,INDIRECT("Table!A"&amp;$BJ4):INDIRECT("Table!" &amp; $BV$88 &amp; $BJ4),0)),"",INDIRECT(CONCATENATE("Table!",ADDRESS($BN4,MATCH(AW$1,INDIRECT("Table!A" &amp; $BJ4):INDIRECT("Table!" &amp; $BV$88 &amp; $BJ4),0)))))/1024</f>
        <v>99.80126953125</v>
      </c>
      <c r="AX4" s="709">
        <f ca="1">IF(ISERROR(MATCH(AX$1,INDIRECT("Table!A"&amp;$BJ4):INDIRECT("Table!" &amp; $BV$88 &amp; $BJ4),0)),"",INDIRECT(CONCATENATE("Table!",ADDRESS($BN4,MATCH(AX$1,INDIRECT("Table!A" &amp; $BJ4):INDIRECT("Table!" &amp; $BV$88 &amp; $BJ4),0)))))/1024</f>
        <v>204.58642578125</v>
      </c>
      <c r="AY4" s="909">
        <f ca="1">IF(ISERROR(MATCH(AY$1,INDIRECT("Table!A"&amp;$BJ4):INDIRECT("Table!" &amp; $BV$88 &amp; $BJ4),0)),"",INDIRECT(CONCATENATE("Table!",ADDRESS($BN4,MATCH(AY$1,INDIRECT("Table!A" &amp; $BJ4):INDIRECT("Table!" &amp; $BV$88 &amp; $BJ4),0)))))/1024</f>
        <v>99.80126953125</v>
      </c>
      <c r="AZ4" s="909">
        <f ca="1">IF(ISERROR(MATCH(AZ$1,INDIRECT("Table!A"&amp;$BJ4):INDIRECT("Table!" &amp; $BV$88 &amp; $BJ4),0)),"",INDIRECT(CONCATENATE("Table!",ADDRESS($BN4,MATCH(AZ$1,INDIRECT("Table!A" &amp; $BJ4):INDIRECT("Table!" &amp; $BV$88 &amp; $BJ4),0)))))/1024</f>
        <v>204.58642578125</v>
      </c>
      <c r="BA4" s="909">
        <f ca="1">IF(ISERROR(MATCH(BA$1,INDIRECT("Table!A"&amp;$BJ4):INDIRECT("Table!" &amp; $BV$88 &amp; $BJ4),0)),"",INDIRECT(CONCATENATE("Table!",ADDRESS($BN4,MATCH(BA$1,INDIRECT("Table!A" &amp; $BJ4):INDIRECT("Table!" &amp; $BV$88 &amp; $BJ4),0)))))/1024</f>
        <v>99.80126953125</v>
      </c>
      <c r="BB4" s="909">
        <f ca="1">IF(ISERROR(MATCH(BB$1,INDIRECT("Table!A"&amp;$BJ4):INDIRECT("Table!" &amp; $BV$88 &amp; $BJ4),0)),"",INDIRECT(CONCATENATE("Table!",ADDRESS($BN4,MATCH(BB$1,INDIRECT("Table!A" &amp; $BJ4):INDIRECT("Table!" &amp; $BV$88 &amp; $BJ4),0)))))/1024</f>
        <v>204.58642578125</v>
      </c>
      <c r="BC4" s="909">
        <f ca="1">IF(ISERROR(MATCH(BC$1,INDIRECT("Table!A"&amp;$BJ4):INDIRECT("Table!" &amp; $BV$88 &amp; $BJ4),0)),"",INDIRECT(CONCATENATE("Table!",ADDRESS($BN4,MATCH(BC$1,INDIRECT("Table!A" &amp; $BJ4):INDIRECT("Table!" &amp; $BV$88 &amp; $BJ4),0)))))/1024</f>
        <v>320.99140625000001</v>
      </c>
      <c r="BD4" s="909">
        <f ca="1">IF(ISERROR(MATCH(BD$1,INDIRECT("Table!A"&amp;$BJ4):INDIRECT("Table!" &amp; $BV$88 &amp; $BJ4),0)),"",INDIRECT(CONCATENATE("Table!",ADDRESS($BN4,MATCH(BD$1,INDIRECT("Table!A" &amp; $BJ4):INDIRECT("Table!" &amp; $BV$88 &amp; $BJ4),0)))))/1024</f>
        <v>186.39765625000001</v>
      </c>
      <c r="BF4" s="704">
        <f>MATCH($A4,Table!$A:$A,0)+$BH$2-1</f>
        <v>19</v>
      </c>
      <c r="BG4" s="744"/>
      <c r="BH4" s="744"/>
      <c r="BI4" s="744"/>
      <c r="BJ4" s="717">
        <f>MATCH($A4,Table!$A:$A,0)+$BL$2-1</f>
        <v>17</v>
      </c>
      <c r="BK4" s="744"/>
      <c r="BL4" s="744"/>
      <c r="BM4" s="744"/>
      <c r="BN4" s="704">
        <f>MATCH($A4,Table!$A:$A,0)+$BP$2-1</f>
        <v>18</v>
      </c>
      <c r="BO4" s="744"/>
      <c r="BP4" s="744"/>
      <c r="BQ4" s="744"/>
      <c r="BR4" s="717">
        <f>MATCH($A4,Table!$A:$A,0)+$BL$2-1</f>
        <v>17</v>
      </c>
      <c r="BS4" s="744"/>
      <c r="BT4" s="744"/>
      <c r="BU4" s="744"/>
      <c r="BV4" s="711" t="s">
        <v>284</v>
      </c>
      <c r="BW4" s="712">
        <f ca="1">SUM(AD4:BD4)</f>
        <v>4922.1814453124998</v>
      </c>
      <c r="BX4" s="712">
        <f t="shared" ref="BX4" ca="1" si="4">SUM(B4:V4)</f>
        <v>2057.0791992187496</v>
      </c>
      <c r="BY4" s="712">
        <f t="shared" ref="BY4" ca="1" si="5">BW4-BX4</f>
        <v>2865.1022460937502</v>
      </c>
      <c r="BZ4" s="718">
        <f t="shared" ref="BZ4" ca="1" si="6">BX4/BW4</f>
        <v>0.41792022949047331</v>
      </c>
      <c r="CA4" s="712">
        <f ca="1">SUMIF('Alloc Feed'!A:A,A:A,'Alloc Feed'!I:I)</f>
        <v>3682.561520507812</v>
      </c>
      <c r="CB4" s="718">
        <f t="shared" ref="CB4" ca="1" si="7">CA4/BW4</f>
        <v>0.74815639395309075</v>
      </c>
    </row>
    <row r="5" spans="1:80" s="743" customFormat="1" x14ac:dyDescent="0.25">
      <c r="A5" s="703">
        <v>41808</v>
      </c>
      <c r="B5" s="709">
        <f ca="1">IF(ISERROR(MATCH(B$1,INDIRECT("Table!A"&amp;$BJ5):INDIRECT("Table!" &amp; $BV$88 &amp; $BJ5),0)),"",INDIRECT(CONCATENATE("Table!",ADDRESS($BF5,MATCH(B$1,INDIRECT("Table!A" &amp; $BJ5):INDIRECT("Table!" &amp; $BV$88 &amp; $BJ5),0)))))/1024</f>
        <v>100.29677734374999</v>
      </c>
      <c r="C5" s="709">
        <f ca="1">IF(ISERROR(MATCH(C$1,INDIRECT("Table!A"&amp;$BJ5):INDIRECT("Table!" &amp; $BV$88 &amp; $BJ5),0)),"",INDIRECT(CONCATENATE("Table!",ADDRESS($BF5,MATCH(C$1,INDIRECT("Table!A" &amp; $BJ5):INDIRECT("Table!" &amp; $BV$88 &amp; $BJ5),0)))))/1024</f>
        <v>81.599414062500003</v>
      </c>
      <c r="D5" s="709">
        <f ca="1">IF(ISERROR(MATCH(D$1,INDIRECT("Table!A"&amp;$BJ5):INDIRECT("Table!" &amp; $BV$88 &amp; $BJ5),0)),"",INDIRECT(CONCATENATE("Table!",ADDRESS($BF5,MATCH(D$1,INDIRECT("Table!A" &amp; $BJ5):INDIRECT("Table!" &amp; $BV$88 &amp; $BJ5),0)))))/1024</f>
        <v>82.333593750000006</v>
      </c>
      <c r="E5" s="709">
        <f ca="1">IF(ISERROR(MATCH(E$1,INDIRECT("Table!A"&amp;$BJ5):INDIRECT("Table!" &amp; $BV$88 &amp; $BJ5),0)),"",INDIRECT(CONCATENATE("Table!",ADDRESS($BF5,MATCH(E$1,INDIRECT("Table!A" &amp; $BJ5):INDIRECT("Table!" &amp; $BV$88 &amp; $BJ5),0)))))/1024</f>
        <v>134.88730468750001</v>
      </c>
      <c r="F5" s="709">
        <f ca="1">IF(ISERROR(MATCH(F$1,INDIRECT("Table!A"&amp;$BJ5):INDIRECT("Table!" &amp; $BV$88 &amp; $BJ5),0)),"",INDIRECT(CONCATENATE("Table!",ADDRESS($BF5,MATCH(F$1,INDIRECT("Table!A" &amp; $BJ5):INDIRECT("Table!" &amp; $BV$88 &amp; $BJ5),0)))))/1024</f>
        <v>112.77861328125</v>
      </c>
      <c r="G5" s="709">
        <f ca="1">IF(ISERROR(MATCH(G$1,INDIRECT("Table!A"&amp;$BJ5):INDIRECT("Table!" &amp; $BV$88 &amp; $BJ5),0)),"",INDIRECT(CONCATENATE("Table!",ADDRESS($BF5,MATCH(G$1,INDIRECT("Table!A" &amp; $BJ5):INDIRECT("Table!" &amp; $BV$88 &amp; $BJ5),0)))))/1024</f>
        <v>209.80800781249999</v>
      </c>
      <c r="H5" s="709">
        <f ca="1">IF(ISERROR(MATCH(H$1,INDIRECT("Table!A"&amp;$BJ5):INDIRECT("Table!" &amp; $BV$88 &amp; $BJ5),0)),"",INDIRECT(CONCATENATE("Table!",ADDRESS($BF5,MATCH(H$1,INDIRECT("Table!A" &amp; $BJ5):INDIRECT("Table!" &amp; $BV$88 &amp; $BJ5),0)))))/1024</f>
        <v>119.14951171875001</v>
      </c>
      <c r="I5" s="709">
        <f ca="1">IF(ISERROR(MATCH(I$1,INDIRECT("Table!A"&amp;$BJ5):INDIRECT("Table!" &amp; $BV$88 &amp; $BJ5),0)),"",INDIRECT(CONCATENATE("Table!",ADDRESS($BF5,MATCH(I$1,INDIRECT("Table!A" &amp; $BJ5):INDIRECT("Table!" &amp; $BV$88 &amp; $BJ5),0)))))/1024</f>
        <v>25.285351562500001</v>
      </c>
      <c r="J5" s="709">
        <f ca="1">IF(ISERROR(MATCH(J$1,INDIRECT("Table!A"&amp;$BJ5):INDIRECT("Table!" &amp; $BV$88 &amp; $BJ5),0)),"",INDIRECT(CONCATENATE("Table!",ADDRESS($BF5,MATCH(J$1,INDIRECT("Table!A" &amp; $BJ5):INDIRECT("Table!" &amp; $BV$88 &amp; $BJ5),0)))))/1024</f>
        <v>81.389062499999994</v>
      </c>
      <c r="K5" s="709">
        <f ca="1">IF(ISERROR(MATCH(K$1,INDIRECT("Table!A"&amp;$BJ5):INDIRECT("Table!" &amp; $BV$88 &amp; $BJ5),0)),"",INDIRECT(CONCATENATE("Table!",ADDRESS($BF5,MATCH(K$1,INDIRECT("Table!A" &amp; $BJ5):INDIRECT("Table!" &amp; $BV$88 &amp; $BJ5),0)))))/1024</f>
        <v>70.767871093750003</v>
      </c>
      <c r="L5" s="709">
        <f ca="1">IF(ISERROR(MATCH(L$1,INDIRECT("Table!A"&amp;$BJ5):INDIRECT("Table!" &amp; $BV$88 &amp; $BJ5),0)),"",INDIRECT(CONCATENATE("Table!",ADDRESS($BF5,MATCH(L$1,INDIRECT("Table!A" &amp; $BJ5):INDIRECT("Table!" &amp; $BV$88 &amp; $BJ5),0)))))/1024</f>
        <v>132.08085937499999</v>
      </c>
      <c r="M5" s="709">
        <f ca="1">IF(ISERROR(MATCH(M$1,INDIRECT("Table!A"&amp;$BJ5):INDIRECT("Table!" &amp; $BV$88 &amp; $BJ5),0)),"",INDIRECT(CONCATENATE("Table!",ADDRESS($BF5,MATCH(M$1,INDIRECT("Table!A" &amp; $BJ5):INDIRECT("Table!" &amp; $BV$88 &amp; $BJ5),0)))))/1024</f>
        <v>206.47998046875</v>
      </c>
      <c r="N5" s="709">
        <f ca="1">IF(ISERROR(MATCH(N$1,INDIRECT("Table!A"&amp;$BJ5):INDIRECT("Table!" &amp; $BV$88 &amp; $BJ5),0)),"",INDIRECT(CONCATENATE("Table!",ADDRESS($BF5,MATCH(N$1,INDIRECT("Table!A" &amp; $BJ5):INDIRECT("Table!" &amp; $BV$88 &amp; $BJ5),0)))))/1024</f>
        <v>56.925097656250003</v>
      </c>
      <c r="O5" s="709">
        <f ca="1">IF(ISERROR(MATCH(O$1,INDIRECT("Table!A"&amp;$BJ5):INDIRECT("Table!" &amp; $BV$88 &amp; $BJ5),0)),"",INDIRECT(CONCATENATE("Table!",ADDRESS($BF5,MATCH(O$1,INDIRECT("Table!A" &amp; $BJ5):INDIRECT("Table!" &amp; $BV$88 &amp; $BJ5),0)))))/1024</f>
        <v>220.3466796875</v>
      </c>
      <c r="P5" s="709">
        <f ca="1">IF(ISERROR(MATCH(P$1,INDIRECT("Table!A"&amp;$BJ5):INDIRECT("Table!" &amp; $BV$88 &amp; $BJ5),0)),"",INDIRECT(CONCATENATE("Table!",ADDRESS($BF5,MATCH(P$1,INDIRECT("Table!A" &amp; $BJ5):INDIRECT("Table!" &amp; $BV$88 &amp; $BJ5),0)))))/1024</f>
        <v>48.896191406249997</v>
      </c>
      <c r="Q5" s="709">
        <f ca="1">IF(ISERROR(MATCH(Q$1,INDIRECT("Table!A"&amp;$BJ5):INDIRECT("Table!" &amp; $BV$88 &amp; $BJ5),0)),"",INDIRECT(CONCATENATE("Table!",ADDRESS($BF5,MATCH(Q$1,INDIRECT("Table!A" &amp; $BJ5):INDIRECT("Table!" &amp; $BV$88 &amp; $BJ5),0)))))/1024</f>
        <v>128.63056640625001</v>
      </c>
      <c r="R5" s="709">
        <f ca="1">IF(ISERROR(MATCH(R$1,INDIRECT("Table!A"&amp;$BJ5):INDIRECT("Table!" &amp; $BV$88 &amp; $BJ5),0)),"",INDIRECT(CONCATENATE("Table!",ADDRESS($BF5,MATCH(R$1,INDIRECT("Table!A" &amp; $BJ5):INDIRECT("Table!" &amp; $BV$88 &amp; $BJ5),0)))))/1024</f>
        <v>167.44277343749999</v>
      </c>
      <c r="S5" s="709">
        <f ca="1">IF(ISERROR(MATCH(S$1,INDIRECT("Table!A"&amp;$BJ5):INDIRECT("Table!" &amp; $BV$43 &amp; $BJ5),0)),"",INDIRECT(CONCATENATE("Table!",ADDRESS($BF5,MATCH(S$1,INDIRECT("Table!A" &amp; $BJ5):INDIRECT("Table!" &amp; $BV$43 &amp; $BJ5),0)))))/1024</f>
        <v>16.204785156250001</v>
      </c>
      <c r="T5" s="709">
        <f ca="1">IF(ISERROR(MATCH(T$1,INDIRECT("Table!A"&amp;$BJ5):INDIRECT("Table!" &amp; $BV$43 &amp; $BJ5),0)),"",INDIRECT(CONCATENATE("Table!",ADDRESS($BF5,MATCH(T$1,INDIRECT("Table!A" &amp; $BJ5):INDIRECT("Table!" &amp; $BV$43 &amp; $BJ5),0)))))/1024</f>
        <v>9.9869140625000004</v>
      </c>
      <c r="U5" s="709">
        <f ca="1">IF(ISERROR(MATCH(U$1,INDIRECT("Table!A"&amp;$BJ5):INDIRECT("Table!" &amp; $BV$43 &amp; $BJ5),0)),"",INDIRECT(CONCATENATE("Table!",ADDRESS($BF5,MATCH(U$1,INDIRECT("Table!A" &amp; $BJ5):INDIRECT("Table!" &amp; $BV$43 &amp; $BJ5),0)))))/1024</f>
        <v>14.400390625</v>
      </c>
      <c r="V5" s="709">
        <f ca="1">IF(ISERROR(MATCH(V$1,INDIRECT("Table!A"&amp;$BJ5):INDIRECT("Table!" &amp; $BV$43 &amp; $BJ5),0)),"",INDIRECT(CONCATENATE("Table!",ADDRESS($BF5,MATCH(V$1,INDIRECT("Table!A" &amp; $BJ5):INDIRECT("Table!" &amp; $BV$43 &amp; $BJ5),0)))))/1024</f>
        <v>28.800683593750001</v>
      </c>
      <c r="W5" s="709">
        <f ca="1">IF(ISERROR(MATCH(W$1,INDIRECT("Table!A"&amp;$BJ5):INDIRECT("Table!" &amp; $BV$43 &amp; $BJ5),0)),"",INDIRECT(CONCATENATE("Table!",ADDRESS($BF5,MATCH(W$1,INDIRECT("Table!A" &amp; $BJ5):INDIRECT("Table!" &amp; $BV$43 &amp; $BJ5),0)))))/1024</f>
        <v>14.77138671875</v>
      </c>
      <c r="X5" s="709">
        <f ca="1">IF(ISERROR(MATCH(X$1,INDIRECT("Table!A"&amp;$BJ5):INDIRECT("Table!" &amp; $BV$43 &amp; $BJ5),0)),"",INDIRECT(CONCATENATE("Table!",ADDRESS($BF5,MATCH(X$1,INDIRECT("Table!A" &amp; $BJ5):INDIRECT("Table!" &amp; $BV$43 &amp; $BJ5),0)))))/1024</f>
        <v>29.52783203125</v>
      </c>
      <c r="Y5" s="709">
        <f ca="1">IF(ISERROR(MATCH(Y$1,INDIRECT("Table!A"&amp;$BJ5):INDIRECT("Table!" &amp; $BV$43 &amp; $BJ5),0)),"",INDIRECT(CONCATENATE("Table!",ADDRESS($BF5,MATCH(Y$1,INDIRECT("Table!A" &amp; $BJ5):INDIRECT("Table!" &amp; $BV$43 &amp; $BJ5),0)))))/1024</f>
        <v>3.0273437500000001E-3</v>
      </c>
      <c r="Z5" s="709">
        <f ca="1">IF(ISERROR(MATCH(Z$1,INDIRECT("Table!A"&amp;$BJ5):INDIRECT("Table!" &amp; $BV$43 &amp; $BJ5),0)),"",INDIRECT(CONCATENATE("Table!",ADDRESS($BF5,MATCH(Z$1,INDIRECT("Table!A" &amp; $BJ5):INDIRECT("Table!" &amp; $BV$43 &amp; $BJ5),0)))))/1024</f>
        <v>5.859375E-3</v>
      </c>
      <c r="AA5" s="709">
        <f ca="1">IF(ISERROR(MATCH(AA$1,INDIRECT("Table!A"&amp;$BJ5):INDIRECT("Table!" &amp; $BV$43 &amp; $BJ5),0)),"",INDIRECT(CONCATENATE("Table!",ADDRESS($BF5,MATCH(AA$1,INDIRECT("Table!A" &amp; $BJ5):INDIRECT("Table!" &amp; $BV$43 &amp; $BJ5),0)))))/1024</f>
        <v>17.93408203125</v>
      </c>
      <c r="AB5" s="709">
        <f ca="1">IF(ISERROR(MATCH(AB$1,INDIRECT("Table!A"&amp;$BJ5):INDIRECT("Table!" &amp; $BV$43 &amp; $BJ5),0)),"",INDIRECT(CONCATENATE("Table!",ADDRESS($BF5,MATCH(AB$1,INDIRECT("Table!A" &amp; $BJ5):INDIRECT("Table!" &amp; $BV$43 &amp; $BJ5),0)))))/1024</f>
        <v>4.7851562500000003E-3</v>
      </c>
      <c r="AC5" s="709" t="str">
        <f ca="1">IF(ISERROR(MATCH(AC$1,INDIRECT("Table!A"&amp;$BJ5):INDIRECT("Table!" &amp; $BV$88 &amp; $BJ5),0)),"",INDIRECT(CONCATENATE("Table!",ADDRESS($BF5,MATCH(AC$1,INDIRECT("Table!A" &amp; $BJ5):INDIRECT("Table!" &amp; $BV$88 &amp; $BJ5),0)))))</f>
        <v/>
      </c>
      <c r="AD5" s="709">
        <f ca="1">IF(ISERROR(MATCH(AD$1,INDIRECT("Table!A"&amp;$BJ5):INDIRECT("Table!" &amp; $BV$88 &amp; $BJ5),0)),"",INDIRECT(CONCATENATE("Table!",ADDRESS($BN5,MATCH(AD$1,INDIRECT("Table!A" &amp; $BJ5):INDIRECT("Table!" &amp; $BV$88 &amp; $BJ5),0)))))/1024</f>
        <v>244.15859374999999</v>
      </c>
      <c r="AE5" s="709">
        <f ca="1">IF(ISERROR(MATCH(AE$1,INDIRECT("Table!A"&amp;$BJ5):INDIRECT("Table!" &amp; $BV$88 &amp; $BJ5),0)),"",INDIRECT(CONCATENATE("Table!",ADDRESS($BN5,MATCH(AE$1,INDIRECT("Table!A" &amp; $BJ5):INDIRECT("Table!" &amp; $BV$88 &amp; $BJ5),0)))))/1024</f>
        <v>146.98896484375001</v>
      </c>
      <c r="AF5" s="709">
        <f ca="1">IF(ISERROR(MATCH(AF$1,INDIRECT("Table!A"&amp;$BJ5):INDIRECT("Table!" &amp; $BV$88 &amp; $BJ5),0)),"",INDIRECT(CONCATENATE("Table!",ADDRESS($BN5,MATCH(AF$1,INDIRECT("Table!A" &amp; $BJ5):INDIRECT("Table!" &amp; $BV$88 &amp; $BJ5),0)))))/1024</f>
        <v>146.98896484375001</v>
      </c>
      <c r="AG5" s="709">
        <f ca="1">IF(ISERROR(MATCH(AG$1,INDIRECT("Table!A"&amp;$BJ5):INDIRECT("Table!" &amp; $BV$88 &amp; $BJ5),0)),"",INDIRECT(CONCATENATE("Table!",ADDRESS($BN5,MATCH(AG$1,INDIRECT("Table!A" &amp; $BJ5):INDIRECT("Table!" &amp; $BV$88 &amp; $BJ5),0)))))/1024</f>
        <v>177.73320312499999</v>
      </c>
      <c r="AH5" s="709">
        <f ca="1">IF(ISERROR(MATCH(AH$1,INDIRECT("Table!A"&amp;$BJ5):INDIRECT("Table!" &amp; $BV$88 &amp; $BJ5),0)),"",INDIRECT(CONCATENATE("Table!",ADDRESS($BN5,MATCH(AH$1,INDIRECT("Table!A" &amp; $BJ5):INDIRECT("Table!" &amp; $BV$88 &amp; $BJ5),0)))))/1024</f>
        <v>161.88056640625001</v>
      </c>
      <c r="AI5" s="709">
        <f ca="1">IF(ISERROR(MATCH(AI$1,INDIRECT("Table!A"&amp;$BJ5):INDIRECT("Table!" &amp; $BV$88 &amp; $BJ5),0)),"",INDIRECT(CONCATENATE("Table!",ADDRESS($BN5,MATCH(AI$1,INDIRECT("Table!A" &amp; $BJ5):INDIRECT("Table!" &amp; $BV$88 &amp; $BJ5),0)))))/1024</f>
        <v>380.3759765625</v>
      </c>
      <c r="AJ5" s="709">
        <f ca="1">IF(ISERROR(MATCH(AJ$1,INDIRECT("Table!A"&amp;$BJ5):INDIRECT("Table!" &amp; $BV$88 &amp; $BJ5),0)),"",INDIRECT(CONCATENATE("Table!",ADDRESS($BN5,MATCH(AJ$1,INDIRECT("Table!A" &amp; $BJ5):INDIRECT("Table!" &amp; $BV$88 &amp; $BJ5),0)))))/1024</f>
        <v>167.94482421875</v>
      </c>
      <c r="AK5" s="709">
        <f ca="1">IF(ISERROR(MATCH(AK$1,INDIRECT("Table!A"&amp;$BJ5):INDIRECT("Table!" &amp; $BV$88 &amp; $BJ5),0)),"",INDIRECT(CONCATENATE("Table!",ADDRESS($BN5,MATCH(AK$1,INDIRECT("Table!A" &amp; $BJ5):INDIRECT("Table!" &amp; $BV$88 &amp; $BJ5),0)))))/1024</f>
        <v>162.185546875</v>
      </c>
      <c r="AL5" s="709">
        <f ca="1">IF(ISERROR(MATCH(AL$1,INDIRECT("Table!A"&amp;$BJ5):INDIRECT("Table!" &amp; $BV$88 &amp; $BJ5),0)),"",INDIRECT(CONCATENATE("Table!",ADDRESS($BN5,MATCH(AL$1,INDIRECT("Table!A" &amp; $BJ5):INDIRECT("Table!" &amp; $BV$88 &amp; $BJ5),0)))))/1024</f>
        <v>121.1125</v>
      </c>
      <c r="AM5" s="709">
        <f ca="1">IF(ISERROR(MATCH(AM$1,INDIRECT("Table!A"&amp;$BJ5):INDIRECT("Table!" &amp; $BV$88 &amp; $BJ5),0)),"",INDIRECT(CONCATENATE("Table!",ADDRESS($BN5,MATCH(AM$1,INDIRECT("Table!A" &amp; $BJ5):INDIRECT("Table!" &amp; $BV$88 &amp; $BJ5),0)))))/1024</f>
        <v>218.81953125000001</v>
      </c>
      <c r="AN5" s="709">
        <f ca="1">IF(ISERROR(MATCH(AN$1,INDIRECT("Table!A"&amp;$BJ5):INDIRECT("Table!" &amp; $BV$88 &amp; $BJ5),0)),"",INDIRECT(CONCATENATE("Table!",ADDRESS($BN5,MATCH(AN$1,INDIRECT("Table!A" &amp; $BJ5):INDIRECT("Table!" &amp; $BV$88 &amp; $BJ5),0)))))/1024</f>
        <v>188.50498046875001</v>
      </c>
      <c r="AO5" s="709">
        <f ca="1">IF(ISERROR(MATCH(AO$1,INDIRECT("Table!A"&amp;$BJ5):INDIRECT("Table!" &amp; $BV$88 &amp; $BJ5),0)),"",INDIRECT(CONCATENATE("Table!",ADDRESS($BN5,MATCH(AO$1,INDIRECT("Table!A" &amp; $BJ5):INDIRECT("Table!" &amp; $BV$88 &amp; $BJ5),0)))))/1024</f>
        <v>427.94912109375002</v>
      </c>
      <c r="AP5" s="709">
        <f ca="1">IF(ISERROR(MATCH(AP$1,INDIRECT("Table!A"&amp;$BJ5):INDIRECT("Table!" &amp; $BV$88 &amp; $BJ5),0)),"",INDIRECT(CONCATENATE("Table!",ADDRESS($BN5,MATCH(AP$1,INDIRECT("Table!A" &amp; $BJ5):INDIRECT("Table!" &amp; $BV$88 &amp; $BJ5),0)))))/1024</f>
        <v>81.092578125000003</v>
      </c>
      <c r="AQ5" s="709">
        <f ca="1">IF(ISERROR(MATCH(AQ$1,INDIRECT("Table!A"&amp;$BJ5):INDIRECT("Table!" &amp; $BV$88 &amp; $BJ5),0)),"",INDIRECT(CONCATENATE("Table!",ADDRESS($BN5,MATCH(AQ$1,INDIRECT("Table!A" &amp; $BJ5):INDIRECT("Table!" &amp; $BV$88 &amp; $BJ5),0)))))/1024</f>
        <v>269.65859375000002</v>
      </c>
      <c r="AR5" s="709">
        <f ca="1">IF(ISERROR(MATCH(AR$1,INDIRECT("Table!A"&amp;$BJ5):INDIRECT("Table!" &amp; $BV$88 &amp; $BJ5),0)),"",INDIRECT(CONCATENATE("Table!",ADDRESS($BN5,MATCH(AR$1,INDIRECT("Table!A" &amp; $BJ5):INDIRECT("Table!" &amp; $BV$88 &amp; $BJ5),0)))))/1024</f>
        <v>81.092578125000003</v>
      </c>
      <c r="AS5" s="709">
        <f ca="1">IF(ISERROR(MATCH(AS$1,INDIRECT("Table!A"&amp;$BJ5):INDIRECT("Table!" &amp; $BV$88 &amp; $BJ5),0)),"",INDIRECT(CONCATENATE("Table!",ADDRESS($BN5,MATCH(AS$1,INDIRECT("Table!A" &amp; $BJ5):INDIRECT("Table!" &amp; $BV$88 &amp; $BJ5),0)))))/1024</f>
        <v>187.12714843750001</v>
      </c>
      <c r="AT5" s="709">
        <f ca="1">IF(ISERROR(MATCH(AT$1,INDIRECT("Table!A"&amp;$BJ5):INDIRECT("Table!" &amp; $BV$88 &amp; $BJ5),0)),"",INDIRECT(CONCATENATE("Table!",ADDRESS($BN5,MATCH(AT$1,INDIRECT("Table!A" &amp; $BJ5):INDIRECT("Table!" &amp; $BV$88 &amp; $BJ5),0)))))/1024</f>
        <v>251.84228515625</v>
      </c>
      <c r="AU5" s="709">
        <f ca="1">IF(ISERROR(MATCH(AU$1,INDIRECT("Table!A"&amp;$BJ5):INDIRECT("Table!" &amp; $BV$88 &amp; $BJ5),0)),"",INDIRECT(CONCATENATE("Table!",ADDRESS($BN5,MATCH(AU$1,INDIRECT("Table!A" &amp; $BJ5):INDIRECT("Table!" &amp; $BV$88 &amp; $BJ5),0)))))/1024</f>
        <v>53.8583984375</v>
      </c>
      <c r="AV5" s="709">
        <f ca="1">IF(ISERROR(MATCH(AV$1,INDIRECT("Table!A"&amp;$BJ5):INDIRECT("Table!" &amp; $BV$88 &amp; $BJ5),0)),"",INDIRECT(CONCATENATE("Table!",ADDRESS($BN5,MATCH(AV$1,INDIRECT("Table!A" &amp; $BJ5):INDIRECT("Table!" &amp; $BV$88 &amp; $BJ5),0)))))/1024</f>
        <v>32.31494140625</v>
      </c>
      <c r="AW5" s="709">
        <f ca="1">IF(ISERROR(MATCH(AW$1,INDIRECT("Table!A"&amp;$BJ5):INDIRECT("Table!" &amp; $BV$88 &amp; $BJ5),0)),"",INDIRECT(CONCATENATE("Table!",ADDRESS($BN5,MATCH(AW$1,INDIRECT("Table!A" &amp; $BJ5):INDIRECT("Table!" &amp; $BV$88 &amp; $BJ5),0)))))/1024</f>
        <v>99.80126953125</v>
      </c>
      <c r="AX5" s="709">
        <f ca="1">IF(ISERROR(MATCH(AX$1,INDIRECT("Table!A"&amp;$BJ5):INDIRECT("Table!" &amp; $BV$88 &amp; $BJ5),0)),"",INDIRECT(CONCATENATE("Table!",ADDRESS($BN5,MATCH(AX$1,INDIRECT("Table!A" &amp; $BJ5):INDIRECT("Table!" &amp; $BV$88 &amp; $BJ5),0)))))/1024</f>
        <v>204.58642578125</v>
      </c>
      <c r="AY5" s="909">
        <f ca="1">IF(ISERROR(MATCH(AY$1,INDIRECT("Table!A"&amp;$BJ5):INDIRECT("Table!" &amp; $BV$88 &amp; $BJ5),0)),"",INDIRECT(CONCATENATE("Table!",ADDRESS($BN5,MATCH(AY$1,INDIRECT("Table!A" &amp; $BJ5):INDIRECT("Table!" &amp; $BV$88 &amp; $BJ5),0)))))/1024</f>
        <v>99.80126953125</v>
      </c>
      <c r="AZ5" s="909">
        <f ca="1">IF(ISERROR(MATCH(AZ$1,INDIRECT("Table!A"&amp;$BJ5):INDIRECT("Table!" &amp; $BV$88 &amp; $BJ5),0)),"",INDIRECT(CONCATENATE("Table!",ADDRESS($BN5,MATCH(AZ$1,INDIRECT("Table!A" &amp; $BJ5):INDIRECT("Table!" &amp; $BV$88 &amp; $BJ5),0)))))/1024</f>
        <v>204.58642578125</v>
      </c>
      <c r="BA5" s="909">
        <f ca="1">IF(ISERROR(MATCH(BA$1,INDIRECT("Table!A"&amp;$BJ5):INDIRECT("Table!" &amp; $BV$88 &amp; $BJ5),0)),"",INDIRECT(CONCATENATE("Table!",ADDRESS($BN5,MATCH(BA$1,INDIRECT("Table!A" &amp; $BJ5):INDIRECT("Table!" &amp; $BV$88 &amp; $BJ5),0)))))/1024</f>
        <v>99.80126953125</v>
      </c>
      <c r="BB5" s="909">
        <f ca="1">IF(ISERROR(MATCH(BB$1,INDIRECT("Table!A"&amp;$BJ5):INDIRECT("Table!" &amp; $BV$88 &amp; $BJ5),0)),"",INDIRECT(CONCATENATE("Table!",ADDRESS($BN5,MATCH(BB$1,INDIRECT("Table!A" &amp; $BJ5):INDIRECT("Table!" &amp; $BV$88 &amp; $BJ5),0)))))/1024</f>
        <v>204.58642578125</v>
      </c>
      <c r="BC5" s="909">
        <f ca="1">IF(ISERROR(MATCH(BC$1,INDIRECT("Table!A"&amp;$BJ5):INDIRECT("Table!" &amp; $BV$88 &amp; $BJ5),0)),"",INDIRECT(CONCATENATE("Table!",ADDRESS($BN5,MATCH(BC$1,INDIRECT("Table!A" &amp; $BJ5):INDIRECT("Table!" &amp; $BV$88 &amp; $BJ5),0)))))/1024</f>
        <v>256.50185546875002</v>
      </c>
      <c r="BD5" s="909">
        <f ca="1">IF(ISERROR(MATCH(BD$1,INDIRECT("Table!A"&amp;$BJ5):INDIRECT("Table!" &amp; $BV$88 &amp; $BJ5),0)),"",INDIRECT(CONCATENATE("Table!",ADDRESS($BN5,MATCH(BD$1,INDIRECT("Table!A" &amp; $BJ5):INDIRECT("Table!" &amp; $BV$88 &amp; $BJ5),0)))))/1024</f>
        <v>186.39765625000001</v>
      </c>
      <c r="BF5" s="704">
        <f>MATCH($A5,Table!$A:$A,0)+$BH$2-1</f>
        <v>33</v>
      </c>
      <c r="BG5" s="744"/>
      <c r="BH5" s="744"/>
      <c r="BI5" s="744"/>
      <c r="BJ5" s="717">
        <f>MATCH($A5,Table!$A:$A,0)+$BL$2-1</f>
        <v>31</v>
      </c>
      <c r="BK5" s="744"/>
      <c r="BL5" s="744"/>
      <c r="BM5" s="744"/>
      <c r="BN5" s="704">
        <f>MATCH($A5,Table!$A:$A,0)+$BP$2-1</f>
        <v>32</v>
      </c>
      <c r="BO5" s="744"/>
      <c r="BP5" s="744"/>
      <c r="BQ5" s="744"/>
      <c r="BR5" s="717">
        <f>MATCH($A5,Table!$A:$A,0)+$BL$2-1</f>
        <v>31</v>
      </c>
      <c r="BS5" s="744"/>
      <c r="BT5" s="744"/>
      <c r="BU5" s="744"/>
      <c r="BV5" s="711" t="s">
        <v>284</v>
      </c>
      <c r="BW5" s="712">
        <f ca="1">SUM(AD5:BD5)</f>
        <v>4857.69189453125</v>
      </c>
      <c r="BX5" s="712">
        <f t="shared" ref="BX5" ca="1" si="8">SUM(B5:V5)</f>
        <v>2048.4904296874997</v>
      </c>
      <c r="BY5" s="712">
        <f t="shared" ref="BY5" ca="1" si="9">BW5-BX5</f>
        <v>2809.2014648437503</v>
      </c>
      <c r="BZ5" s="718">
        <f t="shared" ref="BZ5" ca="1" si="10">BX5/BW5</f>
        <v>0.42170036185161797</v>
      </c>
      <c r="CA5" s="712">
        <f ca="1">SUMIF('Alloc Feed'!A:A,A:A,'Alloc Feed'!I:I)</f>
        <v>3644.168920898438</v>
      </c>
      <c r="CB5" s="718">
        <f t="shared" ref="CB5" ca="1" si="11">CA5/BW5</f>
        <v>0.75018527317490302</v>
      </c>
    </row>
    <row r="6" spans="1:80" s="743" customFormat="1" x14ac:dyDescent="0.25">
      <c r="A6" s="703">
        <v>41801</v>
      </c>
      <c r="B6" s="709">
        <f ca="1">IF(ISERROR(MATCH(B$1,INDIRECT("Table!A"&amp;$BJ6):INDIRECT("Table!" &amp; $BV$88 &amp; $BJ6),0)),"",INDIRECT(CONCATENATE("Table!",ADDRESS($BF6,MATCH(B$1,INDIRECT("Table!A" &amp; $BJ6):INDIRECT("Table!" &amp; $BV$88 &amp; $BJ6),0)))))/1024</f>
        <v>100.29677734374999</v>
      </c>
      <c r="C6" s="709">
        <f ca="1">IF(ISERROR(MATCH(C$1,INDIRECT("Table!A"&amp;$BJ6):INDIRECT("Table!" &amp; $BV$88 &amp; $BJ6),0)),"",INDIRECT(CONCATENATE("Table!",ADDRESS($BF6,MATCH(C$1,INDIRECT("Table!A" &amp; $BJ6):INDIRECT("Table!" &amp; $BV$88 &amp; $BJ6),0)))))/1024</f>
        <v>81.599414062500003</v>
      </c>
      <c r="D6" s="709">
        <f ca="1">IF(ISERROR(MATCH(D$1,INDIRECT("Table!A"&amp;$BJ6):INDIRECT("Table!" &amp; $BV$88 &amp; $BJ6),0)),"",INDIRECT(CONCATENATE("Table!",ADDRESS($BF6,MATCH(D$1,INDIRECT("Table!A" &amp; $BJ6):INDIRECT("Table!" &amp; $BV$88 &amp; $BJ6),0)))))/1024</f>
        <v>82.291894531249994</v>
      </c>
      <c r="E6" s="709">
        <f ca="1">IF(ISERROR(MATCH(E$1,INDIRECT("Table!A"&amp;$BJ6):INDIRECT("Table!" &amp; $BV$88 &amp; $BJ6),0)),"",INDIRECT(CONCATENATE("Table!",ADDRESS($BF6,MATCH(E$1,INDIRECT("Table!A" &amp; $BJ6):INDIRECT("Table!" &amp; $BV$88 &amp; $BJ6),0)))))/1024</f>
        <v>144.34707031249999</v>
      </c>
      <c r="F6" s="709">
        <f ca="1">IF(ISERROR(MATCH(F$1,INDIRECT("Table!A"&amp;$BJ6):INDIRECT("Table!" &amp; $BV$88 &amp; $BJ6),0)),"",INDIRECT(CONCATENATE("Table!",ADDRESS($BF6,MATCH(F$1,INDIRECT("Table!A" &amp; $BJ6):INDIRECT("Table!" &amp; $BV$88 &amp; $BJ6),0)))))/1024</f>
        <v>112.0361328125</v>
      </c>
      <c r="G6" s="709">
        <f ca="1">IF(ISERROR(MATCH(G$1,INDIRECT("Table!A"&amp;$BJ6):INDIRECT("Table!" &amp; $BV$88 &amp; $BJ6),0)),"",INDIRECT(CONCATENATE("Table!",ADDRESS($BF6,MATCH(G$1,INDIRECT("Table!A" &amp; $BJ6):INDIRECT("Table!" &amp; $BV$88 &amp; $BJ6),0)))))/1024</f>
        <v>209.23173828124999</v>
      </c>
      <c r="H6" s="709">
        <f ca="1">IF(ISERROR(MATCH(H$1,INDIRECT("Table!A"&amp;$BJ6):INDIRECT("Table!" &amp; $BV$88 &amp; $BJ6),0)),"",INDIRECT(CONCATENATE("Table!",ADDRESS($BF6,MATCH(H$1,INDIRECT("Table!A" &amp; $BJ6):INDIRECT("Table!" &amp; $BV$88 &amp; $BJ6),0)))))/1024</f>
        <v>118.94589843750001</v>
      </c>
      <c r="I6" s="709">
        <f ca="1">IF(ISERROR(MATCH(I$1,INDIRECT("Table!A"&amp;$BJ6):INDIRECT("Table!" &amp; $BV$88 &amp; $BJ6),0)),"",INDIRECT(CONCATENATE("Table!",ADDRESS($BF6,MATCH(I$1,INDIRECT("Table!A" &amp; $BJ6):INDIRECT("Table!" &amp; $BV$88 &amp; $BJ6),0)))))/1024</f>
        <v>25.254687499999999</v>
      </c>
      <c r="J6" s="709">
        <f ca="1">IF(ISERROR(MATCH(J$1,INDIRECT("Table!A"&amp;$BJ6):INDIRECT("Table!" &amp; $BV$88 &amp; $BJ6),0)),"",INDIRECT(CONCATENATE("Table!",ADDRESS($BF6,MATCH(J$1,INDIRECT("Table!A" &amp; $BJ6):INDIRECT("Table!" &amp; $BV$88 &amp; $BJ6),0)))))/1024</f>
        <v>80.728515625</v>
      </c>
      <c r="K6" s="709">
        <f ca="1">IF(ISERROR(MATCH(K$1,INDIRECT("Table!A"&amp;$BJ6):INDIRECT("Table!" &amp; $BV$88 &amp; $BJ6),0)),"",INDIRECT(CONCATENATE("Table!",ADDRESS($BF6,MATCH(K$1,INDIRECT("Table!A" &amp; $BJ6):INDIRECT("Table!" &amp; $BV$88 &amp; $BJ6),0)))))/1024</f>
        <v>69.831738281249997</v>
      </c>
      <c r="L6" s="709">
        <f ca="1">IF(ISERROR(MATCH(L$1,INDIRECT("Table!A"&amp;$BJ6):INDIRECT("Table!" &amp; $BV$88 &amp; $BJ6),0)),"",INDIRECT(CONCATENATE("Table!",ADDRESS($BF6,MATCH(L$1,INDIRECT("Table!A" &amp; $BJ6):INDIRECT("Table!" &amp; $BV$88 &amp; $BJ6),0)))))/1024</f>
        <v>143.82548828124999</v>
      </c>
      <c r="M6" s="709">
        <f ca="1">IF(ISERROR(MATCH(M$1,INDIRECT("Table!A"&amp;$BJ6):INDIRECT("Table!" &amp; $BV$88 &amp; $BJ6),0)),"",INDIRECT(CONCATENATE("Table!",ADDRESS($BF6,MATCH(M$1,INDIRECT("Table!A" &amp; $BJ6):INDIRECT("Table!" &amp; $BV$88 &amp; $BJ6),0)))))/1024</f>
        <v>206.13134765625</v>
      </c>
      <c r="N6" s="709">
        <f ca="1">IF(ISERROR(MATCH(N$1,INDIRECT("Table!A"&amp;$BJ6):INDIRECT("Table!" &amp; $BV$88 &amp; $BJ6),0)),"",INDIRECT(CONCATENATE("Table!",ADDRESS($BF6,MATCH(N$1,INDIRECT("Table!A" &amp; $BJ6):INDIRECT("Table!" &amp; $BV$88 &amp; $BJ6),0)))))/1024</f>
        <v>56.557519531250001</v>
      </c>
      <c r="O6" s="709">
        <f ca="1">IF(ISERROR(MATCH(O$1,INDIRECT("Table!A"&amp;$BJ6):INDIRECT("Table!" &amp; $BV$88 &amp; $BJ6),0)),"",INDIRECT(CONCATENATE("Table!",ADDRESS($BF6,MATCH(O$1,INDIRECT("Table!A" &amp; $BJ6):INDIRECT("Table!" &amp; $BV$88 &amp; $BJ6),0)))))/1024</f>
        <v>219.94843750000001</v>
      </c>
      <c r="P6" s="709">
        <f ca="1">IF(ISERROR(MATCH(P$1,INDIRECT("Table!A"&amp;$BJ6):INDIRECT("Table!" &amp; $BV$88 &amp; $BJ6),0)),"",INDIRECT(CONCATENATE("Table!",ADDRESS($BF6,MATCH(P$1,INDIRECT("Table!A" &amp; $BJ6):INDIRECT("Table!" &amp; $BV$88 &amp; $BJ6),0)))))/1024</f>
        <v>48.8349609375</v>
      </c>
      <c r="Q6" s="709">
        <f ca="1">IF(ISERROR(MATCH(Q$1,INDIRECT("Table!A"&amp;$BJ6):INDIRECT("Table!" &amp; $BV$88 &amp; $BJ6),0)),"",INDIRECT(CONCATENATE("Table!",ADDRESS($BF6,MATCH(Q$1,INDIRECT("Table!A" &amp; $BJ6):INDIRECT("Table!" &amp; $BV$88 &amp; $BJ6),0)))))/1024</f>
        <v>122.9853515625</v>
      </c>
      <c r="R6" s="709">
        <f ca="1">IF(ISERROR(MATCH(R$1,INDIRECT("Table!A"&amp;$BJ6):INDIRECT("Table!" &amp; $BV$88 &amp; $BJ6),0)),"",INDIRECT(CONCATENATE("Table!",ADDRESS($BF6,MATCH(R$1,INDIRECT("Table!A" &amp; $BJ6):INDIRECT("Table!" &amp; $BV$88 &amp; $BJ6),0)))))/1024</f>
        <v>163.75712890624999</v>
      </c>
      <c r="S6" s="709">
        <f ca="1">IF(ISERROR(MATCH(S$1,INDIRECT("Table!A"&amp;$BJ6):INDIRECT("Table!" &amp; $BV$43 &amp; $BJ6),0)),"",INDIRECT(CONCATENATE("Table!",ADDRESS($BF6,MATCH(S$1,INDIRECT("Table!A" &amp; $BJ6):INDIRECT("Table!" &amp; $BV$43 &amp; $BJ6),0)))))/1024</f>
        <v>16.204785156250001</v>
      </c>
      <c r="T6" s="709">
        <f ca="1">IF(ISERROR(MATCH(T$1,INDIRECT("Table!A"&amp;$BJ6):INDIRECT("Table!" &amp; $BV$43 &amp; $BJ6),0)),"",INDIRECT(CONCATENATE("Table!",ADDRESS($BF6,MATCH(T$1,INDIRECT("Table!A" &amp; $BJ6):INDIRECT("Table!" &amp; $BV$43 &amp; $BJ6),0)))))/1024</f>
        <v>9.9869140625000004</v>
      </c>
      <c r="U6" s="709">
        <f ca="1">IF(ISERROR(MATCH(U$1,INDIRECT("Table!A"&amp;$BJ6):INDIRECT("Table!" &amp; $BV$43 &amp; $BJ6),0)),"",INDIRECT(CONCATENATE("Table!",ADDRESS($BF6,MATCH(U$1,INDIRECT("Table!A" &amp; $BJ6):INDIRECT("Table!" &amp; $BV$43 &amp; $BJ6),0)))))/1024</f>
        <v>14.09287109375</v>
      </c>
      <c r="V6" s="709">
        <f ca="1">IF(ISERROR(MATCH(V$1,INDIRECT("Table!A"&amp;$BJ6):INDIRECT("Table!" &amp; $BV$43 &amp; $BJ6),0)),"",INDIRECT(CONCATENATE("Table!",ADDRESS($BF6,MATCH(V$1,INDIRECT("Table!A" &amp; $BJ6):INDIRECT("Table!" &amp; $BV$43 &amp; $BJ6),0)))))/1024</f>
        <v>28.185742187500001</v>
      </c>
      <c r="W6" s="709">
        <f ca="1">IF(ISERROR(MATCH(W$1,INDIRECT("Table!A"&amp;$BJ6):INDIRECT("Table!" &amp; $BV$43 &amp; $BJ6),0)),"",INDIRECT(CONCATENATE("Table!",ADDRESS($BF6,MATCH(W$1,INDIRECT("Table!A" &amp; $BJ6):INDIRECT("Table!" &amp; $BV$43 &amp; $BJ6),0)))))/1024</f>
        <v>7.8489257812500002</v>
      </c>
      <c r="X6" s="709">
        <f ca="1">IF(ISERROR(MATCH(X$1,INDIRECT("Table!A"&amp;$BJ6):INDIRECT("Table!" &amp; $BV$43 &amp; $BJ6),0)),"",INDIRECT(CONCATENATE("Table!",ADDRESS($BF6,MATCH(X$1,INDIRECT("Table!A" &amp; $BJ6):INDIRECT("Table!" &amp; $BV$43 &amp; $BJ6),0)))))/1024</f>
        <v>15.682812500000001</v>
      </c>
      <c r="Y6" s="709">
        <f ca="1">IF(ISERROR(MATCH(Y$1,INDIRECT("Table!A"&amp;$BJ6):INDIRECT("Table!" &amp; $BV$43 &amp; $BJ6),0)),"",INDIRECT(CONCATENATE("Table!",ADDRESS($BF6,MATCH(Y$1,INDIRECT("Table!A" &amp; $BJ6):INDIRECT("Table!" &amp; $BV$43 &amp; $BJ6),0)))))/1024</f>
        <v>3.0273437500000001E-3</v>
      </c>
      <c r="Z6" s="709">
        <f ca="1">IF(ISERROR(MATCH(Z$1,INDIRECT("Table!A"&amp;$BJ6):INDIRECT("Table!" &amp; $BV$43 &amp; $BJ6),0)),"",INDIRECT(CONCATENATE("Table!",ADDRESS($BF6,MATCH(Z$1,INDIRECT("Table!A" &amp; $BJ6):INDIRECT("Table!" &amp; $BV$43 &amp; $BJ6),0)))))/1024</f>
        <v>5.859375E-3</v>
      </c>
      <c r="AA6" s="709">
        <f ca="1">IF(ISERROR(MATCH(AA$1,INDIRECT("Table!A"&amp;$BJ6):INDIRECT("Table!" &amp; $BV$43 &amp; $BJ6),0)),"",INDIRECT(CONCATENATE("Table!",ADDRESS($BF6,MATCH(AA$1,INDIRECT("Table!A" &amp; $BJ6):INDIRECT("Table!" &amp; $BV$43 &amp; $BJ6),0)))))/1024</f>
        <v>17.627148437500001</v>
      </c>
      <c r="AB6" s="709"/>
      <c r="AC6" s="709" t="str">
        <f ca="1">IF(ISERROR(MATCH(AC$1,INDIRECT("Table!A"&amp;$BJ6):INDIRECT("Table!" &amp; $BV$88 &amp; $BJ6),0)),"",INDIRECT(CONCATENATE("Table!",ADDRESS($BF6,MATCH(AC$1,INDIRECT("Table!A" &amp; $BJ6):INDIRECT("Table!" &amp; $BV$88 &amp; $BJ6),0)))))</f>
        <v/>
      </c>
      <c r="AD6" s="709">
        <f ca="1">IF(ISERROR(MATCH(AD$1,INDIRECT("Table!A"&amp;$BJ6):INDIRECT("Table!" &amp; $BV$88 &amp; $BJ6),0)),"",INDIRECT(CONCATENATE("Table!",ADDRESS($BN6,MATCH(AD$1,INDIRECT("Table!A" &amp; $BJ6):INDIRECT("Table!" &amp; $BV$88 &amp; $BJ6),0)))))/1024</f>
        <v>244.15859374999999</v>
      </c>
      <c r="AE6" s="709">
        <f ca="1">IF(ISERROR(MATCH(AE$1,INDIRECT("Table!A"&amp;$BJ6):INDIRECT("Table!" &amp; $BV$88 &amp; $BJ6),0)),"",INDIRECT(CONCATENATE("Table!",ADDRESS($BN6,MATCH(AE$1,INDIRECT("Table!A" &amp; $BJ6):INDIRECT("Table!" &amp; $BV$88 &amp; $BJ6),0)))))/1024</f>
        <v>146.98896484375001</v>
      </c>
      <c r="AF6" s="709">
        <f ca="1">IF(ISERROR(MATCH(AF$1,INDIRECT("Table!A"&amp;$BJ6):INDIRECT("Table!" &amp; $BV$88 &amp; $BJ6),0)),"",INDIRECT(CONCATENATE("Table!",ADDRESS($BN6,MATCH(AF$1,INDIRECT("Table!A" &amp; $BJ6):INDIRECT("Table!" &amp; $BV$88 &amp; $BJ6),0)))))/1024</f>
        <v>146.98896484375001</v>
      </c>
      <c r="AG6" s="709">
        <f ca="1">IF(ISERROR(MATCH(AG$1,INDIRECT("Table!A"&amp;$BJ6):INDIRECT("Table!" &amp; $BV$88 &amp; $BJ6),0)),"",INDIRECT(CONCATENATE("Table!",ADDRESS($BN6,MATCH(AG$1,INDIRECT("Table!A" &amp; $BJ6):INDIRECT("Table!" &amp; $BV$88 &amp; $BJ6),0)))))/1024</f>
        <v>177.73320312499999</v>
      </c>
      <c r="AH6" s="709">
        <f ca="1">IF(ISERROR(MATCH(AH$1,INDIRECT("Table!A"&amp;$BJ6):INDIRECT("Table!" &amp; $BV$88 &amp; $BJ6),0)),"",INDIRECT(CONCATENATE("Table!",ADDRESS($BN6,MATCH(AH$1,INDIRECT("Table!A" &amp; $BJ6):INDIRECT("Table!" &amp; $BV$88 &amp; $BJ6),0)))))/1024</f>
        <v>161.88056640625001</v>
      </c>
      <c r="AI6" s="709">
        <f ca="1">IF(ISERROR(MATCH(AI$1,INDIRECT("Table!A"&amp;$BJ6):INDIRECT("Table!" &amp; $BV$88 &amp; $BJ6),0)),"",INDIRECT(CONCATENATE("Table!",ADDRESS($BN6,MATCH(AI$1,INDIRECT("Table!A" &amp; $BJ6):INDIRECT("Table!" &amp; $BV$88 &amp; $BJ6),0)))))/1024</f>
        <v>380.3759765625</v>
      </c>
      <c r="AJ6" s="709">
        <f ca="1">IF(ISERROR(MATCH(AJ$1,INDIRECT("Table!A"&amp;$BJ6):INDIRECT("Table!" &amp; $BV$88 &amp; $BJ6),0)),"",INDIRECT(CONCATENATE("Table!",ADDRESS($BN6,MATCH(AJ$1,INDIRECT("Table!A" &amp; $BJ6):INDIRECT("Table!" &amp; $BV$88 &amp; $BJ6),0)))))/1024</f>
        <v>167.94482421875</v>
      </c>
      <c r="AK6" s="709">
        <f ca="1">IF(ISERROR(MATCH(AK$1,INDIRECT("Table!A"&amp;$BJ6):INDIRECT("Table!" &amp; $BV$88 &amp; $BJ6),0)),"",INDIRECT(CONCATENATE("Table!",ADDRESS($BN6,MATCH(AK$1,INDIRECT("Table!A" &amp; $BJ6):INDIRECT("Table!" &amp; $BV$88 &amp; $BJ6),0)))))/1024</f>
        <v>162.185546875</v>
      </c>
      <c r="AL6" s="709">
        <f ca="1">IF(ISERROR(MATCH(AL$1,INDIRECT("Table!A"&amp;$BJ6):INDIRECT("Table!" &amp; $BV$88 &amp; $BJ6),0)),"",INDIRECT(CONCATENATE("Table!",ADDRESS($BN6,MATCH(AL$1,INDIRECT("Table!A" &amp; $BJ6):INDIRECT("Table!" &amp; $BV$88 &amp; $BJ6),0)))))/1024</f>
        <v>121.1125</v>
      </c>
      <c r="AM6" s="709">
        <f ca="1">IF(ISERROR(MATCH(AM$1,INDIRECT("Table!A"&amp;$BJ6):INDIRECT("Table!" &amp; $BV$88 &amp; $BJ6),0)),"",INDIRECT(CONCATENATE("Table!",ADDRESS($BN6,MATCH(AM$1,INDIRECT("Table!A" &amp; $BJ6):INDIRECT("Table!" &amp; $BV$88 &amp; $BJ6),0)))))/1024</f>
        <v>218.81953125000001</v>
      </c>
      <c r="AN6" s="709">
        <f ca="1">IF(ISERROR(MATCH(AN$1,INDIRECT("Table!A"&amp;$BJ6):INDIRECT("Table!" &amp; $BV$88 &amp; $BJ6),0)),"",INDIRECT(CONCATENATE("Table!",ADDRESS($BN6,MATCH(AN$1,INDIRECT("Table!A" &amp; $BJ6):INDIRECT("Table!" &amp; $BV$88 &amp; $BJ6),0)))))/1024</f>
        <v>188.50498046875001</v>
      </c>
      <c r="AO6" s="709">
        <f ca="1">IF(ISERROR(MATCH(AO$1,INDIRECT("Table!A"&amp;$BJ6):INDIRECT("Table!" &amp; $BV$88 &amp; $BJ6),0)),"",INDIRECT(CONCATENATE("Table!",ADDRESS($BN6,MATCH(AO$1,INDIRECT("Table!A" &amp; $BJ6):INDIRECT("Table!" &amp; $BV$88 &amp; $BJ6),0)))))/1024</f>
        <v>427.94912109375002</v>
      </c>
      <c r="AP6" s="709">
        <f ca="1">IF(ISERROR(MATCH(AP$1,INDIRECT("Table!A"&amp;$BJ6):INDIRECT("Table!" &amp; $BV$88 &amp; $BJ6),0)),"",INDIRECT(CONCATENATE("Table!",ADDRESS($BN6,MATCH(AP$1,INDIRECT("Table!A" &amp; $BJ6):INDIRECT("Table!" &amp; $BV$88 &amp; $BJ6),0)))))/1024</f>
        <v>81.092578125000003</v>
      </c>
      <c r="AQ6" s="709">
        <f ca="1">IF(ISERROR(MATCH(AQ$1,INDIRECT("Table!A"&amp;$BJ6):INDIRECT("Table!" &amp; $BV$88 &amp; $BJ6),0)),"",INDIRECT(CONCATENATE("Table!",ADDRESS($BN6,MATCH(AQ$1,INDIRECT("Table!A" &amp; $BJ6):INDIRECT("Table!" &amp; $BV$88 &amp; $BJ6),0)))))/1024</f>
        <v>269.65859375000002</v>
      </c>
      <c r="AR6" s="709">
        <f ca="1">IF(ISERROR(MATCH(AR$1,INDIRECT("Table!A"&amp;$BJ6):INDIRECT("Table!" &amp; $BV$88 &amp; $BJ6),0)),"",INDIRECT(CONCATENATE("Table!",ADDRESS($BN6,MATCH(AR$1,INDIRECT("Table!A" &amp; $BJ6):INDIRECT("Table!" &amp; $BV$88 &amp; $BJ6),0)))))/1024</f>
        <v>81.092578125000003</v>
      </c>
      <c r="AS6" s="709">
        <f ca="1">IF(ISERROR(MATCH(AS$1,INDIRECT("Table!A"&amp;$BJ6):INDIRECT("Table!" &amp; $BV$88 &amp; $BJ6),0)),"",INDIRECT(CONCATENATE("Table!",ADDRESS($BN6,MATCH(AS$1,INDIRECT("Table!A" &amp; $BJ6):INDIRECT("Table!" &amp; $BV$88 &amp; $BJ6),0)))))/1024</f>
        <v>187.12714843750001</v>
      </c>
      <c r="AT6" s="709">
        <f ca="1">IF(ISERROR(MATCH(AT$1,INDIRECT("Table!A"&amp;$BJ6):INDIRECT("Table!" &amp; $BV$88 &amp; $BJ6),0)),"",INDIRECT(CONCATENATE("Table!",ADDRESS($BN6,MATCH(AT$1,INDIRECT("Table!A" &amp; $BJ6):INDIRECT("Table!" &amp; $BV$88 &amp; $BJ6),0)))))/1024</f>
        <v>251.84228515625</v>
      </c>
      <c r="AU6" s="709">
        <f ca="1">IF(ISERROR(MATCH(AU$1,INDIRECT("Table!A"&amp;$BJ6):INDIRECT("Table!" &amp; $BV$88 &amp; $BJ6),0)),"",INDIRECT(CONCATENATE("Table!",ADDRESS($BN6,MATCH(AU$1,INDIRECT("Table!A" &amp; $BJ6):INDIRECT("Table!" &amp; $BV$88 &amp; $BJ6),0)))))/1024</f>
        <v>53.8583984375</v>
      </c>
      <c r="AV6" s="709">
        <f ca="1">IF(ISERROR(MATCH(AV$1,INDIRECT("Table!A"&amp;$BJ6):INDIRECT("Table!" &amp; $BV$88 &amp; $BJ6),0)),"",INDIRECT(CONCATENATE("Table!",ADDRESS($BN6,MATCH(AV$1,INDIRECT("Table!A" &amp; $BJ6):INDIRECT("Table!" &amp; $BV$88 &amp; $BJ6),0)))))/1024</f>
        <v>32.31494140625</v>
      </c>
      <c r="AW6" s="709">
        <f ca="1">IF(ISERROR(MATCH(AW$1,INDIRECT("Table!A"&amp;$BJ6):INDIRECT("Table!" &amp; $BV$88 &amp; $BJ6),0)),"",INDIRECT(CONCATENATE("Table!",ADDRESS($BN6,MATCH(AW$1,INDIRECT("Table!A" &amp; $BJ6):INDIRECT("Table!" &amp; $BV$88 &amp; $BJ6),0)))))/1024</f>
        <v>99.80126953125</v>
      </c>
      <c r="AX6" s="709">
        <f ca="1">IF(ISERROR(MATCH(AX$1,INDIRECT("Table!A"&amp;$BJ6):INDIRECT("Table!" &amp; $BV$88 &amp; $BJ6),0)),"",INDIRECT(CONCATENATE("Table!",ADDRESS($BN6,MATCH(AX$1,INDIRECT("Table!A" &amp; $BJ6):INDIRECT("Table!" &amp; $BV$88 &amp; $BJ6),0)))))/1024</f>
        <v>204.58642578125</v>
      </c>
      <c r="AY6" s="909">
        <f ca="1">IF(ISERROR(MATCH(AY$1,INDIRECT("Table!A"&amp;$BJ6):INDIRECT("Table!" &amp; $BV$88 &amp; $BJ6),0)),"",INDIRECT(CONCATENATE("Table!",ADDRESS($BN6,MATCH(AY$1,INDIRECT("Table!A" &amp; $BJ6):INDIRECT("Table!" &amp; $BV$88 &amp; $BJ6),0)))))/1024</f>
        <v>99.80126953125</v>
      </c>
      <c r="AZ6" s="909">
        <f ca="1">IF(ISERROR(MATCH(AZ$1,INDIRECT("Table!A"&amp;$BJ6):INDIRECT("Table!" &amp; $BV$88 &amp; $BJ6),0)),"",INDIRECT(CONCATENATE("Table!",ADDRESS($BN6,MATCH(AZ$1,INDIRECT("Table!A" &amp; $BJ6):INDIRECT("Table!" &amp; $BV$88 &amp; $BJ6),0)))))/1024</f>
        <v>204.58642578125</v>
      </c>
      <c r="BA6" s="909">
        <f ca="1">IF(ISERROR(MATCH(BA$1,INDIRECT("Table!A"&amp;$BJ6):INDIRECT("Table!" &amp; $BV$88 &amp; $BJ6),0)),"",INDIRECT(CONCATENATE("Table!",ADDRESS($BN6,MATCH(BA$1,INDIRECT("Table!A" &amp; $BJ6):INDIRECT("Table!" &amp; $BV$88 &amp; $BJ6),0)))))/1024</f>
        <v>99.80126953125</v>
      </c>
      <c r="BB6" s="909">
        <f ca="1">IF(ISERROR(MATCH(BB$1,INDIRECT("Table!A"&amp;$BJ6):INDIRECT("Table!" &amp; $BV$88 &amp; $BJ6),0)),"",INDIRECT(CONCATENATE("Table!",ADDRESS($BN6,MATCH(BB$1,INDIRECT("Table!A" &amp; $BJ6):INDIRECT("Table!" &amp; $BV$88 &amp; $BJ6),0)))))/1024</f>
        <v>204.58642578125</v>
      </c>
      <c r="BC6" s="909">
        <f ca="1">IF(ISERROR(MATCH(BC$1,INDIRECT("Table!A"&amp;$BJ6):INDIRECT("Table!" &amp; $BV$88 &amp; $BJ6),0)),"",INDIRECT(CONCATENATE("Table!",ADDRESS($BN6,MATCH(BC$1,INDIRECT("Table!A" &amp; $BJ6):INDIRECT("Table!" &amp; $BV$88 &amp; $BJ6),0)))))/1024</f>
        <v>223.11875000000001</v>
      </c>
      <c r="BD6" s="909"/>
      <c r="BE6" s="909"/>
      <c r="BF6" s="704">
        <f>MATCH($A6,Table!$A:$A,0)+$BH$2-1</f>
        <v>47</v>
      </c>
      <c r="BG6" s="744"/>
      <c r="BH6" s="744"/>
      <c r="BI6" s="744"/>
      <c r="BJ6" s="717">
        <f>MATCH($A6,Table!$A:$A,0)+$BL$2-1</f>
        <v>45</v>
      </c>
      <c r="BK6" s="744"/>
      <c r="BL6" s="744"/>
      <c r="BM6" s="744"/>
      <c r="BN6" s="704">
        <f>MATCH($A6,Table!$A:$A,0)+$BP$2-1</f>
        <v>46</v>
      </c>
      <c r="BO6" s="744"/>
      <c r="BP6" s="744"/>
      <c r="BQ6" s="744"/>
      <c r="BR6" s="717">
        <f>MATCH($A6,Table!$A:$A,0)+$BL$2-1</f>
        <v>45</v>
      </c>
      <c r="BS6" s="744"/>
      <c r="BT6" s="744"/>
      <c r="BU6" s="744"/>
      <c r="BV6" s="711" t="s">
        <v>284</v>
      </c>
      <c r="BW6" s="712">
        <f t="shared" ref="BW6:BW69" ca="1" si="12">SUM(AD6:BD6)</f>
        <v>4637.9111328124991</v>
      </c>
      <c r="BX6" s="712">
        <f t="shared" ca="1" si="0"/>
        <v>2055.0744140625002</v>
      </c>
      <c r="BY6" s="712">
        <f t="shared" ref="BY6" ca="1" si="13">BW6-BX6</f>
        <v>2582.8367187499989</v>
      </c>
      <c r="BZ6" s="718">
        <f t="shared" ref="BZ6" ca="1" si="14">BX6/BW6</f>
        <v>0.44310344791282624</v>
      </c>
      <c r="CA6" s="712">
        <f ca="1">SUMIF('Alloc Feed'!A:A,A:A,'Alloc Feed'!I:I)</f>
        <v>3521.2204072265622</v>
      </c>
      <c r="CB6" s="718">
        <f t="shared" ref="CB6" ca="1" si="15">CA6/BW6</f>
        <v>0.75922550182440451</v>
      </c>
    </row>
    <row r="7" spans="1:80" s="743" customFormat="1" x14ac:dyDescent="0.25">
      <c r="A7" s="703">
        <v>41794</v>
      </c>
      <c r="B7" s="709">
        <f ca="1">IF(ISERROR(MATCH(B$1,INDIRECT("Table!A"&amp;$BJ7):INDIRECT("Table!" &amp; $BV$88 &amp; $BJ7),0)),"",INDIRECT(CONCATENATE("Table!",ADDRESS($BF7,MATCH(B$1,INDIRECT("Table!A" &amp; $BJ7):INDIRECT("Table!" &amp; $BV$88 &amp; $BJ7),0)))))/1024</f>
        <v>99.743945312500003</v>
      </c>
      <c r="C7" s="709">
        <f ca="1">IF(ISERROR(MATCH(C$1,INDIRECT("Table!A"&amp;$BJ7):INDIRECT("Table!" &amp; $BV$88 &amp; $BJ7),0)),"",INDIRECT(CONCATENATE("Table!",ADDRESS($BF7,MATCH(C$1,INDIRECT("Table!A" &amp; $BJ7):INDIRECT("Table!" &amp; $BV$88 &amp; $BJ7),0)))))/1024</f>
        <v>81.565624999999997</v>
      </c>
      <c r="D7" s="709">
        <f ca="1">IF(ISERROR(MATCH(D$1,INDIRECT("Table!A"&amp;$BJ7):INDIRECT("Table!" &amp; $BV$88 &amp; $BJ7),0)),"",INDIRECT(CONCATENATE("Table!",ADDRESS($BF7,MATCH(D$1,INDIRECT("Table!A" &amp; $BJ7):INDIRECT("Table!" &amp; $BV$88 &amp; $BJ7),0)))))/1024</f>
        <v>82.227734374999997</v>
      </c>
      <c r="E7" s="709">
        <f ca="1">IF(ISERROR(MATCH(E$1,INDIRECT("Table!A"&amp;$BJ7):INDIRECT("Table!" &amp; $BV$88 &amp; $BJ7),0)),"",INDIRECT(CONCATENATE("Table!",ADDRESS($BF7,MATCH(E$1,INDIRECT("Table!A" &amp; $BJ7):INDIRECT("Table!" &amp; $BV$88 &amp; $BJ7),0)))))/1024</f>
        <v>144.15566406249999</v>
      </c>
      <c r="F7" s="709">
        <f ca="1">IF(ISERROR(MATCH(F$1,INDIRECT("Table!A"&amp;$BJ7):INDIRECT("Table!" &amp; $BV$88 &amp; $BJ7),0)),"",INDIRECT(CONCATENATE("Table!",ADDRESS($BF7,MATCH(F$1,INDIRECT("Table!A" &amp; $BJ7):INDIRECT("Table!" &amp; $BV$88 &amp; $BJ7),0)))))/1024</f>
        <v>111.71181640624999</v>
      </c>
      <c r="G7" s="709">
        <f ca="1">IF(ISERROR(MATCH(G$1,INDIRECT("Table!A"&amp;$BJ7):INDIRECT("Table!" &amp; $BV$88 &amp; $BJ7),0)),"",INDIRECT(CONCATENATE("Table!",ADDRESS($BF7,MATCH(G$1,INDIRECT("Table!A" &amp; $BJ7):INDIRECT("Table!" &amp; $BV$88 &amp; $BJ7),0)))))/1024</f>
        <v>208.82080078125</v>
      </c>
      <c r="H7" s="709">
        <f ca="1">IF(ISERROR(MATCH(H$1,INDIRECT("Table!A"&amp;$BJ7):INDIRECT("Table!" &amp; $BV$88 &amp; $BJ7),0)),"",INDIRECT(CONCATENATE("Table!",ADDRESS($BF7,MATCH(H$1,INDIRECT("Table!A" &amp; $BJ7):INDIRECT("Table!" &amp; $BV$88 &amp; $BJ7),0)))))/1024</f>
        <v>118.0685546875</v>
      </c>
      <c r="I7" s="709">
        <f ca="1">IF(ISERROR(MATCH(I$1,INDIRECT("Table!A"&amp;$BJ7):INDIRECT("Table!" &amp; $BV$88 &amp; $BJ7),0)),"",INDIRECT(CONCATENATE("Table!",ADDRESS($BF7,MATCH(I$1,INDIRECT("Table!A" &amp; $BJ7):INDIRECT("Table!" &amp; $BV$88 &amp; $BJ7),0)))))/1024</f>
        <v>24.9248046875</v>
      </c>
      <c r="J7" s="709">
        <f ca="1">IF(ISERROR(MATCH(J$1,INDIRECT("Table!A"&amp;$BJ7):INDIRECT("Table!" &amp; $BV$88 &amp; $BJ7),0)),"",INDIRECT(CONCATENATE("Table!",ADDRESS($BF7,MATCH(J$1,INDIRECT("Table!A" &amp; $BJ7):INDIRECT("Table!" &amp; $BV$88 &amp; $BJ7),0)))))/1024</f>
        <v>80.615136718749994</v>
      </c>
      <c r="K7" s="709">
        <f ca="1">IF(ISERROR(MATCH(K$1,INDIRECT("Table!A"&amp;$BJ7):INDIRECT("Table!" &amp; $BV$88 &amp; $BJ7),0)),"",INDIRECT(CONCATENATE("Table!",ADDRESS($BF7,MATCH(K$1,INDIRECT("Table!A" &amp; $BJ7):INDIRECT("Table!" &amp; $BV$88 &amp; $BJ7),0)))))/1024</f>
        <v>65.337988281250006</v>
      </c>
      <c r="L7" s="709">
        <f ca="1">IF(ISERROR(MATCH(L$1,INDIRECT("Table!A"&amp;$BJ7):INDIRECT("Table!" &amp; $BV$88 &amp; $BJ7),0)),"",INDIRECT(CONCATENATE("Table!",ADDRESS($BF7,MATCH(L$1,INDIRECT("Table!A" &amp; $BJ7):INDIRECT("Table!" &amp; $BV$88 &amp; $BJ7),0)))))/1024</f>
        <v>143.57558593749999</v>
      </c>
      <c r="M7" s="709">
        <f ca="1">IF(ISERROR(MATCH(M$1,INDIRECT("Table!A"&amp;$BJ7):INDIRECT("Table!" &amp; $BV$88 &amp; $BJ7),0)),"",INDIRECT(CONCATENATE("Table!",ADDRESS($BF7,MATCH(M$1,INDIRECT("Table!A" &amp; $BJ7):INDIRECT("Table!" &amp; $BV$88 &amp; $BJ7),0)))))/1024</f>
        <v>205.76445312499999</v>
      </c>
      <c r="N7" s="709">
        <f ca="1">IF(ISERROR(MATCH(N$1,INDIRECT("Table!A"&amp;$BJ7):INDIRECT("Table!" &amp; $BV$88 &amp; $BJ7),0)),"",INDIRECT(CONCATENATE("Table!",ADDRESS($BF7,MATCH(N$1,INDIRECT("Table!A" &amp; $BJ7):INDIRECT("Table!" &amp; $BV$88 &amp; $BJ7),0)))))/1024</f>
        <v>56.403906249999999</v>
      </c>
      <c r="O7" s="709">
        <f ca="1">IF(ISERROR(MATCH(O$1,INDIRECT("Table!A"&amp;$BJ7):INDIRECT("Table!" &amp; $BV$88 &amp; $BJ7),0)),"",INDIRECT(CONCATENATE("Table!",ADDRESS($BF7,MATCH(O$1,INDIRECT("Table!A" &amp; $BJ7):INDIRECT("Table!" &amp; $BV$88 &amp; $BJ7),0)))))/1024</f>
        <v>218.23378906249999</v>
      </c>
      <c r="P7" s="709">
        <f ca="1">IF(ISERROR(MATCH(P$1,INDIRECT("Table!A"&amp;$BJ7):INDIRECT("Table!" &amp; $BV$88 &amp; $BJ7),0)),"",INDIRECT(CONCATENATE("Table!",ADDRESS($BF7,MATCH(P$1,INDIRECT("Table!A" &amp; $BJ7):INDIRECT("Table!" &amp; $BV$88 &amp; $BJ7),0)))))/1024</f>
        <v>48.175195312500001</v>
      </c>
      <c r="Q7" s="709">
        <f ca="1">IF(ISERROR(MATCH(Q$1,INDIRECT("Table!A"&amp;$BJ7):INDIRECT("Table!" &amp; $BV$88 &amp; $BJ7),0)),"",INDIRECT(CONCATENATE("Table!",ADDRESS($BF7,MATCH(Q$1,INDIRECT("Table!A" &amp; $BJ7):INDIRECT("Table!" &amp; $BV$88 &amp; $BJ7),0)))))/1024</f>
        <v>122.79384765624999</v>
      </c>
      <c r="R7" s="709">
        <f ca="1">IF(ISERROR(MATCH(R$1,INDIRECT("Table!A"&amp;$BJ7):INDIRECT("Table!" &amp; $BV$88 &amp; $BJ7),0)),"",INDIRECT(CONCATENATE("Table!",ADDRESS($BF7,MATCH(R$1,INDIRECT("Table!A" &amp; $BJ7):INDIRECT("Table!" &amp; $BV$88 &amp; $BJ7),0)))))/1024</f>
        <v>162.25791015625001</v>
      </c>
      <c r="S7" s="709">
        <f ca="1">IF(ISERROR(MATCH(S$1,INDIRECT("Table!A"&amp;$BJ7):INDIRECT("Table!" &amp; $BV$43 &amp; $BJ7),0)),"",INDIRECT(CONCATENATE("Table!",ADDRESS($BF7,MATCH(S$1,INDIRECT("Table!A" &amp; $BJ7):INDIRECT("Table!" &amp; $BV$43 &amp; $BJ7),0)))))/1024</f>
        <v>16.204785156250001</v>
      </c>
      <c r="T7" s="709">
        <f ca="1">IF(ISERROR(MATCH(T$1,INDIRECT("Table!A"&amp;$BJ7):INDIRECT("Table!" &amp; $BV$43 &amp; $BJ7),0)),"",INDIRECT(CONCATENATE("Table!",ADDRESS($BF7,MATCH(T$1,INDIRECT("Table!A" &amp; $BJ7):INDIRECT("Table!" &amp; $BV$43 &amp; $BJ7),0)))))/1024</f>
        <v>9.9869140625000004</v>
      </c>
      <c r="U7" s="709">
        <f ca="1">IF(ISERROR(MATCH(U$1,INDIRECT("Table!A"&amp;$BJ7):INDIRECT("Table!" &amp; $BV$43 &amp; $BJ7),0)),"",INDIRECT(CONCATENATE("Table!",ADDRESS($BF7,MATCH(U$1,INDIRECT("Table!A" &amp; $BJ7):INDIRECT("Table!" &amp; $BV$43 &amp; $BJ7),0)))))/1024</f>
        <v>12.2201171875</v>
      </c>
      <c r="V7" s="709">
        <f ca="1">IF(ISERROR(MATCH(V$1,INDIRECT("Table!A"&amp;$BJ7):INDIRECT("Table!" &amp; $BV$43 &amp; $BJ7),0)),"",INDIRECT(CONCATENATE("Table!",ADDRESS($BF7,MATCH(V$1,INDIRECT("Table!A" &amp; $BJ7):INDIRECT("Table!" &amp; $BV$43 &amp; $BJ7),0)))))/1024</f>
        <v>24.440136718750001</v>
      </c>
      <c r="W7" s="709">
        <f ca="1">IF(ISERROR(MATCH(W$1,INDIRECT("Table!A"&amp;$BJ7):INDIRECT("Table!" &amp; $BV$43 &amp; $BJ7),0)),"",INDIRECT(CONCATENATE("Table!",ADDRESS($BF7,MATCH(W$1,INDIRECT("Table!A" &amp; $BJ7):INDIRECT("Table!" &amp; $BV$43 &amp; $BJ7),0)))))/1024</f>
        <v>6.6955078124999998</v>
      </c>
      <c r="X7" s="709">
        <f ca="1">IF(ISERROR(MATCH(X$1,INDIRECT("Table!A"&amp;$BJ7):INDIRECT("Table!" &amp; $BV$43 &amp; $BJ7),0)),"",INDIRECT(CONCATENATE("Table!",ADDRESS($BF7,MATCH(X$1,INDIRECT("Table!A" &amp; $BJ7):INDIRECT("Table!" &amp; $BV$43 &amp; $BJ7),0)))))/1024</f>
        <v>13.3755859375</v>
      </c>
      <c r="Y7" s="709">
        <f ca="1">IF(ISERROR(MATCH(Y$1,INDIRECT("Table!A"&amp;$BJ7):INDIRECT("Table!" &amp; $BV$43 &amp; $BJ7),0)),"",INDIRECT(CONCATENATE("Table!",ADDRESS($BF7,MATCH(Y$1,INDIRECT("Table!A" &amp; $BJ7):INDIRECT("Table!" &amp; $BV$43 &amp; $BJ7),0)))))/1024</f>
        <v>3.0273437500000001E-3</v>
      </c>
      <c r="Z7" s="709">
        <f ca="1">IF(ISERROR(MATCH(Z$1,INDIRECT("Table!A"&amp;$BJ7):INDIRECT("Table!" &amp; $BV$43 &amp; $BJ7),0)),"",INDIRECT(CONCATENATE("Table!",ADDRESS($BF7,MATCH(Z$1,INDIRECT("Table!A" &amp; $BJ7):INDIRECT("Table!" &amp; $BV$43 &amp; $BJ7),0)))))/1024</f>
        <v>5.859375E-3</v>
      </c>
      <c r="AA7" s="709">
        <f ca="1">IF(ISERROR(MATCH(AA$1,INDIRECT("Table!A"&amp;$BJ7):INDIRECT("Table!" &amp; $BV$43 &amp; $BJ7),0)),"",INDIRECT(CONCATENATE("Table!",ADDRESS($BF7,MATCH(AA$1,INDIRECT("Table!A" &amp; $BJ7):INDIRECT("Table!" &amp; $BV$43 &amp; $BJ7),0)))))/1024</f>
        <v>14.375195312500001</v>
      </c>
      <c r="AB7" s="709"/>
      <c r="AC7" s="709" t="str">
        <f ca="1">IF(ISERROR(MATCH(AC$1,INDIRECT("Table!A"&amp;$BJ7):INDIRECT("Table!" &amp; $BV$88 &amp; $BJ7),0)),"",INDIRECT(CONCATENATE("Table!",ADDRESS($BF7,MATCH(AC$1,INDIRECT("Table!A" &amp; $BJ7):INDIRECT("Table!" &amp; $BV$88 &amp; $BJ7),0)))))</f>
        <v/>
      </c>
      <c r="AD7" s="709">
        <f ca="1">IF(ISERROR(MATCH(AD$1,INDIRECT("Table!A"&amp;$BJ7):INDIRECT("Table!" &amp; $BV$88 &amp; $BJ7),0)),"",INDIRECT(CONCATENATE("Table!",ADDRESS($BN7,MATCH(AD$1,INDIRECT("Table!A" &amp; $BJ7):INDIRECT("Table!" &amp; $BV$88 &amp; $BJ7),0)))))/1024</f>
        <v>244.15859374999999</v>
      </c>
      <c r="AE7" s="709">
        <f ca="1">IF(ISERROR(MATCH(AE$1,INDIRECT("Table!A"&amp;$BJ7):INDIRECT("Table!" &amp; $BV$88 &amp; $BJ7),0)),"",INDIRECT(CONCATENATE("Table!",ADDRESS($BN7,MATCH(AE$1,INDIRECT("Table!A" &amp; $BJ7):INDIRECT("Table!" &amp; $BV$88 &amp; $BJ7),0)))))/1024</f>
        <v>146.98896484375001</v>
      </c>
      <c r="AF7" s="709">
        <f ca="1">IF(ISERROR(MATCH(AF$1,INDIRECT("Table!A"&amp;$BJ7):INDIRECT("Table!" &amp; $BV$88 &amp; $BJ7),0)),"",INDIRECT(CONCATENATE("Table!",ADDRESS($BN7,MATCH(AF$1,INDIRECT("Table!A" &amp; $BJ7):INDIRECT("Table!" &amp; $BV$88 &amp; $BJ7),0)))))/1024</f>
        <v>146.98896484375001</v>
      </c>
      <c r="AG7" s="709">
        <f ca="1">IF(ISERROR(MATCH(AG$1,INDIRECT("Table!A"&amp;$BJ7):INDIRECT("Table!" &amp; $BV$88 &amp; $BJ7),0)),"",INDIRECT(CONCATENATE("Table!",ADDRESS($BN7,MATCH(AG$1,INDIRECT("Table!A" &amp; $BJ7):INDIRECT("Table!" &amp; $BV$88 &amp; $BJ7),0)))))/1024</f>
        <v>177.73320312499999</v>
      </c>
      <c r="AH7" s="709">
        <f ca="1">IF(ISERROR(MATCH(AH$1,INDIRECT("Table!A"&amp;$BJ7):INDIRECT("Table!" &amp; $BV$88 &amp; $BJ7),0)),"",INDIRECT(CONCATENATE("Table!",ADDRESS($BN7,MATCH(AH$1,INDIRECT("Table!A" &amp; $BJ7):INDIRECT("Table!" &amp; $BV$88 &amp; $BJ7),0)))))/1024</f>
        <v>161.88056640625001</v>
      </c>
      <c r="AI7" s="709">
        <f ca="1">IF(ISERROR(MATCH(AI$1,INDIRECT("Table!A"&amp;$BJ7):INDIRECT("Table!" &amp; $BV$88 &amp; $BJ7),0)),"",INDIRECT(CONCATENATE("Table!",ADDRESS($BN7,MATCH(AI$1,INDIRECT("Table!A" &amp; $BJ7):INDIRECT("Table!" &amp; $BV$88 &amp; $BJ7),0)))))/1024</f>
        <v>380.3759765625</v>
      </c>
      <c r="AJ7" s="709">
        <f ca="1">IF(ISERROR(MATCH(AJ$1,INDIRECT("Table!A"&amp;$BJ7):INDIRECT("Table!" &amp; $BV$88 &amp; $BJ7),0)),"",INDIRECT(CONCATENATE("Table!",ADDRESS($BN7,MATCH(AJ$1,INDIRECT("Table!A" &amp; $BJ7):INDIRECT("Table!" &amp; $BV$88 &amp; $BJ7),0)))))/1024</f>
        <v>167.94482421875</v>
      </c>
      <c r="AK7" s="709">
        <f ca="1">IF(ISERROR(MATCH(AK$1,INDIRECT("Table!A"&amp;$BJ7):INDIRECT("Table!" &amp; $BV$88 &amp; $BJ7),0)),"",INDIRECT(CONCATENATE("Table!",ADDRESS($BN7,MATCH(AK$1,INDIRECT("Table!A" &amp; $BJ7):INDIRECT("Table!" &amp; $BV$88 &amp; $BJ7),0)))))/1024</f>
        <v>162.185546875</v>
      </c>
      <c r="AL7" s="709">
        <f ca="1">IF(ISERROR(MATCH(AL$1,INDIRECT("Table!A"&amp;$BJ7):INDIRECT("Table!" &amp; $BV$88 &amp; $BJ7),0)),"",INDIRECT(CONCATENATE("Table!",ADDRESS($BN7,MATCH(AL$1,INDIRECT("Table!A" &amp; $BJ7):INDIRECT("Table!" &amp; $BV$88 &amp; $BJ7),0)))))/1024</f>
        <v>121.1125</v>
      </c>
      <c r="AM7" s="709">
        <f ca="1">IF(ISERROR(MATCH(AM$1,INDIRECT("Table!A"&amp;$BJ7):INDIRECT("Table!" &amp; $BV$88 &amp; $BJ7),0)),"",INDIRECT(CONCATENATE("Table!",ADDRESS($BN7,MATCH(AM$1,INDIRECT("Table!A" &amp; $BJ7):INDIRECT("Table!" &amp; $BV$88 &amp; $BJ7),0)))))/1024</f>
        <v>218.81953125000001</v>
      </c>
      <c r="AN7" s="709">
        <f ca="1">IF(ISERROR(MATCH(AN$1,INDIRECT("Table!A"&amp;$BJ7):INDIRECT("Table!" &amp; $BV$88 &amp; $BJ7),0)),"",INDIRECT(CONCATENATE("Table!",ADDRESS($BN7,MATCH(AN$1,INDIRECT("Table!A" &amp; $BJ7):INDIRECT("Table!" &amp; $BV$88 &amp; $BJ7),0)))))/1024</f>
        <v>188.50498046875001</v>
      </c>
      <c r="AO7" s="709">
        <f ca="1">IF(ISERROR(MATCH(AO$1,INDIRECT("Table!A"&amp;$BJ7):INDIRECT("Table!" &amp; $BV$88 &amp; $BJ7),0)),"",INDIRECT(CONCATENATE("Table!",ADDRESS($BN7,MATCH(AO$1,INDIRECT("Table!A" &amp; $BJ7):INDIRECT("Table!" &amp; $BV$88 &amp; $BJ7),0)))))/1024</f>
        <v>427.94912109375002</v>
      </c>
      <c r="AP7" s="709">
        <f ca="1">IF(ISERROR(MATCH(AP$1,INDIRECT("Table!A"&amp;$BJ7):INDIRECT("Table!" &amp; $BV$88 &amp; $BJ7),0)),"",INDIRECT(CONCATENATE("Table!",ADDRESS($BN7,MATCH(AP$1,INDIRECT("Table!A" &amp; $BJ7):INDIRECT("Table!" &amp; $BV$88 &amp; $BJ7),0)))))/1024</f>
        <v>81.092578125000003</v>
      </c>
      <c r="AQ7" s="709">
        <f ca="1">IF(ISERROR(MATCH(AQ$1,INDIRECT("Table!A"&amp;$BJ7):INDIRECT("Table!" &amp; $BV$88 &amp; $BJ7),0)),"",INDIRECT(CONCATENATE("Table!",ADDRESS($BN7,MATCH(AQ$1,INDIRECT("Table!A" &amp; $BJ7):INDIRECT("Table!" &amp; $BV$88 &amp; $BJ7),0)))))/1024</f>
        <v>269.65859375000002</v>
      </c>
      <c r="AR7" s="709">
        <f ca="1">IF(ISERROR(MATCH(AR$1,INDIRECT("Table!A"&amp;$BJ7):INDIRECT("Table!" &amp; $BV$88 &amp; $BJ7),0)),"",INDIRECT(CONCATENATE("Table!",ADDRESS($BN7,MATCH(AR$1,INDIRECT("Table!A" &amp; $BJ7):INDIRECT("Table!" &amp; $BV$88 &amp; $BJ7),0)))))/1024</f>
        <v>81.092578125000003</v>
      </c>
      <c r="AS7" s="709">
        <f ca="1">IF(ISERROR(MATCH(AS$1,INDIRECT("Table!A"&amp;$BJ7):INDIRECT("Table!" &amp; $BV$88 &amp; $BJ7),0)),"",INDIRECT(CONCATENATE("Table!",ADDRESS($BN7,MATCH(AS$1,INDIRECT("Table!A" &amp; $BJ7):INDIRECT("Table!" &amp; $BV$88 &amp; $BJ7),0)))))/1024</f>
        <v>187.12714843750001</v>
      </c>
      <c r="AT7" s="709">
        <f ca="1">IF(ISERROR(MATCH(AT$1,INDIRECT("Table!A"&amp;$BJ7):INDIRECT("Table!" &amp; $BV$88 &amp; $BJ7),0)),"",INDIRECT(CONCATENATE("Table!",ADDRESS($BN7,MATCH(AT$1,INDIRECT("Table!A" &amp; $BJ7):INDIRECT("Table!" &amp; $BV$88 &amp; $BJ7),0)))))/1024</f>
        <v>251.84228515625</v>
      </c>
      <c r="AU7" s="709">
        <f ca="1">IF(ISERROR(MATCH(AU$1,INDIRECT("Table!A"&amp;$BJ7):INDIRECT("Table!" &amp; $BV$88 &amp; $BJ7),0)),"",INDIRECT(CONCATENATE("Table!",ADDRESS($BN7,MATCH(AU$1,INDIRECT("Table!A" &amp; $BJ7):INDIRECT("Table!" &amp; $BV$88 &amp; $BJ7),0)))))/1024</f>
        <v>53.8583984375</v>
      </c>
      <c r="AV7" s="709">
        <f ca="1">IF(ISERROR(MATCH(AV$1,INDIRECT("Table!A"&amp;$BJ7):INDIRECT("Table!" &amp; $BV$88 &amp; $BJ7),0)),"",INDIRECT(CONCATENATE("Table!",ADDRESS($BN7,MATCH(AV$1,INDIRECT("Table!A" &amp; $BJ7):INDIRECT("Table!" &amp; $BV$88 &amp; $BJ7),0)))))/1024</f>
        <v>32.31494140625</v>
      </c>
      <c r="AW7" s="709">
        <f ca="1">IF(ISERROR(MATCH(AW$1,INDIRECT("Table!A"&amp;$BJ7):INDIRECT("Table!" &amp; $BV$88 &amp; $BJ7),0)),"",INDIRECT(CONCATENATE("Table!",ADDRESS($BN7,MATCH(AW$1,INDIRECT("Table!A" &amp; $BJ7):INDIRECT("Table!" &amp; $BV$88 &amp; $BJ7),0)))))/1024</f>
        <v>99.80126953125</v>
      </c>
      <c r="AX7" s="709">
        <f ca="1">IF(ISERROR(MATCH(AX$1,INDIRECT("Table!A"&amp;$BJ7):INDIRECT("Table!" &amp; $BV$88 &amp; $BJ7),0)),"",INDIRECT(CONCATENATE("Table!",ADDRESS($BN7,MATCH(AX$1,INDIRECT("Table!A" &amp; $BJ7):INDIRECT("Table!" &amp; $BV$88 &amp; $BJ7),0)))))/1024</f>
        <v>204.58642578125</v>
      </c>
      <c r="AY7" s="909">
        <f ca="1">IF(ISERROR(MATCH(AY$1,INDIRECT("Table!A"&amp;$BJ7):INDIRECT("Table!" &amp; $BV$88 &amp; $BJ7),0)),"",INDIRECT(CONCATENATE("Table!",ADDRESS($BN7,MATCH(AY$1,INDIRECT("Table!A" &amp; $BJ7):INDIRECT("Table!" &amp; $BV$88 &amp; $BJ7),0)))))/1024</f>
        <v>99.80126953125</v>
      </c>
      <c r="AZ7" s="909">
        <f ca="1">IF(ISERROR(MATCH(AZ$1,INDIRECT("Table!A"&amp;$BJ7):INDIRECT("Table!" &amp; $BV$88 &amp; $BJ7),0)),"",INDIRECT(CONCATENATE("Table!",ADDRESS($BN7,MATCH(AZ$1,INDIRECT("Table!A" &amp; $BJ7):INDIRECT("Table!" &amp; $BV$88 &amp; $BJ7),0)))))/1024</f>
        <v>204.58642578125</v>
      </c>
      <c r="BA7" s="909">
        <f ca="1">IF(ISERROR(MATCH(BA$1,INDIRECT("Table!A"&amp;$BJ7):INDIRECT("Table!" &amp; $BV$88 &amp; $BJ7),0)),"",INDIRECT(CONCATENATE("Table!",ADDRESS($BN7,MATCH(BA$1,INDIRECT("Table!A" &amp; $BJ7):INDIRECT("Table!" &amp; $BV$88 &amp; $BJ7),0)))))/1024</f>
        <v>99.80126953125</v>
      </c>
      <c r="BB7" s="909">
        <f ca="1">IF(ISERROR(MATCH(BB$1,INDIRECT("Table!A"&amp;$BJ7):INDIRECT("Table!" &amp; $BV$88 &amp; $BJ7),0)),"",INDIRECT(CONCATENATE("Table!",ADDRESS($BN7,MATCH(BB$1,INDIRECT("Table!A" &amp; $BJ7):INDIRECT("Table!" &amp; $BV$88 &amp; $BJ7),0)))))/1024</f>
        <v>204.58642578125</v>
      </c>
      <c r="BC7" s="909">
        <f ca="1">IF(ISERROR(MATCH(BC$1,INDIRECT("Table!A"&amp;$BJ7):INDIRECT("Table!" &amp; $BV$88 &amp; $BJ7),0)),"",INDIRECT(CONCATENATE("Table!",ADDRESS($BN7,MATCH(BC$1,INDIRECT("Table!A" &amp; $BJ7):INDIRECT("Table!" &amp; $BV$88 &amp; $BJ7),0)))))/1024</f>
        <v>223.11875000000001</v>
      </c>
      <c r="BD7" s="909"/>
      <c r="BE7" s="909"/>
      <c r="BF7" s="704">
        <f>MATCH($A7,Table!$A:$A,0)+$BH$2-1</f>
        <v>61</v>
      </c>
      <c r="BG7" s="744"/>
      <c r="BH7" s="744"/>
      <c r="BI7" s="744"/>
      <c r="BJ7" s="717">
        <f>MATCH($A7,Table!$A:$A,0)+$BL$2-1</f>
        <v>59</v>
      </c>
      <c r="BK7" s="744"/>
      <c r="BL7" s="744"/>
      <c r="BM7" s="744"/>
      <c r="BN7" s="704">
        <f>MATCH($A7,Table!$A:$A,0)+$BP$2-1</f>
        <v>60</v>
      </c>
      <c r="BO7" s="744"/>
      <c r="BP7" s="744"/>
      <c r="BQ7" s="744"/>
      <c r="BR7" s="717">
        <f>MATCH($A7,Table!$A:$A,0)+$BL$2-1</f>
        <v>59</v>
      </c>
      <c r="BS7" s="744"/>
      <c r="BT7" s="744"/>
      <c r="BU7" s="744"/>
      <c r="BV7" s="711" t="s">
        <v>284</v>
      </c>
      <c r="BW7" s="712">
        <f t="shared" ca="1" si="12"/>
        <v>4637.9111328124991</v>
      </c>
      <c r="BX7" s="712">
        <f t="shared" ca="1" si="0"/>
        <v>2037.2287109374997</v>
      </c>
      <c r="BY7" s="712">
        <f t="shared" ref="BY7" ca="1" si="16">BW7-BX7</f>
        <v>2600.6824218749994</v>
      </c>
      <c r="BZ7" s="718">
        <f t="shared" ref="BZ7" ca="1" si="17">BX7/BW7</f>
        <v>0.43925565898070446</v>
      </c>
      <c r="CA7" s="712">
        <f ca="1">SUMIF('Alloc Feed'!A:A,A:A,'Alloc Feed'!I:I)</f>
        <v>3518.7179736328126</v>
      </c>
      <c r="CB7" s="718">
        <f t="shared" ref="CB7" ca="1" si="18">CA7/BW7</f>
        <v>0.75868594133648459</v>
      </c>
    </row>
    <row r="8" spans="1:80" s="743" customFormat="1" x14ac:dyDescent="0.25">
      <c r="A8" s="703">
        <v>41787</v>
      </c>
      <c r="B8" s="709">
        <f ca="1">IF(ISERROR(MATCH(B$1,INDIRECT("Table!A"&amp;$BJ8):INDIRECT("Table!" &amp; $BV$88 &amp; $BJ8),0)),"",INDIRECT(CONCATENATE("Table!",ADDRESS($BF8,MATCH(B$1,INDIRECT("Table!A" &amp; $BJ8):INDIRECT("Table!" &amp; $BV$88 &amp; $BJ8),0)))))/1024</f>
        <v>101.85146484374999</v>
      </c>
      <c r="C8" s="709">
        <f ca="1">IF(ISERROR(MATCH(C$1,INDIRECT("Table!A"&amp;$BJ8):INDIRECT("Table!" &amp; $BV$88 &amp; $BJ8),0)),"",INDIRECT(CONCATENATE("Table!",ADDRESS($BF8,MATCH(C$1,INDIRECT("Table!A" &amp; $BJ8):INDIRECT("Table!" &amp; $BV$88 &amp; $BJ8),0)))))/1024</f>
        <v>81.4814453125</v>
      </c>
      <c r="D8" s="709">
        <f ca="1">IF(ISERROR(MATCH(D$1,INDIRECT("Table!A"&amp;$BJ8):INDIRECT("Table!" &amp; $BV$88 &amp; $BJ8),0)),"",INDIRECT(CONCATENATE("Table!",ADDRESS($BF8,MATCH(D$1,INDIRECT("Table!A" &amp; $BJ8):INDIRECT("Table!" &amp; $BV$88 &amp; $BJ8),0)))))/1024</f>
        <v>82.790917968749994</v>
      </c>
      <c r="E8" s="709">
        <f ca="1">IF(ISERROR(MATCH(E$1,INDIRECT("Table!A"&amp;$BJ8):INDIRECT("Table!" &amp; $BV$88 &amp; $BJ8),0)),"",INDIRECT(CONCATENATE("Table!",ADDRESS($BF8,MATCH(E$1,INDIRECT("Table!A" &amp; $BJ8):INDIRECT("Table!" &amp; $BV$88 &amp; $BJ8),0)))))/1024</f>
        <v>143.88798828124999</v>
      </c>
      <c r="F8" s="709">
        <f ca="1">IF(ISERROR(MATCH(F$1,INDIRECT("Table!A"&amp;$BJ8):INDIRECT("Table!" &amp; $BV$88 &amp; $BJ8),0)),"",INDIRECT(CONCATENATE("Table!",ADDRESS($BF8,MATCH(F$1,INDIRECT("Table!A" &amp; $BJ8):INDIRECT("Table!" &amp; $BV$88 &amp; $BJ8),0)))))/1024</f>
        <v>111.25400390625001</v>
      </c>
      <c r="G8" s="709">
        <f ca="1">IF(ISERROR(MATCH(G$1,INDIRECT("Table!A"&amp;$BJ8):INDIRECT("Table!" &amp; $BV$88 &amp; $BJ8),0)),"",INDIRECT(CONCATENATE("Table!",ADDRESS($BF8,MATCH(G$1,INDIRECT("Table!A" &amp; $BJ8):INDIRECT("Table!" &amp; $BV$88 &amp; $BJ8),0)))))/1024</f>
        <v>208.16806640625001</v>
      </c>
      <c r="H8" s="709">
        <f ca="1">IF(ISERROR(MATCH(H$1,INDIRECT("Table!A"&amp;$BJ8):INDIRECT("Table!" &amp; $BV$88 &amp; $BJ8),0)),"",INDIRECT(CONCATENATE("Table!",ADDRESS($BF8,MATCH(H$1,INDIRECT("Table!A" &amp; $BJ8):INDIRECT("Table!" &amp; $BV$88 &amp; $BJ8),0)))))/1024</f>
        <v>120.56728515624999</v>
      </c>
      <c r="I8" s="709">
        <f ca="1">IF(ISERROR(MATCH(I$1,INDIRECT("Table!A"&amp;$BJ8):INDIRECT("Table!" &amp; $BV$88 &amp; $BJ8),0)),"",INDIRECT(CONCATENATE("Table!",ADDRESS($BF8,MATCH(I$1,INDIRECT("Table!A" &amp; $BJ8):INDIRECT("Table!" &amp; $BV$88 &amp; $BJ8),0)))))/1024</f>
        <v>24.855078124999999</v>
      </c>
      <c r="J8" s="709">
        <f ca="1">IF(ISERROR(MATCH(J$1,INDIRECT("Table!A"&amp;$BJ8):INDIRECT("Table!" &amp; $BV$88 &amp; $BJ8),0)),"",INDIRECT(CONCATENATE("Table!",ADDRESS($BF8,MATCH(J$1,INDIRECT("Table!A" &amp; $BJ8):INDIRECT("Table!" &amp; $BV$88 &amp; $BJ8),0)))))/1024</f>
        <v>80.408496093750003</v>
      </c>
      <c r="K8" s="709">
        <f ca="1">IF(ISERROR(MATCH(K$1,INDIRECT("Table!A"&amp;$BJ8):INDIRECT("Table!" &amp; $BV$88 &amp; $BJ8),0)),"",INDIRECT(CONCATENATE("Table!",ADDRESS($BF8,MATCH(K$1,INDIRECT("Table!A" &amp; $BJ8):INDIRECT("Table!" &amp; $BV$88 &amp; $BJ8),0)))))/1024</f>
        <v>57.51220703125</v>
      </c>
      <c r="L8" s="709">
        <f ca="1">IF(ISERROR(MATCH(L$1,INDIRECT("Table!A"&amp;$BJ8):INDIRECT("Table!" &amp; $BV$88 &amp; $BJ8),0)),"",INDIRECT(CONCATENATE("Table!",ADDRESS($BF8,MATCH(L$1,INDIRECT("Table!A" &amp; $BJ8):INDIRECT("Table!" &amp; $BV$88 &amp; $BJ8),0)))))/1024</f>
        <v>150.38232421875</v>
      </c>
      <c r="M8" s="709">
        <f ca="1">IF(ISERROR(MATCH(M$1,INDIRECT("Table!A"&amp;$BJ8):INDIRECT("Table!" &amp; $BV$88 &amp; $BJ8),0)),"",INDIRECT(CONCATENATE("Table!",ADDRESS($BF8,MATCH(M$1,INDIRECT("Table!A" &amp; $BJ8):INDIRECT("Table!" &amp; $BV$88 &amp; $BJ8),0)))))/1024</f>
        <v>205.18242187499999</v>
      </c>
      <c r="N8" s="709">
        <f ca="1">IF(ISERROR(MATCH(N$1,INDIRECT("Table!A"&amp;$BJ8):INDIRECT("Table!" &amp; $BV$88 &amp; $BJ8),0)),"",INDIRECT(CONCATENATE("Table!",ADDRESS($BF8,MATCH(N$1,INDIRECT("Table!A" &amp; $BJ8):INDIRECT("Table!" &amp; $BV$88 &amp; $BJ8),0)))))/1024</f>
        <v>56.206640624999999</v>
      </c>
      <c r="O8" s="709">
        <f ca="1">IF(ISERROR(MATCH(O$1,INDIRECT("Table!A"&amp;$BJ8):INDIRECT("Table!" &amp; $BV$88 &amp; $BJ8),0)),"",INDIRECT(CONCATENATE("Table!",ADDRESS($BF8,MATCH(O$1,INDIRECT("Table!A" &amp; $BJ8):INDIRECT("Table!" &amp; $BV$88 &amp; $BJ8),0)))))/1024</f>
        <v>223.24892578124999</v>
      </c>
      <c r="P8" s="709">
        <f ca="1">IF(ISERROR(MATCH(P$1,INDIRECT("Table!A"&amp;$BJ8):INDIRECT("Table!" &amp; $BV$88 &amp; $BJ8),0)),"",INDIRECT(CONCATENATE("Table!",ADDRESS($BF8,MATCH(P$1,INDIRECT("Table!A" &amp; $BJ8):INDIRECT("Table!" &amp; $BV$88 &amp; $BJ8),0)))))/1024</f>
        <v>48.035839843749997</v>
      </c>
      <c r="Q8" s="709">
        <f ca="1">IF(ISERROR(MATCH(Q$1,INDIRECT("Table!A"&amp;$BJ8):INDIRECT("Table!" &amp; $BV$88 &amp; $BJ8),0)),"",INDIRECT(CONCATENATE("Table!",ADDRESS($BF8,MATCH(Q$1,INDIRECT("Table!A" &amp; $BJ8):INDIRECT("Table!" &amp; $BV$88 &amp; $BJ8),0)))))/1024</f>
        <v>126.2830078125</v>
      </c>
      <c r="R8" s="709">
        <f ca="1">IF(ISERROR(MATCH(R$1,INDIRECT("Table!A"&amp;$BJ8):INDIRECT("Table!" &amp; $BV$88 &amp; $BJ8),0)),"",INDIRECT(CONCATENATE("Table!",ADDRESS($BF8,MATCH(R$1,INDIRECT("Table!A" &amp; $BJ8):INDIRECT("Table!" &amp; $BV$88 &amp; $BJ8),0)))))/1024</f>
        <v>159.52685546875</v>
      </c>
      <c r="S8" s="709">
        <f ca="1">IF(ISERROR(MATCH(S$1,INDIRECT("Table!A"&amp;$BJ8):INDIRECT("Table!" &amp; $BV$43 &amp; $BJ8),0)),"",INDIRECT(CONCATENATE("Table!",ADDRESS($BF8,MATCH(S$1,INDIRECT("Table!A" &amp; $BJ8):INDIRECT("Table!" &amp; $BV$43 &amp; $BJ8),0)))))/1024</f>
        <v>16.204785156250001</v>
      </c>
      <c r="T8" s="709">
        <f ca="1">IF(ISERROR(MATCH(T$1,INDIRECT("Table!A"&amp;$BJ8):INDIRECT("Table!" &amp; $BV$43 &amp; $BJ8),0)),"",INDIRECT(CONCATENATE("Table!",ADDRESS($BF8,MATCH(T$1,INDIRECT("Table!A" &amp; $BJ8):INDIRECT("Table!" &amp; $BV$43 &amp; $BJ8),0)))))/1024</f>
        <v>9.9869140625000004</v>
      </c>
      <c r="U8" s="709">
        <f ca="1">IF(ISERROR(MATCH(U$1,INDIRECT("Table!A"&amp;$BJ8):INDIRECT("Table!" &amp; $BV$43 &amp; $BJ8),0)),"",INDIRECT(CONCATENATE("Table!",ADDRESS($BF8,MATCH(U$1,INDIRECT("Table!A" &amp; $BJ8):INDIRECT("Table!" &amp; $BV$43 &amp; $BJ8),0)))))/1024</f>
        <v>12.15634765625</v>
      </c>
      <c r="V8" s="709">
        <f ca="1">IF(ISERROR(MATCH(V$1,INDIRECT("Table!A"&amp;$BJ8):INDIRECT("Table!" &amp; $BV$43 &amp; $BJ8),0)),"",INDIRECT(CONCATENATE("Table!",ADDRESS($BF8,MATCH(V$1,INDIRECT("Table!A" &amp; $BJ8):INDIRECT("Table!" &amp; $BV$43 &amp; $BJ8),0)))))/1024</f>
        <v>24.312695312500001</v>
      </c>
      <c r="W8" s="709">
        <f ca="1">IF(ISERROR(MATCH(W$1,INDIRECT("Table!A"&amp;$BJ8):INDIRECT("Table!" &amp; $BV$43 &amp; $BJ8),0)),"",INDIRECT(CONCATENATE("Table!",ADDRESS($BF8,MATCH(W$1,INDIRECT("Table!A" &amp; $BJ8):INDIRECT("Table!" &amp; $BV$43 &amp; $BJ8),0)))))/1024</f>
        <v>6.4512695312500004</v>
      </c>
      <c r="X8" s="709">
        <f ca="1">IF(ISERROR(MATCH(X$1,INDIRECT("Table!A"&amp;$BJ8):INDIRECT("Table!" &amp; $BV$43 &amp; $BJ8),0)),"",INDIRECT(CONCATENATE("Table!",ADDRESS($BF8,MATCH(X$1,INDIRECT("Table!A" &amp; $BJ8):INDIRECT("Table!" &amp; $BV$43 &amp; $BJ8),0)))))/1024</f>
        <v>12.8837890625</v>
      </c>
      <c r="Y8" s="709">
        <f ca="1">IF(ISERROR(MATCH(Y$1,INDIRECT("Table!A"&amp;$BJ8):INDIRECT("Table!" &amp; $BV$43 &amp; $BJ8),0)),"",INDIRECT(CONCATENATE("Table!",ADDRESS($BF8,MATCH(Y$1,INDIRECT("Table!A" &amp; $BJ8):INDIRECT("Table!" &amp; $BV$43 &amp; $BJ8),0)))))/1024</f>
        <v>3.0273437500000001E-3</v>
      </c>
      <c r="Z8" s="709">
        <f ca="1">IF(ISERROR(MATCH(Z$1,INDIRECT("Table!A"&amp;$BJ8):INDIRECT("Table!" &amp; $BV$43 &amp; $BJ8),0)),"",INDIRECT(CONCATENATE("Table!",ADDRESS($BF8,MATCH(Z$1,INDIRECT("Table!A" &amp; $BJ8):INDIRECT("Table!" &amp; $BV$43 &amp; $BJ8),0)))))/1024</f>
        <v>5.859375E-3</v>
      </c>
      <c r="AA8" s="709">
        <f ca="1">IF(ISERROR(MATCH(AA$1,INDIRECT("Table!A"&amp;$BJ8):INDIRECT("Table!" &amp; $BV$43 &amp; $BJ8),0)),"",INDIRECT(CONCATENATE("Table!",ADDRESS($BF8,MATCH(AA$1,INDIRECT("Table!A" &amp; $BJ8):INDIRECT("Table!" &amp; $BV$43 &amp; $BJ8),0)))))/1024</f>
        <v>5.8845703125000002</v>
      </c>
      <c r="AB8" s="709"/>
      <c r="AC8" s="709" t="str">
        <f ca="1">IF(ISERROR(MATCH(AC$1,INDIRECT("Table!A"&amp;$BJ8):INDIRECT("Table!" &amp; $BV$88 &amp; $BJ8),0)),"",INDIRECT(CONCATENATE("Table!",ADDRESS($BF8,MATCH(AC$1,INDIRECT("Table!A" &amp; $BJ8):INDIRECT("Table!" &amp; $BV$88 &amp; $BJ8),0)))))</f>
        <v/>
      </c>
      <c r="AD8" s="709">
        <f ca="1">IF(ISERROR(MATCH(AD$1,INDIRECT("Table!A"&amp;$BJ8):INDIRECT("Table!" &amp; $BV$88 &amp; $BJ8),0)),"",INDIRECT(CONCATENATE("Table!",ADDRESS($BN8,MATCH(AD$1,INDIRECT("Table!A" &amp; $BJ8):INDIRECT("Table!" &amp; $BV$88 &amp; $BJ8),0)))))/1024</f>
        <v>244.15859374999999</v>
      </c>
      <c r="AE8" s="709">
        <f ca="1">IF(ISERROR(MATCH(AE$1,INDIRECT("Table!A"&amp;$BJ8):INDIRECT("Table!" &amp; $BV$88 &amp; $BJ8),0)),"",INDIRECT(CONCATENATE("Table!",ADDRESS($BN8,MATCH(AE$1,INDIRECT("Table!A" &amp; $BJ8):INDIRECT("Table!" &amp; $BV$88 &amp; $BJ8),0)))))/1024</f>
        <v>146.98896484375001</v>
      </c>
      <c r="AF8" s="709">
        <f ca="1">IF(ISERROR(MATCH(AF$1,INDIRECT("Table!A"&amp;$BJ8):INDIRECT("Table!" &amp; $BV$88 &amp; $BJ8),0)),"",INDIRECT(CONCATENATE("Table!",ADDRESS($BN8,MATCH(AF$1,INDIRECT("Table!A" &amp; $BJ8):INDIRECT("Table!" &amp; $BV$88 &amp; $BJ8),0)))))/1024</f>
        <v>146.98896484375001</v>
      </c>
      <c r="AG8" s="709">
        <f ca="1">IF(ISERROR(MATCH(AG$1,INDIRECT("Table!A"&amp;$BJ8):INDIRECT("Table!" &amp; $BV$88 &amp; $BJ8),0)),"",INDIRECT(CONCATENATE("Table!",ADDRESS($BN8,MATCH(AG$1,INDIRECT("Table!A" &amp; $BJ8):INDIRECT("Table!" &amp; $BV$88 &amp; $BJ8),0)))))/1024</f>
        <v>177.73320312499999</v>
      </c>
      <c r="AH8" s="709">
        <f ca="1">IF(ISERROR(MATCH(AH$1,INDIRECT("Table!A"&amp;$BJ8):INDIRECT("Table!" &amp; $BV$88 &amp; $BJ8),0)),"",INDIRECT(CONCATENATE("Table!",ADDRESS($BN8,MATCH(AH$1,INDIRECT("Table!A" &amp; $BJ8):INDIRECT("Table!" &amp; $BV$88 &amp; $BJ8),0)))))/1024</f>
        <v>161.88056640625001</v>
      </c>
      <c r="AI8" s="709">
        <f ca="1">IF(ISERROR(MATCH(AI$1,INDIRECT("Table!A"&amp;$BJ8):INDIRECT("Table!" &amp; $BV$88 &amp; $BJ8),0)),"",INDIRECT(CONCATENATE("Table!",ADDRESS($BN8,MATCH(AI$1,INDIRECT("Table!A" &amp; $BJ8):INDIRECT("Table!" &amp; $BV$88 &amp; $BJ8),0)))))/1024</f>
        <v>380.3759765625</v>
      </c>
      <c r="AJ8" s="709">
        <f ca="1">IF(ISERROR(MATCH(AJ$1,INDIRECT("Table!A"&amp;$BJ8):INDIRECT("Table!" &amp; $BV$88 &amp; $BJ8),0)),"",INDIRECT(CONCATENATE("Table!",ADDRESS($BN8,MATCH(AJ$1,INDIRECT("Table!A" &amp; $BJ8):INDIRECT("Table!" &amp; $BV$88 &amp; $BJ8),0)))))/1024</f>
        <v>167.94482421875</v>
      </c>
      <c r="AK8" s="709">
        <f ca="1">IF(ISERROR(MATCH(AK$1,INDIRECT("Table!A"&amp;$BJ8):INDIRECT("Table!" &amp; $BV$88 &amp; $BJ8),0)),"",INDIRECT(CONCATENATE("Table!",ADDRESS($BN8,MATCH(AK$1,INDIRECT("Table!A" &amp; $BJ8):INDIRECT("Table!" &amp; $BV$88 &amp; $BJ8),0)))))/1024</f>
        <v>162.185546875</v>
      </c>
      <c r="AL8" s="709">
        <f ca="1">IF(ISERROR(MATCH(AL$1,INDIRECT("Table!A"&amp;$BJ8):INDIRECT("Table!" &amp; $BV$88 &amp; $BJ8),0)),"",INDIRECT(CONCATENATE("Table!",ADDRESS($BN8,MATCH(AL$1,INDIRECT("Table!A" &amp; $BJ8):INDIRECT("Table!" &amp; $BV$88 &amp; $BJ8),0)))))/1024</f>
        <v>121.1125</v>
      </c>
      <c r="AM8" s="709">
        <f ca="1">IF(ISERROR(MATCH(AM$1,INDIRECT("Table!A"&amp;$BJ8):INDIRECT("Table!" &amp; $BV$88 &amp; $BJ8),0)),"",INDIRECT(CONCATENATE("Table!",ADDRESS($BN8,MATCH(AM$1,INDIRECT("Table!A" &amp; $BJ8):INDIRECT("Table!" &amp; $BV$88 &amp; $BJ8),0)))))/1024</f>
        <v>218.81953125000001</v>
      </c>
      <c r="AN8" s="709">
        <f ca="1">IF(ISERROR(MATCH(AN$1,INDIRECT("Table!A"&amp;$BJ8):INDIRECT("Table!" &amp; $BV$88 &amp; $BJ8),0)),"",INDIRECT(CONCATENATE("Table!",ADDRESS($BN8,MATCH(AN$1,INDIRECT("Table!A" &amp; $BJ8):INDIRECT("Table!" &amp; $BV$88 &amp; $BJ8),0)))))/1024</f>
        <v>188.50498046875001</v>
      </c>
      <c r="AO8" s="709">
        <f ca="1">IF(ISERROR(MATCH(AO$1,INDIRECT("Table!A"&amp;$BJ8):INDIRECT("Table!" &amp; $BV$88 &amp; $BJ8),0)),"",INDIRECT(CONCATENATE("Table!",ADDRESS($BN8,MATCH(AO$1,INDIRECT("Table!A" &amp; $BJ8):INDIRECT("Table!" &amp; $BV$88 &amp; $BJ8),0)))))/1024</f>
        <v>427.94912109375002</v>
      </c>
      <c r="AP8" s="709">
        <f ca="1">IF(ISERROR(MATCH(AP$1,INDIRECT("Table!A"&amp;$BJ8):INDIRECT("Table!" &amp; $BV$88 &amp; $BJ8),0)),"",INDIRECT(CONCATENATE("Table!",ADDRESS($BN8,MATCH(AP$1,INDIRECT("Table!A" &amp; $BJ8):INDIRECT("Table!" &amp; $BV$88 &amp; $BJ8),0)))))/1024</f>
        <v>81.092578125000003</v>
      </c>
      <c r="AQ8" s="709">
        <f ca="1">IF(ISERROR(MATCH(AQ$1,INDIRECT("Table!A"&amp;$BJ8):INDIRECT("Table!" &amp; $BV$88 &amp; $BJ8),0)),"",INDIRECT(CONCATENATE("Table!",ADDRESS($BN8,MATCH(AQ$1,INDIRECT("Table!A" &amp; $BJ8):INDIRECT("Table!" &amp; $BV$88 &amp; $BJ8),0)))))/1024</f>
        <v>269.65859375000002</v>
      </c>
      <c r="AR8" s="709">
        <f ca="1">IF(ISERROR(MATCH(AR$1,INDIRECT("Table!A"&amp;$BJ8):INDIRECT("Table!" &amp; $BV$88 &amp; $BJ8),0)),"",INDIRECT(CONCATENATE("Table!",ADDRESS($BN8,MATCH(AR$1,INDIRECT("Table!A" &amp; $BJ8):INDIRECT("Table!" &amp; $BV$88 &amp; $BJ8),0)))))/1024</f>
        <v>81.092578125000003</v>
      </c>
      <c r="AS8" s="709">
        <f ca="1">IF(ISERROR(MATCH(AS$1,INDIRECT("Table!A"&amp;$BJ8):INDIRECT("Table!" &amp; $BV$88 &amp; $BJ8),0)),"",INDIRECT(CONCATENATE("Table!",ADDRESS($BN8,MATCH(AS$1,INDIRECT("Table!A" &amp; $BJ8):INDIRECT("Table!" &amp; $BV$88 &amp; $BJ8),0)))))/1024</f>
        <v>187.12714843750001</v>
      </c>
      <c r="AT8" s="709">
        <f ca="1">IF(ISERROR(MATCH(AT$1,INDIRECT("Table!A"&amp;$BJ8):INDIRECT("Table!" &amp; $BV$88 &amp; $BJ8),0)),"",INDIRECT(CONCATENATE("Table!",ADDRESS($BN8,MATCH(AT$1,INDIRECT("Table!A" &amp; $BJ8):INDIRECT("Table!" &amp; $BV$88 &amp; $BJ8),0)))))/1024</f>
        <v>251.84228515625</v>
      </c>
      <c r="AU8" s="709">
        <f ca="1">IF(ISERROR(MATCH(AU$1,INDIRECT("Table!A"&amp;$BJ8):INDIRECT("Table!" &amp; $BV$88 &amp; $BJ8),0)),"",INDIRECT(CONCATENATE("Table!",ADDRESS($BN8,MATCH(AU$1,INDIRECT("Table!A" &amp; $BJ8):INDIRECT("Table!" &amp; $BV$88 &amp; $BJ8),0)))))/1024</f>
        <v>53.8583984375</v>
      </c>
      <c r="AV8" s="709">
        <f ca="1">IF(ISERROR(MATCH(AV$1,INDIRECT("Table!A"&amp;$BJ8):INDIRECT("Table!" &amp; $BV$88 &amp; $BJ8),0)),"",INDIRECT(CONCATENATE("Table!",ADDRESS($BN8,MATCH(AV$1,INDIRECT("Table!A" &amp; $BJ8):INDIRECT("Table!" &amp; $BV$88 &amp; $BJ8),0)))))/1024</f>
        <v>32.31494140625</v>
      </c>
      <c r="AW8" s="709">
        <f ca="1">IF(ISERROR(MATCH(AW$1,INDIRECT("Table!A"&amp;$BJ8):INDIRECT("Table!" &amp; $BV$88 &amp; $BJ8),0)),"",INDIRECT(CONCATENATE("Table!",ADDRESS($BN8,MATCH(AW$1,INDIRECT("Table!A" &amp; $BJ8):INDIRECT("Table!" &amp; $BV$88 &amp; $BJ8),0)))))/1024</f>
        <v>99.80126953125</v>
      </c>
      <c r="AX8" s="709">
        <f ca="1">IF(ISERROR(MATCH(AX$1,INDIRECT("Table!A"&amp;$BJ8):INDIRECT("Table!" &amp; $BV$88 &amp; $BJ8),0)),"",INDIRECT(CONCATENATE("Table!",ADDRESS($BN8,MATCH(AX$1,INDIRECT("Table!A" &amp; $BJ8):INDIRECT("Table!" &amp; $BV$88 &amp; $BJ8),0)))))/1024</f>
        <v>204.58642578125</v>
      </c>
      <c r="AY8" s="909">
        <f ca="1">IF(ISERROR(MATCH(AY$1,INDIRECT("Table!A"&amp;$BJ8):INDIRECT("Table!" &amp; $BV$88 &amp; $BJ8),0)),"",INDIRECT(CONCATENATE("Table!",ADDRESS($BN8,MATCH(AY$1,INDIRECT("Table!A" &amp; $BJ8):INDIRECT("Table!" &amp; $BV$88 &amp; $BJ8),0)))))/1024</f>
        <v>99.80126953125</v>
      </c>
      <c r="AZ8" s="909">
        <f ca="1">IF(ISERROR(MATCH(AZ$1,INDIRECT("Table!A"&amp;$BJ8):INDIRECT("Table!" &amp; $BV$88 &amp; $BJ8),0)),"",INDIRECT(CONCATENATE("Table!",ADDRESS($BN8,MATCH(AZ$1,INDIRECT("Table!A" &amp; $BJ8):INDIRECT("Table!" &amp; $BV$88 &amp; $BJ8),0)))))/1024</f>
        <v>204.58642578125</v>
      </c>
      <c r="BA8" s="909">
        <f ca="1">IF(ISERROR(MATCH(BA$1,INDIRECT("Table!A"&amp;$BJ8):INDIRECT("Table!" &amp; $BV$88 &amp; $BJ8),0)),"",INDIRECT(CONCATENATE("Table!",ADDRESS($BN8,MATCH(BA$1,INDIRECT("Table!A" &amp; $BJ8):INDIRECT("Table!" &amp; $BV$88 &amp; $BJ8),0)))))/1024</f>
        <v>99.80126953125</v>
      </c>
      <c r="BB8" s="909">
        <f ca="1">IF(ISERROR(MATCH(BB$1,INDIRECT("Table!A"&amp;$BJ8):INDIRECT("Table!" &amp; $BV$88 &amp; $BJ8),0)),"",INDIRECT(CONCATENATE("Table!",ADDRESS($BN8,MATCH(BB$1,INDIRECT("Table!A" &amp; $BJ8):INDIRECT("Table!" &amp; $BV$88 &amp; $BJ8),0)))))/1024</f>
        <v>204.58642578125</v>
      </c>
      <c r="BC8" s="909">
        <f ca="1">IF(ISERROR(MATCH(BC$1,INDIRECT("Table!A"&amp;$BJ8):INDIRECT("Table!" &amp; $BV$88 &amp; $BJ8),0)),"",INDIRECT(CONCATENATE("Table!",ADDRESS($BN8,MATCH(BC$1,INDIRECT("Table!A" &amp; $BJ8):INDIRECT("Table!" &amp; $BV$88 &amp; $BJ8),0)))))/1024</f>
        <v>223.11875000000001</v>
      </c>
      <c r="BD8" s="909"/>
      <c r="BE8" s="909"/>
      <c r="BF8" s="704">
        <f>MATCH($A8,Table!$A:$A,0)+$BH$2-1</f>
        <v>75</v>
      </c>
      <c r="BG8" s="744"/>
      <c r="BH8" s="744"/>
      <c r="BI8" s="744"/>
      <c r="BJ8" s="717">
        <f>MATCH($A8,Table!$A:$A,0)+$BL$2-1</f>
        <v>73</v>
      </c>
      <c r="BK8" s="744"/>
      <c r="BL8" s="744"/>
      <c r="BM8" s="744"/>
      <c r="BN8" s="704">
        <f>MATCH($A8,Table!$A:$A,0)+$BP$2-1</f>
        <v>74</v>
      </c>
      <c r="BO8" s="744"/>
      <c r="BP8" s="744"/>
      <c r="BQ8" s="744"/>
      <c r="BR8" s="717">
        <f>MATCH($A8,Table!$A:$A,0)+$BL$2-1</f>
        <v>73</v>
      </c>
      <c r="BS8" s="744"/>
      <c r="BT8" s="744"/>
      <c r="BU8" s="744"/>
      <c r="BV8" s="711" t="s">
        <v>284</v>
      </c>
      <c r="BW8" s="712">
        <f t="shared" ca="1" si="12"/>
        <v>4637.9111328124991</v>
      </c>
      <c r="BX8" s="712">
        <f t="shared" ca="1" si="0"/>
        <v>2044.3037109375002</v>
      </c>
      <c r="BY8" s="712">
        <f t="shared" ref="BY8" ca="1" si="19">BW8-BX8</f>
        <v>2593.6074218749991</v>
      </c>
      <c r="BZ8" s="718">
        <f t="shared" ref="BZ8" ca="1" si="20">BX8/BW8</f>
        <v>0.44078113021061782</v>
      </c>
      <c r="CA8" s="712">
        <f ca="1">SUMIF('Alloc Feed'!A:A,A:A,'Alloc Feed'!I:I)</f>
        <v>3505.9094648437494</v>
      </c>
      <c r="CB8" s="718">
        <f t="shared" ref="CB8" ca="1" si="21">CA8/BW8</f>
        <v>0.75592424357594645</v>
      </c>
    </row>
    <row r="9" spans="1:80" s="743" customFormat="1" x14ac:dyDescent="0.25">
      <c r="A9" s="703">
        <v>41780</v>
      </c>
      <c r="B9" s="709">
        <f ca="1">IF(ISERROR(MATCH(B$1,INDIRECT("Table!A"&amp;$BJ9):INDIRECT("Table!" &amp; $BV$88 &amp; $BJ9),0)),"",INDIRECT(CONCATENATE("Table!",ADDRESS($BF9,MATCH(B$1,INDIRECT("Table!A" &amp; $BJ9):INDIRECT("Table!" &amp; $BV$88 &amp; $BJ9),0)))))/1024</f>
        <v>101.87138671875</v>
      </c>
      <c r="C9" s="709">
        <f ca="1">IF(ISERROR(MATCH(C$1,INDIRECT("Table!A"&amp;$BJ9):INDIRECT("Table!" &amp; $BV$88 &amp; $BJ9),0)),"",INDIRECT(CONCATENATE("Table!",ADDRESS($BF9,MATCH(C$1,INDIRECT("Table!A" &amp; $BJ9):INDIRECT("Table!" &amp; $BV$88 &amp; $BJ9),0)))))/1024</f>
        <v>82.491601562499994</v>
      </c>
      <c r="D9" s="709">
        <f ca="1">IF(ISERROR(MATCH(D$1,INDIRECT("Table!A"&amp;$BJ9):INDIRECT("Table!" &amp; $BV$88 &amp; $BJ9),0)),"",INDIRECT(CONCATENATE("Table!",ADDRESS($BF9,MATCH(D$1,INDIRECT("Table!A" &amp; $BJ9):INDIRECT("Table!" &amp; $BV$88 &amp; $BJ9),0)))))/1024</f>
        <v>83.798828125</v>
      </c>
      <c r="E9" s="709">
        <f ca="1">IF(ISERROR(MATCH(E$1,INDIRECT("Table!A"&amp;$BJ9):INDIRECT("Table!" &amp; $BV$88 &amp; $BJ9),0)),"",INDIRECT(CONCATENATE("Table!",ADDRESS($BF9,MATCH(E$1,INDIRECT("Table!A" &amp; $BJ9):INDIRECT("Table!" &amp; $BV$88 &amp; $BJ9),0)))))/1024</f>
        <v>147.892578125</v>
      </c>
      <c r="F9" s="709">
        <f ca="1">IF(ISERROR(MATCH(F$1,INDIRECT("Table!A"&amp;$BJ9):INDIRECT("Table!" &amp; $BV$88 &amp; $BJ9),0)),"",INDIRECT(CONCATENATE("Table!",ADDRESS($BF9,MATCH(F$1,INDIRECT("Table!A" &amp; $BJ9):INDIRECT("Table!" &amp; $BV$88 &amp; $BJ9),0)))))/1024</f>
        <v>111.15078124999999</v>
      </c>
      <c r="G9" s="709">
        <f ca="1">IF(ISERROR(MATCH(G$1,INDIRECT("Table!A"&amp;$BJ9):INDIRECT("Table!" &amp; $BV$88 &amp; $BJ9),0)),"",INDIRECT(CONCATENATE("Table!",ADDRESS($BF9,MATCH(G$1,INDIRECT("Table!A" &amp; $BJ9):INDIRECT("Table!" &amp; $BV$88 &amp; $BJ9),0)))))/1024</f>
        <v>207.12187499999999</v>
      </c>
      <c r="H9" s="709">
        <f ca="1">IF(ISERROR(MATCH(H$1,INDIRECT("Table!A"&amp;$BJ9):INDIRECT("Table!" &amp; $BV$88 &amp; $BJ9),0)),"",INDIRECT(CONCATENATE("Table!",ADDRESS($BF9,MATCH(H$1,INDIRECT("Table!A" &amp; $BJ9):INDIRECT("Table!" &amp; $BV$88 &amp; $BJ9),0)))))/1024</f>
        <v>122.95839843749999</v>
      </c>
      <c r="I9" s="709">
        <f ca="1">IF(ISERROR(MATCH(I$1,INDIRECT("Table!A"&amp;$BJ9):INDIRECT("Table!" &amp; $BV$88 &amp; $BJ9),0)),"",INDIRECT(CONCATENATE("Table!",ADDRESS($BF9,MATCH(I$1,INDIRECT("Table!A" &amp; $BJ9):INDIRECT("Table!" &amp; $BV$88 &amp; $BJ9),0)))))/1024</f>
        <v>24.76611328125</v>
      </c>
      <c r="J9" s="709">
        <f ca="1">IF(ISERROR(MATCH(J$1,INDIRECT("Table!A"&amp;$BJ9):INDIRECT("Table!" &amp; $BV$88 &amp; $BJ9),0)),"",INDIRECT(CONCATENATE("Table!",ADDRESS($BF9,MATCH(J$1,INDIRECT("Table!A" &amp; $BJ9):INDIRECT("Table!" &amp; $BV$88 &amp; $BJ9),0)))))/1024</f>
        <v>80.183496093749994</v>
      </c>
      <c r="K9" s="709">
        <f ca="1">IF(ISERROR(MATCH(K$1,INDIRECT("Table!A"&amp;$BJ9):INDIRECT("Table!" &amp; $BV$88 &amp; $BJ9),0)),"",INDIRECT(CONCATENATE("Table!",ADDRESS($BF9,MATCH(K$1,INDIRECT("Table!A" &amp; $BJ9):INDIRECT("Table!" &amp; $BV$88 &amp; $BJ9),0)))))/1024</f>
        <v>56.925488281249997</v>
      </c>
      <c r="L9" s="709">
        <f ca="1">IF(ISERROR(MATCH(L$1,INDIRECT("Table!A"&amp;$BJ9):INDIRECT("Table!" &amp; $BV$88 &amp; $BJ9),0)),"",INDIRECT(CONCATENATE("Table!",ADDRESS($BF9,MATCH(L$1,INDIRECT("Table!A" &amp; $BJ9):INDIRECT("Table!" &amp; $BV$88 &amp; $BJ9),0)))))/1024</f>
        <v>156.17744140625001</v>
      </c>
      <c r="M9" s="709">
        <f ca="1">IF(ISERROR(MATCH(M$1,INDIRECT("Table!A"&amp;$BJ9):INDIRECT("Table!" &amp; $BV$88 &amp; $BJ9),0)),"",INDIRECT(CONCATENATE("Table!",ADDRESS($BF9,MATCH(M$1,INDIRECT("Table!A" &amp; $BJ9):INDIRECT("Table!" &amp; $BV$88 &amp; $BJ9),0)))))/1024</f>
        <v>204.36347656250001</v>
      </c>
      <c r="N9" s="709">
        <f ca="1">IF(ISERROR(MATCH(N$1,INDIRECT("Table!A"&amp;$BJ9):INDIRECT("Table!" &amp; $BV$88 &amp; $BJ9),0)),"",INDIRECT(CONCATENATE("Table!",ADDRESS($BF9,MATCH(N$1,INDIRECT("Table!A" &amp; $BJ9):INDIRECT("Table!" &amp; $BV$88 &amp; $BJ9),0)))))/1024</f>
        <v>56.020410156250001</v>
      </c>
      <c r="O9" s="709">
        <f ca="1">IF(ISERROR(MATCH(O$1,INDIRECT("Table!A"&amp;$BJ9):INDIRECT("Table!" &amp; $BV$88 &amp; $BJ9),0)),"",INDIRECT(CONCATENATE("Table!",ADDRESS($BF9,MATCH(O$1,INDIRECT("Table!A" &amp; $BJ9):INDIRECT("Table!" &amp; $BV$88 &amp; $BJ9),0)))))/1024</f>
        <v>228.03837890624999</v>
      </c>
      <c r="P9" s="709">
        <f ca="1">IF(ISERROR(MATCH(P$1,INDIRECT("Table!A"&amp;$BJ9):INDIRECT("Table!" &amp; $BV$88 &amp; $BJ9),0)),"",INDIRECT(CONCATENATE("Table!",ADDRESS($BF9,MATCH(P$1,INDIRECT("Table!A" &amp; $BJ9):INDIRECT("Table!" &amp; $BV$88 &amp; $BJ9),0)))))/1024</f>
        <v>47.859277343750001</v>
      </c>
      <c r="Q9" s="709">
        <f ca="1">IF(ISERROR(MATCH(Q$1,INDIRECT("Table!A"&amp;$BJ9):INDIRECT("Table!" &amp; $BV$88 &amp; $BJ9),0)),"",INDIRECT(CONCATENATE("Table!",ADDRESS($BF9,MATCH(Q$1,INDIRECT("Table!A" &amp; $BJ9):INDIRECT("Table!" &amp; $BV$88 &amp; $BJ9),0)))))/1024</f>
        <v>125.85068359375001</v>
      </c>
      <c r="R9" s="709">
        <f ca="1">IF(ISERROR(MATCH(R$1,INDIRECT("Table!A"&amp;$BJ9):INDIRECT("Table!" &amp; $BV$88 &amp; $BJ9),0)),"",INDIRECT(CONCATENATE("Table!",ADDRESS($BF9,MATCH(R$1,INDIRECT("Table!A" &amp; $BJ9):INDIRECT("Table!" &amp; $BV$88 &amp; $BJ9),0)))))/1024</f>
        <v>155.22539062499999</v>
      </c>
      <c r="S9" s="709">
        <f ca="1">IF(ISERROR(MATCH(S$1,INDIRECT("Table!A"&amp;$BJ9):INDIRECT("Table!" &amp; $BV$43 &amp; $BJ9),0)),"",INDIRECT(CONCATENATE("Table!",ADDRESS($BF9,MATCH(S$1,INDIRECT("Table!A" &amp; $BJ9):INDIRECT("Table!" &amp; $BV$43 &amp; $BJ9),0)))))/1024</f>
        <v>16.204785156250001</v>
      </c>
      <c r="T9" s="709">
        <f ca="1">IF(ISERROR(MATCH(T$1,INDIRECT("Table!A"&amp;$BJ9):INDIRECT("Table!" &amp; $BV$43 &amp; $BJ9),0)),"",INDIRECT(CONCATENATE("Table!",ADDRESS($BF9,MATCH(T$1,INDIRECT("Table!A" &amp; $BJ9):INDIRECT("Table!" &amp; $BV$43 &amp; $BJ9),0)))))/1024</f>
        <v>9.9869140625000004</v>
      </c>
      <c r="U9" s="709">
        <f ca="1">IF(ISERROR(MATCH(U$1,INDIRECT("Table!A"&amp;$BJ9):INDIRECT("Table!" &amp; $BV$43 &amp; $BJ9),0)),"",INDIRECT(CONCATENATE("Table!",ADDRESS($BF9,MATCH(U$1,INDIRECT("Table!A" &amp; $BJ9):INDIRECT("Table!" &amp; $BV$43 &amp; $BJ9),0)))))/1024</f>
        <v>11.838085937500001</v>
      </c>
      <c r="V9" s="709">
        <f ca="1">IF(ISERROR(MATCH(V$1,INDIRECT("Table!A"&amp;$BJ9):INDIRECT("Table!" &amp; $BV$43 &amp; $BJ9),0)),"",INDIRECT(CONCATENATE("Table!",ADDRESS($BF9,MATCH(V$1,INDIRECT("Table!A" &amp; $BJ9):INDIRECT("Table!" &amp; $BV$43 &amp; $BJ9),0)))))/1024</f>
        <v>23.676855468749999</v>
      </c>
      <c r="W9" s="709">
        <f ca="1">IF(ISERROR(MATCH(W$1,INDIRECT("Table!A"&amp;$BJ9):INDIRECT("Table!" &amp; $BV$43 &amp; $BJ9),0)),"",INDIRECT(CONCATENATE("Table!",ADDRESS($BF9,MATCH(W$1,INDIRECT("Table!A" &amp; $BJ9):INDIRECT("Table!" &amp; $BV$43 &amp; $BJ9),0)))))/1024</f>
        <v>3.6841796874999999</v>
      </c>
      <c r="X9" s="709">
        <f ca="1">IF(ISERROR(MATCH(X$1,INDIRECT("Table!A"&amp;$BJ9):INDIRECT("Table!" &amp; $BV$43 &amp; $BJ9),0)),"",INDIRECT(CONCATENATE("Table!",ADDRESS($BF9,MATCH(X$1,INDIRECT("Table!A" &amp; $BJ9):INDIRECT("Table!" &amp; $BV$43 &amp; $BJ9),0)))))/1024</f>
        <v>7.35888671875</v>
      </c>
      <c r="Y9" s="709">
        <f ca="1">IF(ISERROR(MATCH(Y$1,INDIRECT("Table!A"&amp;$BJ9):INDIRECT("Table!" &amp; $BV$43 &amp; $BJ9),0)),"",INDIRECT(CONCATENATE("Table!",ADDRESS($BF9,MATCH(Y$1,INDIRECT("Table!A" &amp; $BJ9):INDIRECT("Table!" &amp; $BV$43 &amp; $BJ9),0)))))/1024</f>
        <v>3.0273437500000001E-3</v>
      </c>
      <c r="Z9" s="709">
        <f ca="1">IF(ISERROR(MATCH(Z$1,INDIRECT("Table!A"&amp;$BJ9):INDIRECT("Table!" &amp; $BV$43 &amp; $BJ9),0)),"",INDIRECT(CONCATENATE("Table!",ADDRESS($BF9,MATCH(Z$1,INDIRECT("Table!A" &amp; $BJ9):INDIRECT("Table!" &amp; $BV$43 &amp; $BJ9),0)))))/1024</f>
        <v>5.859375E-3</v>
      </c>
      <c r="AA9" s="709">
        <f ca="1">IF(ISERROR(MATCH(AA$1,INDIRECT("Table!A"&amp;$BJ9):INDIRECT("Table!" &amp; $BV$43 &amp; $BJ9),0)),"",INDIRECT(CONCATENATE("Table!",ADDRESS($BF9,MATCH(AA$1,INDIRECT("Table!A" &amp; $BJ9):INDIRECT("Table!" &amp; $BV$43 &amp; $BJ9),0)))))/1024</f>
        <v>8.7890625E-3</v>
      </c>
      <c r="AB9" s="709"/>
      <c r="AC9" s="709" t="str">
        <f ca="1">IF(ISERROR(MATCH(AC$1,INDIRECT("Table!A"&amp;$BJ9):INDIRECT("Table!" &amp; $BV$88 &amp; $BJ9),0)),"",INDIRECT(CONCATENATE("Table!",ADDRESS($BF9,MATCH(AC$1,INDIRECT("Table!A" &amp; $BJ9):INDIRECT("Table!" &amp; $BV$88 &amp; $BJ9),0)))))</f>
        <v/>
      </c>
      <c r="AD9" s="709">
        <f ca="1">IF(ISERROR(MATCH(AD$1,INDIRECT("Table!A"&amp;$BJ9):INDIRECT("Table!" &amp; $BV$88 &amp; $BJ9),0)),"",INDIRECT(CONCATENATE("Table!",ADDRESS($BN9,MATCH(AD$1,INDIRECT("Table!A" &amp; $BJ9):INDIRECT("Table!" &amp; $BV$88 &amp; $BJ9),0)))))/1024</f>
        <v>244.15859374999999</v>
      </c>
      <c r="AE9" s="709">
        <f ca="1">IF(ISERROR(MATCH(AE$1,INDIRECT("Table!A"&amp;$BJ9):INDIRECT("Table!" &amp; $BV$88 &amp; $BJ9),0)),"",INDIRECT(CONCATENATE("Table!",ADDRESS($BN9,MATCH(AE$1,INDIRECT("Table!A" &amp; $BJ9):INDIRECT("Table!" &amp; $BV$88 &amp; $BJ9),0)))))/1024</f>
        <v>146.98896484375001</v>
      </c>
      <c r="AF9" s="709">
        <f ca="1">IF(ISERROR(MATCH(AF$1,INDIRECT("Table!A"&amp;$BJ9):INDIRECT("Table!" &amp; $BV$88 &amp; $BJ9),0)),"",INDIRECT(CONCATENATE("Table!",ADDRESS($BN9,MATCH(AF$1,INDIRECT("Table!A" &amp; $BJ9):INDIRECT("Table!" &amp; $BV$88 &amp; $BJ9),0)))))/1024</f>
        <v>146.98896484375001</v>
      </c>
      <c r="AG9" s="709">
        <f ca="1">IF(ISERROR(MATCH(AG$1,INDIRECT("Table!A"&amp;$BJ9):INDIRECT("Table!" &amp; $BV$88 &amp; $BJ9),0)),"",INDIRECT(CONCATENATE("Table!",ADDRESS($BN9,MATCH(AG$1,INDIRECT("Table!A" &amp; $BJ9):INDIRECT("Table!" &amp; $BV$88 &amp; $BJ9),0)))))/1024</f>
        <v>177.73320312499999</v>
      </c>
      <c r="AH9" s="709">
        <f ca="1">IF(ISERROR(MATCH(AH$1,INDIRECT("Table!A"&amp;$BJ9):INDIRECT("Table!" &amp; $BV$88 &amp; $BJ9),0)),"",INDIRECT(CONCATENATE("Table!",ADDRESS($BN9,MATCH(AH$1,INDIRECT("Table!A" &amp; $BJ9):INDIRECT("Table!" &amp; $BV$88 &amp; $BJ9),0)))))/1024</f>
        <v>161.88056640625001</v>
      </c>
      <c r="AI9" s="709">
        <f ca="1">IF(ISERROR(MATCH(AI$1,INDIRECT("Table!A"&amp;$BJ9):INDIRECT("Table!" &amp; $BV$88 &amp; $BJ9),0)),"",INDIRECT(CONCATENATE("Table!",ADDRESS($BN9,MATCH(AI$1,INDIRECT("Table!A" &amp; $BJ9):INDIRECT("Table!" &amp; $BV$88 &amp; $BJ9),0)))))/1024</f>
        <v>380.3759765625</v>
      </c>
      <c r="AJ9" s="709">
        <f ca="1">IF(ISERROR(MATCH(AJ$1,INDIRECT("Table!A"&amp;$BJ9):INDIRECT("Table!" &amp; $BV$88 &amp; $BJ9),0)),"",INDIRECT(CONCATENATE("Table!",ADDRESS($BN9,MATCH(AJ$1,INDIRECT("Table!A" &amp; $BJ9):INDIRECT("Table!" &amp; $BV$88 &amp; $BJ9),0)))))/1024</f>
        <v>167.94482421875</v>
      </c>
      <c r="AK9" s="709">
        <f ca="1">IF(ISERROR(MATCH(AK$1,INDIRECT("Table!A"&amp;$BJ9):INDIRECT("Table!" &amp; $BV$88 &amp; $BJ9),0)),"",INDIRECT(CONCATENATE("Table!",ADDRESS($BN9,MATCH(AK$1,INDIRECT("Table!A" &amp; $BJ9):INDIRECT("Table!" &amp; $BV$88 &amp; $BJ9),0)))))/1024</f>
        <v>162.185546875</v>
      </c>
      <c r="AL9" s="709">
        <f ca="1">IF(ISERROR(MATCH(AL$1,INDIRECT("Table!A"&amp;$BJ9):INDIRECT("Table!" &amp; $BV$88 &amp; $BJ9),0)),"",INDIRECT(CONCATENATE("Table!",ADDRESS($BN9,MATCH(AL$1,INDIRECT("Table!A" &amp; $BJ9):INDIRECT("Table!" &amp; $BV$88 &amp; $BJ9),0)))))/1024</f>
        <v>121.1125</v>
      </c>
      <c r="AM9" s="709">
        <f ca="1">IF(ISERROR(MATCH(AM$1,INDIRECT("Table!A"&amp;$BJ9):INDIRECT("Table!" &amp; $BV$88 &amp; $BJ9),0)),"",INDIRECT(CONCATENATE("Table!",ADDRESS($BN9,MATCH(AM$1,INDIRECT("Table!A" &amp; $BJ9):INDIRECT("Table!" &amp; $BV$88 &amp; $BJ9),0)))))/1024</f>
        <v>218.81953125000001</v>
      </c>
      <c r="AN9" s="709">
        <f ca="1">IF(ISERROR(MATCH(AN$1,INDIRECT("Table!A"&amp;$BJ9):INDIRECT("Table!" &amp; $BV$88 &amp; $BJ9),0)),"",INDIRECT(CONCATENATE("Table!",ADDRESS($BN9,MATCH(AN$1,INDIRECT("Table!A" &amp; $BJ9):INDIRECT("Table!" &amp; $BV$88 &amp; $BJ9),0)))))/1024</f>
        <v>188.50498046875001</v>
      </c>
      <c r="AO9" s="709">
        <f ca="1">IF(ISERROR(MATCH(AO$1,INDIRECT("Table!A"&amp;$BJ9):INDIRECT("Table!" &amp; $BV$88 &amp; $BJ9),0)),"",INDIRECT(CONCATENATE("Table!",ADDRESS($BN9,MATCH(AO$1,INDIRECT("Table!A" &amp; $BJ9):INDIRECT("Table!" &amp; $BV$88 &amp; $BJ9),0)))))/1024</f>
        <v>427.94912109375002</v>
      </c>
      <c r="AP9" s="709">
        <f ca="1">IF(ISERROR(MATCH(AP$1,INDIRECT("Table!A"&amp;$BJ9):INDIRECT("Table!" &amp; $BV$88 &amp; $BJ9),0)),"",INDIRECT(CONCATENATE("Table!",ADDRESS($BN9,MATCH(AP$1,INDIRECT("Table!A" &amp; $BJ9):INDIRECT("Table!" &amp; $BV$88 &amp; $BJ9),0)))))/1024</f>
        <v>81.092578125000003</v>
      </c>
      <c r="AQ9" s="709">
        <f ca="1">IF(ISERROR(MATCH(AQ$1,INDIRECT("Table!A"&amp;$BJ9):INDIRECT("Table!" &amp; $BV$88 &amp; $BJ9),0)),"",INDIRECT(CONCATENATE("Table!",ADDRESS($BN9,MATCH(AQ$1,INDIRECT("Table!A" &amp; $BJ9):INDIRECT("Table!" &amp; $BV$88 &amp; $BJ9),0)))))/1024</f>
        <v>269.65859375000002</v>
      </c>
      <c r="AR9" s="709">
        <f ca="1">IF(ISERROR(MATCH(AR$1,INDIRECT("Table!A"&amp;$BJ9):INDIRECT("Table!" &amp; $BV$88 &amp; $BJ9),0)),"",INDIRECT(CONCATENATE("Table!",ADDRESS($BN9,MATCH(AR$1,INDIRECT("Table!A" &amp; $BJ9):INDIRECT("Table!" &amp; $BV$88 &amp; $BJ9),0)))))/1024</f>
        <v>81.092578125000003</v>
      </c>
      <c r="AS9" s="709">
        <f ca="1">IF(ISERROR(MATCH(AS$1,INDIRECT("Table!A"&amp;$BJ9):INDIRECT("Table!" &amp; $BV$88 &amp; $BJ9),0)),"",INDIRECT(CONCATENATE("Table!",ADDRESS($BN9,MATCH(AS$1,INDIRECT("Table!A" &amp; $BJ9):INDIRECT("Table!" &amp; $BV$88 &amp; $BJ9),0)))))/1024</f>
        <v>187.12714843750001</v>
      </c>
      <c r="AT9" s="709">
        <f ca="1">IF(ISERROR(MATCH(AT$1,INDIRECT("Table!A"&amp;$BJ9):INDIRECT("Table!" &amp; $BV$88 &amp; $BJ9),0)),"",INDIRECT(CONCATENATE("Table!",ADDRESS($BN9,MATCH(AT$1,INDIRECT("Table!A" &amp; $BJ9):INDIRECT("Table!" &amp; $BV$88 &amp; $BJ9),0)))))/1024</f>
        <v>251.84228515625</v>
      </c>
      <c r="AU9" s="709">
        <f ca="1">IF(ISERROR(MATCH(AU$1,INDIRECT("Table!A"&amp;$BJ9):INDIRECT("Table!" &amp; $BV$88 &amp; $BJ9),0)),"",INDIRECT(CONCATENATE("Table!",ADDRESS($BN9,MATCH(AU$1,INDIRECT("Table!A" &amp; $BJ9):INDIRECT("Table!" &amp; $BV$88 &amp; $BJ9),0)))))/1024</f>
        <v>53.8583984375</v>
      </c>
      <c r="AV9" s="709">
        <f ca="1">IF(ISERROR(MATCH(AV$1,INDIRECT("Table!A"&amp;$BJ9):INDIRECT("Table!" &amp; $BV$88 &amp; $BJ9),0)),"",INDIRECT(CONCATENATE("Table!",ADDRESS($BN9,MATCH(AV$1,INDIRECT("Table!A" &amp; $BJ9):INDIRECT("Table!" &amp; $BV$88 &amp; $BJ9),0)))))/1024</f>
        <v>32.31494140625</v>
      </c>
      <c r="AW9" s="709">
        <f ca="1">IF(ISERROR(MATCH(AW$1,INDIRECT("Table!A"&amp;$BJ9):INDIRECT("Table!" &amp; $BV$88 &amp; $BJ9),0)),"",INDIRECT(CONCATENATE("Table!",ADDRESS($BN9,MATCH(AW$1,INDIRECT("Table!A" &amp; $BJ9):INDIRECT("Table!" &amp; $BV$88 &amp; $BJ9),0)))))/1024</f>
        <v>99.80126953125</v>
      </c>
      <c r="AX9" s="709">
        <f ca="1">IF(ISERROR(MATCH(AX$1,INDIRECT("Table!A"&amp;$BJ9):INDIRECT("Table!" &amp; $BV$88 &amp; $BJ9),0)),"",INDIRECT(CONCATENATE("Table!",ADDRESS($BN9,MATCH(AX$1,INDIRECT("Table!A" &amp; $BJ9):INDIRECT("Table!" &amp; $BV$88 &amp; $BJ9),0)))))/1024</f>
        <v>204.58642578125</v>
      </c>
      <c r="AY9" s="909">
        <f ca="1">IF(ISERROR(MATCH(AY$1,INDIRECT("Table!A"&amp;$BJ9):INDIRECT("Table!" &amp; $BV$88 &amp; $BJ9),0)),"",INDIRECT(CONCATENATE("Table!",ADDRESS($BN9,MATCH(AY$1,INDIRECT("Table!A" &amp; $BJ9):INDIRECT("Table!" &amp; $BV$88 &amp; $BJ9),0)))))/1024</f>
        <v>99.80126953125</v>
      </c>
      <c r="AZ9" s="909">
        <f ca="1">IF(ISERROR(MATCH(AZ$1,INDIRECT("Table!A"&amp;$BJ9):INDIRECT("Table!" &amp; $BV$88 &amp; $BJ9),0)),"",INDIRECT(CONCATENATE("Table!",ADDRESS($BN9,MATCH(AZ$1,INDIRECT("Table!A" &amp; $BJ9):INDIRECT("Table!" &amp; $BV$88 &amp; $BJ9),0)))))/1024</f>
        <v>204.58642578125</v>
      </c>
      <c r="BA9" s="909">
        <f ca="1">IF(ISERROR(MATCH(BA$1,INDIRECT("Table!A"&amp;$BJ9):INDIRECT("Table!" &amp; $BV$88 &amp; $BJ9),0)),"",INDIRECT(CONCATENATE("Table!",ADDRESS($BN9,MATCH(BA$1,INDIRECT("Table!A" &amp; $BJ9):INDIRECT("Table!" &amp; $BV$88 &amp; $BJ9),0)))))/1024</f>
        <v>99.80126953125</v>
      </c>
      <c r="BB9" s="909">
        <f ca="1">IF(ISERROR(MATCH(BB$1,INDIRECT("Table!A"&amp;$BJ9):INDIRECT("Table!" &amp; $BV$88 &amp; $BJ9),0)),"",INDIRECT(CONCATENATE("Table!",ADDRESS($BN9,MATCH(BB$1,INDIRECT("Table!A" &amp; $BJ9):INDIRECT("Table!" &amp; $BV$88 &amp; $BJ9),0)))))/1024</f>
        <v>204.58642578125</v>
      </c>
      <c r="BC9" s="909">
        <f ca="1">IF(ISERROR(MATCH(BC$1,INDIRECT("Table!A"&amp;$BJ9):INDIRECT("Table!" &amp; $BV$88 &amp; $BJ9),0)),"",INDIRECT(CONCATENATE("Table!",ADDRESS($BN9,MATCH(BC$1,INDIRECT("Table!A" &amp; $BJ9):INDIRECT("Table!" &amp; $BV$88 &amp; $BJ9),0)))))/1024</f>
        <v>223.11875000000001</v>
      </c>
      <c r="BD9" s="909"/>
      <c r="BE9" s="909"/>
      <c r="BF9" s="704">
        <f>MATCH($A9,Table!$A:$A,0)+$BH$2-1</f>
        <v>89</v>
      </c>
      <c r="BG9" s="744"/>
      <c r="BH9" s="744"/>
      <c r="BI9" s="744"/>
      <c r="BJ9" s="717">
        <f>MATCH($A9,Table!$A:$A,0)+$BL$2-1</f>
        <v>87</v>
      </c>
      <c r="BK9" s="744"/>
      <c r="BL9" s="744"/>
      <c r="BM9" s="744"/>
      <c r="BN9" s="704">
        <f>MATCH($A9,Table!$A:$A,0)+$BP$2-1</f>
        <v>88</v>
      </c>
      <c r="BO9" s="744"/>
      <c r="BP9" s="744"/>
      <c r="BQ9" s="744"/>
      <c r="BR9" s="717">
        <f>MATCH($A9,Table!$A:$A,0)+$BL$2-1</f>
        <v>87</v>
      </c>
      <c r="BS9" s="744"/>
      <c r="BT9" s="744"/>
      <c r="BU9" s="744"/>
      <c r="BV9" s="711" t="s">
        <v>284</v>
      </c>
      <c r="BW9" s="712">
        <f t="shared" ca="1" si="12"/>
        <v>4637.9111328124991</v>
      </c>
      <c r="BX9" s="712">
        <f t="shared" ca="1" si="0"/>
        <v>2054.4022460937499</v>
      </c>
      <c r="BY9" s="712">
        <f t="shared" ref="BY9" ca="1" si="22">BW9-BX9</f>
        <v>2583.5088867187492</v>
      </c>
      <c r="BZ9" s="718">
        <f t="shared" ref="BZ9" ca="1" si="23">BX9/BW9</f>
        <v>0.44295851888130711</v>
      </c>
      <c r="CA9" s="712">
        <f ca="1">SUMIF('Alloc Feed'!A:A,A:A,'Alloc Feed'!I:I)</f>
        <v>3510.1570166015626</v>
      </c>
      <c r="CB9" s="718">
        <f t="shared" ref="CB9" ca="1" si="24">CA9/BW9</f>
        <v>0.75684007650938978</v>
      </c>
    </row>
    <row r="10" spans="1:80" s="743" customFormat="1" x14ac:dyDescent="0.25">
      <c r="A10" s="703">
        <v>41773</v>
      </c>
      <c r="B10" s="709">
        <f ca="1">IF(ISERROR(MATCH(B$1,INDIRECT("Table!A"&amp;$BJ10):INDIRECT("Table!" &amp; $BV$88 &amp; $BJ10),0)),"",INDIRECT(CONCATENATE("Table!",ADDRESS($BF10,MATCH(B$1,INDIRECT("Table!A" &amp; $BJ10):INDIRECT("Table!" &amp; $BV$88 &amp; $BJ10),0)))))/1024</f>
        <v>101.54648437500001</v>
      </c>
      <c r="C10" s="709">
        <f ca="1">IF(ISERROR(MATCH(C$1,INDIRECT("Table!A"&amp;$BJ10):INDIRECT("Table!" &amp; $BV$88 &amp; $BJ10),0)),"",INDIRECT(CONCATENATE("Table!",ADDRESS($BF10,MATCH(C$1,INDIRECT("Table!A" &amp; $BJ10):INDIRECT("Table!" &amp; $BV$88 &amp; $BJ10),0)))))/1024</f>
        <v>82.464648437500003</v>
      </c>
      <c r="D10" s="709">
        <f ca="1">IF(ISERROR(MATCH(D$1,INDIRECT("Table!A"&amp;$BJ10):INDIRECT("Table!" &amp; $BV$88 &amp; $BJ10),0)),"",INDIRECT(CONCATENATE("Table!",ADDRESS($BF10,MATCH(D$1,INDIRECT("Table!A" &amp; $BJ10):INDIRECT("Table!" &amp; $BV$88 &amp; $BJ10),0)))))/1024</f>
        <v>83.772851562499994</v>
      </c>
      <c r="E10" s="709">
        <f ca="1">IF(ISERROR(MATCH(E$1,INDIRECT("Table!A"&amp;$BJ10):INDIRECT("Table!" &amp; $BV$88 &amp; $BJ10),0)),"",INDIRECT(CONCATENATE("Table!",ADDRESS($BF10,MATCH(E$1,INDIRECT("Table!A" &amp; $BJ10):INDIRECT("Table!" &amp; $BV$88 &amp; $BJ10),0)))))/1024</f>
        <v>147.81035156249999</v>
      </c>
      <c r="F10" s="709">
        <f ca="1">IF(ISERROR(MATCH(F$1,INDIRECT("Table!A"&amp;$BJ10):INDIRECT("Table!" &amp; $BV$88 &amp; $BJ10),0)),"",INDIRECT(CONCATENATE("Table!",ADDRESS($BF10,MATCH(F$1,INDIRECT("Table!A" &amp; $BJ10):INDIRECT("Table!" &amp; $BV$88 &amp; $BJ10),0)))))/1024</f>
        <v>110.380859375</v>
      </c>
      <c r="G10" s="709">
        <f ca="1">IF(ISERROR(MATCH(G$1,INDIRECT("Table!A"&amp;$BJ10):INDIRECT("Table!" &amp; $BV$88 &amp; $BJ10),0)),"",INDIRECT(CONCATENATE("Table!",ADDRESS($BF10,MATCH(G$1,INDIRECT("Table!A" &amp; $BJ10):INDIRECT("Table!" &amp; $BV$88 &amp; $BJ10),0)))))/1024</f>
        <v>205.97675781250001</v>
      </c>
      <c r="H10" s="709">
        <f ca="1">IF(ISERROR(MATCH(H$1,INDIRECT("Table!A"&amp;$BJ10):INDIRECT("Table!" &amp; $BV$88 &amp; $BJ10),0)),"",INDIRECT(CONCATENATE("Table!",ADDRESS($BF10,MATCH(H$1,INDIRECT("Table!A" &amp; $BJ10):INDIRECT("Table!" &amp; $BV$88 &amp; $BJ10),0)))))/1024</f>
        <v>122.26035156250001</v>
      </c>
      <c r="I10" s="709">
        <f ca="1">IF(ISERROR(MATCH(I$1,INDIRECT("Table!A"&amp;$BJ10):INDIRECT("Table!" &amp; $BV$88 &amp; $BJ10),0)),"",INDIRECT(CONCATENATE("Table!",ADDRESS($BF10,MATCH(I$1,INDIRECT("Table!A" &amp; $BJ10):INDIRECT("Table!" &amp; $BV$88 &amp; $BJ10),0)))))/1024</f>
        <v>24.573437500000001</v>
      </c>
      <c r="J10" s="709">
        <f ca="1">IF(ISERROR(MATCH(J$1,INDIRECT("Table!A"&amp;$BJ10):INDIRECT("Table!" &amp; $BV$88 &amp; $BJ10),0)),"",INDIRECT(CONCATENATE("Table!",ADDRESS($BF10,MATCH(J$1,INDIRECT("Table!A" &amp; $BJ10):INDIRECT("Table!" &amp; $BV$88 &amp; $BJ10),0)))))/1024</f>
        <v>79.944628906250003</v>
      </c>
      <c r="K10" s="709">
        <f ca="1">IF(ISERROR(MATCH(K$1,INDIRECT("Table!A"&amp;$BJ10):INDIRECT("Table!" &amp; $BV$88 &amp; $BJ10),0)),"",INDIRECT(CONCATENATE("Table!",ADDRESS($BF10,MATCH(K$1,INDIRECT("Table!A" &amp; $BJ10):INDIRECT("Table!" &amp; $BV$88 &amp; $BJ10),0)))))/1024</f>
        <v>53.430859374999997</v>
      </c>
      <c r="L10" s="709">
        <f ca="1">IF(ISERROR(MATCH(L$1,INDIRECT("Table!A"&amp;$BJ10):INDIRECT("Table!" &amp; $BV$88 &amp; $BJ10),0)),"",INDIRECT(CONCATENATE("Table!",ADDRESS($BF10,MATCH(L$1,INDIRECT("Table!A" &amp; $BJ10):INDIRECT("Table!" &amp; $BV$88 &amp; $BJ10),0)))))/1024</f>
        <v>156.08037109374999</v>
      </c>
      <c r="M10" s="709">
        <f ca="1">IF(ISERROR(MATCH(M$1,INDIRECT("Table!A"&amp;$BJ10):INDIRECT("Table!" &amp; $BV$88 &amp; $BJ10),0)),"",INDIRECT(CONCATENATE("Table!",ADDRESS($BF10,MATCH(M$1,INDIRECT("Table!A" &amp; $BJ10):INDIRECT("Table!" &amp; $BV$88 &amp; $BJ10),0)))))/1024</f>
        <v>203.78359374999999</v>
      </c>
      <c r="N10" s="709">
        <f ca="1">IF(ISERROR(MATCH(N$1,INDIRECT("Table!A"&amp;$BJ10):INDIRECT("Table!" &amp; $BV$88 &amp; $BJ10),0)),"",INDIRECT(CONCATENATE("Table!",ADDRESS($BF10,MATCH(N$1,INDIRECT("Table!A" &amp; $BJ10):INDIRECT("Table!" &amp; $BV$88 &amp; $BJ10),0)))))/1024</f>
        <v>55.648242187500003</v>
      </c>
      <c r="O10" s="709">
        <f ca="1">IF(ISERROR(MATCH(O$1,INDIRECT("Table!A"&amp;$BJ10):INDIRECT("Table!" &amp; $BV$88 &amp; $BJ10),0)),"",INDIRECT(CONCATENATE("Table!",ADDRESS($BF10,MATCH(O$1,INDIRECT("Table!A" &amp; $BJ10):INDIRECT("Table!" &amp; $BV$88 &amp; $BJ10),0)))))/1024</f>
        <v>226.80322265625</v>
      </c>
      <c r="P10" s="709">
        <f ca="1">IF(ISERROR(MATCH(P$1,INDIRECT("Table!A"&amp;$BJ10):INDIRECT("Table!" &amp; $BV$88 &amp; $BJ10),0)),"",INDIRECT(CONCATENATE("Table!",ADDRESS($BF10,MATCH(P$1,INDIRECT("Table!A" &amp; $BJ10):INDIRECT("Table!" &amp; $BV$88 &amp; $BJ10),0)))))/1024</f>
        <v>47.4765625</v>
      </c>
      <c r="Q10" s="709">
        <f ca="1">IF(ISERROR(MATCH(Q$1,INDIRECT("Table!A"&amp;$BJ10):INDIRECT("Table!" &amp; $BV$88 &amp; $BJ10),0)),"",INDIRECT(CONCATENATE("Table!",ADDRESS($BF10,MATCH(Q$1,INDIRECT("Table!A" &amp; $BJ10):INDIRECT("Table!" &amp; $BV$88 &amp; $BJ10),0)))))/1024</f>
        <v>123.05703124999999</v>
      </c>
      <c r="R10" s="709">
        <f ca="1">IF(ISERROR(MATCH(R$1,INDIRECT("Table!A"&amp;$BJ10):INDIRECT("Table!" &amp; $BV$88 &amp; $BJ10),0)),"",INDIRECT(CONCATENATE("Table!",ADDRESS($BF10,MATCH(R$1,INDIRECT("Table!A" &amp; $BJ10):INDIRECT("Table!" &amp; $BV$88 &amp; $BJ10),0)))))/1024</f>
        <v>149.11757812499999</v>
      </c>
      <c r="S10" s="709">
        <f ca="1">IF(ISERROR(MATCH(S$1,INDIRECT("Table!A"&amp;$BJ10):INDIRECT("Table!" &amp; $BV$43 &amp; $BJ10),0)),"",INDIRECT(CONCATENATE("Table!",ADDRESS($BF10,MATCH(S$1,INDIRECT("Table!A" &amp; $BJ10):INDIRECT("Table!" &amp; $BV$43 &amp; $BJ10),0)))))/1024</f>
        <v>15.615625</v>
      </c>
      <c r="T10" s="709">
        <f ca="1">IF(ISERROR(MATCH(T$1,INDIRECT("Table!A"&amp;$BJ10):INDIRECT("Table!" &amp; $BV$43 &amp; $BJ10),0)),"",INDIRECT(CONCATENATE("Table!",ADDRESS($BF10,MATCH(T$1,INDIRECT("Table!A" &amp; $BJ10):INDIRECT("Table!" &amp; $BV$43 &amp; $BJ10),0)))))/1024</f>
        <v>9.2347656249999996</v>
      </c>
      <c r="U10" s="709">
        <f ca="1">IF(ISERROR(MATCH(U$1,INDIRECT("Table!A"&amp;$BJ10):INDIRECT("Table!" &amp; $BV$43 &amp; $BJ10),0)),"",INDIRECT(CONCATENATE("Table!",ADDRESS($BF10,MATCH(U$1,INDIRECT("Table!A" &amp; $BJ10):INDIRECT("Table!" &amp; $BV$43 &amp; $BJ10),0)))))/1024</f>
        <v>10.99267578125</v>
      </c>
      <c r="V10" s="709">
        <f ca="1">IF(ISERROR(MATCH(V$1,INDIRECT("Table!A"&amp;$BJ10):INDIRECT("Table!" &amp; $BV$43 &amp; $BJ10),0)),"",INDIRECT(CONCATENATE("Table!",ADDRESS($BF10,MATCH(V$1,INDIRECT("Table!A" &amp; $BJ10):INDIRECT("Table!" &amp; $BV$43 &amp; $BJ10),0)))))/1024</f>
        <v>21.985156249999999</v>
      </c>
      <c r="W10" s="709">
        <f ca="1">IF(ISERROR(MATCH(W$1,INDIRECT("Table!A"&amp;$BJ10):INDIRECT("Table!" &amp; $BV$43 &amp; $BJ10),0)),"",INDIRECT(CONCATENATE("Table!",ADDRESS($BF10,MATCH(W$1,INDIRECT("Table!A" &amp; $BJ10):INDIRECT("Table!" &amp; $BV$43 &amp; $BJ10),0)))))/1024</f>
        <v>1.2718750000000001</v>
      </c>
      <c r="X10" s="709">
        <f ca="1">IF(ISERROR(MATCH(X$1,INDIRECT("Table!A"&amp;$BJ10):INDIRECT("Table!" &amp; $BV$43 &amp; $BJ10),0)),"",INDIRECT(CONCATENATE("Table!",ADDRESS($BF10,MATCH(X$1,INDIRECT("Table!A" &amp; $BJ10):INDIRECT("Table!" &amp; $BV$43 &amp; $BJ10),0)))))/1024</f>
        <v>2.533203125</v>
      </c>
      <c r="Y10" s="709">
        <f ca="1">IF(ISERROR(MATCH(Y$1,INDIRECT("Table!A"&amp;$BJ10):INDIRECT("Table!" &amp; $BV$43 &amp; $BJ10),0)),"",INDIRECT(CONCATENATE("Table!",ADDRESS($BF10,MATCH(Y$1,INDIRECT("Table!A" &amp; $BJ10):INDIRECT("Table!" &amp; $BV$43 &amp; $BJ10),0)))))/1024</f>
        <v>3.0273437500000001E-3</v>
      </c>
      <c r="Z10" s="709">
        <f ca="1">IF(ISERROR(MATCH(Z$1,INDIRECT("Table!A"&amp;$BJ10):INDIRECT("Table!" &amp; $BV$43 &amp; $BJ10),0)),"",INDIRECT(CONCATENATE("Table!",ADDRESS($BF10,MATCH(Z$1,INDIRECT("Table!A" &amp; $BJ10):INDIRECT("Table!" &amp; $BV$43 &amp; $BJ10),0)))))/1024</f>
        <v>5.859375E-3</v>
      </c>
      <c r="AA10" s="709"/>
      <c r="AB10" s="709"/>
      <c r="AC10" s="709" t="str">
        <f ca="1">IF(ISERROR(MATCH(AC$1,INDIRECT("Table!A"&amp;$BJ10):INDIRECT("Table!" &amp; $BV$88 &amp; $BJ10),0)),"",INDIRECT(CONCATENATE("Table!",ADDRESS($BF10,MATCH(AC$1,INDIRECT("Table!A" &amp; $BJ10):INDIRECT("Table!" &amp; $BV$88 &amp; $BJ10),0)))))</f>
        <v/>
      </c>
      <c r="AD10" s="709">
        <f ca="1">IF(ISERROR(MATCH(AD$1,INDIRECT("Table!A"&amp;$BJ10):INDIRECT("Table!" &amp; $BV$88 &amp; $BJ10),0)),"",INDIRECT(CONCATENATE("Table!",ADDRESS($BN10,MATCH(AD$1,INDIRECT("Table!A" &amp; $BJ10):INDIRECT("Table!" &amp; $BV$88 &amp; $BJ10),0)))))/1024</f>
        <v>244.15859374999999</v>
      </c>
      <c r="AE10" s="709">
        <f ca="1">IF(ISERROR(MATCH(AE$1,INDIRECT("Table!A"&amp;$BJ10):INDIRECT("Table!" &amp; $BV$88 &amp; $BJ10),0)),"",INDIRECT(CONCATENATE("Table!",ADDRESS($BN10,MATCH(AE$1,INDIRECT("Table!A" &amp; $BJ10):INDIRECT("Table!" &amp; $BV$88 &amp; $BJ10),0)))))/1024</f>
        <v>146.98896484375001</v>
      </c>
      <c r="AF10" s="709">
        <f ca="1">IF(ISERROR(MATCH(AF$1,INDIRECT("Table!A"&amp;$BJ10):INDIRECT("Table!" &amp; $BV$88 &amp; $BJ10),0)),"",INDIRECT(CONCATENATE("Table!",ADDRESS($BN10,MATCH(AF$1,INDIRECT("Table!A" &amp; $BJ10):INDIRECT("Table!" &amp; $BV$88 &amp; $BJ10),0)))))/1024</f>
        <v>146.98896484375001</v>
      </c>
      <c r="AG10" s="709">
        <f ca="1">IF(ISERROR(MATCH(AG$1,INDIRECT("Table!A"&amp;$BJ10):INDIRECT("Table!" &amp; $BV$88 &amp; $BJ10),0)),"",INDIRECT(CONCATENATE("Table!",ADDRESS($BN10,MATCH(AG$1,INDIRECT("Table!A" &amp; $BJ10):INDIRECT("Table!" &amp; $BV$88 &amp; $BJ10),0)))))/1024</f>
        <v>177.73320312499999</v>
      </c>
      <c r="AH10" s="709">
        <f ca="1">IF(ISERROR(MATCH(AH$1,INDIRECT("Table!A"&amp;$BJ10):INDIRECT("Table!" &amp; $BV$88 &amp; $BJ10),0)),"",INDIRECT(CONCATENATE("Table!",ADDRESS($BN10,MATCH(AH$1,INDIRECT("Table!A" &amp; $BJ10):INDIRECT("Table!" &amp; $BV$88 &amp; $BJ10),0)))))/1024</f>
        <v>161.88056640625001</v>
      </c>
      <c r="AI10" s="709">
        <f ca="1">IF(ISERROR(MATCH(AI$1,INDIRECT("Table!A"&amp;$BJ10):INDIRECT("Table!" &amp; $BV$88 &amp; $BJ10),0)),"",INDIRECT(CONCATENATE("Table!",ADDRESS($BN10,MATCH(AI$1,INDIRECT("Table!A" &amp; $BJ10):INDIRECT("Table!" &amp; $BV$88 &amp; $BJ10),0)))))/1024</f>
        <v>380.3759765625</v>
      </c>
      <c r="AJ10" s="709">
        <f ca="1">IF(ISERROR(MATCH(AJ$1,INDIRECT("Table!A"&amp;$BJ10):INDIRECT("Table!" &amp; $BV$88 &amp; $BJ10),0)),"",INDIRECT(CONCATENATE("Table!",ADDRESS($BN10,MATCH(AJ$1,INDIRECT("Table!A" &amp; $BJ10):INDIRECT("Table!" &amp; $BV$88 &amp; $BJ10),0)))))/1024</f>
        <v>167.94482421875</v>
      </c>
      <c r="AK10" s="709">
        <f ca="1">IF(ISERROR(MATCH(AK$1,INDIRECT("Table!A"&amp;$BJ10):INDIRECT("Table!" &amp; $BV$88 &amp; $BJ10),0)),"",INDIRECT(CONCATENATE("Table!",ADDRESS($BN10,MATCH(AK$1,INDIRECT("Table!A" &amp; $BJ10):INDIRECT("Table!" &amp; $BV$88 &amp; $BJ10),0)))))/1024</f>
        <v>162.185546875</v>
      </c>
      <c r="AL10" s="709">
        <f ca="1">IF(ISERROR(MATCH(AL$1,INDIRECT("Table!A"&amp;$BJ10):INDIRECT("Table!" &amp; $BV$88 &amp; $BJ10),0)),"",INDIRECT(CONCATENATE("Table!",ADDRESS($BN10,MATCH(AL$1,INDIRECT("Table!A" &amp; $BJ10):INDIRECT("Table!" &amp; $BV$88 &amp; $BJ10),0)))))/1024</f>
        <v>121.1125</v>
      </c>
      <c r="AM10" s="709">
        <f ca="1">IF(ISERROR(MATCH(AM$1,INDIRECT("Table!A"&amp;$BJ10):INDIRECT("Table!" &amp; $BV$88 &amp; $BJ10),0)),"",INDIRECT(CONCATENATE("Table!",ADDRESS($BN10,MATCH(AM$1,INDIRECT("Table!A" &amp; $BJ10):INDIRECT("Table!" &amp; $BV$88 &amp; $BJ10),0)))))/1024</f>
        <v>218.81953125000001</v>
      </c>
      <c r="AN10" s="709">
        <f ca="1">IF(ISERROR(MATCH(AN$1,INDIRECT("Table!A"&amp;$BJ10):INDIRECT("Table!" &amp; $BV$88 &amp; $BJ10),0)),"",INDIRECT(CONCATENATE("Table!",ADDRESS($BN10,MATCH(AN$1,INDIRECT("Table!A" &amp; $BJ10):INDIRECT("Table!" &amp; $BV$88 &amp; $BJ10),0)))))/1024</f>
        <v>188.50498046875001</v>
      </c>
      <c r="AO10" s="709">
        <f ca="1">IF(ISERROR(MATCH(AO$1,INDIRECT("Table!A"&amp;$BJ10):INDIRECT("Table!" &amp; $BV$88 &amp; $BJ10),0)),"",INDIRECT(CONCATENATE("Table!",ADDRESS($BN10,MATCH(AO$1,INDIRECT("Table!A" &amp; $BJ10):INDIRECT("Table!" &amp; $BV$88 &amp; $BJ10),0)))))/1024</f>
        <v>427.94912109375002</v>
      </c>
      <c r="AP10" s="709">
        <f ca="1">IF(ISERROR(MATCH(AP$1,INDIRECT("Table!A"&amp;$BJ10):INDIRECT("Table!" &amp; $BV$88 &amp; $BJ10),0)),"",INDIRECT(CONCATENATE("Table!",ADDRESS($BN10,MATCH(AP$1,INDIRECT("Table!A" &amp; $BJ10):INDIRECT("Table!" &amp; $BV$88 &amp; $BJ10),0)))))/1024</f>
        <v>81.092578125000003</v>
      </c>
      <c r="AQ10" s="709">
        <f ca="1">IF(ISERROR(MATCH(AQ$1,INDIRECT("Table!A"&amp;$BJ10):INDIRECT("Table!" &amp; $BV$88 &amp; $BJ10),0)),"",INDIRECT(CONCATENATE("Table!",ADDRESS($BN10,MATCH(AQ$1,INDIRECT("Table!A" &amp; $BJ10):INDIRECT("Table!" &amp; $BV$88 &amp; $BJ10),0)))))/1024</f>
        <v>269.65859375000002</v>
      </c>
      <c r="AR10" s="709">
        <f ca="1">IF(ISERROR(MATCH(AR$1,INDIRECT("Table!A"&amp;$BJ10):INDIRECT("Table!" &amp; $BV$88 &amp; $BJ10),0)),"",INDIRECT(CONCATENATE("Table!",ADDRESS($BN10,MATCH(AR$1,INDIRECT("Table!A" &amp; $BJ10):INDIRECT("Table!" &amp; $BV$88 &amp; $BJ10),0)))))/1024</f>
        <v>81.092578125000003</v>
      </c>
      <c r="AS10" s="709">
        <f ca="1">IF(ISERROR(MATCH(AS$1,INDIRECT("Table!A"&amp;$BJ10):INDIRECT("Table!" &amp; $BV$88 &amp; $BJ10),0)),"",INDIRECT(CONCATENATE("Table!",ADDRESS($BN10,MATCH(AS$1,INDIRECT("Table!A" &amp; $BJ10):INDIRECT("Table!" &amp; $BV$88 &amp; $BJ10),0)))))/1024</f>
        <v>187.12714843750001</v>
      </c>
      <c r="AT10" s="709">
        <f ca="1">IF(ISERROR(MATCH(AT$1,INDIRECT("Table!A"&amp;$BJ10):INDIRECT("Table!" &amp; $BV$88 &amp; $BJ10),0)),"",INDIRECT(CONCATENATE("Table!",ADDRESS($BN10,MATCH(AT$1,INDIRECT("Table!A" &amp; $BJ10):INDIRECT("Table!" &amp; $BV$88 &amp; $BJ10),0)))))/1024</f>
        <v>218.81953125000001</v>
      </c>
      <c r="AU10" s="709">
        <f ca="1">IF(ISERROR(MATCH(AU$1,INDIRECT("Table!A"&amp;$BJ10):INDIRECT("Table!" &amp; $BV$88 &amp; $BJ10),0)),"",INDIRECT(CONCATENATE("Table!",ADDRESS($BN10,MATCH(AU$1,INDIRECT("Table!A" &amp; $BJ10):INDIRECT("Table!" &amp; $BV$88 &amp; $BJ10),0)))))/1024</f>
        <v>53.8583984375</v>
      </c>
      <c r="AV10" s="709">
        <f ca="1">IF(ISERROR(MATCH(AV$1,INDIRECT("Table!A"&amp;$BJ10):INDIRECT("Table!" &amp; $BV$88 &amp; $BJ10),0)),"",INDIRECT(CONCATENATE("Table!",ADDRESS($BN10,MATCH(AV$1,INDIRECT("Table!A" &amp; $BJ10):INDIRECT("Table!" &amp; $BV$88 &amp; $BJ10),0)))))/1024</f>
        <v>32.31494140625</v>
      </c>
      <c r="AW10" s="709">
        <f ca="1">IF(ISERROR(MATCH(AW$1,INDIRECT("Table!A"&amp;$BJ10):INDIRECT("Table!" &amp; $BV$88 &amp; $BJ10),0)),"",INDIRECT(CONCATENATE("Table!",ADDRESS($BN10,MATCH(AW$1,INDIRECT("Table!A" &amp; $BJ10):INDIRECT("Table!" &amp; $BV$88 &amp; $BJ10),0)))))/1024</f>
        <v>99.80126953125</v>
      </c>
      <c r="AX10" s="709">
        <f ca="1">IF(ISERROR(MATCH(AX$1,INDIRECT("Table!A"&amp;$BJ10):INDIRECT("Table!" &amp; $BV$88 &amp; $BJ10),0)),"",INDIRECT(CONCATENATE("Table!",ADDRESS($BN10,MATCH(AX$1,INDIRECT("Table!A" &amp; $BJ10):INDIRECT("Table!" &amp; $BV$88 &amp; $BJ10),0)))))/1024</f>
        <v>204.58642578125</v>
      </c>
      <c r="AY10" s="909">
        <f ca="1">IF(ISERROR(MATCH(AY$1,INDIRECT("Table!A"&amp;$BJ10):INDIRECT("Table!" &amp; $BV$88 &amp; $BJ10),0)),"",INDIRECT(CONCATENATE("Table!",ADDRESS($BN10,MATCH(AY$1,INDIRECT("Table!A" &amp; $BJ10):INDIRECT("Table!" &amp; $BV$88 &amp; $BJ10),0)))))/1024</f>
        <v>99.80126953125</v>
      </c>
      <c r="AZ10" s="909">
        <f ca="1">IF(ISERROR(MATCH(AZ$1,INDIRECT("Table!A"&amp;$BJ10):INDIRECT("Table!" &amp; $BV$88 &amp; $BJ10),0)),"",INDIRECT(CONCATENATE("Table!",ADDRESS($BN10,MATCH(AZ$1,INDIRECT("Table!A" &amp; $BJ10):INDIRECT("Table!" &amp; $BV$88 &amp; $BJ10),0)))))/1024</f>
        <v>204.58642578125</v>
      </c>
      <c r="BA10" s="909">
        <f ca="1">IF(ISERROR(MATCH(BA$1,INDIRECT("Table!A"&amp;$BJ10):INDIRECT("Table!" &amp; $BV$88 &amp; $BJ10),0)),"",INDIRECT(CONCATENATE("Table!",ADDRESS($BN10,MATCH(BA$1,INDIRECT("Table!A" &amp; $BJ10):INDIRECT("Table!" &amp; $BV$88 &amp; $BJ10),0)))))/1024</f>
        <v>99.80126953125</v>
      </c>
      <c r="BB10" s="909">
        <f ca="1">IF(ISERROR(MATCH(BB$1,INDIRECT("Table!A"&amp;$BJ10):INDIRECT("Table!" &amp; $BV$88 &amp; $BJ10),0)),"",INDIRECT(CONCATENATE("Table!",ADDRESS($BN10,MATCH(BB$1,INDIRECT("Table!A" &amp; $BJ10):INDIRECT("Table!" &amp; $BV$88 &amp; $BJ10),0)))))/1024</f>
        <v>204.58642578125</v>
      </c>
      <c r="BC10" s="909"/>
      <c r="BD10" s="909"/>
      <c r="BE10" s="909"/>
      <c r="BF10" s="704">
        <f>MATCH($A10,Table!$A:$A,0)+$BH$2-1</f>
        <v>103</v>
      </c>
      <c r="BG10" s="744"/>
      <c r="BH10" s="744"/>
      <c r="BI10" s="744"/>
      <c r="BJ10" s="717">
        <f>MATCH($A10,Table!$A:$A,0)+$BL$2-1</f>
        <v>101</v>
      </c>
      <c r="BK10" s="744"/>
      <c r="BL10" s="744"/>
      <c r="BM10" s="744"/>
      <c r="BN10" s="704">
        <f>MATCH($A10,Table!$A:$A,0)+$BP$2-1</f>
        <v>102</v>
      </c>
      <c r="BO10" s="744"/>
      <c r="BP10" s="744"/>
      <c r="BQ10" s="744"/>
      <c r="BR10" s="717">
        <f>MATCH($A10,Table!$A:$A,0)+$BL$2-1</f>
        <v>101</v>
      </c>
      <c r="BS10" s="744"/>
      <c r="BT10" s="744"/>
      <c r="BU10" s="744"/>
      <c r="BV10" s="711" t="s">
        <v>284</v>
      </c>
      <c r="BW10" s="712">
        <f t="shared" ca="1" si="12"/>
        <v>4381.7696289062496</v>
      </c>
      <c r="BX10" s="712">
        <f t="shared" ca="1" si="0"/>
        <v>2031.9560546874995</v>
      </c>
      <c r="BY10" s="712">
        <f t="shared" ref="BY10" ca="1" si="25">BW10-BX10</f>
        <v>2349.8135742187501</v>
      </c>
      <c r="BZ10" s="718">
        <f t="shared" ref="BZ10" ca="1" si="26">BX10/BW10</f>
        <v>0.46372954919464898</v>
      </c>
      <c r="CA10" s="712">
        <f ca="1">SUMIF('Alloc Feed'!A:A,A:A,'Alloc Feed'!I:I)</f>
        <v>3499.7192343750003</v>
      </c>
      <c r="CB10" s="718">
        <f t="shared" ref="CB10" ca="1" si="27">CA10/BW10</f>
        <v>0.79869996160628343</v>
      </c>
    </row>
    <row r="11" spans="1:80" s="743" customFormat="1" x14ac:dyDescent="0.25">
      <c r="A11" s="703">
        <v>41766</v>
      </c>
      <c r="B11" s="709">
        <f ca="1">IF(ISERROR(MATCH(B$1,INDIRECT("Table!A"&amp;$BJ11):INDIRECT("Table!" &amp; $BV$88 &amp; $BJ11),0)),"",INDIRECT(CONCATENATE("Table!",ADDRESS($BF11,MATCH(B$1,INDIRECT("Table!A" &amp; $BJ11):INDIRECT("Table!" &amp; $BV$88 &amp; $BJ11),0)))))/1024</f>
        <v>101.45986328124999</v>
      </c>
      <c r="C11" s="709">
        <f ca="1">IF(ISERROR(MATCH(C$1,INDIRECT("Table!A"&amp;$BJ11):INDIRECT("Table!" &amp; $BV$88 &amp; $BJ11),0)),"",INDIRECT(CONCATENATE("Table!",ADDRESS($BF11,MATCH(C$1,INDIRECT("Table!A" &amp; $BJ11):INDIRECT("Table!" &amp; $BV$88 &amp; $BJ11),0)))))/1024</f>
        <v>82.121972656249994</v>
      </c>
      <c r="D11" s="709">
        <f ca="1">IF(ISERROR(MATCH(D$1,INDIRECT("Table!A"&amp;$BJ11):INDIRECT("Table!" &amp; $BV$88 &amp; $BJ11),0)),"",INDIRECT(CONCATENATE("Table!",ADDRESS($BF11,MATCH(D$1,INDIRECT("Table!A" &amp; $BJ11):INDIRECT("Table!" &amp; $BV$88 &amp; $BJ11),0)))))/1024</f>
        <v>83.432421875000003</v>
      </c>
      <c r="E11" s="709">
        <f ca="1">IF(ISERROR(MATCH(E$1,INDIRECT("Table!A"&amp;$BJ11):INDIRECT("Table!" &amp; $BV$88 &amp; $BJ11),0)),"",INDIRECT(CONCATENATE("Table!",ADDRESS($BF11,MATCH(E$1,INDIRECT("Table!A" &amp; $BJ11):INDIRECT("Table!" &amp; $BV$88 &amp; $BJ11),0)))))/1024</f>
        <v>147.59843749999999</v>
      </c>
      <c r="F11" s="709">
        <f ca="1">IF(ISERROR(MATCH(F$1,INDIRECT("Table!A"&amp;$BJ11):INDIRECT("Table!" &amp; $BV$88 &amp; $BJ11),0)),"",INDIRECT(CONCATENATE("Table!",ADDRESS($BF11,MATCH(F$1,INDIRECT("Table!A" &amp; $BJ11):INDIRECT("Table!" &amp; $BV$88 &amp; $BJ11),0)))))/1024</f>
        <v>108.61591796875</v>
      </c>
      <c r="G11" s="709">
        <f ca="1">IF(ISERROR(MATCH(G$1,INDIRECT("Table!A"&amp;$BJ11):INDIRECT("Table!" &amp; $BV$88 &amp; $BJ11),0)),"",INDIRECT(CONCATENATE("Table!",ADDRESS($BF11,MATCH(G$1,INDIRECT("Table!A" &amp; $BJ11):INDIRECT("Table!" &amp; $BV$88 &amp; $BJ11),0)))))/1024</f>
        <v>205.48037109374999</v>
      </c>
      <c r="H11" s="709">
        <f ca="1">IF(ISERROR(MATCH(H$1,INDIRECT("Table!A"&amp;$BJ11):INDIRECT("Table!" &amp; $BV$88 &amp; $BJ11),0)),"",INDIRECT(CONCATENATE("Table!",ADDRESS($BF11,MATCH(H$1,INDIRECT("Table!A" &amp; $BJ11):INDIRECT("Table!" &amp; $BV$88 &amp; $BJ11),0)))))/1024</f>
        <v>122.08271484375</v>
      </c>
      <c r="I11" s="709">
        <f ca="1">IF(ISERROR(MATCH(I$1,INDIRECT("Table!A"&amp;$BJ11):INDIRECT("Table!" &amp; $BV$88 &amp; $BJ11),0)),"",INDIRECT(CONCATENATE("Table!",ADDRESS($BF11,MATCH(I$1,INDIRECT("Table!A" &amp; $BJ11):INDIRECT("Table!" &amp; $BV$88 &amp; $BJ11),0)))))/1024</f>
        <v>24.062597656249999</v>
      </c>
      <c r="J11" s="709">
        <f ca="1">IF(ISERROR(MATCH(J$1,INDIRECT("Table!A"&amp;$BJ11):INDIRECT("Table!" &amp; $BV$88 &amp; $BJ11),0)),"",INDIRECT(CONCATENATE("Table!",ADDRESS($BF11,MATCH(J$1,INDIRECT("Table!A" &amp; $BJ11):INDIRECT("Table!" &amp; $BV$88 &amp; $BJ11),0)))))/1024</f>
        <v>79.697558593750003</v>
      </c>
      <c r="K11" s="709">
        <f ca="1">IF(ISERROR(MATCH(K$1,INDIRECT("Table!A"&amp;$BJ11):INDIRECT("Table!" &amp; $BV$88 &amp; $BJ11),0)),"",INDIRECT(CONCATENATE("Table!",ADDRESS($BF11,MATCH(K$1,INDIRECT("Table!A" &amp; $BJ11):INDIRECT("Table!" &amp; $BV$88 &amp; $BJ11),0)))))/1024</f>
        <v>50.95556640625</v>
      </c>
      <c r="L11" s="709">
        <f ca="1">IF(ISERROR(MATCH(L$1,INDIRECT("Table!A"&amp;$BJ11):INDIRECT("Table!" &amp; $BV$88 &amp; $BJ11),0)),"",INDIRECT(CONCATENATE("Table!",ADDRESS($BF11,MATCH(L$1,INDIRECT("Table!A" &amp; $BJ11):INDIRECT("Table!" &amp; $BV$88 &amp; $BJ11),0)))))/1024</f>
        <v>155.88759765624999</v>
      </c>
      <c r="M11" s="709">
        <f ca="1">IF(ISERROR(MATCH(M$1,INDIRECT("Table!A"&amp;$BJ11):INDIRECT("Table!" &amp; $BV$88 &amp; $BJ11),0)),"",INDIRECT(CONCATENATE("Table!",ADDRESS($BF11,MATCH(M$1,INDIRECT("Table!A" &amp; $BJ11):INDIRECT("Table!" &amp; $BV$88 &amp; $BJ11),0)))))/1024</f>
        <v>203.29150390625</v>
      </c>
      <c r="N11" s="709">
        <f ca="1">IF(ISERROR(MATCH(N$1,INDIRECT("Table!A"&amp;$BJ11):INDIRECT("Table!" &amp; $BV$88 &amp; $BJ11),0)),"",INDIRECT(CONCATENATE("Table!",ADDRESS($BF11,MATCH(N$1,INDIRECT("Table!A" &amp; $BJ11):INDIRECT("Table!" &amp; $BV$88 &amp; $BJ11),0)))))/1024</f>
        <v>54.783398437499997</v>
      </c>
      <c r="O11" s="709">
        <f ca="1">IF(ISERROR(MATCH(O$1,INDIRECT("Table!A"&amp;$BJ11):INDIRECT("Table!" &amp; $BV$88 &amp; $BJ11),0)),"",INDIRECT(CONCATENATE("Table!",ADDRESS($BF11,MATCH(O$1,INDIRECT("Table!A" &amp; $BJ11):INDIRECT("Table!" &amp; $BV$88 &amp; $BJ11),0)))))/1024</f>
        <v>226.4677734375</v>
      </c>
      <c r="P11" s="709">
        <f ca="1">IF(ISERROR(MATCH(P$1,INDIRECT("Table!A"&amp;$BJ11):INDIRECT("Table!" &amp; $BV$88 &amp; $BJ11),0)),"",INDIRECT(CONCATENATE("Table!",ADDRESS($BF11,MATCH(P$1,INDIRECT("Table!A" &amp; $BJ11):INDIRECT("Table!" &amp; $BV$88 &amp; $BJ11),0)))))/1024</f>
        <v>46.526757812500001</v>
      </c>
      <c r="Q11" s="709">
        <f ca="1">IF(ISERROR(MATCH(Q$1,INDIRECT("Table!A"&amp;$BJ11):INDIRECT("Table!" &amp; $BV$88 &amp; $BJ11),0)),"",INDIRECT(CONCATENATE("Table!",ADDRESS($BF11,MATCH(Q$1,INDIRECT("Table!A" &amp; $BJ11):INDIRECT("Table!" &amp; $BV$88 &amp; $BJ11),0)))))/1024</f>
        <v>122.77646484375001</v>
      </c>
      <c r="R11" s="709">
        <f ca="1">IF(ISERROR(MATCH(R$1,INDIRECT("Table!A"&amp;$BJ11):INDIRECT("Table!" &amp; $BV$88 &amp; $BJ11),0)),"",INDIRECT(CONCATENATE("Table!",ADDRESS($BF11,MATCH(R$1,INDIRECT("Table!A" &amp; $BJ11):INDIRECT("Table!" &amp; $BV$88 &amp; $BJ11),0)))))/1024</f>
        <v>146.61611328124999</v>
      </c>
      <c r="S11" s="709">
        <f ca="1">IF(ISERROR(MATCH(S$1,INDIRECT("Table!A"&amp;$BJ11):INDIRECT("Table!" &amp; $BV$43 &amp; $BJ11),0)),"",INDIRECT(CONCATENATE("Table!",ADDRESS($BF11,MATCH(S$1,INDIRECT("Table!A" &amp; $BJ11):INDIRECT("Table!" &amp; $BV$43 &amp; $BJ11),0)))))/1024</f>
        <v>15.615625</v>
      </c>
      <c r="T11" s="709">
        <f ca="1">IF(ISERROR(MATCH(T$1,INDIRECT("Table!A"&amp;$BJ11):INDIRECT("Table!" &amp; $BV$43 &amp; $BJ11),0)),"",INDIRECT(CONCATENATE("Table!",ADDRESS($BF11,MATCH(T$1,INDIRECT("Table!A" &amp; $BJ11):INDIRECT("Table!" &amp; $BV$43 &amp; $BJ11),0)))))/1024</f>
        <v>9.2347656249999996</v>
      </c>
      <c r="U11" s="709">
        <f ca="1">IF(ISERROR(MATCH(U$1,INDIRECT("Table!A"&amp;$BJ11):INDIRECT("Table!" &amp; $BV$43 &amp; $BJ11),0)),"",INDIRECT(CONCATENATE("Table!",ADDRESS($BF11,MATCH(U$1,INDIRECT("Table!A" &amp; $BJ11):INDIRECT("Table!" &amp; $BV$43 &amp; $BJ11),0)))))/1024</f>
        <v>9.2943359374999996</v>
      </c>
      <c r="V11" s="709">
        <f ca="1">IF(ISERROR(MATCH(V$1,INDIRECT("Table!A"&amp;$BJ11):INDIRECT("Table!" &amp; $BV$43 &amp; $BJ11),0)),"",INDIRECT(CONCATENATE("Table!",ADDRESS($BF11,MATCH(V$1,INDIRECT("Table!A" &amp; $BJ11):INDIRECT("Table!" &amp; $BV$43 &amp; $BJ11),0)))))/1024</f>
        <v>18.588476562499999</v>
      </c>
      <c r="W11" s="709">
        <f ca="1">IF(ISERROR(MATCH(W$1,INDIRECT("Table!A"&amp;$BJ11):INDIRECT("Table!" &amp; $BV$43 &amp; $BJ11),0)),"",INDIRECT(CONCATENATE("Table!",ADDRESS($BF11,MATCH(W$1,INDIRECT("Table!A" &amp; $BJ11):INDIRECT("Table!" &amp; $BV$43 &amp; $BJ11),0)))))/1024</f>
        <v>1.2564453124999999</v>
      </c>
      <c r="X11" s="709">
        <f ca="1">IF(ISERROR(MATCH(X$1,INDIRECT("Table!A"&amp;$BJ11):INDIRECT("Table!" &amp; $BV$43 &amp; $BJ11),0)),"",INDIRECT(CONCATENATE("Table!",ADDRESS($BF11,MATCH(X$1,INDIRECT("Table!A" &amp; $BJ11):INDIRECT("Table!" &amp; $BV$43 &amp; $BJ11),0)))))/1024</f>
        <v>2.5023437500000001</v>
      </c>
      <c r="Y11" s="709">
        <f ca="1">IF(ISERROR(MATCH(Y$1,INDIRECT("Table!A"&amp;$BJ11):INDIRECT("Table!" &amp; $BV$43 &amp; $BJ11),0)),"",INDIRECT(CONCATENATE("Table!",ADDRESS($BF11,MATCH(Y$1,INDIRECT("Table!A" &amp; $BJ11):INDIRECT("Table!" &amp; $BV$43 &amp; $BJ11),0)))))/1024</f>
        <v>3.0273437500000001E-3</v>
      </c>
      <c r="Z11" s="709">
        <f ca="1">IF(ISERROR(MATCH(Z$1,INDIRECT("Table!A"&amp;$BJ11):INDIRECT("Table!" &amp; $BV$43 &amp; $BJ11),0)),"",INDIRECT(CONCATENATE("Table!",ADDRESS($BF11,MATCH(Z$1,INDIRECT("Table!A" &amp; $BJ11):INDIRECT("Table!" &amp; $BV$43 &amp; $BJ11),0)))))/1024</f>
        <v>5.859375E-3</v>
      </c>
      <c r="AA11" s="909"/>
      <c r="AB11" s="909"/>
      <c r="AC11" s="709" t="str">
        <f ca="1">IF(ISERROR(MATCH(AC$1,INDIRECT("Table!A"&amp;$BJ11):INDIRECT("Table!" &amp; $BV$88 &amp; $BJ11),0)),"",INDIRECT(CONCATENATE("Table!",ADDRESS($BF11,MATCH(AC$1,INDIRECT("Table!A" &amp; $BJ11):INDIRECT("Table!" &amp; $BV$88 &amp; $BJ11),0)))))</f>
        <v/>
      </c>
      <c r="AD11" s="709">
        <f ca="1">IF(ISERROR(MATCH(AD$1,INDIRECT("Table!A"&amp;$BJ11):INDIRECT("Table!" &amp; $BV$88 &amp; $BJ11),0)),"",INDIRECT(CONCATENATE("Table!",ADDRESS($BN11,MATCH(AD$1,INDIRECT("Table!A" &amp; $BJ11):INDIRECT("Table!" &amp; $BV$88 &amp; $BJ11),0)))))/1024</f>
        <v>244.158203125</v>
      </c>
      <c r="AE11" s="709">
        <f ca="1">IF(ISERROR(MATCH(AE$1,INDIRECT("Table!A"&amp;$BJ11):INDIRECT("Table!" &amp; $BV$88 &amp; $BJ11),0)),"",INDIRECT(CONCATENATE("Table!",ADDRESS($BN11,MATCH(AE$1,INDIRECT("Table!A" &amp; $BJ11):INDIRECT("Table!" &amp; $BV$88 &amp; $BJ11),0)))))/1024</f>
        <v>146.9892578125</v>
      </c>
      <c r="AF11" s="709">
        <f ca="1">IF(ISERROR(MATCH(AF$1,INDIRECT("Table!A"&amp;$BJ11):INDIRECT("Table!" &amp; $BV$88 &amp; $BJ11),0)),"",INDIRECT(CONCATENATE("Table!",ADDRESS($BN11,MATCH(AF$1,INDIRECT("Table!A" &amp; $BJ11):INDIRECT("Table!" &amp; $BV$88 &amp; $BJ11),0)))))/1024</f>
        <v>146.9892578125</v>
      </c>
      <c r="AG11" s="709">
        <f ca="1">IF(ISERROR(MATCH(AG$1,INDIRECT("Table!A"&amp;$BJ11):INDIRECT("Table!" &amp; $BV$88 &amp; $BJ11),0)),"",INDIRECT(CONCATENATE("Table!",ADDRESS($BN11,MATCH(AG$1,INDIRECT("Table!A" &amp; $BJ11):INDIRECT("Table!" &amp; $BV$88 &amp; $BJ11),0)))))/1024</f>
        <v>177.7333984375</v>
      </c>
      <c r="AH11" s="709">
        <f ca="1">IF(ISERROR(MATCH(AH$1,INDIRECT("Table!A"&amp;$BJ11):INDIRECT("Table!" &amp; $BV$88 &amp; $BJ11),0)),"",INDIRECT(CONCATENATE("Table!",ADDRESS($BN11,MATCH(AH$1,INDIRECT("Table!A" &amp; $BJ11):INDIRECT("Table!" &amp; $BV$88 &amp; $BJ11),0)))))/1024</f>
        <v>161.880859375</v>
      </c>
      <c r="AI11" s="709">
        <f ca="1">IF(ISERROR(MATCH(AI$1,INDIRECT("Table!A"&amp;$BJ11):INDIRECT("Table!" &amp; $BV$88 &amp; $BJ11),0)),"",INDIRECT(CONCATENATE("Table!",ADDRESS($BN11,MATCH(AI$1,INDIRECT("Table!A" &amp; $BJ11):INDIRECT("Table!" &amp; $BV$88 &amp; $BJ11),0)))))/1024</f>
        <v>380.3759765625</v>
      </c>
      <c r="AJ11" s="709">
        <f ca="1">IF(ISERROR(MATCH(AJ$1,INDIRECT("Table!A"&amp;$BJ11):INDIRECT("Table!" &amp; $BV$88 &amp; $BJ11),0)),"",INDIRECT(CONCATENATE("Table!",ADDRESS($BN11,MATCH(AJ$1,INDIRECT("Table!A" &amp; $BJ11):INDIRECT("Table!" &amp; $BV$88 &amp; $BJ11),0)))))/1024</f>
        <v>167.9453125</v>
      </c>
      <c r="AK11" s="709">
        <f ca="1">IF(ISERROR(MATCH(AK$1,INDIRECT("Table!A"&amp;$BJ11):INDIRECT("Table!" &amp; $BV$88 &amp; $BJ11),0)),"",INDIRECT(CONCATENATE("Table!",ADDRESS($BN11,MATCH(AK$1,INDIRECT("Table!A" &amp; $BJ11):INDIRECT("Table!" &amp; $BV$88 &amp; $BJ11),0)))))/1024</f>
        <v>162.185546875</v>
      </c>
      <c r="AL11" s="709">
        <f ca="1">IF(ISERROR(MATCH(AL$1,INDIRECT("Table!A"&amp;$BJ11):INDIRECT("Table!" &amp; $BV$88 &amp; $BJ11),0)),"",INDIRECT(CONCATENATE("Table!",ADDRESS($BN11,MATCH(AL$1,INDIRECT("Table!A" &amp; $BJ11):INDIRECT("Table!" &amp; $BV$88 &amp; $BJ11),0)))))/1024</f>
        <v>121.1123046875</v>
      </c>
      <c r="AM11" s="709">
        <f ca="1">IF(ISERROR(MATCH(AM$1,INDIRECT("Table!A"&amp;$BJ11):INDIRECT("Table!" &amp; $BV$88 &amp; $BJ11),0)),"",INDIRECT(CONCATENATE("Table!",ADDRESS($BN11,MATCH(AM$1,INDIRECT("Table!A" &amp; $BJ11):INDIRECT("Table!" &amp; $BV$88 &amp; $BJ11),0)))))/1024</f>
        <v>218.8193359375</v>
      </c>
      <c r="AN11" s="709">
        <f ca="1">IF(ISERROR(MATCH(AN$1,INDIRECT("Table!A"&amp;$BJ11):INDIRECT("Table!" &amp; $BV$88 &amp; $BJ11),0)),"",INDIRECT(CONCATENATE("Table!",ADDRESS($BN11,MATCH(AN$1,INDIRECT("Table!A" &amp; $BJ11):INDIRECT("Table!" &amp; $BV$88 &amp; $BJ11),0)))))/1024</f>
        <v>188.5048828125</v>
      </c>
      <c r="AO11" s="709">
        <f ca="1">IF(ISERROR(MATCH(AO$1,INDIRECT("Table!A"&amp;$BJ11):INDIRECT("Table!" &amp; $BV$88 &amp; $BJ11),0)),"",INDIRECT(CONCATENATE("Table!",ADDRESS($BN11,MATCH(AO$1,INDIRECT("Table!A" &amp; $BJ11):INDIRECT("Table!" &amp; $BV$88 &amp; $BJ11),0)))))/1024</f>
        <v>427.94921875</v>
      </c>
      <c r="AP11" s="709">
        <f ca="1">IF(ISERROR(MATCH(AP$1,INDIRECT("Table!A"&amp;$BJ11):INDIRECT("Table!" &amp; $BV$88 &amp; $BJ11),0)),"",INDIRECT(CONCATENATE("Table!",ADDRESS($BN11,MATCH(AP$1,INDIRECT("Table!A" &amp; $BJ11):INDIRECT("Table!" &amp; $BV$88 &amp; $BJ11),0)))))/1024</f>
        <v>81.0927734375</v>
      </c>
      <c r="AQ11" s="709">
        <f ca="1">IF(ISERROR(MATCH(AQ$1,INDIRECT("Table!A"&amp;$BJ11):INDIRECT("Table!" &amp; $BV$88 &amp; $BJ11),0)),"",INDIRECT(CONCATENATE("Table!",ADDRESS($BN11,MATCH(AQ$1,INDIRECT("Table!A" &amp; $BJ11):INDIRECT("Table!" &amp; $BV$88 &amp; $BJ11),0)))))/1024</f>
        <v>269.658203125</v>
      </c>
      <c r="AR11" s="709">
        <f ca="1">IF(ISERROR(MATCH(AR$1,INDIRECT("Table!A"&amp;$BJ11):INDIRECT("Table!" &amp; $BV$88 &amp; $BJ11),0)),"",INDIRECT(CONCATENATE("Table!",ADDRESS($BN11,MATCH(AR$1,INDIRECT("Table!A" &amp; $BJ11):INDIRECT("Table!" &amp; $BV$88 &amp; $BJ11),0)))))/1024</f>
        <v>81.0927734375</v>
      </c>
      <c r="AS11" s="709">
        <f ca="1">IF(ISERROR(MATCH(AS$1,INDIRECT("Table!A"&amp;$BJ11):INDIRECT("Table!" &amp; $BV$88 &amp; $BJ11),0)),"",INDIRECT(CONCATENATE("Table!",ADDRESS($BN11,MATCH(AS$1,INDIRECT("Table!A" &amp; $BJ11):INDIRECT("Table!" &amp; $BV$88 &amp; $BJ11),0)))))/1024</f>
        <v>187.126953125</v>
      </c>
      <c r="AT11" s="709">
        <f ca="1">IF(ISERROR(MATCH(AT$1,INDIRECT("Table!A"&amp;$BJ11):INDIRECT("Table!" &amp; $BV$88 &amp; $BJ11),0)),"",INDIRECT(CONCATENATE("Table!",ADDRESS($BN11,MATCH(AT$1,INDIRECT("Table!A" &amp; $BJ11):INDIRECT("Table!" &amp; $BV$88 &amp; $BJ11),0)))))/1024</f>
        <v>218.8193359375</v>
      </c>
      <c r="AU11" s="709">
        <f ca="1">IF(ISERROR(MATCH(AU$1,INDIRECT("Table!A"&amp;$BJ11):INDIRECT("Table!" &amp; $BV$88 &amp; $BJ11),0)),"",INDIRECT(CONCATENATE("Table!",ADDRESS($BN11,MATCH(AU$1,INDIRECT("Table!A" &amp; $BJ11):INDIRECT("Table!" &amp; $BV$88 &amp; $BJ11),0)))))/1024</f>
        <v>53.8583984375</v>
      </c>
      <c r="AV11" s="709">
        <f ca="1">IF(ISERROR(MATCH(AV$1,INDIRECT("Table!A"&amp;$BJ11):INDIRECT("Table!" &amp; $BV$88 &amp; $BJ11),0)),"",INDIRECT(CONCATENATE("Table!",ADDRESS($BN11,MATCH(AV$1,INDIRECT("Table!A" &amp; $BJ11):INDIRECT("Table!" &amp; $BV$88 &amp; $BJ11),0)))))/1024</f>
        <v>32.3154296875</v>
      </c>
      <c r="AW11" s="709">
        <f ca="1">IF(ISERROR(MATCH(AW$1,INDIRECT("Table!A"&amp;$BJ11):INDIRECT("Table!" &amp; $BV$88 &amp; $BJ11),0)),"",INDIRECT(CONCATENATE("Table!",ADDRESS($BN11,MATCH(AW$1,INDIRECT("Table!A" &amp; $BJ11):INDIRECT("Table!" &amp; $BV$88 &amp; $BJ11),0)))))/1024</f>
        <v>99.8017578125</v>
      </c>
      <c r="AX11" s="709">
        <f ca="1">IF(ISERROR(MATCH(AX$1,INDIRECT("Table!A"&amp;$BJ11):INDIRECT("Table!" &amp; $BV$88 &amp; $BJ11),0)),"",INDIRECT(CONCATENATE("Table!",ADDRESS($BN11,MATCH(AX$1,INDIRECT("Table!A" &amp; $BJ11):INDIRECT("Table!" &amp; $BV$88 &amp; $BJ11),0)))))/1024</f>
        <v>204.5869140625</v>
      </c>
      <c r="AY11" s="909">
        <f ca="1">IF(ISERROR(MATCH(AY$1,INDIRECT("Table!A"&amp;$BJ11):INDIRECT("Table!" &amp; $BV$88 &amp; $BJ11),0)),"",INDIRECT(CONCATENATE("Table!",ADDRESS($BN11,MATCH(AY$1,INDIRECT("Table!A" &amp; $BJ11):INDIRECT("Table!" &amp; $BV$88 &amp; $BJ11),0)))))/1024</f>
        <v>99.8017578125</v>
      </c>
      <c r="AZ11" s="909">
        <f ca="1">IF(ISERROR(MATCH(AZ$1,INDIRECT("Table!A"&amp;$BJ11):INDIRECT("Table!" &amp; $BV$88 &amp; $BJ11),0)),"",INDIRECT(CONCATENATE("Table!",ADDRESS($BN11,MATCH(AZ$1,INDIRECT("Table!A" &amp; $BJ11):INDIRECT("Table!" &amp; $BV$88 &amp; $BJ11),0)))))/1024</f>
        <v>204.5869140625</v>
      </c>
      <c r="BA11" s="909">
        <f ca="1">IF(ISERROR(MATCH(BA$1,INDIRECT("Table!A"&amp;$BJ11):INDIRECT("Table!" &amp; $BV$88 &amp; $BJ11),0)),"",INDIRECT(CONCATENATE("Table!",ADDRESS($BN11,MATCH(BA$1,INDIRECT("Table!A" &amp; $BJ11):INDIRECT("Table!" &amp; $BV$88 &amp; $BJ11),0)))))/1024</f>
        <v>99.8017578125</v>
      </c>
      <c r="BB11" s="909">
        <f ca="1">IF(ISERROR(MATCH(BB$1,INDIRECT("Table!A"&amp;$BJ11):INDIRECT("Table!" &amp; $BV$88 &amp; $BJ11),0)),"",INDIRECT(CONCATENATE("Table!",ADDRESS($BN11,MATCH(BB$1,INDIRECT("Table!A" &amp; $BJ11):INDIRECT("Table!" &amp; $BV$88 &amp; $BJ11),0)))))/1024</f>
        <v>204.5869140625</v>
      </c>
      <c r="BC11" s="909"/>
      <c r="BD11" s="909"/>
      <c r="BE11" s="909"/>
      <c r="BF11" s="704">
        <f>MATCH($A11,Table!$A:$A,0)+$BH$2-1</f>
        <v>117</v>
      </c>
      <c r="BG11" s="744"/>
      <c r="BH11" s="744"/>
      <c r="BI11" s="744"/>
      <c r="BJ11" s="717">
        <f>MATCH($A11,Table!$A:$A,0)+$BL$2-1</f>
        <v>115</v>
      </c>
      <c r="BK11" s="744"/>
      <c r="BL11" s="744"/>
      <c r="BM11" s="744"/>
      <c r="BN11" s="704">
        <f>MATCH($A11,Table!$A:$A,0)+$BP$2-1</f>
        <v>116</v>
      </c>
      <c r="BO11" s="744"/>
      <c r="BP11" s="744"/>
      <c r="BQ11" s="744"/>
      <c r="BR11" s="717">
        <f>MATCH($A11,Table!$A:$A,0)+$BL$2-1</f>
        <v>115</v>
      </c>
      <c r="BS11" s="744"/>
      <c r="BT11" s="744"/>
      <c r="BU11" s="744"/>
      <c r="BV11" s="711" t="s">
        <v>284</v>
      </c>
      <c r="BW11" s="712">
        <f t="shared" ca="1" si="12"/>
        <v>4381.7734375</v>
      </c>
      <c r="BX11" s="712">
        <f t="shared" ca="1" si="0"/>
        <v>2014.5902343749997</v>
      </c>
      <c r="BY11" s="712">
        <f t="shared" ref="BY11" ca="1" si="28">BW11-BX11</f>
        <v>2367.1832031250005</v>
      </c>
      <c r="BZ11" s="718">
        <f t="shared" ref="BZ11" ca="1" si="29">BX11/BW11</f>
        <v>0.45976595164272449</v>
      </c>
      <c r="CA11" s="712">
        <f ca="1">SUMIF('Alloc Feed'!A:A,A:A,'Alloc Feed'!I:I)</f>
        <v>3427.873046875</v>
      </c>
      <c r="CB11" s="718">
        <f t="shared" ref="CB11" ca="1" si="30">CA11/BW11</f>
        <v>0.7823026671207256</v>
      </c>
    </row>
    <row r="12" spans="1:80" s="743" customFormat="1" x14ac:dyDescent="0.25">
      <c r="A12" s="703">
        <v>41752</v>
      </c>
      <c r="B12" s="709">
        <f ca="1">IF(ISERROR(MATCH(B$1,INDIRECT("Table!A"&amp;$BJ12):INDIRECT("Table!" &amp; $BV$88 &amp; $BJ12),0)),"",INDIRECT(CONCATENATE("Table!",ADDRESS($BF12,MATCH(B$1,INDIRECT("Table!A" &amp; $BJ12):INDIRECT("Table!" &amp; $BV$88 &amp; $BJ12),0)))))/1024</f>
        <v>102.39833984374999</v>
      </c>
      <c r="C12" s="709">
        <f ca="1">IF(ISERROR(MATCH(C$1,INDIRECT("Table!A"&amp;$BJ12):INDIRECT("Table!" &amp; $BV$88 &amp; $BJ12),0)),"",INDIRECT(CONCATENATE("Table!",ADDRESS($BF12,MATCH(C$1,INDIRECT("Table!A" &amp; $BJ12):INDIRECT("Table!" &amp; $BV$88 &amp; $BJ12),0)))))/1024</f>
        <v>81.948046875000003</v>
      </c>
      <c r="D12" s="709">
        <f ca="1">IF(ISERROR(MATCH(D$1,INDIRECT("Table!A"&amp;$BJ12):INDIRECT("Table!" &amp; $BV$88 &amp; $BJ12),0)),"",INDIRECT(CONCATENATE("Table!",ADDRESS($BF12,MATCH(D$1,INDIRECT("Table!A" &amp; $BJ12):INDIRECT("Table!" &amp; $BV$88 &amp; $BJ12),0)))))/1024</f>
        <v>83.258593750000003</v>
      </c>
      <c r="E12" s="709">
        <f ca="1">IF(ISERROR(MATCH(E$1,INDIRECT("Table!A"&amp;$BJ12):INDIRECT("Table!" &amp; $BV$88 &amp; $BJ12),0)),"",INDIRECT(CONCATENATE("Table!",ADDRESS($BF12,MATCH(E$1,INDIRECT("Table!A" &amp; $BJ12):INDIRECT("Table!" &amp; $BV$88 &amp; $BJ12),0)))))/1024</f>
        <v>147.25087890624999</v>
      </c>
      <c r="F12" s="709">
        <f ca="1">IF(ISERROR(MATCH(F$1,INDIRECT("Table!A"&amp;$BJ12):INDIRECT("Table!" &amp; $BV$88 &amp; $BJ12),0)),"",INDIRECT(CONCATENATE("Table!",ADDRESS($BF12,MATCH(F$1,INDIRECT("Table!A" &amp; $BJ12):INDIRECT("Table!" &amp; $BV$88 &amp; $BJ12),0)))))/1024</f>
        <v>108.8615234375</v>
      </c>
      <c r="G12" s="709">
        <f ca="1">IF(ISERROR(MATCH(G$1,INDIRECT("Table!A"&amp;$BJ12):INDIRECT("Table!" &amp; $BV$88 &amp; $BJ12),0)),"",INDIRECT(CONCATENATE("Table!",ADDRESS($BF12,MATCH(G$1,INDIRECT("Table!A" &amp; $BJ12):INDIRECT("Table!" &amp; $BV$88 &amp; $BJ12),0)))))/1024</f>
        <v>204.22695312499999</v>
      </c>
      <c r="H12" s="709">
        <f ca="1">IF(ISERROR(MATCH(H$1,INDIRECT("Table!A"&amp;$BJ12):INDIRECT("Table!" &amp; $BV$88 &amp; $BJ12),0)),"",INDIRECT(CONCATENATE("Table!",ADDRESS($BF12,MATCH(H$1,INDIRECT("Table!A" &amp; $BJ12):INDIRECT("Table!" &amp; $BV$88 &amp; $BJ12),0)))))/1024</f>
        <v>121.891796875</v>
      </c>
      <c r="I12" s="709">
        <f ca="1">IF(ISERROR(MATCH(I$1,INDIRECT("Table!A"&amp;$BJ12):INDIRECT("Table!" &amp; $BV$88 &amp; $BJ12),0)),"",INDIRECT(CONCATENATE("Table!",ADDRESS($BF12,MATCH(I$1,INDIRECT("Table!A" &amp; $BJ12):INDIRECT("Table!" &amp; $BV$88 &amp; $BJ12),0)))))/1024</f>
        <v>23.130468749999999</v>
      </c>
      <c r="J12" s="709">
        <f ca="1">IF(ISERROR(MATCH(J$1,INDIRECT("Table!A"&amp;$BJ12):INDIRECT("Table!" &amp; $BV$88 &amp; $BJ12),0)),"",INDIRECT(CONCATENATE("Table!",ADDRESS($BF12,MATCH(J$1,INDIRECT("Table!A" &amp; $BJ12):INDIRECT("Table!" &amp; $BV$88 &amp; $BJ12),0)))))/1024</f>
        <v>75.938671874999997</v>
      </c>
      <c r="K12" s="709">
        <f ca="1">IF(ISERROR(MATCH(K$1,INDIRECT("Table!A"&amp;$BJ12):INDIRECT("Table!" &amp; $BV$88 &amp; $BJ12),0)),"",INDIRECT(CONCATENATE("Table!",ADDRESS($BF12,MATCH(K$1,INDIRECT("Table!A" &amp; $BJ12):INDIRECT("Table!" &amp; $BV$88 &amp; $BJ12),0)))))/1024</f>
        <v>43.984765625000001</v>
      </c>
      <c r="L12" s="709">
        <f ca="1">IF(ISERROR(MATCH(L$1,INDIRECT("Table!A"&amp;$BJ12):INDIRECT("Table!" &amp; $BV$88 &amp; $BJ12),0)),"",INDIRECT(CONCATENATE("Table!",ADDRESS($BF12,MATCH(L$1,INDIRECT("Table!A" &amp; $BJ12):INDIRECT("Table!" &amp; $BV$88 &amp; $BJ12),0)))))/1024</f>
        <v>155.51591796874999</v>
      </c>
      <c r="M12" s="709">
        <f ca="1">IF(ISERROR(MATCH(M$1,INDIRECT("Table!A"&amp;$BJ12):INDIRECT("Table!" &amp; $BV$88 &amp; $BJ12),0)),"",INDIRECT(CONCATENATE("Table!",ADDRESS($BF12,MATCH(M$1,INDIRECT("Table!A" &amp; $BJ12):INDIRECT("Table!" &amp; $BV$88 &amp; $BJ12),0)))))/1024</f>
        <v>202.10361328125001</v>
      </c>
      <c r="N12" s="709">
        <f ca="1">IF(ISERROR(MATCH(N$1,INDIRECT("Table!A"&amp;$BJ12):INDIRECT("Table!" &amp; $BV$88 &amp; $BJ12),0)),"",INDIRECT(CONCATENATE("Table!",ADDRESS($BF12,MATCH(N$1,INDIRECT("Table!A" &amp; $BJ12):INDIRECT("Table!" &amp; $BV$88 &amp; $BJ12),0)))))/1024</f>
        <v>54.786914062500003</v>
      </c>
      <c r="O12" s="709">
        <f ca="1">IF(ISERROR(MATCH(O$1,INDIRECT("Table!A"&amp;$BJ12):INDIRECT("Table!" &amp; $BV$88 &amp; $BJ12),0)),"",INDIRECT(CONCATENATE("Table!",ADDRESS($BF12,MATCH(O$1,INDIRECT("Table!A" &amp; $BJ12):INDIRECT("Table!" &amp; $BV$88 &amp; $BJ12),0)))))/1024</f>
        <v>224.7119140625</v>
      </c>
      <c r="P12" s="709">
        <f ca="1">IF(ISERROR(MATCH(P$1,INDIRECT("Table!A"&amp;$BJ12):INDIRECT("Table!" &amp; $BV$88 &amp; $BJ12),0)),"",INDIRECT(CONCATENATE("Table!",ADDRESS($BF12,MATCH(P$1,INDIRECT("Table!A" &amp; $BJ12):INDIRECT("Table!" &amp; $BV$88 &amp; $BJ12),0)))))/1024</f>
        <v>44.662695312499999</v>
      </c>
      <c r="Q12" s="709">
        <f ca="1">IF(ISERROR(MATCH(Q$1,INDIRECT("Table!A"&amp;$BJ12):INDIRECT("Table!" &amp; $BV$88 &amp; $BJ12),0)),"",INDIRECT(CONCATENATE("Table!",ADDRESS($BF12,MATCH(Q$1,INDIRECT("Table!A" &amp; $BJ12):INDIRECT("Table!" &amp; $BV$88 &amp; $BJ12),0)))))/1024</f>
        <v>116.5197265625</v>
      </c>
      <c r="R12" s="709">
        <f ca="1">IF(ISERROR(MATCH(R$1,INDIRECT("Table!A"&amp;$BJ12):INDIRECT("Table!" &amp; $BV$88 &amp; $BJ12),0)),"",INDIRECT(CONCATENATE("Table!",ADDRESS($BF12,MATCH(R$1,INDIRECT("Table!A" &amp; $BJ12):INDIRECT("Table!" &amp; $BV$88 &amp; $BJ12),0)))))/1024</f>
        <v>141.33623046874999</v>
      </c>
      <c r="S12" s="709">
        <f ca="1">IF(ISERROR(MATCH(S$1,INDIRECT("Table!A"&amp;$BJ12):INDIRECT("Table!" &amp; $BV$43 &amp; $BJ12),0)),"",INDIRECT(CONCATENATE("Table!",ADDRESS($BF12,MATCH(S$1,INDIRECT("Table!A" &amp; $BJ12):INDIRECT("Table!" &amp; $BV$43 &amp; $BJ12),0)))))/1024</f>
        <v>15.615625</v>
      </c>
      <c r="T12" s="709">
        <f ca="1">IF(ISERROR(MATCH(T$1,INDIRECT("Table!A"&amp;$BJ12):INDIRECT("Table!" &amp; $BV$43 &amp; $BJ12),0)),"",INDIRECT(CONCATENATE("Table!",ADDRESS($BF12,MATCH(T$1,INDIRECT("Table!A" &amp; $BJ12):INDIRECT("Table!" &amp; $BV$43 &amp; $BJ12),0)))))/1024</f>
        <v>9.2347656249999996</v>
      </c>
      <c r="U12" s="709">
        <f ca="1">IF(ISERROR(MATCH(U$1,INDIRECT("Table!A"&amp;$BJ12):INDIRECT("Table!" &amp; $BV$43 &amp; $BJ12),0)),"",INDIRECT(CONCATENATE("Table!",ADDRESS($BF12,MATCH(U$1,INDIRECT("Table!A" &amp; $BJ12):INDIRECT("Table!" &amp; $BV$43 &amp; $BJ12),0)))))/1024</f>
        <v>7.5431640624999998</v>
      </c>
      <c r="V12" s="709">
        <f ca="1">IF(ISERROR(MATCH(V$1,INDIRECT("Table!A"&amp;$BJ12):INDIRECT("Table!" &amp; $BV$43 &amp; $BJ12),0)),"",INDIRECT(CONCATENATE("Table!",ADDRESS($BF12,MATCH(V$1,INDIRECT("Table!A" &amp; $BJ12):INDIRECT("Table!" &amp; $BV$43 &amp; $BJ12),0)))))/1024</f>
        <v>15.08603515625</v>
      </c>
      <c r="W12" s="709">
        <f ca="1">IF(ISERROR(MATCH(W$1,INDIRECT("Table!A"&amp;$BJ12):INDIRECT("Table!" &amp; $BV$43 &amp; $BJ12),0)),"",INDIRECT(CONCATENATE("Table!",ADDRESS($BF12,MATCH(W$1,INDIRECT("Table!A" &amp; $BJ12):INDIRECT("Table!" &amp; $BV$43 &amp; $BJ12),0)))))/1024</f>
        <v>1.2494140625000001</v>
      </c>
      <c r="X12" s="709">
        <f ca="1">IF(ISERROR(MATCH(X$1,INDIRECT("Table!A"&amp;$BJ12):INDIRECT("Table!" &amp; $BV$43 &amp; $BJ12),0)),"",INDIRECT(CONCATENATE("Table!",ADDRESS($BF12,MATCH(X$1,INDIRECT("Table!A" &amp; $BJ12):INDIRECT("Table!" &amp; $BV$43 &amp; $BJ12),0)))))/1024</f>
        <v>2.4883789062499999</v>
      </c>
      <c r="Y12" s="709"/>
      <c r="Z12" s="909"/>
      <c r="AA12" s="909"/>
      <c r="AB12" s="909"/>
      <c r="AC12" s="709" t="str">
        <f ca="1">IF(ISERROR(MATCH(AC$1,INDIRECT("Table!A"&amp;$BJ12):INDIRECT("Table!" &amp; $BV$88 &amp; $BJ12),0)),"",INDIRECT(CONCATENATE("Table!",ADDRESS($BF12,MATCH(AC$1,INDIRECT("Table!A" &amp; $BJ12):INDIRECT("Table!" &amp; $BV$88 &amp; $BJ12),0)))))</f>
        <v/>
      </c>
      <c r="AD12" s="709">
        <f ca="1">IF(ISERROR(MATCH(AD$1,INDIRECT("Table!A"&amp;$BJ12):INDIRECT("Table!" &amp; $BV$88 &amp; $BJ12),0)),"",INDIRECT(CONCATENATE("Table!",ADDRESS($BN12,MATCH(AD$1,INDIRECT("Table!A" &amp; $BJ12):INDIRECT("Table!" &amp; $BV$88 &amp; $BJ12),0)))))/1024</f>
        <v>244.15859374999999</v>
      </c>
      <c r="AE12" s="709">
        <f ca="1">IF(ISERROR(MATCH(AE$1,INDIRECT("Table!A"&amp;$BJ12):INDIRECT("Table!" &amp; $BV$88 &amp; $BJ12),0)),"",INDIRECT(CONCATENATE("Table!",ADDRESS($BN12,MATCH(AE$1,INDIRECT("Table!A" &amp; $BJ12):INDIRECT("Table!" &amp; $BV$88 &amp; $BJ12),0)))))/1024</f>
        <v>146.98896484375001</v>
      </c>
      <c r="AF12" s="709">
        <f ca="1">IF(ISERROR(MATCH(AF$1,INDIRECT("Table!A"&amp;$BJ12):INDIRECT("Table!" &amp; $BV$88 &amp; $BJ12),0)),"",INDIRECT(CONCATENATE("Table!",ADDRESS($BN12,MATCH(AF$1,INDIRECT("Table!A" &amp; $BJ12):INDIRECT("Table!" &amp; $BV$88 &amp; $BJ12),0)))))/1024</f>
        <v>146.98896484375001</v>
      </c>
      <c r="AG12" s="709">
        <f ca="1">IF(ISERROR(MATCH(AG$1,INDIRECT("Table!A"&amp;$BJ12):INDIRECT("Table!" &amp; $BV$88 &amp; $BJ12),0)),"",INDIRECT(CONCATENATE("Table!",ADDRESS($BN12,MATCH(AG$1,INDIRECT("Table!A" &amp; $BJ12):INDIRECT("Table!" &amp; $BV$88 &amp; $BJ12),0)))))/1024</f>
        <v>177.73320312499999</v>
      </c>
      <c r="AH12" s="709">
        <f ca="1">IF(ISERROR(MATCH(AH$1,INDIRECT("Table!A"&amp;$BJ12):INDIRECT("Table!" &amp; $BV$88 &amp; $BJ12),0)),"",INDIRECT(CONCATENATE("Table!",ADDRESS($BN12,MATCH(AH$1,INDIRECT("Table!A" &amp; $BJ12):INDIRECT("Table!" &amp; $BV$88 &amp; $BJ12),0)))))/1024</f>
        <v>161.88056640625001</v>
      </c>
      <c r="AI12" s="709">
        <f ca="1">IF(ISERROR(MATCH(AI$1,INDIRECT("Table!A"&amp;$BJ12):INDIRECT("Table!" &amp; $BV$88 &amp; $BJ12),0)),"",INDIRECT(CONCATENATE("Table!",ADDRESS($BN12,MATCH(AI$1,INDIRECT("Table!A" &amp; $BJ12):INDIRECT("Table!" &amp; $BV$88 &amp; $BJ12),0)))))/1024</f>
        <v>380.3759765625</v>
      </c>
      <c r="AJ12" s="709">
        <f ca="1">IF(ISERROR(MATCH(AJ$1,INDIRECT("Table!A"&amp;$BJ12):INDIRECT("Table!" &amp; $BV$88 &amp; $BJ12),0)),"",INDIRECT(CONCATENATE("Table!",ADDRESS($BN12,MATCH(AJ$1,INDIRECT("Table!A" &amp; $BJ12):INDIRECT("Table!" &amp; $BV$88 &amp; $BJ12),0)))))/1024</f>
        <v>167.94482421875</v>
      </c>
      <c r="AK12" s="709">
        <f ca="1">IF(ISERROR(MATCH(AK$1,INDIRECT("Table!A"&amp;$BJ12):INDIRECT("Table!" &amp; $BV$88 &amp; $BJ12),0)),"",INDIRECT(CONCATENATE("Table!",ADDRESS($BN12,MATCH(AK$1,INDIRECT("Table!A" &amp; $BJ12):INDIRECT("Table!" &amp; $BV$88 &amp; $BJ12),0)))))/1024</f>
        <v>162.18544921874999</v>
      </c>
      <c r="AL12" s="709">
        <f ca="1">IF(ISERROR(MATCH(AL$1,INDIRECT("Table!A"&amp;$BJ12):INDIRECT("Table!" &amp; $BV$88 &amp; $BJ12),0)),"",INDIRECT(CONCATENATE("Table!",ADDRESS($BN12,MATCH(AL$1,INDIRECT("Table!A" &amp; $BJ12):INDIRECT("Table!" &amp; $BV$88 &amp; $BJ12),0)))))/1024</f>
        <v>121.1125</v>
      </c>
      <c r="AM12" s="709">
        <f ca="1">IF(ISERROR(MATCH(AM$1,INDIRECT("Table!A"&amp;$BJ12):INDIRECT("Table!" &amp; $BV$88 &amp; $BJ12),0)),"",INDIRECT(CONCATENATE("Table!",ADDRESS($BN12,MATCH(AM$1,INDIRECT("Table!A" &amp; $BJ12):INDIRECT("Table!" &amp; $BV$88 &amp; $BJ12),0)))))/1024</f>
        <v>218.81953125000001</v>
      </c>
      <c r="AN12" s="709">
        <f ca="1">IF(ISERROR(MATCH(AN$1,INDIRECT("Table!A"&amp;$BJ12):INDIRECT("Table!" &amp; $BV$88 &amp; $BJ12),0)),"",INDIRECT(CONCATENATE("Table!",ADDRESS($BN12,MATCH(AN$1,INDIRECT("Table!A" &amp; $BJ12):INDIRECT("Table!" &amp; $BV$88 &amp; $BJ12),0)))))/1024</f>
        <v>188.50498046875001</v>
      </c>
      <c r="AO12" s="709">
        <f ca="1">IF(ISERROR(MATCH(AO$1,INDIRECT("Table!A"&amp;$BJ12):INDIRECT("Table!" &amp; $BV$88 &amp; $BJ12),0)),"",INDIRECT(CONCATENATE("Table!",ADDRESS($BN12,MATCH(AO$1,INDIRECT("Table!A" &amp; $BJ12):INDIRECT("Table!" &amp; $BV$88 &amp; $BJ12),0)))))/1024</f>
        <v>427.94912109375002</v>
      </c>
      <c r="AP12" s="709">
        <f ca="1">IF(ISERROR(MATCH(AP$1,INDIRECT("Table!A"&amp;$BJ12):INDIRECT("Table!" &amp; $BV$88 &amp; $BJ12),0)),"",INDIRECT(CONCATENATE("Table!",ADDRESS($BN12,MATCH(AP$1,INDIRECT("Table!A" &amp; $BJ12):INDIRECT("Table!" &amp; $BV$88 &amp; $BJ12),0)))))/1024</f>
        <v>81.092578125000003</v>
      </c>
      <c r="AQ12" s="709">
        <f ca="1">IF(ISERROR(MATCH(AQ$1,INDIRECT("Table!A"&amp;$BJ12):INDIRECT("Table!" &amp; $BV$88 &amp; $BJ12),0)),"",INDIRECT(CONCATENATE("Table!",ADDRESS($BN12,MATCH(AQ$1,INDIRECT("Table!A" &amp; $BJ12):INDIRECT("Table!" &amp; $BV$88 &amp; $BJ12),0)))))/1024</f>
        <v>269.65859375000002</v>
      </c>
      <c r="AR12" s="709">
        <f ca="1">IF(ISERROR(MATCH(AR$1,INDIRECT("Table!A"&amp;$BJ12):INDIRECT("Table!" &amp; $BV$88 &amp; $BJ12),0)),"",INDIRECT(CONCATENATE("Table!",ADDRESS($BN12,MATCH(AR$1,INDIRECT("Table!A" &amp; $BJ12):INDIRECT("Table!" &amp; $BV$88 &amp; $BJ12),0)))))/1024</f>
        <v>81.092578125000003</v>
      </c>
      <c r="AS12" s="709">
        <f ca="1">IF(ISERROR(MATCH(AS$1,INDIRECT("Table!A"&amp;$BJ12):INDIRECT("Table!" &amp; $BV$88 &amp; $BJ12),0)),"",INDIRECT(CONCATENATE("Table!",ADDRESS($BN12,MATCH(AS$1,INDIRECT("Table!A" &amp; $BJ12):INDIRECT("Table!" &amp; $BV$88 &amp; $BJ12),0)))))/1024</f>
        <v>187.12714843750001</v>
      </c>
      <c r="AT12" s="709">
        <f ca="1">IF(ISERROR(MATCH(AT$1,INDIRECT("Table!A"&amp;$BJ12):INDIRECT("Table!" &amp; $BV$88 &amp; $BJ12),0)),"",INDIRECT(CONCATENATE("Table!",ADDRESS($BN12,MATCH(AT$1,INDIRECT("Table!A" &amp; $BJ12):INDIRECT("Table!" &amp; $BV$88 &amp; $BJ12),0)))))/1024</f>
        <v>218.81953125000001</v>
      </c>
      <c r="AU12" s="709">
        <f ca="1">IF(ISERROR(MATCH(AU$1,INDIRECT("Table!A"&amp;$BJ12):INDIRECT("Table!" &amp; $BV$88 &amp; $BJ12),0)),"",INDIRECT(CONCATENATE("Table!",ADDRESS($BN12,MATCH(AU$1,INDIRECT("Table!A" &amp; $BJ12):INDIRECT("Table!" &amp; $BV$88 &amp; $BJ12),0)))))/1024</f>
        <v>53.8583984375</v>
      </c>
      <c r="AV12" s="709">
        <f ca="1">IF(ISERROR(MATCH(AV$1,INDIRECT("Table!A"&amp;$BJ12):INDIRECT("Table!" &amp; $BV$88 &amp; $BJ12),0)),"",INDIRECT(CONCATENATE("Table!",ADDRESS($BN12,MATCH(AV$1,INDIRECT("Table!A" &amp; $BJ12):INDIRECT("Table!" &amp; $BV$88 &amp; $BJ12),0)))))/1024</f>
        <v>32.31494140625</v>
      </c>
      <c r="AW12" s="709">
        <f ca="1">IF(ISERROR(MATCH(AW$1,INDIRECT("Table!A"&amp;$BJ12):INDIRECT("Table!" &amp; $BV$88 &amp; $BJ12),0)),"",INDIRECT(CONCATENATE("Table!",ADDRESS($BN12,MATCH(AW$1,INDIRECT("Table!A" &amp; $BJ12):INDIRECT("Table!" &amp; $BV$88 &amp; $BJ12),0)))))/1024</f>
        <v>99.80126953125</v>
      </c>
      <c r="AX12" s="709">
        <f ca="1">IF(ISERROR(MATCH(AX$1,INDIRECT("Table!A"&amp;$BJ12):INDIRECT("Table!" &amp; $BV$88 &amp; $BJ12),0)),"",INDIRECT(CONCATENATE("Table!",ADDRESS($BN12,MATCH(AX$1,INDIRECT("Table!A" &amp; $BJ12):INDIRECT("Table!" &amp; $BV$88 &amp; $BJ12),0)))))/1024</f>
        <v>204.58642578125</v>
      </c>
      <c r="AY12" s="909">
        <f ca="1">IF(ISERROR(MATCH(AY$1,INDIRECT("Table!A"&amp;$BJ12):INDIRECT("Table!" &amp; $BV$88 &amp; $BJ12),0)),"",INDIRECT(CONCATENATE("Table!",ADDRESS($BN12,MATCH(AY$1,INDIRECT("Table!A" &amp; $BJ12):INDIRECT("Table!" &amp; $BV$88 &amp; $BJ12),0)))))/1024</f>
        <v>99.80126953125</v>
      </c>
      <c r="AZ12" s="909">
        <f ca="1">IF(ISERROR(MATCH(AZ$1,INDIRECT("Table!A"&amp;$BJ12):INDIRECT("Table!" &amp; $BV$88 &amp; $BJ12),0)),"",INDIRECT(CONCATENATE("Table!",ADDRESS($BN12,MATCH(AZ$1,INDIRECT("Table!A" &amp; $BJ12):INDIRECT("Table!" &amp; $BV$88 &amp; $BJ12),0)))))/1024</f>
        <v>204.58642578125</v>
      </c>
      <c r="BA12" s="909"/>
      <c r="BB12" s="909"/>
      <c r="BC12" s="909"/>
      <c r="BD12" s="909"/>
      <c r="BE12" s="909"/>
      <c r="BF12" s="704">
        <f>MATCH($A12,Table!$A:$A,0)+$BH$2-1</f>
        <v>131</v>
      </c>
      <c r="BG12" s="744"/>
      <c r="BH12" s="744"/>
      <c r="BI12" s="744"/>
      <c r="BJ12" s="717">
        <f>MATCH($A12,Table!$A:$A,0)+$BL$2-1</f>
        <v>129</v>
      </c>
      <c r="BK12" s="744"/>
      <c r="BL12" s="744"/>
      <c r="BM12" s="744"/>
      <c r="BN12" s="704">
        <f>MATCH($A12,Table!$A:$A,0)+$BP$2-1</f>
        <v>130</v>
      </c>
      <c r="BO12" s="744"/>
      <c r="BP12" s="744"/>
      <c r="BQ12" s="744"/>
      <c r="BR12" s="717">
        <f>MATCH($A12,Table!$A:$A,0)+$BL$2-1</f>
        <v>129</v>
      </c>
      <c r="BS12" s="744"/>
      <c r="BT12" s="744"/>
      <c r="BU12" s="744"/>
      <c r="BV12" s="711" t="s">
        <v>284</v>
      </c>
      <c r="BW12" s="712">
        <f t="shared" ca="1" si="12"/>
        <v>4077.3818359374995</v>
      </c>
      <c r="BX12" s="712">
        <f t="shared" ca="1" si="0"/>
        <v>1980.006640625</v>
      </c>
      <c r="BY12" s="712">
        <f t="shared" ref="BY12" ca="1" si="31">BW12-BX12</f>
        <v>2097.3751953124993</v>
      </c>
      <c r="BZ12" s="718">
        <f t="shared" ref="BZ12" ca="1" si="32">BX12/BW12</f>
        <v>0.48560736283599581</v>
      </c>
      <c r="CA12" s="712">
        <f ca="1">SUMIF('Alloc Feed'!A:A,A:A,'Alloc Feed'!I:I)</f>
        <v>3361.0317304687496</v>
      </c>
      <c r="CB12" s="718">
        <f t="shared" ref="CB12" ca="1" si="33">CA12/BW12</f>
        <v>0.82431125308036257</v>
      </c>
    </row>
    <row r="13" spans="1:80" s="743" customFormat="1" x14ac:dyDescent="0.25">
      <c r="A13" s="703">
        <v>41745</v>
      </c>
      <c r="B13" s="709">
        <f ca="1">IF(ISERROR(MATCH(B$1,INDIRECT("Table!A"&amp;$BJ13):INDIRECT("Table!" &amp; $BV$88 &amp; $BJ13),0)),"",INDIRECT(CONCATENATE("Table!",ADDRESS($BF13,MATCH(B$1,INDIRECT("Table!A" &amp; $BJ13):INDIRECT("Table!" &amp; $BV$88 &amp; $BJ13),0)))))/1024</f>
        <v>103.059765625</v>
      </c>
      <c r="C13" s="709">
        <f ca="1">IF(ISERROR(MATCH(C$1,INDIRECT("Table!A"&amp;$BJ13):INDIRECT("Table!" &amp; $BV$88 &amp; $BJ13),0)),"",INDIRECT(CONCATENATE("Table!",ADDRESS($BF13,MATCH(C$1,INDIRECT("Table!A" &amp; $BJ13):INDIRECT("Table!" &amp; $BV$88 &amp; $BJ13),0)))))/1024</f>
        <v>81.91845703125</v>
      </c>
      <c r="D13" s="709">
        <f ca="1">IF(ISERROR(MATCH(D$1,INDIRECT("Table!A"&amp;$BJ13):INDIRECT("Table!" &amp; $BV$88 &amp; $BJ13),0)),"",INDIRECT(CONCATENATE("Table!",ADDRESS($BF13,MATCH(D$1,INDIRECT("Table!A" &amp; $BJ13):INDIRECT("Table!" &amp; $BV$88 &amp; $BJ13),0)))))/1024</f>
        <v>83.229101562500006</v>
      </c>
      <c r="E13" s="709">
        <f ca="1">IF(ISERROR(MATCH(E$1,INDIRECT("Table!A"&amp;$BJ13):INDIRECT("Table!" &amp; $BV$88 &amp; $BJ13),0)),"",INDIRECT(CONCATENATE("Table!",ADDRESS($BF13,MATCH(E$1,INDIRECT("Table!A" &amp; $BJ13):INDIRECT("Table!" &amp; $BV$88 &amp; $BJ13),0)))))/1024</f>
        <v>147.00429687499999</v>
      </c>
      <c r="F13" s="709">
        <f ca="1">IF(ISERROR(MATCH(F$1,INDIRECT("Table!A"&amp;$BJ13):INDIRECT("Table!" &amp; $BV$88 &amp; $BJ13),0)),"",INDIRECT(CONCATENATE("Table!",ADDRESS($BF13,MATCH(F$1,INDIRECT("Table!A" &amp; $BJ13):INDIRECT("Table!" &amp; $BV$88 &amp; $BJ13),0)))))/1024</f>
        <v>109.981640625</v>
      </c>
      <c r="G13" s="709">
        <f ca="1">IF(ISERROR(MATCH(G$1,INDIRECT("Table!A"&amp;$BJ13):INDIRECT("Table!" &amp; $BV$88 &amp; $BJ13),0)),"",INDIRECT(CONCATENATE("Table!",ADDRESS($BF13,MATCH(G$1,INDIRECT("Table!A" &amp; $BJ13):INDIRECT("Table!" &amp; $BV$88 &amp; $BJ13),0)))))/1024</f>
        <v>203.37353515625</v>
      </c>
      <c r="H13" s="709">
        <f ca="1">IF(ISERROR(MATCH(H$1,INDIRECT("Table!A"&amp;$BJ13):INDIRECT("Table!" &amp; $BV$88 &amp; $BJ13),0)),"",INDIRECT(CONCATENATE("Table!",ADDRESS($BF13,MATCH(H$1,INDIRECT("Table!A" &amp; $BJ13):INDIRECT("Table!" &amp; $BV$88 &amp; $BJ13),0)))))/1024</f>
        <v>119.61953124999999</v>
      </c>
      <c r="I13" s="709">
        <f ca="1">IF(ISERROR(MATCH(I$1,INDIRECT("Table!A"&amp;$BJ13):INDIRECT("Table!" &amp; $BV$88 &amp; $BJ13),0)),"",INDIRECT(CONCATENATE("Table!",ADDRESS($BF13,MATCH(I$1,INDIRECT("Table!A" &amp; $BJ13):INDIRECT("Table!" &amp; $BV$88 &amp; $BJ13),0)))))/1024</f>
        <v>22.621484375000001</v>
      </c>
      <c r="J13" s="709">
        <f ca="1">IF(ISERROR(MATCH(J$1,INDIRECT("Table!A"&amp;$BJ13):INDIRECT("Table!" &amp; $BV$88 &amp; $BJ13),0)),"",INDIRECT(CONCATENATE("Table!",ADDRESS($BF13,MATCH(J$1,INDIRECT("Table!A" &amp; $BJ13):INDIRECT("Table!" &amp; $BV$88 &amp; $BJ13),0)))))/1024</f>
        <v>75.297265624999994</v>
      </c>
      <c r="K13" s="709">
        <f ca="1">IF(ISERROR(MATCH(K$1,INDIRECT("Table!A"&amp;$BJ13):INDIRECT("Table!" &amp; $BV$88 &amp; $BJ13),0)),"",INDIRECT(CONCATENATE("Table!",ADDRESS($BF13,MATCH(K$1,INDIRECT("Table!A" &amp; $BJ13):INDIRECT("Table!" &amp; $BV$88 &amp; $BJ13),0)))))/1024</f>
        <v>41.207812500000003</v>
      </c>
      <c r="L13" s="709">
        <f ca="1">IF(ISERROR(MATCH(L$1,INDIRECT("Table!A"&amp;$BJ13):INDIRECT("Table!" &amp; $BV$88 &amp; $BJ13),0)),"",INDIRECT(CONCATENATE("Table!",ADDRESS($BF13,MATCH(L$1,INDIRECT("Table!A" &amp; $BJ13):INDIRECT("Table!" &amp; $BV$88 &amp; $BJ13),0)))))/1024</f>
        <v>155.06669921874999</v>
      </c>
      <c r="M13" s="709">
        <f ca="1">IF(ISERROR(MATCH(M$1,INDIRECT("Table!A"&amp;$BJ13):INDIRECT("Table!" &amp; $BV$88 &amp; $BJ13),0)),"",INDIRECT(CONCATENATE("Table!",ADDRESS($BF13,MATCH(M$1,INDIRECT("Table!A" &amp; $BJ13):INDIRECT("Table!" &amp; $BV$88 &amp; $BJ13),0)))))/1024</f>
        <v>201.490234375</v>
      </c>
      <c r="N13" s="709">
        <f ca="1">IF(ISERROR(MATCH(N$1,INDIRECT("Table!A"&amp;$BJ13):INDIRECT("Table!" &amp; $BV$88 &amp; $BJ13),0)),"",INDIRECT(CONCATENATE("Table!",ADDRESS($BF13,MATCH(N$1,INDIRECT("Table!A" &amp; $BJ13):INDIRECT("Table!" &amp; $BV$88 &amp; $BJ13),0)))))/1024</f>
        <v>56.522851562500001</v>
      </c>
      <c r="O13" s="709">
        <f ca="1">IF(ISERROR(MATCH(O$1,INDIRECT("Table!A"&amp;$BJ13):INDIRECT("Table!" &amp; $BV$88 &amp; $BJ13),0)),"",INDIRECT(CONCATENATE("Table!",ADDRESS($BF13,MATCH(O$1,INDIRECT("Table!A" &amp; $BJ13):INDIRECT("Table!" &amp; $BV$88 &amp; $BJ13),0)))))/1024</f>
        <v>220.49726562500001</v>
      </c>
      <c r="P13" s="709">
        <f ca="1">IF(ISERROR(MATCH(P$1,INDIRECT("Table!A"&amp;$BJ13):INDIRECT("Table!" &amp; $BV$88 &amp; $BJ13),0)),"",INDIRECT(CONCATENATE("Table!",ADDRESS($BF13,MATCH(P$1,INDIRECT("Table!A" &amp; $BJ13):INDIRECT("Table!" &amp; $BV$88 &amp; $BJ13),0)))))/1024</f>
        <v>43.644628906249999</v>
      </c>
      <c r="Q13" s="709">
        <f ca="1">IF(ISERROR(MATCH(Q$1,INDIRECT("Table!A"&amp;$BJ13):INDIRECT("Table!" &amp; $BV$88 &amp; $BJ13),0)),"",INDIRECT(CONCATENATE("Table!",ADDRESS($BF13,MATCH(Q$1,INDIRECT("Table!A" &amp; $BJ13):INDIRECT("Table!" &amp; $BV$88 &amp; $BJ13),0)))))/1024</f>
        <v>115.33554687500001</v>
      </c>
      <c r="R13" s="709">
        <f ca="1">IF(ISERROR(MATCH(R$1,INDIRECT("Table!A"&amp;$BJ13):INDIRECT("Table!" &amp; $BV$88 &amp; $BJ13),0)),"",INDIRECT(CONCATENATE("Table!",ADDRESS($BF13,MATCH(R$1,INDIRECT("Table!A" &amp; $BJ13):INDIRECT("Table!" &amp; $BV$88 &amp; $BJ13),0)))))/1024</f>
        <v>139.45185546875001</v>
      </c>
      <c r="S13" s="709">
        <f ca="1">IF(ISERROR(MATCH(S$1,INDIRECT("Table!A"&amp;$BJ13):INDIRECT("Table!" &amp; $BV$43 &amp; $BJ13),0)),"",INDIRECT(CONCATENATE("Table!",ADDRESS($BF13,MATCH(S$1,INDIRECT("Table!A" &amp; $BJ13):INDIRECT("Table!" &amp; $BV$43 &amp; $BJ13),0)))))/1024</f>
        <v>15.615625</v>
      </c>
      <c r="T13" s="709">
        <f ca="1">IF(ISERROR(MATCH(T$1,INDIRECT("Table!A"&amp;$BJ13):INDIRECT("Table!" &amp; $BV$43 &amp; $BJ13),0)),"",INDIRECT(CONCATENATE("Table!",ADDRESS($BF13,MATCH(T$1,INDIRECT("Table!A" &amp; $BJ13):INDIRECT("Table!" &amp; $BV$43 &amp; $BJ13),0)))))/1024</f>
        <v>9.2347656249999996</v>
      </c>
      <c r="U13" s="709">
        <f ca="1">IF(ISERROR(MATCH(U$1,INDIRECT("Table!A"&amp;$BJ13):INDIRECT("Table!" &amp; $BV$43 &amp; $BJ13),0)),"",INDIRECT(CONCATENATE("Table!",ADDRESS($BF13,MATCH(U$1,INDIRECT("Table!A" &amp; $BJ13):INDIRECT("Table!" &amp; $BV$43 &amp; $BJ13),0)))))/1024</f>
        <v>7.0036132812499998</v>
      </c>
      <c r="V13" s="709">
        <f ca="1">IF(ISERROR(MATCH(V$1,INDIRECT("Table!A"&amp;$BJ13):INDIRECT("Table!" &amp; $BV$43 &amp; $BJ13),0)),"",INDIRECT(CONCATENATE("Table!",ADDRESS($BF13,MATCH(V$1,INDIRECT("Table!A" &amp; $BJ13):INDIRECT("Table!" &amp; $BV$43 &amp; $BJ13),0)))))/1024</f>
        <v>14.007128906249999</v>
      </c>
      <c r="W13" s="709">
        <f ca="1">IF(ISERROR(MATCH(W$1,INDIRECT("Table!A"&amp;$BJ13):INDIRECT("Table!" &amp; $BV$43 &amp; $BJ13),0)),"",INDIRECT(CONCATENATE("Table!",ADDRESS($BF13,MATCH(W$1,INDIRECT("Table!A" &amp; $BJ13):INDIRECT("Table!" &amp; $BV$43 &amp; $BJ13),0)))))/1024</f>
        <v>3.0273437500000001E-3</v>
      </c>
      <c r="X13" s="709">
        <f ca="1">IF(ISERROR(MATCH(X$1,INDIRECT("Table!A"&amp;$BJ13):INDIRECT("Table!" &amp; $BV$43 &amp; $BJ13),0)),"",INDIRECT(CONCATENATE("Table!",ADDRESS($BF13,MATCH(X$1,INDIRECT("Table!A" &amp; $BJ13):INDIRECT("Table!" &amp; $BV$43 &amp; $BJ13),0)))))/1024</f>
        <v>5.859375E-3</v>
      </c>
      <c r="Y13" s="909"/>
      <c r="Z13" s="909"/>
      <c r="AA13" s="909"/>
      <c r="AB13" s="909"/>
      <c r="AC13" s="709" t="str">
        <f ca="1">IF(ISERROR(MATCH(AC$1,INDIRECT("Table!A"&amp;$BJ13):INDIRECT("Table!" &amp; $BV$88 &amp; $BJ13),0)),"",INDIRECT(CONCATENATE("Table!",ADDRESS($BF13,MATCH(AC$1,INDIRECT("Table!A" &amp; $BJ13):INDIRECT("Table!" &amp; $BV$88 &amp; $BJ13),0)))))</f>
        <v/>
      </c>
      <c r="AD13" s="709">
        <f ca="1">IF(ISERROR(MATCH(AD$1,INDIRECT("Table!A"&amp;$BJ13):INDIRECT("Table!" &amp; $BV$88 &amp; $BJ13),0)),"",INDIRECT(CONCATENATE("Table!",ADDRESS($BN13,MATCH(AD$1,INDIRECT("Table!A" &amp; $BJ13):INDIRECT("Table!" &amp; $BV$88 &amp; $BJ13),0)))))/1024</f>
        <v>244.15859374999999</v>
      </c>
      <c r="AE13" s="709">
        <f ca="1">IF(ISERROR(MATCH(AE$1,INDIRECT("Table!A"&amp;$BJ13):INDIRECT("Table!" &amp; $BV$88 &amp; $BJ13),0)),"",INDIRECT(CONCATENATE("Table!",ADDRESS($BN13,MATCH(AE$1,INDIRECT("Table!A" &amp; $BJ13):INDIRECT("Table!" &amp; $BV$88 &amp; $BJ13),0)))))/1024</f>
        <v>146.98896484375001</v>
      </c>
      <c r="AF13" s="709">
        <f ca="1">IF(ISERROR(MATCH(AF$1,INDIRECT("Table!A"&amp;$BJ13):INDIRECT("Table!" &amp; $BV$88 &amp; $BJ13),0)),"",INDIRECT(CONCATENATE("Table!",ADDRESS($BN13,MATCH(AF$1,INDIRECT("Table!A" &amp; $BJ13):INDIRECT("Table!" &amp; $BV$88 &amp; $BJ13),0)))))/1024</f>
        <v>146.98896484375001</v>
      </c>
      <c r="AG13" s="709">
        <f ca="1">IF(ISERROR(MATCH(AG$1,INDIRECT("Table!A"&amp;$BJ13):INDIRECT("Table!" &amp; $BV$88 &amp; $BJ13),0)),"",INDIRECT(CONCATENATE("Table!",ADDRESS($BN13,MATCH(AG$1,INDIRECT("Table!A" &amp; $BJ13):INDIRECT("Table!" &amp; $BV$88 &amp; $BJ13),0)))))/1024</f>
        <v>177.73320312499999</v>
      </c>
      <c r="AH13" s="709">
        <f ca="1">IF(ISERROR(MATCH(AH$1,INDIRECT("Table!A"&amp;$BJ13):INDIRECT("Table!" &amp; $BV$88 &amp; $BJ13),0)),"",INDIRECT(CONCATENATE("Table!",ADDRESS($BN13,MATCH(AH$1,INDIRECT("Table!A" &amp; $BJ13):INDIRECT("Table!" &amp; $BV$88 &amp; $BJ13),0)))))/1024</f>
        <v>161.88056640625001</v>
      </c>
      <c r="AI13" s="709">
        <f ca="1">IF(ISERROR(MATCH(AI$1,INDIRECT("Table!A"&amp;$BJ13):INDIRECT("Table!" &amp; $BV$88 &amp; $BJ13),0)),"",INDIRECT(CONCATENATE("Table!",ADDRESS($BN13,MATCH(AI$1,INDIRECT("Table!A" &amp; $BJ13):INDIRECT("Table!" &amp; $BV$88 &amp; $BJ13),0)))))/1024</f>
        <v>380.3759765625</v>
      </c>
      <c r="AJ13" s="709">
        <f ca="1">IF(ISERROR(MATCH(AJ$1,INDIRECT("Table!A"&amp;$BJ13):INDIRECT("Table!" &amp; $BV$88 &amp; $BJ13),0)),"",INDIRECT(CONCATENATE("Table!",ADDRESS($BN13,MATCH(AJ$1,INDIRECT("Table!A" &amp; $BJ13):INDIRECT("Table!" &amp; $BV$88 &amp; $BJ13),0)))))/1024</f>
        <v>167.94482421875</v>
      </c>
      <c r="AK13" s="709">
        <f ca="1">IF(ISERROR(MATCH(AK$1,INDIRECT("Table!A"&amp;$BJ13):INDIRECT("Table!" &amp; $BV$88 &amp; $BJ13),0)),"",INDIRECT(CONCATENATE("Table!",ADDRESS($BN13,MATCH(AK$1,INDIRECT("Table!A" &amp; $BJ13):INDIRECT("Table!" &amp; $BV$88 &amp; $BJ13),0)))))/1024</f>
        <v>162.18544921874999</v>
      </c>
      <c r="AL13" s="709">
        <f ca="1">IF(ISERROR(MATCH(AL$1,INDIRECT("Table!A"&amp;$BJ13):INDIRECT("Table!" &amp; $BV$88 &amp; $BJ13),0)),"",INDIRECT(CONCATENATE("Table!",ADDRESS($BN13,MATCH(AL$1,INDIRECT("Table!A" &amp; $BJ13):INDIRECT("Table!" &amp; $BV$88 &amp; $BJ13),0)))))/1024</f>
        <v>121.1125</v>
      </c>
      <c r="AM13" s="709">
        <f ca="1">IF(ISERROR(MATCH(AM$1,INDIRECT("Table!A"&amp;$BJ13):INDIRECT("Table!" &amp; $BV$88 &amp; $BJ13),0)),"",INDIRECT(CONCATENATE("Table!",ADDRESS($BN13,MATCH(AM$1,INDIRECT("Table!A" &amp; $BJ13):INDIRECT("Table!" &amp; $BV$88 &amp; $BJ13),0)))))/1024</f>
        <v>218.81953125000001</v>
      </c>
      <c r="AN13" s="709">
        <f ca="1">IF(ISERROR(MATCH(AN$1,INDIRECT("Table!A"&amp;$BJ13):INDIRECT("Table!" &amp; $BV$88 &amp; $BJ13),0)),"",INDIRECT(CONCATENATE("Table!",ADDRESS($BN13,MATCH(AN$1,INDIRECT("Table!A" &amp; $BJ13):INDIRECT("Table!" &amp; $BV$88 &amp; $BJ13),0)))))/1024</f>
        <v>188.50498046875001</v>
      </c>
      <c r="AO13" s="709">
        <f ca="1">IF(ISERROR(MATCH(AO$1,INDIRECT("Table!A"&amp;$BJ13):INDIRECT("Table!" &amp; $BV$88 &amp; $BJ13),0)),"",INDIRECT(CONCATENATE("Table!",ADDRESS($BN13,MATCH(AO$1,INDIRECT("Table!A" &amp; $BJ13):INDIRECT("Table!" &amp; $BV$88 &amp; $BJ13),0)))))/1024</f>
        <v>427.94912109375002</v>
      </c>
      <c r="AP13" s="709">
        <f ca="1">IF(ISERROR(MATCH(AP$1,INDIRECT("Table!A"&amp;$BJ13):INDIRECT("Table!" &amp; $BV$88 &amp; $BJ13),0)),"",INDIRECT(CONCATENATE("Table!",ADDRESS($BN13,MATCH(AP$1,INDIRECT("Table!A" &amp; $BJ13):INDIRECT("Table!" &amp; $BV$88 &amp; $BJ13),0)))))/1024</f>
        <v>81.092578125000003</v>
      </c>
      <c r="AQ13" s="709">
        <f ca="1">IF(ISERROR(MATCH(AQ$1,INDIRECT("Table!A"&amp;$BJ13):INDIRECT("Table!" &amp; $BV$88 &amp; $BJ13),0)),"",INDIRECT(CONCATENATE("Table!",ADDRESS($BN13,MATCH(AQ$1,INDIRECT("Table!A" &amp; $BJ13):INDIRECT("Table!" &amp; $BV$88 &amp; $BJ13),0)))))/1024</f>
        <v>269.65859375000002</v>
      </c>
      <c r="AR13" s="709">
        <f ca="1">IF(ISERROR(MATCH(AR$1,INDIRECT("Table!A"&amp;$BJ13):INDIRECT("Table!" &amp; $BV$88 &amp; $BJ13),0)),"",INDIRECT(CONCATENATE("Table!",ADDRESS($BN13,MATCH(AR$1,INDIRECT("Table!A" &amp; $BJ13):INDIRECT("Table!" &amp; $BV$88 &amp; $BJ13),0)))))/1024</f>
        <v>81.092578125000003</v>
      </c>
      <c r="AS13" s="709">
        <f ca="1">IF(ISERROR(MATCH(AS$1,INDIRECT("Table!A"&amp;$BJ13):INDIRECT("Table!" &amp; $BV$88 &amp; $BJ13),0)),"",INDIRECT(CONCATENATE("Table!",ADDRESS($BN13,MATCH(AS$1,INDIRECT("Table!A" &amp; $BJ13):INDIRECT("Table!" &amp; $BV$88 &amp; $BJ13),0)))))/1024</f>
        <v>187.12714843750001</v>
      </c>
      <c r="AT13" s="709">
        <f ca="1">IF(ISERROR(MATCH(AT$1,INDIRECT("Table!A"&amp;$BJ13):INDIRECT("Table!" &amp; $BV$88 &amp; $BJ13),0)),"",INDIRECT(CONCATENATE("Table!",ADDRESS($BN13,MATCH(AT$1,INDIRECT("Table!A" &amp; $BJ13):INDIRECT("Table!" &amp; $BV$88 &amp; $BJ13),0)))))/1024</f>
        <v>218.81953125000001</v>
      </c>
      <c r="AU13" s="709">
        <f ca="1">IF(ISERROR(MATCH(AU$1,INDIRECT("Table!A"&amp;$BJ13):INDIRECT("Table!" &amp; $BV$88 &amp; $BJ13),0)),"",INDIRECT(CONCATENATE("Table!",ADDRESS($BN13,MATCH(AU$1,INDIRECT("Table!A" &amp; $BJ13):INDIRECT("Table!" &amp; $BV$88 &amp; $BJ13),0)))))/1024</f>
        <v>53.8583984375</v>
      </c>
      <c r="AV13" s="709">
        <f ca="1">IF(ISERROR(MATCH(AV$1,INDIRECT("Table!A"&amp;$BJ13):INDIRECT("Table!" &amp; $BV$88 &amp; $BJ13),0)),"",INDIRECT(CONCATENATE("Table!",ADDRESS($BN13,MATCH(AV$1,INDIRECT("Table!A" &amp; $BJ13):INDIRECT("Table!" &amp; $BV$88 &amp; $BJ13),0)))))/1024</f>
        <v>32.31494140625</v>
      </c>
      <c r="AW13" s="709">
        <f ca="1">IF(ISERROR(MATCH(AW$1,INDIRECT("Table!A"&amp;$BJ13):INDIRECT("Table!" &amp; $BV$88 &amp; $BJ13),0)),"",INDIRECT(CONCATENATE("Table!",ADDRESS($BN13,MATCH(AW$1,INDIRECT("Table!A" &amp; $BJ13):INDIRECT("Table!" &amp; $BV$88 &amp; $BJ13),0)))))/1024</f>
        <v>99.80126953125</v>
      </c>
      <c r="AX13" s="709">
        <f ca="1">IF(ISERROR(MATCH(AX$1,INDIRECT("Table!A"&amp;$BJ13):INDIRECT("Table!" &amp; $BV$88 &amp; $BJ13),0)),"",INDIRECT(CONCATENATE("Table!",ADDRESS($BN13,MATCH(AX$1,INDIRECT("Table!A" &amp; $BJ13):INDIRECT("Table!" &amp; $BV$88 &amp; $BJ13),0)))))/1024</f>
        <v>204.58642578125</v>
      </c>
      <c r="AY13" s="909">
        <f ca="1">IF(ISERROR(MATCH(AY$1,INDIRECT("Table!A"&amp;$BJ13):INDIRECT("Table!" &amp; $BV$88 &amp; $BJ13),0)),"",INDIRECT(CONCATENATE("Table!",ADDRESS($BN13,MATCH(AY$1,INDIRECT("Table!A" &amp; $BJ13):INDIRECT("Table!" &amp; $BV$88 &amp; $BJ13),0)))))/1024</f>
        <v>99.80126953125</v>
      </c>
      <c r="AZ13" s="909">
        <f ca="1">IF(ISERROR(MATCH(AZ$1,INDIRECT("Table!A"&amp;$BJ13):INDIRECT("Table!" &amp; $BV$88 &amp; $BJ13),0)),"",INDIRECT(CONCATENATE("Table!",ADDRESS($BN13,MATCH(AZ$1,INDIRECT("Table!A" &amp; $BJ13):INDIRECT("Table!" &amp; $BV$88 &amp; $BJ13),0)))))/1024</f>
        <v>204.58642578125</v>
      </c>
      <c r="BA13" s="909"/>
      <c r="BB13" s="909"/>
      <c r="BC13" s="909"/>
      <c r="BD13" s="909"/>
      <c r="BE13" s="909"/>
      <c r="BF13" s="704">
        <f>MATCH($A13,Table!$A:$A,0)+$BH$2-1</f>
        <v>145</v>
      </c>
      <c r="BG13" s="744"/>
      <c r="BH13" s="744"/>
      <c r="BI13" s="744"/>
      <c r="BJ13" s="717">
        <f>MATCH($A13,Table!$A:$A,0)+$BL$2-1</f>
        <v>143</v>
      </c>
      <c r="BK13" s="744"/>
      <c r="BL13" s="744"/>
      <c r="BM13" s="744"/>
      <c r="BN13" s="704">
        <f>MATCH($A13,Table!$A:$A,0)+$BP$2-1</f>
        <v>144</v>
      </c>
      <c r="BO13" s="744"/>
      <c r="BP13" s="744"/>
      <c r="BQ13" s="744"/>
      <c r="BR13" s="717">
        <f>MATCH($A13,Table!$A:$A,0)+$BL$2-1</f>
        <v>143</v>
      </c>
      <c r="BS13" s="744"/>
      <c r="BT13" s="744"/>
      <c r="BU13" s="744"/>
      <c r="BV13" s="711" t="s">
        <v>284</v>
      </c>
      <c r="BW13" s="712">
        <f t="shared" ca="1" si="12"/>
        <v>4077.3818359374995</v>
      </c>
      <c r="BX13" s="712">
        <f t="shared" ca="1" si="0"/>
        <v>1965.18310546875</v>
      </c>
      <c r="BY13" s="712">
        <f t="shared" ref="BY13" ca="1" si="34">BW13-BX13</f>
        <v>2112.1987304687495</v>
      </c>
      <c r="BZ13" s="718">
        <f t="shared" ref="BZ13" ca="1" si="35">BX13/BW13</f>
        <v>0.48197181047599913</v>
      </c>
      <c r="CA13" s="712">
        <f ca="1">SUMIF('Alloc Feed'!A:A,A:A,'Alloc Feed'!I:I)</f>
        <v>3366.0036708984371</v>
      </c>
      <c r="CB13" s="718">
        <f t="shared" ref="CB13" ca="1" si="36">CA13/BW13</f>
        <v>0.825530648425156</v>
      </c>
    </row>
    <row r="14" spans="1:80" s="591" customFormat="1" x14ac:dyDescent="0.25">
      <c r="A14" s="703">
        <v>41739</v>
      </c>
      <c r="B14" s="709">
        <f ca="1">IF(ISERROR(MATCH(B$1,INDIRECT("Table!A"&amp;$BJ14):INDIRECT("Table!" &amp; $BV$88 &amp; $BJ14),0)),"",INDIRECT(CONCATENATE("Table!",ADDRESS($BF14,MATCH(B$1,INDIRECT("Table!A" &amp; $BJ14):INDIRECT("Table!" &amp; $BV$88 &amp; $BJ14),0)))))/1024</f>
        <v>102.97402343749999</v>
      </c>
      <c r="C14" s="709">
        <f ca="1">IF(ISERROR(MATCH(C$1,INDIRECT("Table!A"&amp;$BJ14):INDIRECT("Table!" &amp; $BV$88 &amp; $BJ14),0)),"",INDIRECT(CONCATENATE("Table!",ADDRESS($BF14,MATCH(C$1,INDIRECT("Table!A" &amp; $BJ14):INDIRECT("Table!" &amp; $BV$88 &amp; $BJ14),0)))))/1024</f>
        <v>81.835742187500003</v>
      </c>
      <c r="D14" s="709">
        <f ca="1">IF(ISERROR(MATCH(D$1,INDIRECT("Table!A"&amp;$BJ14):INDIRECT("Table!" &amp; $BV$88 &amp; $BJ14),0)),"",INDIRECT(CONCATENATE("Table!",ADDRESS($BF14,MATCH(D$1,INDIRECT("Table!A" &amp; $BJ14):INDIRECT("Table!" &amp; $BV$88 &amp; $BJ14),0)))))/1024</f>
        <v>83.146289062500003</v>
      </c>
      <c r="E14" s="709">
        <f ca="1">IF(ISERROR(MATCH(E$1,INDIRECT("Table!A"&amp;$BJ14):INDIRECT("Table!" &amp; $BV$88 &amp; $BJ14),0)),"",INDIRECT(CONCATENATE("Table!",ADDRESS($BF14,MATCH(E$1,INDIRECT("Table!A" &amp; $BJ14):INDIRECT("Table!" &amp; $BV$88 &amp; $BJ14),0)))))/1024</f>
        <v>146.87314453125001</v>
      </c>
      <c r="F14" s="709">
        <f ca="1">IF(ISERROR(MATCH(F$1,INDIRECT("Table!A"&amp;$BJ14):INDIRECT("Table!" &amp; $BV$88 &amp; $BJ14),0)),"",INDIRECT(CONCATENATE("Table!",ADDRESS($BF14,MATCH(F$1,INDIRECT("Table!A" &amp; $BJ14):INDIRECT("Table!" &amp; $BV$88 &amp; $BJ14),0)))))/1024</f>
        <v>112.54160156250001</v>
      </c>
      <c r="G14" s="709">
        <f ca="1">IF(ISERROR(MATCH(G$1,INDIRECT("Table!A"&amp;$BJ14):INDIRECT("Table!" &amp; $BV$88 &amp; $BJ14),0)),"",INDIRECT(CONCATENATE("Table!",ADDRESS($BF14,MATCH(G$1,INDIRECT("Table!A" &amp; $BJ14):INDIRECT("Table!" &amp; $BV$88 &amp; $BJ14),0)))))/1024</f>
        <v>201.76054687499999</v>
      </c>
      <c r="H14" s="709">
        <f ca="1">IF(ISERROR(MATCH(H$1,INDIRECT("Table!A"&amp;$BJ14):INDIRECT("Table!" &amp; $BV$88 &amp; $BJ14),0)),"",INDIRECT(CONCATENATE("Table!",ADDRESS($BF14,MATCH(H$1,INDIRECT("Table!A" &amp; $BJ14):INDIRECT("Table!" &amp; $BV$88 &amp; $BJ14),0)))))/1024</f>
        <v>118.52724609374999</v>
      </c>
      <c r="I14" s="709">
        <f ca="1">IF(ISERROR(MATCH(I$1,INDIRECT("Table!A"&amp;$BJ14):INDIRECT("Table!" &amp; $BV$88 &amp; $BJ14),0)),"",INDIRECT(CONCATENATE("Table!",ADDRESS($BF14,MATCH(I$1,INDIRECT("Table!A" &amp; $BJ14):INDIRECT("Table!" &amp; $BV$88 &amp; $BJ14),0)))))/1024</f>
        <v>22.577246093749999</v>
      </c>
      <c r="J14" s="709">
        <f ca="1">IF(ISERROR(MATCH(J$1,INDIRECT("Table!A"&amp;$BJ14):INDIRECT("Table!" &amp; $BV$88 &amp; $BJ14),0)),"",INDIRECT(CONCATENATE("Table!",ADDRESS($BF14,MATCH(J$1,INDIRECT("Table!A" &amp; $BJ14):INDIRECT("Table!" &amp; $BV$88 &amp; $BJ14),0)))))/1024</f>
        <v>75.006738281249994</v>
      </c>
      <c r="K14" s="709">
        <f ca="1">IF(ISERROR(MATCH(K$1,INDIRECT("Table!A"&amp;$BJ14):INDIRECT("Table!" &amp; $BV$88 &amp; $BJ14),0)),"",INDIRECT(CONCATENATE("Table!",ADDRESS($BF14,MATCH(K$1,INDIRECT("Table!A" &amp; $BJ14):INDIRECT("Table!" &amp; $BV$88 &amp; $BJ14),0)))))/1024</f>
        <v>34.381933593749999</v>
      </c>
      <c r="L14" s="709">
        <f ca="1">IF(ISERROR(MATCH(L$1,INDIRECT("Table!A"&amp;$BJ14):INDIRECT("Table!" &amp; $BV$88 &amp; $BJ14),0)),"",INDIRECT(CONCATENATE("Table!",ADDRESS($BF14,MATCH(L$1,INDIRECT("Table!A" &amp; $BJ14):INDIRECT("Table!" &amp; $BV$88 &amp; $BJ14),0)))))/1024</f>
        <v>154.78085937500001</v>
      </c>
      <c r="M14" s="709">
        <f ca="1">IF(ISERROR(MATCH(M$1,INDIRECT("Table!A"&amp;$BJ14):INDIRECT("Table!" &amp; $BV$88 &amp; $BJ14),0)),"",INDIRECT(CONCATENATE("Table!",ADDRESS($BF14,MATCH(M$1,INDIRECT("Table!A" &amp; $BJ14):INDIRECT("Table!" &amp; $BV$88 &amp; $BJ14),0)))))/1024</f>
        <v>200.07792968749999</v>
      </c>
      <c r="N14" s="709">
        <f ca="1">IF(ISERROR(MATCH(N$1,INDIRECT("Table!A"&amp;$BJ14):INDIRECT("Table!" &amp; $BV$88 &amp; $BJ14),0)),"",INDIRECT(CONCATENATE("Table!",ADDRESS($BF14,MATCH(N$1,INDIRECT("Table!A" &amp; $BJ14):INDIRECT("Table!" &amp; $BV$88 &amp; $BJ14),0)))))/1024</f>
        <v>57.801464843749997</v>
      </c>
      <c r="O14" s="709">
        <f ca="1">IF(ISERROR(MATCH(O$1,INDIRECT("Table!A"&amp;$BJ14):INDIRECT("Table!" &amp; $BV$88 &amp; $BJ14),0)),"",INDIRECT(CONCATENATE("Table!",ADDRESS($BF14,MATCH(O$1,INDIRECT("Table!A" &amp; $BJ14):INDIRECT("Table!" &amp; $BV$88 &amp; $BJ14),0)))))/1024</f>
        <v>218.34492187500001</v>
      </c>
      <c r="P14" s="709">
        <f ca="1">IF(ISERROR(MATCH(P$1,INDIRECT("Table!A"&amp;$BJ14):INDIRECT("Table!" &amp; $BV$88 &amp; $BJ14),0)),"",INDIRECT(CONCATENATE("Table!",ADDRESS($BF14,MATCH(P$1,INDIRECT("Table!A" &amp; $BJ14):INDIRECT("Table!" &amp; $BV$88 &amp; $BJ14),0)))))/1024</f>
        <v>43.575878906249997</v>
      </c>
      <c r="Q14" s="709">
        <f ca="1">IF(ISERROR(MATCH(Q$1,INDIRECT("Table!A"&amp;$BJ14):INDIRECT("Table!" &amp; $BV$88 &amp; $BJ14),0)),"",INDIRECT(CONCATENATE("Table!",ADDRESS($BF14,MATCH(Q$1,INDIRECT("Table!A" &amp; $BJ14):INDIRECT("Table!" &amp; $BV$88 &amp; $BJ14),0)))))/1024</f>
        <v>115.23349609375001</v>
      </c>
      <c r="R14" s="709">
        <f ca="1">IF(ISERROR(MATCH(R$1,INDIRECT("Table!A"&amp;$BJ14):INDIRECT("Table!" &amp; $BV$88 &amp; $BJ14),0)),"",INDIRECT(CONCATENATE("Table!",ADDRESS($BF14,MATCH(R$1,INDIRECT("Table!A" &amp; $BJ14):INDIRECT("Table!" &amp; $BV$88 &amp; $BJ14),0)))))/1024</f>
        <v>136.74746093749999</v>
      </c>
      <c r="S14" s="709">
        <f ca="1">IF(ISERROR(MATCH(S$1,INDIRECT("Table!A"&amp;$BJ14):INDIRECT("Table!" &amp; $BV$43 &amp; $BJ14),0)),"",INDIRECT(CONCATENATE("Table!",ADDRESS($BF14,MATCH(S$1,INDIRECT("Table!A" &amp; $BJ14):INDIRECT("Table!" &amp; $BV$43 &amp; $BJ14),0)))))/1024</f>
        <v>13.76572265625</v>
      </c>
      <c r="T14" s="709">
        <f ca="1">IF(ISERROR(MATCH(T$1,INDIRECT("Table!A"&amp;$BJ14):INDIRECT("Table!" &amp; $BV$43 &amp; $BJ14),0)),"",INDIRECT(CONCATENATE("Table!",ADDRESS($BF14,MATCH(T$1,INDIRECT("Table!A" &amp; $BJ14):INDIRECT("Table!" &amp; $BV$43 &amp; $BJ14),0)))))/1024</f>
        <v>7.14794921875</v>
      </c>
      <c r="U14" s="709">
        <f ca="1">IF(ISERROR(MATCH(U$1,INDIRECT("Table!A"&amp;$BJ14):INDIRECT("Table!" &amp; $BV$43 &amp; $BJ14),0)),"",INDIRECT(CONCATENATE("Table!",ADDRESS($BF14,MATCH(U$1,INDIRECT("Table!A" &amp; $BJ14):INDIRECT("Table!" &amp; $BV$43 &amp; $BJ14),0)))))/1024</f>
        <v>6.9729492187500002</v>
      </c>
      <c r="V14" s="709">
        <f ca="1">IF(ISERROR(MATCH(V$1,INDIRECT("Table!A"&amp;$BJ14):INDIRECT("Table!" &amp; $BV$43 &amp; $BJ14),0)),"",INDIRECT(CONCATENATE("Table!",ADDRESS($BF14,MATCH(V$1,INDIRECT("Table!A" &amp; $BJ14):INDIRECT("Table!" &amp; $BV$43 &amp; $BJ14),0)))))/1024</f>
        <v>13.94580078125</v>
      </c>
      <c r="W14" s="709"/>
      <c r="X14" s="909"/>
      <c r="Y14" s="909"/>
      <c r="Z14" s="909"/>
      <c r="AA14" s="909"/>
      <c r="AB14" s="909"/>
      <c r="AC14" s="709" t="str">
        <f ca="1">IF(ISERROR(MATCH(AC$1,INDIRECT("Table!A"&amp;$BJ14):INDIRECT("Table!" &amp; $BV$88 &amp; $BJ14),0)),"",INDIRECT(CONCATENATE("Table!",ADDRESS($BF14,MATCH(AC$1,INDIRECT("Table!A" &amp; $BJ14):INDIRECT("Table!" &amp; $BV$88 &amp; $BJ14),0)))))</f>
        <v/>
      </c>
      <c r="AD14" s="709">
        <f ca="1">IF(ISERROR(MATCH(AD$1,INDIRECT("Table!A"&amp;$BJ14):INDIRECT("Table!" &amp; $BV$88 &amp; $BJ14),0)),"",INDIRECT(CONCATENATE("Table!",ADDRESS($BN14,MATCH(AD$1,INDIRECT("Table!A" &amp; $BJ14):INDIRECT("Table!" &amp; $BV$88 &amp; $BJ14),0)))))/1024</f>
        <v>244.15859374999999</v>
      </c>
      <c r="AE14" s="709">
        <f ca="1">IF(ISERROR(MATCH(AE$1,INDIRECT("Table!A"&amp;$BJ14):INDIRECT("Table!" &amp; $BV$88 &amp; $BJ14),0)),"",INDIRECT(CONCATENATE("Table!",ADDRESS($BN14,MATCH(AE$1,INDIRECT("Table!A" &amp; $BJ14):INDIRECT("Table!" &amp; $BV$88 &amp; $BJ14),0)))))/1024</f>
        <v>146.98896484375001</v>
      </c>
      <c r="AF14" s="709">
        <f ca="1">IF(ISERROR(MATCH(AF$1,INDIRECT("Table!A"&amp;$BJ14):INDIRECT("Table!" &amp; $BV$88 &amp; $BJ14),0)),"",INDIRECT(CONCATENATE("Table!",ADDRESS($BN14,MATCH(AF$1,INDIRECT("Table!A" &amp; $BJ14):INDIRECT("Table!" &amp; $BV$88 &amp; $BJ14),0)))))/1024</f>
        <v>146.98896484375001</v>
      </c>
      <c r="AG14" s="709">
        <f ca="1">IF(ISERROR(MATCH(AG$1,INDIRECT("Table!A"&amp;$BJ14):INDIRECT("Table!" &amp; $BV$88 &amp; $BJ14),0)),"",INDIRECT(CONCATENATE("Table!",ADDRESS($BN14,MATCH(AG$1,INDIRECT("Table!A" &amp; $BJ14):INDIRECT("Table!" &amp; $BV$88 &amp; $BJ14),0)))))/1024</f>
        <v>177.73320312499999</v>
      </c>
      <c r="AH14" s="709">
        <f ca="1">IF(ISERROR(MATCH(AH$1,INDIRECT("Table!A"&amp;$BJ14):INDIRECT("Table!" &amp; $BV$88 &amp; $BJ14),0)),"",INDIRECT(CONCATENATE("Table!",ADDRESS($BN14,MATCH(AH$1,INDIRECT("Table!A" &amp; $BJ14):INDIRECT("Table!" &amp; $BV$88 &amp; $BJ14),0)))))/1024</f>
        <v>161.88056640625001</v>
      </c>
      <c r="AI14" s="709">
        <f ca="1">IF(ISERROR(MATCH(AI$1,INDIRECT("Table!A"&amp;$BJ14):INDIRECT("Table!" &amp; $BV$88 &amp; $BJ14),0)),"",INDIRECT(CONCATENATE("Table!",ADDRESS($BN14,MATCH(AI$1,INDIRECT("Table!A" &amp; $BJ14):INDIRECT("Table!" &amp; $BV$88 &amp; $BJ14),0)))))/1024</f>
        <v>380.3759765625</v>
      </c>
      <c r="AJ14" s="709">
        <f ca="1">IF(ISERROR(MATCH(AJ$1,INDIRECT("Table!A"&amp;$BJ14):INDIRECT("Table!" &amp; $BV$88 &amp; $BJ14),0)),"",INDIRECT(CONCATENATE("Table!",ADDRESS($BN14,MATCH(AJ$1,INDIRECT("Table!A" &amp; $BJ14):INDIRECT("Table!" &amp; $BV$88 &amp; $BJ14),0)))))/1024</f>
        <v>167.94482421875</v>
      </c>
      <c r="AK14" s="709">
        <f ca="1">IF(ISERROR(MATCH(AK$1,INDIRECT("Table!A"&amp;$BJ14):INDIRECT("Table!" &amp; $BV$88 &amp; $BJ14),0)),"",INDIRECT(CONCATENATE("Table!",ADDRESS($BN14,MATCH(AK$1,INDIRECT("Table!A" &amp; $BJ14):INDIRECT("Table!" &amp; $BV$88 &amp; $BJ14),0)))))/1024</f>
        <v>162.18544921874999</v>
      </c>
      <c r="AL14" s="709">
        <f ca="1">IF(ISERROR(MATCH(AL$1,INDIRECT("Table!A"&amp;$BJ14):INDIRECT("Table!" &amp; $BV$88 &amp; $BJ14),0)),"",INDIRECT(CONCATENATE("Table!",ADDRESS($BN14,MATCH(AL$1,INDIRECT("Table!A" &amp; $BJ14):INDIRECT("Table!" &amp; $BV$88 &amp; $BJ14),0)))))/1024</f>
        <v>121.1125</v>
      </c>
      <c r="AM14" s="709">
        <f ca="1">IF(ISERROR(MATCH(AM$1,INDIRECT("Table!A"&amp;$BJ14):INDIRECT("Table!" &amp; $BV$88 &amp; $BJ14),0)),"",INDIRECT(CONCATENATE("Table!",ADDRESS($BN14,MATCH(AM$1,INDIRECT("Table!A" &amp; $BJ14):INDIRECT("Table!" &amp; $BV$88 &amp; $BJ14),0)))))/1024</f>
        <v>218.81953125000001</v>
      </c>
      <c r="AN14" s="709">
        <f ca="1">IF(ISERROR(MATCH(AN$1,INDIRECT("Table!A"&amp;$BJ14):INDIRECT("Table!" &amp; $BV$88 &amp; $BJ14),0)),"",INDIRECT(CONCATENATE("Table!",ADDRESS($BN14,MATCH(AN$1,INDIRECT("Table!A" &amp; $BJ14):INDIRECT("Table!" &amp; $BV$88 &amp; $BJ14),0)))))/1024</f>
        <v>188.50498046875001</v>
      </c>
      <c r="AO14" s="709">
        <f ca="1">IF(ISERROR(MATCH(AO$1,INDIRECT("Table!A"&amp;$BJ14):INDIRECT("Table!" &amp; $BV$88 &amp; $BJ14),0)),"",INDIRECT(CONCATENATE("Table!",ADDRESS($BN14,MATCH(AO$1,INDIRECT("Table!A" &amp; $BJ14):INDIRECT("Table!" &amp; $BV$88 &amp; $BJ14),0)))))/1024</f>
        <v>427.94912109375002</v>
      </c>
      <c r="AP14" s="709">
        <f ca="1">IF(ISERROR(MATCH(AP$1,INDIRECT("Table!A"&amp;$BJ14):INDIRECT("Table!" &amp; $BV$88 &amp; $BJ14),0)),"",INDIRECT(CONCATENATE("Table!",ADDRESS($BN14,MATCH(AP$1,INDIRECT("Table!A" &amp; $BJ14):INDIRECT("Table!" &amp; $BV$88 &amp; $BJ14),0)))))/1024</f>
        <v>81.092578125000003</v>
      </c>
      <c r="AQ14" s="709">
        <f ca="1">IF(ISERROR(MATCH(AQ$1,INDIRECT("Table!A"&amp;$BJ14):INDIRECT("Table!" &amp; $BV$88 &amp; $BJ14),0)),"",INDIRECT(CONCATENATE("Table!",ADDRESS($BN14,MATCH(AQ$1,INDIRECT("Table!A" &amp; $BJ14):INDIRECT("Table!" &amp; $BV$88 &amp; $BJ14),0)))))/1024</f>
        <v>269.65859375000002</v>
      </c>
      <c r="AR14" s="709">
        <f ca="1">IF(ISERROR(MATCH(AR$1,INDIRECT("Table!A"&amp;$BJ14):INDIRECT("Table!" &amp; $BV$88 &amp; $BJ14),0)),"",INDIRECT(CONCATENATE("Table!",ADDRESS($BN14,MATCH(AR$1,INDIRECT("Table!A" &amp; $BJ14):INDIRECT("Table!" &amp; $BV$88 &amp; $BJ14),0)))))/1024</f>
        <v>81.092578125000003</v>
      </c>
      <c r="AS14" s="709">
        <f ca="1">IF(ISERROR(MATCH(AS$1,INDIRECT("Table!A"&amp;$BJ14):INDIRECT("Table!" &amp; $BV$88 &amp; $BJ14),0)),"",INDIRECT(CONCATENATE("Table!",ADDRESS($BN14,MATCH(AS$1,INDIRECT("Table!A" &amp; $BJ14):INDIRECT("Table!" &amp; $BV$88 &amp; $BJ14),0)))))/1024</f>
        <v>187.12714843750001</v>
      </c>
      <c r="AT14" s="709">
        <f ca="1">IF(ISERROR(MATCH(AT$1,INDIRECT("Table!A"&amp;$BJ14):INDIRECT("Table!" &amp; $BV$88 &amp; $BJ14),0)),"",INDIRECT(CONCATENATE("Table!",ADDRESS($BN14,MATCH(AT$1,INDIRECT("Table!A" &amp; $BJ14):INDIRECT("Table!" &amp; $BV$88 &amp; $BJ14),0)))))/1024</f>
        <v>218.81953125000001</v>
      </c>
      <c r="AU14" s="709">
        <f ca="1">IF(ISERROR(MATCH(AU$1,INDIRECT("Table!A"&amp;$BJ14):INDIRECT("Table!" &amp; $BV$88 &amp; $BJ14),0)),"",INDIRECT(CONCATENATE("Table!",ADDRESS($BN14,MATCH(AU$1,INDIRECT("Table!A" &amp; $BJ14):INDIRECT("Table!" &amp; $BV$88 &amp; $BJ14),0)))))/1024</f>
        <v>53.8583984375</v>
      </c>
      <c r="AV14" s="709">
        <f ca="1">IF(ISERROR(MATCH(AV$1,INDIRECT("Table!A"&amp;$BJ14):INDIRECT("Table!" &amp; $BV$88 &amp; $BJ14),0)),"",INDIRECT(CONCATENATE("Table!",ADDRESS($BN14,MATCH(AV$1,INDIRECT("Table!A" &amp; $BJ14):INDIRECT("Table!" &amp; $BV$88 &amp; $BJ14),0)))))/1024</f>
        <v>32.31494140625</v>
      </c>
      <c r="AW14" s="709">
        <f ca="1">IF(ISERROR(MATCH(AW$1,INDIRECT("Table!A"&amp;$BJ14):INDIRECT("Table!" &amp; $BV$88 &amp; $BJ14),0)),"",INDIRECT(CONCATENATE("Table!",ADDRESS($BN14,MATCH(AW$1,INDIRECT("Table!A" &amp; $BJ14):INDIRECT("Table!" &amp; $BV$88 &amp; $BJ14),0)))))/1024</f>
        <v>99.80126953125</v>
      </c>
      <c r="AX14" s="709">
        <f ca="1">IF(ISERROR(MATCH(AX$1,INDIRECT("Table!A"&amp;$BJ14):INDIRECT("Table!" &amp; $BV$88 &amp; $BJ14),0)),"",INDIRECT(CONCATENATE("Table!",ADDRESS($BN14,MATCH(AX$1,INDIRECT("Table!A" &amp; $BJ14):INDIRECT("Table!" &amp; $BV$88 &amp; $BJ14),0)))))/1024</f>
        <v>204.58642578125</v>
      </c>
      <c r="AY14" s="909"/>
      <c r="AZ14" s="909"/>
      <c r="BA14" s="909"/>
      <c r="BB14" s="909"/>
      <c r="BC14" s="909"/>
      <c r="BD14" s="909"/>
      <c r="BE14" s="909"/>
      <c r="BF14" s="704">
        <f>MATCH($A14,Table!$A:$A,0)+$BH$2-1</f>
        <v>159</v>
      </c>
      <c r="BG14" s="705"/>
      <c r="BH14" s="705"/>
      <c r="BI14" s="705"/>
      <c r="BJ14" s="717">
        <f>MATCH($A14,Table!$A:$A,0)+$BL$2-1</f>
        <v>157</v>
      </c>
      <c r="BK14" s="705"/>
      <c r="BL14" s="705"/>
      <c r="BM14" s="705"/>
      <c r="BN14" s="704">
        <f>MATCH($A14,Table!$A:$A,0)+$BP$2-1</f>
        <v>158</v>
      </c>
      <c r="BO14" s="705"/>
      <c r="BP14" s="705"/>
      <c r="BQ14" s="705"/>
      <c r="BR14" s="717">
        <f>MATCH($A14,Table!$A:$A,0)+$BL$2-1</f>
        <v>157</v>
      </c>
      <c r="BS14" s="705"/>
      <c r="BT14" s="705"/>
      <c r="BU14" s="705"/>
      <c r="BV14" s="711" t="s">
        <v>284</v>
      </c>
      <c r="BW14" s="712">
        <f t="shared" ca="1" si="12"/>
        <v>3772.9941406249995</v>
      </c>
      <c r="BX14" s="712">
        <f t="shared" ca="1" si="0"/>
        <v>1948.0189453125001</v>
      </c>
      <c r="BY14" s="712">
        <f t="shared" ref="BY14:BY20" ca="1" si="37">BW14-BX14</f>
        <v>1824.9751953124994</v>
      </c>
      <c r="BZ14" s="718">
        <f t="shared" ref="BZ14:BZ20" ca="1" si="38">BX14/BW14</f>
        <v>0.51630584960034132</v>
      </c>
      <c r="CA14" s="712">
        <f ca="1">SUMIF('Alloc Feed'!A:A,A:A,'Alloc Feed'!I:I)</f>
        <v>3353.5902832031252</v>
      </c>
      <c r="CB14" s="718">
        <f t="shared" ref="CB14:CB19" ca="1" si="39">CA14/BW14</f>
        <v>0.88884057547134177</v>
      </c>
    </row>
    <row r="15" spans="1:80" s="743" customFormat="1" x14ac:dyDescent="0.25">
      <c r="A15" s="703">
        <v>41732</v>
      </c>
      <c r="B15" s="709">
        <f ca="1">IF(ISERROR(MATCH(B$1,INDIRECT("Table!A"&amp;$BJ15):INDIRECT("Table!" &amp; $BV$88 &amp; $BJ15),0)),"",INDIRECT(CONCATENATE("Table!",ADDRESS($BF15,MATCH(B$1,INDIRECT("Table!A" &amp; $BJ15):INDIRECT("Table!" &amp; $BV$88 &amp; $BJ15),0)))))/1024</f>
        <v>102.10400390625</v>
      </c>
      <c r="C15" s="709">
        <f ca="1">IF(ISERROR(MATCH(C$1,INDIRECT("Table!A"&amp;$BJ15):INDIRECT("Table!" &amp; $BV$88 &amp; $BJ15),0)),"",INDIRECT(CONCATENATE("Table!",ADDRESS($BF15,MATCH(C$1,INDIRECT("Table!A" &amp; $BJ15):INDIRECT("Table!" &amp; $BV$88 &amp; $BJ15),0)))))/1024</f>
        <v>81.38916015625</v>
      </c>
      <c r="D15" s="709">
        <f ca="1">IF(ISERROR(MATCH(D$1,INDIRECT("Table!A"&amp;$BJ15):INDIRECT("Table!" &amp; $BV$88 &amp; $BJ15),0)),"",INDIRECT(CONCATENATE("Table!",ADDRESS($BF15,MATCH(D$1,INDIRECT("Table!A" &amp; $BJ15):INDIRECT("Table!" &amp; $BV$88 &amp; $BJ15),0)))))/1024</f>
        <v>82.705371093750003</v>
      </c>
      <c r="E15" s="709">
        <f ca="1">IF(ISERROR(MATCH(E$1,INDIRECT("Table!A"&amp;$BJ15):INDIRECT("Table!" &amp; $BV$88 &amp; $BJ15),0)),"",INDIRECT(CONCATENATE("Table!",ADDRESS($BF15,MATCH(E$1,INDIRECT("Table!A" &amp; $BJ15):INDIRECT("Table!" &amp; $BV$88 &amp; $BJ15),0)))))/1024</f>
        <v>146.6875</v>
      </c>
      <c r="F15" s="709">
        <f ca="1">IF(ISERROR(MATCH(F$1,INDIRECT("Table!A"&amp;$BJ15):INDIRECT("Table!" &amp; $BV$88 &amp; $BJ15),0)),"",INDIRECT(CONCATENATE("Table!",ADDRESS($BF15,MATCH(F$1,INDIRECT("Table!A" &amp; $BJ15):INDIRECT("Table!" &amp; $BV$88 &amp; $BJ15),0)))))/1024</f>
        <v>112.30341796875</v>
      </c>
      <c r="G15" s="709">
        <f ca="1">IF(ISERROR(MATCH(G$1,INDIRECT("Table!A"&amp;$BJ15):INDIRECT("Table!" &amp; $BV$88 &amp; $BJ15),0)),"",INDIRECT(CONCATENATE("Table!",ADDRESS($BF15,MATCH(G$1,INDIRECT("Table!A" &amp; $BJ15):INDIRECT("Table!" &amp; $BV$88 &amp; $BJ15),0)))))/1024</f>
        <v>201.28740234374999</v>
      </c>
      <c r="H15" s="709">
        <f ca="1">IF(ISERROR(MATCH(H$1,INDIRECT("Table!A"&amp;$BJ15):INDIRECT("Table!" &amp; $BV$88 &amp; $BJ15),0)),"",INDIRECT(CONCATENATE("Table!",ADDRESS($BF15,MATCH(H$1,INDIRECT("Table!A" &amp; $BJ15):INDIRECT("Table!" &amp; $BV$88 &amp; $BJ15),0)))))/1024</f>
        <v>118.0486328125</v>
      </c>
      <c r="I15" s="709">
        <f ca="1">IF(ISERROR(MATCH(I$1,INDIRECT("Table!A"&amp;$BJ15):INDIRECT("Table!" &amp; $BV$88 &amp; $BJ15),0)),"",INDIRECT(CONCATENATE("Table!",ADDRESS($BF15,MATCH(I$1,INDIRECT("Table!A" &amp; $BJ15):INDIRECT("Table!" &amp; $BV$88 &amp; $BJ15),0)))))/1024</f>
        <v>21.922656249999999</v>
      </c>
      <c r="J15" s="709">
        <f ca="1">IF(ISERROR(MATCH(J$1,INDIRECT("Table!A"&amp;$BJ15):INDIRECT("Table!" &amp; $BV$88 &amp; $BJ15),0)),"",INDIRECT(CONCATENATE("Table!",ADDRESS($BF15,MATCH(J$1,INDIRECT("Table!A" &amp; $BJ15):INDIRECT("Table!" &amp; $BV$88 &amp; $BJ15),0)))))/1024</f>
        <v>74.318066406249997</v>
      </c>
      <c r="K15" s="709">
        <f ca="1">IF(ISERROR(MATCH(K$1,INDIRECT("Table!A"&amp;$BJ15):INDIRECT("Table!" &amp; $BV$88 &amp; $BJ15),0)),"",INDIRECT(CONCATENATE("Table!",ADDRESS($BF15,MATCH(K$1,INDIRECT("Table!A" &amp; $BJ15):INDIRECT("Table!" &amp; $BV$88 &amp; $BJ15),0)))))/1024</f>
        <v>31.237597656249999</v>
      </c>
      <c r="L15" s="709">
        <f ca="1">IF(ISERROR(MATCH(L$1,INDIRECT("Table!A"&amp;$BJ15):INDIRECT("Table!" &amp; $BV$88 &amp; $BJ15),0)),"",INDIRECT(CONCATENATE("Table!",ADDRESS($BF15,MATCH(L$1,INDIRECT("Table!A" &amp; $BJ15):INDIRECT("Table!" &amp; $BV$88 &amp; $BJ15),0)))))/1024</f>
        <v>154.66083984375001</v>
      </c>
      <c r="M15" s="709">
        <f ca="1">IF(ISERROR(MATCH(M$1,INDIRECT("Table!A"&amp;$BJ15):INDIRECT("Table!" &amp; $BV$88 &amp; $BJ15),0)),"",INDIRECT(CONCATENATE("Table!",ADDRESS($BF15,MATCH(M$1,INDIRECT("Table!A" &amp; $BJ15):INDIRECT("Table!" &amp; $BV$88 &amp; $BJ15),0)))))/1024</f>
        <v>198.96347656250001</v>
      </c>
      <c r="N15" s="709">
        <f ca="1">IF(ISERROR(MATCH(N$1,INDIRECT("Table!A"&amp;$BJ15):INDIRECT("Table!" &amp; $BV$88 &amp; $BJ15),0)),"",INDIRECT(CONCATENATE("Table!",ADDRESS($BF15,MATCH(N$1,INDIRECT("Table!A" &amp; $BJ15):INDIRECT("Table!" &amp; $BV$88 &amp; $BJ15),0)))))/1024</f>
        <v>58.176953124999997</v>
      </c>
      <c r="O15" s="709">
        <f ca="1">IF(ISERROR(MATCH(O$1,INDIRECT("Table!A"&amp;$BJ15):INDIRECT("Table!" &amp; $BV$88 &amp; $BJ15),0)),"",INDIRECT(CONCATENATE("Table!",ADDRESS($BF15,MATCH(O$1,INDIRECT("Table!A" &amp; $BJ15):INDIRECT("Table!" &amp; $BV$88 &amp; $BJ15),0)))))/1024</f>
        <v>217.66083984375001</v>
      </c>
      <c r="P15" s="709">
        <f ca="1">IF(ISERROR(MATCH(P$1,INDIRECT("Table!A"&amp;$BJ15):INDIRECT("Table!" &amp; $BV$88 &amp; $BJ15),0)),"",INDIRECT(CONCATENATE("Table!",ADDRESS($BF15,MATCH(P$1,INDIRECT("Table!A" &amp; $BJ15):INDIRECT("Table!" &amp; $BV$88 &amp; $BJ15),0)))))/1024</f>
        <v>42.267675781249999</v>
      </c>
      <c r="Q15" s="709">
        <f ca="1">IF(ISERROR(MATCH(Q$1,INDIRECT("Table!A"&amp;$BJ15):INDIRECT("Table!" &amp; $BV$88 &amp; $BJ15),0)),"",INDIRECT(CONCATENATE("Table!",ADDRESS($BF15,MATCH(Q$1,INDIRECT("Table!A" &amp; $BJ15):INDIRECT("Table!" &amp; $BV$88 &amp; $BJ15),0)))))/1024</f>
        <v>113.0986328125</v>
      </c>
      <c r="R15" s="709">
        <f ca="1">IF(ISERROR(MATCH(R$1,INDIRECT("Table!A"&amp;$BJ15):INDIRECT("Table!" &amp; $BV$88 &amp; $BJ15),0)),"",INDIRECT(CONCATENATE("Table!",ADDRESS($BF15,MATCH(R$1,INDIRECT("Table!A" &amp; $BJ15):INDIRECT("Table!" &amp; $BV$88 &amp; $BJ15),0)))))/1024</f>
        <v>122.33759765625</v>
      </c>
      <c r="S15" s="709">
        <f ca="1">IF(ISERROR(MATCH(S$1,INDIRECT("Table!A"&amp;$BJ15):INDIRECT("Table!" &amp; $BV$43 &amp; $BJ15),0)),"",INDIRECT(CONCATENATE("Table!",ADDRESS($BF15,MATCH(S$1,INDIRECT("Table!A" &amp; $BJ15):INDIRECT("Table!" &amp; $BV$43 &amp; $BJ15),0)))))/1024</f>
        <v>13.76572265625</v>
      </c>
      <c r="T15" s="709">
        <f ca="1">IF(ISERROR(MATCH(T$1,INDIRECT("Table!A"&amp;$BJ15):INDIRECT("Table!" &amp; $BV$43 &amp; $BJ15),0)),"",INDIRECT(CONCATENATE("Table!",ADDRESS($BF15,MATCH(T$1,INDIRECT("Table!A" &amp; $BJ15):INDIRECT("Table!" &amp; $BV$43 &amp; $BJ15),0)))))/1024</f>
        <v>7.14794921875</v>
      </c>
      <c r="U15" s="709">
        <f ca="1">IF(ISERROR(MATCH(U$1,INDIRECT("Table!A"&amp;$BJ15):INDIRECT("Table!" &amp; $BV$43 &amp; $BJ15),0)),"",INDIRECT(CONCATENATE("Table!",ADDRESS($BF15,MATCH(U$1,INDIRECT("Table!A" &amp; $BJ15):INDIRECT("Table!" &amp; $BV$43 &amp; $BJ15),0)))))/1024</f>
        <v>6.96875</v>
      </c>
      <c r="V15" s="709">
        <f ca="1">IF(ISERROR(MATCH(V$1,INDIRECT("Table!A"&amp;$BJ15):INDIRECT("Table!" &amp; $BV$43 &amp; $BJ15),0)),"",INDIRECT(CONCATENATE("Table!",ADDRESS($BF15,MATCH(V$1,INDIRECT("Table!A" &amp; $BJ15):INDIRECT("Table!" &amp; $BV$43 &amp; $BJ15),0)))))/1024</f>
        <v>13.93740234375</v>
      </c>
      <c r="W15" s="909"/>
      <c r="X15" s="909"/>
      <c r="Y15" s="909"/>
      <c r="Z15" s="909"/>
      <c r="AA15" s="909"/>
      <c r="AB15" s="909"/>
      <c r="AC15" s="709" t="str">
        <f ca="1">IF(ISERROR(MATCH(AC$1,INDIRECT("Table!A"&amp;$BJ15):INDIRECT("Table!" &amp; $BV$88 &amp; $BJ15),0)),"",INDIRECT(CONCATENATE("Table!",ADDRESS($BF15,MATCH(AC$1,INDIRECT("Table!A" &amp; $BJ15):INDIRECT("Table!" &amp; $BV$88 &amp; $BJ15),0)))))</f>
        <v/>
      </c>
      <c r="AD15" s="709">
        <f ca="1">IF(ISERROR(MATCH(AD$1,INDIRECT("Table!A"&amp;$BJ15):INDIRECT("Table!" &amp; $BV$88 &amp; $BJ15),0)),"",INDIRECT(CONCATENATE("Table!",ADDRESS($BN15,MATCH(AD$1,INDIRECT("Table!A" &amp; $BJ15):INDIRECT("Table!" &amp; $BV$88 &amp; $BJ15),0)))))/1024</f>
        <v>244.15859374999999</v>
      </c>
      <c r="AE15" s="709">
        <f ca="1">IF(ISERROR(MATCH(AE$1,INDIRECT("Table!A"&amp;$BJ15):INDIRECT("Table!" &amp; $BV$88 &amp; $BJ15),0)),"",INDIRECT(CONCATENATE("Table!",ADDRESS($BN15,MATCH(AE$1,INDIRECT("Table!A" &amp; $BJ15):INDIRECT("Table!" &amp; $BV$88 &amp; $BJ15),0)))))/1024</f>
        <v>146.98896484375001</v>
      </c>
      <c r="AF15" s="709">
        <f ca="1">IF(ISERROR(MATCH(AF$1,INDIRECT("Table!A"&amp;$BJ15):INDIRECT("Table!" &amp; $BV$88 &amp; $BJ15),0)),"",INDIRECT(CONCATENATE("Table!",ADDRESS($BN15,MATCH(AF$1,INDIRECT("Table!A" &amp; $BJ15):INDIRECT("Table!" &amp; $BV$88 &amp; $BJ15),0)))))/1024</f>
        <v>146.98896484375001</v>
      </c>
      <c r="AG15" s="709">
        <f ca="1">IF(ISERROR(MATCH(AG$1,INDIRECT("Table!A"&amp;$BJ15):INDIRECT("Table!" &amp; $BV$88 &amp; $BJ15),0)),"",INDIRECT(CONCATENATE("Table!",ADDRESS($BN15,MATCH(AG$1,INDIRECT("Table!A" &amp; $BJ15):INDIRECT("Table!" &amp; $BV$88 &amp; $BJ15),0)))))/1024</f>
        <v>177.73320312499999</v>
      </c>
      <c r="AH15" s="709">
        <f ca="1">IF(ISERROR(MATCH(AH$1,INDIRECT("Table!A"&amp;$BJ15):INDIRECT("Table!" &amp; $BV$88 &amp; $BJ15),0)),"",INDIRECT(CONCATENATE("Table!",ADDRESS($BN15,MATCH(AH$1,INDIRECT("Table!A" &amp; $BJ15):INDIRECT("Table!" &amp; $BV$88 &amp; $BJ15),0)))))/1024</f>
        <v>161.88056640625001</v>
      </c>
      <c r="AI15" s="709">
        <f ca="1">IF(ISERROR(MATCH(AI$1,INDIRECT("Table!A"&amp;$BJ15):INDIRECT("Table!" &amp; $BV$88 &amp; $BJ15),0)),"",INDIRECT(CONCATENATE("Table!",ADDRESS($BN15,MATCH(AI$1,INDIRECT("Table!A" &amp; $BJ15):INDIRECT("Table!" &amp; $BV$88 &amp; $BJ15),0)))))/1024</f>
        <v>380.3759765625</v>
      </c>
      <c r="AJ15" s="709">
        <f ca="1">IF(ISERROR(MATCH(AJ$1,INDIRECT("Table!A"&amp;$BJ15):INDIRECT("Table!" &amp; $BV$88 &amp; $BJ15),0)),"",INDIRECT(CONCATENATE("Table!",ADDRESS($BN15,MATCH(AJ$1,INDIRECT("Table!A" &amp; $BJ15):INDIRECT("Table!" &amp; $BV$88 &amp; $BJ15),0)))))/1024</f>
        <v>167.94482421875</v>
      </c>
      <c r="AK15" s="709">
        <f ca="1">IF(ISERROR(MATCH(AK$1,INDIRECT("Table!A"&amp;$BJ15):INDIRECT("Table!" &amp; $BV$88 &amp; $BJ15),0)),"",INDIRECT(CONCATENATE("Table!",ADDRESS($BN15,MATCH(AK$1,INDIRECT("Table!A" &amp; $BJ15):INDIRECT("Table!" &amp; $BV$88 &amp; $BJ15),0)))))/1024</f>
        <v>162.18544921874999</v>
      </c>
      <c r="AL15" s="709">
        <f ca="1">IF(ISERROR(MATCH(AL$1,INDIRECT("Table!A"&amp;$BJ15):INDIRECT("Table!" &amp; $BV$88 &amp; $BJ15),0)),"",INDIRECT(CONCATENATE("Table!",ADDRESS($BN15,MATCH(AL$1,INDIRECT("Table!A" &amp; $BJ15):INDIRECT("Table!" &amp; $BV$88 &amp; $BJ15),0)))))/1024</f>
        <v>121.1125</v>
      </c>
      <c r="AM15" s="709">
        <f ca="1">IF(ISERROR(MATCH(AM$1,INDIRECT("Table!A"&amp;$BJ15):INDIRECT("Table!" &amp; $BV$88 &amp; $BJ15),0)),"",INDIRECT(CONCATENATE("Table!",ADDRESS($BN15,MATCH(AM$1,INDIRECT("Table!A" &amp; $BJ15):INDIRECT("Table!" &amp; $BV$88 &amp; $BJ15),0)))))/1024</f>
        <v>218.81953125000001</v>
      </c>
      <c r="AN15" s="709">
        <f ca="1">IF(ISERROR(MATCH(AN$1,INDIRECT("Table!A"&amp;$BJ15):INDIRECT("Table!" &amp; $BV$88 &amp; $BJ15),0)),"",INDIRECT(CONCATENATE("Table!",ADDRESS($BN15,MATCH(AN$1,INDIRECT("Table!A" &amp; $BJ15):INDIRECT("Table!" &amp; $BV$88 &amp; $BJ15),0)))))/1024</f>
        <v>188.50498046875001</v>
      </c>
      <c r="AO15" s="709">
        <f ca="1">IF(ISERROR(MATCH(AO$1,INDIRECT("Table!A"&amp;$BJ15):INDIRECT("Table!" &amp; $BV$88 &amp; $BJ15),0)),"",INDIRECT(CONCATENATE("Table!",ADDRESS($BN15,MATCH(AO$1,INDIRECT("Table!A" &amp; $BJ15):INDIRECT("Table!" &amp; $BV$88 &amp; $BJ15),0)))))/1024</f>
        <v>427.94912109375002</v>
      </c>
      <c r="AP15" s="709">
        <f ca="1">IF(ISERROR(MATCH(AP$1,INDIRECT("Table!A"&amp;$BJ15):INDIRECT("Table!" &amp; $BV$88 &amp; $BJ15),0)),"",INDIRECT(CONCATENATE("Table!",ADDRESS($BN15,MATCH(AP$1,INDIRECT("Table!A" &amp; $BJ15):INDIRECT("Table!" &amp; $BV$88 &amp; $BJ15),0)))))/1024</f>
        <v>81.092578125000003</v>
      </c>
      <c r="AQ15" s="709">
        <f ca="1">IF(ISERROR(MATCH(AQ$1,INDIRECT("Table!A"&amp;$BJ15):INDIRECT("Table!" &amp; $BV$88 &amp; $BJ15),0)),"",INDIRECT(CONCATENATE("Table!",ADDRESS($BN15,MATCH(AQ$1,INDIRECT("Table!A" &amp; $BJ15):INDIRECT("Table!" &amp; $BV$88 &amp; $BJ15),0)))))/1024</f>
        <v>269.65859375000002</v>
      </c>
      <c r="AR15" s="709">
        <f ca="1">IF(ISERROR(MATCH(AR$1,INDIRECT("Table!A"&amp;$BJ15):INDIRECT("Table!" &amp; $BV$88 &amp; $BJ15),0)),"",INDIRECT(CONCATENATE("Table!",ADDRESS($BN15,MATCH(AR$1,INDIRECT("Table!A" &amp; $BJ15):INDIRECT("Table!" &amp; $BV$88 &amp; $BJ15),0)))))/1024</f>
        <v>81.092578125000003</v>
      </c>
      <c r="AS15" s="709">
        <f ca="1">IF(ISERROR(MATCH(AS$1,INDIRECT("Table!A"&amp;$BJ15):INDIRECT("Table!" &amp; $BV$88 &amp; $BJ15),0)),"",INDIRECT(CONCATENATE("Table!",ADDRESS($BN15,MATCH(AS$1,INDIRECT("Table!A" &amp; $BJ15):INDIRECT("Table!" &amp; $BV$88 &amp; $BJ15),0)))))/1024</f>
        <v>187.12714843750001</v>
      </c>
      <c r="AT15" s="709">
        <f ca="1">IF(ISERROR(MATCH(AT$1,INDIRECT("Table!A"&amp;$BJ15):INDIRECT("Table!" &amp; $BV$88 &amp; $BJ15),0)),"",INDIRECT(CONCATENATE("Table!",ADDRESS($BN15,MATCH(AT$1,INDIRECT("Table!A" &amp; $BJ15):INDIRECT("Table!" &amp; $BV$88 &amp; $BJ15),0)))))/1024</f>
        <v>218.81953125000001</v>
      </c>
      <c r="AU15" s="709">
        <f ca="1">IF(ISERROR(MATCH(AU$1,INDIRECT("Table!A"&amp;$BJ15):INDIRECT("Table!" &amp; $BV$88 &amp; $BJ15),0)),"",INDIRECT(CONCATENATE("Table!",ADDRESS($BN15,MATCH(AU$1,INDIRECT("Table!A" &amp; $BJ15):INDIRECT("Table!" &amp; $BV$88 &amp; $BJ15),0)))))/1024</f>
        <v>53.8583984375</v>
      </c>
      <c r="AV15" s="709">
        <f ca="1">IF(ISERROR(MATCH(AV$1,INDIRECT("Table!A"&amp;$BJ15):INDIRECT("Table!" &amp; $BV$88 &amp; $BJ15),0)),"",INDIRECT(CONCATENATE("Table!",ADDRESS($BN15,MATCH(AV$1,INDIRECT("Table!A" &amp; $BJ15):INDIRECT("Table!" &amp; $BV$88 &amp; $BJ15),0)))))/1024</f>
        <v>32.31494140625</v>
      </c>
      <c r="AW15" s="709">
        <f ca="1">IF(ISERROR(MATCH(AW$1,INDIRECT("Table!A"&amp;$BJ15):INDIRECT("Table!" &amp; $BV$88 &amp; $BJ15),0)),"",INDIRECT(CONCATENATE("Table!",ADDRESS($BN15,MATCH(AW$1,INDIRECT("Table!A" &amp; $BJ15):INDIRECT("Table!" &amp; $BV$88 &amp; $BJ15),0)))))/1024</f>
        <v>99.80126953125</v>
      </c>
      <c r="AX15" s="709">
        <f ca="1">IF(ISERROR(MATCH(AX$1,INDIRECT("Table!A"&amp;$BJ15):INDIRECT("Table!" &amp; $BV$88 &amp; $BJ15),0)),"",INDIRECT(CONCATENATE("Table!",ADDRESS($BN15,MATCH(AX$1,INDIRECT("Table!A" &amp; $BJ15):INDIRECT("Table!" &amp; $BV$88 &amp; $BJ15),0)))))/1024</f>
        <v>204.58642578125</v>
      </c>
      <c r="AY15" s="909"/>
      <c r="AZ15" s="909"/>
      <c r="BA15" s="909"/>
      <c r="BB15" s="909"/>
      <c r="BC15" s="909"/>
      <c r="BD15" s="909"/>
      <c r="BE15" s="909"/>
      <c r="BF15" s="704">
        <f>MATCH($A15,Table!$A:$A,0)+$BH$2-1</f>
        <v>173</v>
      </c>
      <c r="BG15" s="744"/>
      <c r="BH15" s="744"/>
      <c r="BI15" s="744"/>
      <c r="BJ15" s="717">
        <f>MATCH($A15,Table!$A:$A,0)+$BL$2-1</f>
        <v>171</v>
      </c>
      <c r="BK15" s="744"/>
      <c r="BL15" s="744"/>
      <c r="BM15" s="744"/>
      <c r="BN15" s="704">
        <f>MATCH($A15,Table!$A:$A,0)+$BP$2-1</f>
        <v>172</v>
      </c>
      <c r="BO15" s="744"/>
      <c r="BP15" s="744"/>
      <c r="BQ15" s="744"/>
      <c r="BR15" s="717">
        <f>MATCH($A15,Table!$A:$A,0)+$BL$2-1</f>
        <v>171</v>
      </c>
      <c r="BS15" s="744"/>
      <c r="BT15" s="744"/>
      <c r="BU15" s="744"/>
      <c r="BV15" s="711" t="s">
        <v>284</v>
      </c>
      <c r="BW15" s="712">
        <f t="shared" ca="1" si="12"/>
        <v>3772.9941406249995</v>
      </c>
      <c r="BX15" s="712">
        <f t="shared" ca="1" si="0"/>
        <v>1920.9896484375001</v>
      </c>
      <c r="BY15" s="712">
        <f t="shared" ref="BY15" ca="1" si="40">BW15-BX15</f>
        <v>1852.0044921874994</v>
      </c>
      <c r="BZ15" s="718">
        <f t="shared" ref="BZ15" ca="1" si="41">BX15/BW15</f>
        <v>0.50914196440264992</v>
      </c>
      <c r="CA15" s="712">
        <f ca="1">SUMIF('Alloc Feed'!A:A,A:A,'Alloc Feed'!I:I)</f>
        <v>3330.2781386718748</v>
      </c>
      <c r="CB15" s="718">
        <f t="shared" ca="1" si="39"/>
        <v>0.88266188988043626</v>
      </c>
    </row>
    <row r="16" spans="1:80" s="743" customFormat="1" x14ac:dyDescent="0.25">
      <c r="A16" s="703">
        <v>41725</v>
      </c>
      <c r="B16" s="709">
        <f ca="1">IF(ISERROR(MATCH(B$1,INDIRECT("Table!A"&amp;$BJ16):INDIRECT("Table!" &amp; $BV$88 &amp; $BJ16),0)),"",INDIRECT(CONCATENATE("Table!",ADDRESS($BF16,MATCH(B$1,INDIRECT("Table!A" &amp; $BJ16):INDIRECT("Table!" &amp; $BV$88 &amp; $BJ16),0)))))/1024</f>
        <v>101.59218749999999</v>
      </c>
      <c r="C16" s="709">
        <f ca="1">IF(ISERROR(MATCH(C$1,INDIRECT("Table!A"&amp;$BJ16):INDIRECT("Table!" &amp; $BV$88 &amp; $BJ16),0)),"",INDIRECT(CONCATENATE("Table!",ADDRESS($BF16,MATCH(C$1,INDIRECT("Table!A" &amp; $BJ16):INDIRECT("Table!" &amp; $BV$88 &amp; $BJ16),0)))))/1024</f>
        <v>81.294042968750006</v>
      </c>
      <c r="D16" s="709">
        <f ca="1">IF(ISERROR(MATCH(D$1,INDIRECT("Table!A"&amp;$BJ16):INDIRECT("Table!" &amp; $BV$88 &amp; $BJ16),0)),"",INDIRECT(CONCATENATE("Table!",ADDRESS($BF16,MATCH(D$1,INDIRECT("Table!A" &amp; $BJ16):INDIRECT("Table!" &amp; $BV$88 &amp; $BJ16),0)))))/1024</f>
        <v>82.604589843750006</v>
      </c>
      <c r="E16" s="709">
        <f ca="1">IF(ISERROR(MATCH(E$1,INDIRECT("Table!A"&amp;$BJ16):INDIRECT("Table!" &amp; $BV$88 &amp; $BJ16),0)),"",INDIRECT(CONCATENATE("Table!",ADDRESS($BF16,MATCH(E$1,INDIRECT("Table!A" &amp; $BJ16):INDIRECT("Table!" &amp; $BV$88 &amp; $BJ16),0)))))/1024</f>
        <v>146.44570312499999</v>
      </c>
      <c r="F16" s="709">
        <f ca="1">IF(ISERROR(MATCH(F$1,INDIRECT("Table!A"&amp;$BJ16):INDIRECT("Table!" &amp; $BV$88 &amp; $BJ16),0)),"",INDIRECT(CONCATENATE("Table!",ADDRESS($BF16,MATCH(F$1,INDIRECT("Table!A" &amp; $BJ16):INDIRECT("Table!" &amp; $BV$88 &amp; $BJ16),0)))))/1024</f>
        <v>111.87558593750001</v>
      </c>
      <c r="G16" s="709">
        <f ca="1">IF(ISERROR(MATCH(G$1,INDIRECT("Table!A"&amp;$BJ16):INDIRECT("Table!" &amp; $BV$88 &amp; $BJ16),0)),"",INDIRECT(CONCATENATE("Table!",ADDRESS($BF16,MATCH(G$1,INDIRECT("Table!A" &amp; $BJ16):INDIRECT("Table!" &amp; $BV$88 &amp; $BJ16),0)))))/1024</f>
        <v>200.751953125</v>
      </c>
      <c r="H16" s="709">
        <f ca="1">IF(ISERROR(MATCH(H$1,INDIRECT("Table!A"&amp;$BJ16):INDIRECT("Table!" &amp; $BV$88 &amp; $BJ16),0)),"",INDIRECT(CONCATENATE("Table!",ADDRESS($BF16,MATCH(H$1,INDIRECT("Table!A" &amp; $BJ16):INDIRECT("Table!" &amp; $BV$88 &amp; $BJ16),0)))))/1024</f>
        <v>117.17031249999999</v>
      </c>
      <c r="I16" s="709">
        <f ca="1">IF(ISERROR(MATCH(I$1,INDIRECT("Table!A"&amp;$BJ16):INDIRECT("Table!" &amp; $BV$88 &amp; $BJ16),0)),"",INDIRECT(CONCATENATE("Table!",ADDRESS($BF16,MATCH(I$1,INDIRECT("Table!A" &amp; $BJ16):INDIRECT("Table!" &amp; $BV$88 &amp; $BJ16),0)))))/1024</f>
        <v>21.793164062500001</v>
      </c>
      <c r="J16" s="709">
        <f ca="1">IF(ISERROR(MATCH(J$1,INDIRECT("Table!A"&amp;$BJ16):INDIRECT("Table!" &amp; $BV$88 &amp; $BJ16),0)),"",INDIRECT(CONCATENATE("Table!",ADDRESS($BF16,MATCH(J$1,INDIRECT("Table!A" &amp; $BJ16):INDIRECT("Table!" &amp; $BV$88 &amp; $BJ16),0)))))/1024</f>
        <v>73.8017578125</v>
      </c>
      <c r="K16" s="709">
        <f ca="1">IF(ISERROR(MATCH(K$1,INDIRECT("Table!A"&amp;$BJ16):INDIRECT("Table!" &amp; $BV$88 &amp; $BJ16),0)),"",INDIRECT(CONCATENATE("Table!",ADDRESS($BF16,MATCH(K$1,INDIRECT("Table!A" &amp; $BJ16):INDIRECT("Table!" &amp; $BV$88 &amp; $BJ16),0)))))/1024</f>
        <v>30.833886718750001</v>
      </c>
      <c r="L16" s="709">
        <f ca="1">IF(ISERROR(MATCH(L$1,INDIRECT("Table!A"&amp;$BJ16):INDIRECT("Table!" &amp; $BV$88 &amp; $BJ16),0)),"",INDIRECT(CONCATENATE("Table!",ADDRESS($BF16,MATCH(L$1,INDIRECT("Table!A" &amp; $BJ16):INDIRECT("Table!" &amp; $BV$88 &amp; $BJ16),0)))))/1024</f>
        <v>154.52978515625</v>
      </c>
      <c r="M16" s="709">
        <f ca="1">IF(ISERROR(MATCH(M$1,INDIRECT("Table!A"&amp;$BJ16):INDIRECT("Table!" &amp; $BV$88 &amp; $BJ16),0)),"",INDIRECT(CONCATENATE("Table!",ADDRESS($BF16,MATCH(M$1,INDIRECT("Table!A" &amp; $BJ16):INDIRECT("Table!" &amp; $BV$88 &amp; $BJ16),0)))))/1024</f>
        <v>198.68447265624999</v>
      </c>
      <c r="N16" s="709">
        <f ca="1">IF(ISERROR(MATCH(N$1,INDIRECT("Table!A"&amp;$BJ16):INDIRECT("Table!" &amp; $BV$88 &amp; $BJ16),0)),"",INDIRECT(CONCATENATE("Table!",ADDRESS($BF16,MATCH(N$1,INDIRECT("Table!A" &amp; $BJ16):INDIRECT("Table!" &amp; $BV$88 &amp; $BJ16),0)))))/1024</f>
        <v>57.9677734375</v>
      </c>
      <c r="O16" s="709">
        <f ca="1">IF(ISERROR(MATCH(O$1,INDIRECT("Table!A"&amp;$BJ16):INDIRECT("Table!" &amp; $BV$88 &amp; $BJ16),0)),"",INDIRECT(CONCATENATE("Table!",ADDRESS($BF16,MATCH(O$1,INDIRECT("Table!A" &amp; $BJ16):INDIRECT("Table!" &amp; $BV$88 &amp; $BJ16),0)))))/1024</f>
        <v>215.91884765624999</v>
      </c>
      <c r="P16" s="709">
        <f ca="1">IF(ISERROR(MATCH(P$1,INDIRECT("Table!A"&amp;$BJ16):INDIRECT("Table!" &amp; $BV$88 &amp; $BJ16),0)),"",INDIRECT(CONCATENATE("Table!",ADDRESS($BF16,MATCH(P$1,INDIRECT("Table!A" &amp; $BJ16):INDIRECT("Table!" &amp; $BV$88 &amp; $BJ16),0)))))/1024</f>
        <v>42.105761718750003</v>
      </c>
      <c r="Q16" s="709">
        <f ca="1">IF(ISERROR(MATCH(Q$1,INDIRECT("Table!A"&amp;$BJ16):INDIRECT("Table!" &amp; $BV$88 &amp; $BJ16),0)),"",INDIRECT(CONCATENATE("Table!",ADDRESS($BF16,MATCH(Q$1,INDIRECT("Table!A" &amp; $BJ16):INDIRECT("Table!" &amp; $BV$88 &amp; $BJ16),0)))))/1024</f>
        <v>112.81865234375</v>
      </c>
      <c r="R16" s="709">
        <f ca="1">IF(ISERROR(MATCH(R$1,INDIRECT("Table!A"&amp;$BJ16):INDIRECT("Table!" &amp; $BV$88 &amp; $BJ16),0)),"",INDIRECT(CONCATENATE("Table!",ADDRESS($BF16,MATCH(R$1,INDIRECT("Table!A" &amp; $BJ16):INDIRECT("Table!" &amp; $BV$88 &amp; $BJ16),0)))))/1024</f>
        <v>117.219921875</v>
      </c>
      <c r="S16" s="709">
        <f ca="1">IF(ISERROR(MATCH(S$1,INDIRECT("Table!A"&amp;$BJ16):INDIRECT("Table!" &amp; $BV$43 &amp; $BJ16),0)),"",INDIRECT(CONCATENATE("Table!",ADDRESS($BF16,MATCH(S$1,INDIRECT("Table!A" &amp; $BJ16):INDIRECT("Table!" &amp; $BV$43 &amp; $BJ16),0)))))/1024</f>
        <v>13.76572265625</v>
      </c>
      <c r="T16" s="709">
        <f ca="1">IF(ISERROR(MATCH(T$1,INDIRECT("Table!A"&amp;$BJ16):INDIRECT("Table!" &amp; $BV$43 &amp; $BJ16),0)),"",INDIRECT(CONCATENATE("Table!",ADDRESS($BF16,MATCH(T$1,INDIRECT("Table!A" &amp; $BJ16):INDIRECT("Table!" &amp; $BV$43 &amp; $BJ16),0)))))/1024</f>
        <v>7.14794921875</v>
      </c>
      <c r="U16" s="709">
        <f ca="1">IF(ISERROR(MATCH(U$1,INDIRECT("Table!A"&amp;$BJ16):INDIRECT("Table!" &amp; $BV$43 &amp; $BJ16),0)),"",INDIRECT(CONCATENATE("Table!",ADDRESS($BF16,MATCH(U$1,INDIRECT("Table!A" &amp; $BJ16):INDIRECT("Table!" &amp; $BV$43 &amp; $BJ16),0)))))/1024</f>
        <v>6.1315429687499998</v>
      </c>
      <c r="V16" s="709">
        <f ca="1">IF(ISERROR(MATCH(V$1,INDIRECT("Table!A"&amp;$BJ16):INDIRECT("Table!" &amp; $BV$43 &amp; $BJ16),0)),"",INDIRECT(CONCATENATE("Table!",ADDRESS($BF16,MATCH(V$1,INDIRECT("Table!A" &amp; $BJ16):INDIRECT("Table!" &amp; $BV$43 &amp; $BJ16),0)))))/1024</f>
        <v>12.262988281249999</v>
      </c>
      <c r="W16" s="909"/>
      <c r="X16" s="909"/>
      <c r="Y16" s="909"/>
      <c r="Z16" s="909"/>
      <c r="AA16" s="909"/>
      <c r="AB16" s="909"/>
      <c r="AC16" s="709" t="str">
        <f ca="1">IF(ISERROR(MATCH(AC$1,INDIRECT("Table!A"&amp;$BJ16):INDIRECT("Table!" &amp; $BV$88 &amp; $BJ16),0)),"",INDIRECT(CONCATENATE("Table!",ADDRESS($BF16,MATCH(AC$1,INDIRECT("Table!A" &amp; $BJ16):INDIRECT("Table!" &amp; $BV$88 &amp; $BJ16),0)))))</f>
        <v/>
      </c>
      <c r="AD16" s="709">
        <f ca="1">IF(ISERROR(MATCH(AD$1,INDIRECT("Table!A"&amp;$BJ16):INDIRECT("Table!" &amp; $BV$88 &amp; $BJ16),0)),"",INDIRECT(CONCATENATE("Table!",ADDRESS($BN16,MATCH(AD$1,INDIRECT("Table!A" &amp; $BJ16):INDIRECT("Table!" &amp; $BV$88 &amp; $BJ16),0)))))/1024</f>
        <v>244.15859374999999</v>
      </c>
      <c r="AE16" s="709">
        <f ca="1">IF(ISERROR(MATCH(AE$1,INDIRECT("Table!A"&amp;$BJ16):INDIRECT("Table!" &amp; $BV$88 &amp; $BJ16),0)),"",INDIRECT(CONCATENATE("Table!",ADDRESS($BN16,MATCH(AE$1,INDIRECT("Table!A" &amp; $BJ16):INDIRECT("Table!" &amp; $BV$88 &amp; $BJ16),0)))))/1024</f>
        <v>146.98896484375001</v>
      </c>
      <c r="AF16" s="709">
        <f ca="1">IF(ISERROR(MATCH(AF$1,INDIRECT("Table!A"&amp;$BJ16):INDIRECT("Table!" &amp; $BV$88 &amp; $BJ16),0)),"",INDIRECT(CONCATENATE("Table!",ADDRESS($BN16,MATCH(AF$1,INDIRECT("Table!A" &amp; $BJ16):INDIRECT("Table!" &amp; $BV$88 &amp; $BJ16),0)))))/1024</f>
        <v>146.98896484375001</v>
      </c>
      <c r="AG16" s="709">
        <f ca="1">IF(ISERROR(MATCH(AG$1,INDIRECT("Table!A"&amp;$BJ16):INDIRECT("Table!" &amp; $BV$88 &amp; $BJ16),0)),"",INDIRECT(CONCATENATE("Table!",ADDRESS($BN16,MATCH(AG$1,INDIRECT("Table!A" &amp; $BJ16):INDIRECT("Table!" &amp; $BV$88 &amp; $BJ16),0)))))/1024</f>
        <v>177.73320312499999</v>
      </c>
      <c r="AH16" s="709">
        <f ca="1">IF(ISERROR(MATCH(AH$1,INDIRECT("Table!A"&amp;$BJ16):INDIRECT("Table!" &amp; $BV$88 &amp; $BJ16),0)),"",INDIRECT(CONCATENATE("Table!",ADDRESS($BN16,MATCH(AH$1,INDIRECT("Table!A" &amp; $BJ16):INDIRECT("Table!" &amp; $BV$88 &amp; $BJ16),0)))))/1024</f>
        <v>161.88056640625001</v>
      </c>
      <c r="AI16" s="709">
        <f ca="1">IF(ISERROR(MATCH(AI$1,INDIRECT("Table!A"&amp;$BJ16):INDIRECT("Table!" &amp; $BV$88 &amp; $BJ16),0)),"",INDIRECT(CONCATENATE("Table!",ADDRESS($BN16,MATCH(AI$1,INDIRECT("Table!A" &amp; $BJ16):INDIRECT("Table!" &amp; $BV$88 &amp; $BJ16),0)))))/1024</f>
        <v>380.3759765625</v>
      </c>
      <c r="AJ16" s="709">
        <f ca="1">IF(ISERROR(MATCH(AJ$1,INDIRECT("Table!A"&amp;$BJ16):INDIRECT("Table!" &amp; $BV$88 &amp; $BJ16),0)),"",INDIRECT(CONCATENATE("Table!",ADDRESS($BN16,MATCH(AJ$1,INDIRECT("Table!A" &amp; $BJ16):INDIRECT("Table!" &amp; $BV$88 &amp; $BJ16),0)))))/1024</f>
        <v>167.94482421875</v>
      </c>
      <c r="AK16" s="709">
        <f ca="1">IF(ISERROR(MATCH(AK$1,INDIRECT("Table!A"&amp;$BJ16):INDIRECT("Table!" &amp; $BV$88 &amp; $BJ16),0)),"",INDIRECT(CONCATENATE("Table!",ADDRESS($BN16,MATCH(AK$1,INDIRECT("Table!A" &amp; $BJ16):INDIRECT("Table!" &amp; $BV$88 &amp; $BJ16),0)))))/1024</f>
        <v>162.18544921874999</v>
      </c>
      <c r="AL16" s="709">
        <f ca="1">IF(ISERROR(MATCH(AL$1,INDIRECT("Table!A"&amp;$BJ16):INDIRECT("Table!" &amp; $BV$88 &amp; $BJ16),0)),"",INDIRECT(CONCATENATE("Table!",ADDRESS($BN16,MATCH(AL$1,INDIRECT("Table!A" &amp; $BJ16):INDIRECT("Table!" &amp; $BV$88 &amp; $BJ16),0)))))/1024</f>
        <v>121.1125</v>
      </c>
      <c r="AM16" s="709">
        <f ca="1">IF(ISERROR(MATCH(AM$1,INDIRECT("Table!A"&amp;$BJ16):INDIRECT("Table!" &amp; $BV$88 &amp; $BJ16),0)),"",INDIRECT(CONCATENATE("Table!",ADDRESS($BN16,MATCH(AM$1,INDIRECT("Table!A" &amp; $BJ16):INDIRECT("Table!" &amp; $BV$88 &amp; $BJ16),0)))))/1024</f>
        <v>218.81953125000001</v>
      </c>
      <c r="AN16" s="709">
        <f ca="1">IF(ISERROR(MATCH(AN$1,INDIRECT("Table!A"&amp;$BJ16):INDIRECT("Table!" &amp; $BV$88 &amp; $BJ16),0)),"",INDIRECT(CONCATENATE("Table!",ADDRESS($BN16,MATCH(AN$1,INDIRECT("Table!A" &amp; $BJ16):INDIRECT("Table!" &amp; $BV$88 &amp; $BJ16),0)))))/1024</f>
        <v>188.50498046875001</v>
      </c>
      <c r="AO16" s="709">
        <f ca="1">IF(ISERROR(MATCH(AO$1,INDIRECT("Table!A"&amp;$BJ16):INDIRECT("Table!" &amp; $BV$88 &amp; $BJ16),0)),"",INDIRECT(CONCATENATE("Table!",ADDRESS($BN16,MATCH(AO$1,INDIRECT("Table!A" &amp; $BJ16):INDIRECT("Table!" &amp; $BV$88 &amp; $BJ16),0)))))/1024</f>
        <v>427.94912109375002</v>
      </c>
      <c r="AP16" s="709">
        <f ca="1">IF(ISERROR(MATCH(AP$1,INDIRECT("Table!A"&amp;$BJ16):INDIRECT("Table!" &amp; $BV$88 &amp; $BJ16),0)),"",INDIRECT(CONCATENATE("Table!",ADDRESS($BN16,MATCH(AP$1,INDIRECT("Table!A" &amp; $BJ16):INDIRECT("Table!" &amp; $BV$88 &amp; $BJ16),0)))))/1024</f>
        <v>81.092578125000003</v>
      </c>
      <c r="AQ16" s="709">
        <f ca="1">IF(ISERROR(MATCH(AQ$1,INDIRECT("Table!A"&amp;$BJ16):INDIRECT("Table!" &amp; $BV$88 &amp; $BJ16),0)),"",INDIRECT(CONCATENATE("Table!",ADDRESS($BN16,MATCH(AQ$1,INDIRECT("Table!A" &amp; $BJ16):INDIRECT("Table!" &amp; $BV$88 &amp; $BJ16),0)))))/1024</f>
        <v>269.65859375000002</v>
      </c>
      <c r="AR16" s="709">
        <f ca="1">IF(ISERROR(MATCH(AR$1,INDIRECT("Table!A"&amp;$BJ16):INDIRECT("Table!" &amp; $BV$88 &amp; $BJ16),0)),"",INDIRECT(CONCATENATE("Table!",ADDRESS($BN16,MATCH(AR$1,INDIRECT("Table!A" &amp; $BJ16):INDIRECT("Table!" &amp; $BV$88 &amp; $BJ16),0)))))/1024</f>
        <v>81.092578125000003</v>
      </c>
      <c r="AS16" s="709">
        <f ca="1">IF(ISERROR(MATCH(AS$1,INDIRECT("Table!A"&amp;$BJ16):INDIRECT("Table!" &amp; $BV$88 &amp; $BJ16),0)),"",INDIRECT(CONCATENATE("Table!",ADDRESS($BN16,MATCH(AS$1,INDIRECT("Table!A" &amp; $BJ16):INDIRECT("Table!" &amp; $BV$88 &amp; $BJ16),0)))))/1024</f>
        <v>187.12714843750001</v>
      </c>
      <c r="AT16" s="709">
        <f ca="1">IF(ISERROR(MATCH(AT$1,INDIRECT("Table!A"&amp;$BJ16):INDIRECT("Table!" &amp; $BV$88 &amp; $BJ16),0)),"",INDIRECT(CONCATENATE("Table!",ADDRESS($BN16,MATCH(AT$1,INDIRECT("Table!A" &amp; $BJ16):INDIRECT("Table!" &amp; $BV$88 &amp; $BJ16),0)))))/1024</f>
        <v>218.81953125000001</v>
      </c>
      <c r="AU16" s="709">
        <f ca="1">IF(ISERROR(MATCH(AU$1,INDIRECT("Table!A"&amp;$BJ16):INDIRECT("Table!" &amp; $BV$88 &amp; $BJ16),0)),"",INDIRECT(CONCATENATE("Table!",ADDRESS($BN16,MATCH(AU$1,INDIRECT("Table!A" &amp; $BJ16):INDIRECT("Table!" &amp; $BV$88 &amp; $BJ16),0)))))/1024</f>
        <v>53.8583984375</v>
      </c>
      <c r="AV16" s="709">
        <f ca="1">IF(ISERROR(MATCH(AV$1,INDIRECT("Table!A"&amp;$BJ16):INDIRECT("Table!" &amp; $BV$88 &amp; $BJ16),0)),"",INDIRECT(CONCATENATE("Table!",ADDRESS($BN16,MATCH(AV$1,INDIRECT("Table!A" &amp; $BJ16):INDIRECT("Table!" &amp; $BV$88 &amp; $BJ16),0)))))/1024</f>
        <v>32.31494140625</v>
      </c>
      <c r="AW16" s="709">
        <f ca="1">IF(ISERROR(MATCH(AW$1,INDIRECT("Table!A"&amp;$BJ16):INDIRECT("Table!" &amp; $BV$88 &amp; $BJ16),0)),"",INDIRECT(CONCATENATE("Table!",ADDRESS($BN16,MATCH(AW$1,INDIRECT("Table!A" &amp; $BJ16):INDIRECT("Table!" &amp; $BV$88 &amp; $BJ16),0)))))/1024</f>
        <v>99.80126953125</v>
      </c>
      <c r="AX16" s="709">
        <f ca="1">IF(ISERROR(MATCH(AX$1,INDIRECT("Table!A"&amp;$BJ16):INDIRECT("Table!" &amp; $BV$88 &amp; $BJ16),0)),"",INDIRECT(CONCATENATE("Table!",ADDRESS($BN16,MATCH(AX$1,INDIRECT("Table!A" &amp; $BJ16):INDIRECT("Table!" &amp; $BV$88 &amp; $BJ16),0)))))/1024</f>
        <v>204.58642578125</v>
      </c>
      <c r="AY16" s="909"/>
      <c r="AZ16" s="909"/>
      <c r="BA16" s="909"/>
      <c r="BB16" s="909"/>
      <c r="BC16" s="909"/>
      <c r="BD16" s="909"/>
      <c r="BE16" s="909"/>
      <c r="BF16" s="704">
        <f>MATCH($A16,Table!$A:$A,0)+$BH$2-1</f>
        <v>187</v>
      </c>
      <c r="BG16" s="744"/>
      <c r="BH16" s="744"/>
      <c r="BI16" s="744"/>
      <c r="BJ16" s="717">
        <f>MATCH($A16,Table!$A:$A,0)+$BL$2-1</f>
        <v>185</v>
      </c>
      <c r="BK16" s="744"/>
      <c r="BL16" s="744"/>
      <c r="BM16" s="744"/>
      <c r="BN16" s="704">
        <f>MATCH($A16,Table!$A:$A,0)+$BP$2-1</f>
        <v>186</v>
      </c>
      <c r="BO16" s="744"/>
      <c r="BP16" s="744"/>
      <c r="BQ16" s="744"/>
      <c r="BR16" s="717">
        <f>MATCH($A16,Table!$A:$A,0)+$BL$2-1</f>
        <v>185</v>
      </c>
      <c r="BS16" s="744"/>
      <c r="BT16" s="744"/>
      <c r="BU16" s="744"/>
      <c r="BV16" s="711" t="s">
        <v>284</v>
      </c>
      <c r="BW16" s="712">
        <f t="shared" ca="1" si="12"/>
        <v>3772.9941406249995</v>
      </c>
      <c r="BX16" s="712">
        <f t="shared" ca="1" si="0"/>
        <v>1906.7166015625</v>
      </c>
      <c r="BY16" s="712">
        <f t="shared" ca="1" si="37"/>
        <v>1866.2775390624995</v>
      </c>
      <c r="BZ16" s="718">
        <f t="shared" ca="1" si="38"/>
        <v>0.50535901474966272</v>
      </c>
      <c r="CA16" s="712">
        <f ca="1">SUMIF('Alloc Feed'!A:A,A:A,'Alloc Feed'!I:I)</f>
        <v>3330.2781386718748</v>
      </c>
      <c r="CB16" s="718">
        <f t="shared" ca="1" si="39"/>
        <v>0.88266188988043626</v>
      </c>
    </row>
    <row r="17" spans="1:80" s="743" customFormat="1" x14ac:dyDescent="0.25">
      <c r="A17" s="703">
        <v>41709</v>
      </c>
      <c r="B17" s="709">
        <f ca="1">IF(ISERROR(MATCH(B$1,INDIRECT("Table!A"&amp;$BJ17):INDIRECT("Table!" &amp; $BV$88 &amp; $BJ17),0)),"",INDIRECT(CONCATENATE("Table!",ADDRESS($BF17,MATCH(B$1,INDIRECT("Table!A" &amp; $BJ17):INDIRECT("Table!" &amp; $BV$88 &amp; $BJ17),0)))))/1024</f>
        <v>98.920605468749997</v>
      </c>
      <c r="C17" s="709">
        <f ca="1">IF(ISERROR(MATCH(C$1,INDIRECT("Table!A"&amp;$BJ17):INDIRECT("Table!" &amp; $BV$88 &amp; $BJ17),0)),"",INDIRECT(CONCATENATE("Table!",ADDRESS($BF17,MATCH(C$1,INDIRECT("Table!A" &amp; $BJ17):INDIRECT("Table!" &amp; $BV$88 &amp; $BJ17),0)))))/1024</f>
        <v>81.162011718749994</v>
      </c>
      <c r="D17" s="709">
        <f ca="1">IF(ISERROR(MATCH(D$1,INDIRECT("Table!A"&amp;$BJ17):INDIRECT("Table!" &amp; $BV$88 &amp; $BJ17),0)),"",INDIRECT(CONCATENATE("Table!",ADDRESS($BF17,MATCH(D$1,INDIRECT("Table!A" &amp; $BJ17):INDIRECT("Table!" &amp; $BV$88 &amp; $BJ17),0)))))/1024</f>
        <v>82.472753906250006</v>
      </c>
      <c r="E17" s="709">
        <f ca="1">IF(ISERROR(MATCH(E$1,INDIRECT("Table!A"&amp;$BJ17):INDIRECT("Table!" &amp; $BV$88 &amp; $BJ17),0)),"",INDIRECT(CONCATENATE("Table!",ADDRESS($BF17,MATCH(E$1,INDIRECT("Table!A" &amp; $BJ17):INDIRECT("Table!" &amp; $BV$88 &amp; $BJ17),0)))))/1024</f>
        <v>143.61767578125</v>
      </c>
      <c r="F17" s="709">
        <f ca="1">IF(ISERROR(MATCH(F$1,INDIRECT("Table!A"&amp;$BJ17):INDIRECT("Table!" &amp; $BV$88 &amp; $BJ17),0)),"",INDIRECT(CONCATENATE("Table!",ADDRESS($BF17,MATCH(F$1,INDIRECT("Table!A" &amp; $BJ17):INDIRECT("Table!" &amp; $BV$88 &amp; $BJ17),0)))))/1024</f>
        <v>111.87607421875001</v>
      </c>
      <c r="G17" s="709">
        <f ca="1">IF(ISERROR(MATCH(G$1,INDIRECT("Table!A"&amp;$BJ17):INDIRECT("Table!" &amp; $BV$88 &amp; $BJ17),0)),"",INDIRECT(CONCATENATE("Table!",ADDRESS($BF17,MATCH(G$1,INDIRECT("Table!A" &amp; $BJ17):INDIRECT("Table!" &amp; $BV$88 &amp; $BJ17),0)))))/1024</f>
        <v>198.34580078125001</v>
      </c>
      <c r="H17" s="709">
        <f ca="1">IF(ISERROR(MATCH(H$1,INDIRECT("Table!A"&amp;$BJ17):INDIRECT("Table!" &amp; $BV$88 &amp; $BJ17),0)),"",INDIRECT(CONCATENATE("Table!",ADDRESS($BF17,MATCH(H$1,INDIRECT("Table!A" &amp; $BJ17):INDIRECT("Table!" &amp; $BV$88 &amp; $BJ17),0)))))/1024</f>
        <v>115.678515625</v>
      </c>
      <c r="I17" s="709">
        <f ca="1">IF(ISERROR(MATCH(I$1,INDIRECT("Table!A"&amp;$BJ17):INDIRECT("Table!" &amp; $BV$88 &amp; $BJ17),0)),"",INDIRECT(CONCATENATE("Table!",ADDRESS($BF17,MATCH(I$1,INDIRECT("Table!A" &amp; $BJ17):INDIRECT("Table!" &amp; $BV$88 &amp; $BJ17),0)))))/1024</f>
        <v>20.66943359375</v>
      </c>
      <c r="J17" s="709">
        <f ca="1">IF(ISERROR(MATCH(J$1,INDIRECT("Table!A"&amp;$BJ17):INDIRECT("Table!" &amp; $BV$88 &amp; $BJ17),0)),"",INDIRECT(CONCATENATE("Table!",ADDRESS($BF17,MATCH(J$1,INDIRECT("Table!A" &amp; $BJ17):INDIRECT("Table!" &amp; $BV$88 &amp; $BJ17),0)))))/1024</f>
        <v>63.880273437500001</v>
      </c>
      <c r="K17" s="709">
        <f ca="1">IF(ISERROR(MATCH(K$1,INDIRECT("Table!A"&amp;$BJ17):INDIRECT("Table!" &amp; $BV$88 &amp; $BJ17),0)),"",INDIRECT(CONCATENATE("Table!",ADDRESS($BF17,MATCH(K$1,INDIRECT("Table!A" &amp; $BJ17):INDIRECT("Table!" &amp; $BV$88 &amp; $BJ17),0)))))/1024</f>
        <v>25.176367187499999</v>
      </c>
      <c r="L17" s="709">
        <f ca="1">IF(ISERROR(MATCH(L$1,INDIRECT("Table!A"&amp;$BJ17):INDIRECT("Table!" &amp; $BV$88 &amp; $BJ17),0)),"",INDIRECT(CONCATENATE("Table!",ADDRESS($BF17,MATCH(L$1,INDIRECT("Table!A" &amp; $BJ17):INDIRECT("Table!" &amp; $BV$88 &amp; $BJ17),0)))))/1024</f>
        <v>152.73935546875001</v>
      </c>
      <c r="M17" s="709">
        <f ca="1">IF(ISERROR(MATCH(M$1,INDIRECT("Table!A"&amp;$BJ17):INDIRECT("Table!" &amp; $BV$88 &amp; $BJ17),0)),"",INDIRECT(CONCATENATE("Table!",ADDRESS($BF17,MATCH(M$1,INDIRECT("Table!A" &amp; $BJ17):INDIRECT("Table!" &amp; $BV$88 &amp; $BJ17),0)))))/1024</f>
        <v>197.25283203124999</v>
      </c>
      <c r="N17" s="709">
        <f ca="1">IF(ISERROR(MATCH(N$1,INDIRECT("Table!A"&amp;$BJ17):INDIRECT("Table!" &amp; $BV$88 &amp; $BJ17),0)),"",INDIRECT(CONCATENATE("Table!",ADDRESS($BF17,MATCH(N$1,INDIRECT("Table!A" &amp; $BJ17):INDIRECT("Table!" &amp; $BV$88 &amp; $BJ17),0)))))/1024</f>
        <v>57.7646484375</v>
      </c>
      <c r="O17" s="709">
        <f ca="1">IF(ISERROR(MATCH(O$1,INDIRECT("Table!A"&amp;$BJ17):INDIRECT("Table!" &amp; $BV$88 &amp; $BJ17),0)),"",INDIRECT(CONCATENATE("Table!",ADDRESS($BF17,MATCH(O$1,INDIRECT("Table!A" &amp; $BJ17):INDIRECT("Table!" &amp; $BV$88 &amp; $BJ17),0)))))/1024</f>
        <v>213.25019531250001</v>
      </c>
      <c r="P17" s="709">
        <f ca="1">IF(ISERROR(MATCH(P$1,INDIRECT("Table!A"&amp;$BJ17):INDIRECT("Table!" &amp; $BV$88 &amp; $BJ17),0)),"",INDIRECT(CONCATENATE("Table!",ADDRESS($BF17,MATCH(P$1,INDIRECT("Table!A" &amp; $BJ17):INDIRECT("Table!" &amp; $BV$88 &amp; $BJ17),0)))))/1024</f>
        <v>39.866894531249997</v>
      </c>
      <c r="Q17" s="709">
        <f ca="1">IF(ISERROR(MATCH(Q$1,INDIRECT("Table!A"&amp;$BJ17):INDIRECT("Table!" &amp; $BV$88 &amp; $BJ17),0)),"",INDIRECT(CONCATENATE("Table!",ADDRESS($BF17,MATCH(Q$1,INDIRECT("Table!A" &amp; $BJ17):INDIRECT("Table!" &amp; $BV$88 &amp; $BJ17),0)))))/1024</f>
        <v>104.95761718750001</v>
      </c>
      <c r="R17" s="709">
        <f ca="1">IF(ISERROR(MATCH(R$1,INDIRECT("Table!A"&amp;$BJ17):INDIRECT("Table!" &amp; $BV$88 &amp; $BJ17),0)),"",INDIRECT(CONCATENATE("Table!",ADDRESS($BF17,MATCH(R$1,INDIRECT("Table!A" &amp; $BJ17):INDIRECT("Table!" &amp; $BV$88 &amp; $BJ17),0)))))/1024</f>
        <v>112.92685546875001</v>
      </c>
      <c r="S17" s="709">
        <f ca="1">IF(ISERROR(MATCH(S$1,INDIRECT("Table!A"&amp;$BJ17):INDIRECT("Table!" &amp; $BV$43 &amp; $BJ17),0)),"",INDIRECT(CONCATENATE("Table!",ADDRESS($BF17,MATCH(S$1,INDIRECT("Table!A" &amp; $BJ17):INDIRECT("Table!" &amp; $BV$43 &amp; $BJ17),0)))))/1024</f>
        <v>13.76572265625</v>
      </c>
      <c r="T17" s="709">
        <f ca="1">IF(ISERROR(MATCH(T$1,INDIRECT("Table!A"&amp;$BJ17):INDIRECT("Table!" &amp; $BV$43 &amp; $BJ17),0)),"",INDIRECT(CONCATENATE("Table!",ADDRESS($BF17,MATCH(T$1,INDIRECT("Table!A" &amp; $BJ17):INDIRECT("Table!" &amp; $BV$43 &amp; $BJ17),0)))))/1024</f>
        <v>7.14794921875</v>
      </c>
      <c r="U17" s="709">
        <f ca="1">IF(ISERROR(MATCH(U$1,INDIRECT("Table!A"&amp;$BJ17):INDIRECT("Table!" &amp; $BV$43 &amp; $BJ17),0)),"",INDIRECT(CONCATENATE("Table!",ADDRESS($BF17,MATCH(U$1,INDIRECT("Table!A" &amp; $BJ17):INDIRECT("Table!" &amp; $BV$43 &amp; $BJ17),0)))))/1024</f>
        <v>3.1356445312500001</v>
      </c>
      <c r="V17" s="709">
        <f ca="1">IF(ISERROR(MATCH(V$1,INDIRECT("Table!A"&amp;$BJ17):INDIRECT("Table!" &amp; $BV$43 &amp; $BJ17),0)),"",INDIRECT(CONCATENATE("Table!",ADDRESS($BF17,MATCH(V$1,INDIRECT("Table!A" &amp; $BJ17):INDIRECT("Table!" &amp; $BV$43 &amp; $BJ17),0)))))/1024</f>
        <v>6.2710937500000004</v>
      </c>
      <c r="W17" s="909"/>
      <c r="X17" s="909"/>
      <c r="Y17" s="909"/>
      <c r="Z17" s="909"/>
      <c r="AA17" s="909"/>
      <c r="AB17" s="909"/>
      <c r="AC17" s="709" t="str">
        <f ca="1">IF(ISERROR(MATCH(AC$1,INDIRECT("Table!A"&amp;$BJ17):INDIRECT("Table!" &amp; $BV$88 &amp; $BJ17),0)),"",INDIRECT(CONCATENATE("Table!",ADDRESS($BF17,MATCH(AC$1,INDIRECT("Table!A" &amp; $BJ17):INDIRECT("Table!" &amp; $BV$88 &amp; $BJ17),0)))))</f>
        <v/>
      </c>
      <c r="AD17" s="709">
        <f ca="1">IF(ISERROR(MATCH(AD$1,INDIRECT("Table!A"&amp;$BJ17):INDIRECT("Table!" &amp; $BV$88 &amp; $BJ17),0)),"",INDIRECT(CONCATENATE("Table!",ADDRESS($BN17,MATCH(AD$1,INDIRECT("Table!A" &amp; $BJ17):INDIRECT("Table!" &amp; $BV$88 &amp; $BJ17),0)))))/1024</f>
        <v>244.15859374999999</v>
      </c>
      <c r="AE17" s="709">
        <f ca="1">IF(ISERROR(MATCH(AE$1,INDIRECT("Table!A"&amp;$BJ17):INDIRECT("Table!" &amp; $BV$88 &amp; $BJ17),0)),"",INDIRECT(CONCATENATE("Table!",ADDRESS($BN17,MATCH(AE$1,INDIRECT("Table!A" &amp; $BJ17):INDIRECT("Table!" &amp; $BV$88 &amp; $BJ17),0)))))/1024</f>
        <v>146.98896484375001</v>
      </c>
      <c r="AF17" s="709">
        <f ca="1">IF(ISERROR(MATCH(AF$1,INDIRECT("Table!A"&amp;$BJ17):INDIRECT("Table!" &amp; $BV$88 &amp; $BJ17),0)),"",INDIRECT(CONCATENATE("Table!",ADDRESS($BN17,MATCH(AF$1,INDIRECT("Table!A" &amp; $BJ17):INDIRECT("Table!" &amp; $BV$88 &amp; $BJ17),0)))))/1024</f>
        <v>146.98896484375001</v>
      </c>
      <c r="AG17" s="709">
        <f ca="1">IF(ISERROR(MATCH(AG$1,INDIRECT("Table!A"&amp;$BJ17):INDIRECT("Table!" &amp; $BV$88 &amp; $BJ17),0)),"",INDIRECT(CONCATENATE("Table!",ADDRESS($BN17,MATCH(AG$1,INDIRECT("Table!A" &amp; $BJ17):INDIRECT("Table!" &amp; $BV$88 &amp; $BJ17),0)))))/1024</f>
        <v>177.73320312499999</v>
      </c>
      <c r="AH17" s="709">
        <f ca="1">IF(ISERROR(MATCH(AH$1,INDIRECT("Table!A"&amp;$BJ17):INDIRECT("Table!" &amp; $BV$88 &amp; $BJ17),0)),"",INDIRECT(CONCATENATE("Table!",ADDRESS($BN17,MATCH(AH$1,INDIRECT("Table!A" &amp; $BJ17):INDIRECT("Table!" &amp; $BV$88 &amp; $BJ17),0)))))/1024</f>
        <v>161.88056640625001</v>
      </c>
      <c r="AI17" s="709">
        <f ca="1">IF(ISERROR(MATCH(AI$1,INDIRECT("Table!A"&amp;$BJ17):INDIRECT("Table!" &amp; $BV$88 &amp; $BJ17),0)),"",INDIRECT(CONCATENATE("Table!",ADDRESS($BN17,MATCH(AI$1,INDIRECT("Table!A" &amp; $BJ17):INDIRECT("Table!" &amp; $BV$88 &amp; $BJ17),0)))))/1024</f>
        <v>380.3759765625</v>
      </c>
      <c r="AJ17" s="709">
        <f ca="1">IF(ISERROR(MATCH(AJ$1,INDIRECT("Table!A"&amp;$BJ17):INDIRECT("Table!" &amp; $BV$88 &amp; $BJ17),0)),"",INDIRECT(CONCATENATE("Table!",ADDRESS($BN17,MATCH(AJ$1,INDIRECT("Table!A" &amp; $BJ17):INDIRECT("Table!" &amp; $BV$88 &amp; $BJ17),0)))))/1024</f>
        <v>167.94482421875</v>
      </c>
      <c r="AK17" s="709">
        <f ca="1">IF(ISERROR(MATCH(AK$1,INDIRECT("Table!A"&amp;$BJ17):INDIRECT("Table!" &amp; $BV$88 &amp; $BJ17),0)),"",INDIRECT(CONCATENATE("Table!",ADDRESS($BN17,MATCH(AK$1,INDIRECT("Table!A" &amp; $BJ17):INDIRECT("Table!" &amp; $BV$88 &amp; $BJ17),0)))))/1024</f>
        <v>162.18544921874999</v>
      </c>
      <c r="AL17" s="709">
        <f ca="1">IF(ISERROR(MATCH(AL$1,INDIRECT("Table!A"&amp;$BJ17):INDIRECT("Table!" &amp; $BV$88 &amp; $BJ17),0)),"",INDIRECT(CONCATENATE("Table!",ADDRESS($BN17,MATCH(AL$1,INDIRECT("Table!A" &amp; $BJ17):INDIRECT("Table!" &amp; $BV$88 &amp; $BJ17),0)))))/1024</f>
        <v>121.1125</v>
      </c>
      <c r="AM17" s="709">
        <f ca="1">IF(ISERROR(MATCH(AM$1,INDIRECT("Table!A"&amp;$BJ17):INDIRECT("Table!" &amp; $BV$88 &amp; $BJ17),0)),"",INDIRECT(CONCATENATE("Table!",ADDRESS($BN17,MATCH(AM$1,INDIRECT("Table!A" &amp; $BJ17):INDIRECT("Table!" &amp; $BV$88 &amp; $BJ17),0)))))/1024</f>
        <v>218.81953125000001</v>
      </c>
      <c r="AN17" s="709">
        <f ca="1">IF(ISERROR(MATCH(AN$1,INDIRECT("Table!A"&amp;$BJ17):INDIRECT("Table!" &amp; $BV$88 &amp; $BJ17),0)),"",INDIRECT(CONCATENATE("Table!",ADDRESS($BN17,MATCH(AN$1,INDIRECT("Table!A" &amp; $BJ17):INDIRECT("Table!" &amp; $BV$88 &amp; $BJ17),0)))))/1024</f>
        <v>188.50498046875001</v>
      </c>
      <c r="AO17" s="709">
        <f ca="1">IF(ISERROR(MATCH(AO$1,INDIRECT("Table!A"&amp;$BJ17):INDIRECT("Table!" &amp; $BV$88 &amp; $BJ17),0)),"",INDIRECT(CONCATENATE("Table!",ADDRESS($BN17,MATCH(AO$1,INDIRECT("Table!A" &amp; $BJ17):INDIRECT("Table!" &amp; $BV$88 &amp; $BJ17),0)))))/1024</f>
        <v>427.94912109375002</v>
      </c>
      <c r="AP17" s="709">
        <f ca="1">IF(ISERROR(MATCH(AP$1,INDIRECT("Table!A"&amp;$BJ17):INDIRECT("Table!" &amp; $BV$88 &amp; $BJ17),0)),"",INDIRECT(CONCATENATE("Table!",ADDRESS($BN17,MATCH(AP$1,INDIRECT("Table!A" &amp; $BJ17):INDIRECT("Table!" &amp; $BV$88 &amp; $BJ17),0)))))/1024</f>
        <v>81.092578125000003</v>
      </c>
      <c r="AQ17" s="709">
        <f ca="1">IF(ISERROR(MATCH(AQ$1,INDIRECT("Table!A"&amp;$BJ17):INDIRECT("Table!" &amp; $BV$88 &amp; $BJ17),0)),"",INDIRECT(CONCATENATE("Table!",ADDRESS($BN17,MATCH(AQ$1,INDIRECT("Table!A" &amp; $BJ17):INDIRECT("Table!" &amp; $BV$88 &amp; $BJ17),0)))))/1024</f>
        <v>269.65859375000002</v>
      </c>
      <c r="AR17" s="709">
        <f ca="1">IF(ISERROR(MATCH(AR$1,INDIRECT("Table!A"&amp;$BJ17):INDIRECT("Table!" &amp; $BV$88 &amp; $BJ17),0)),"",INDIRECT(CONCATENATE("Table!",ADDRESS($BN17,MATCH(AR$1,INDIRECT("Table!A" &amp; $BJ17):INDIRECT("Table!" &amp; $BV$88 &amp; $BJ17),0)))))/1024</f>
        <v>81.092578125000003</v>
      </c>
      <c r="AS17" s="709">
        <f ca="1">IF(ISERROR(MATCH(AS$1,INDIRECT("Table!A"&amp;$BJ17):INDIRECT("Table!" &amp; $BV$88 &amp; $BJ17),0)),"",INDIRECT(CONCATENATE("Table!",ADDRESS($BN17,MATCH(AS$1,INDIRECT("Table!A" &amp; $BJ17):INDIRECT("Table!" &amp; $BV$88 &amp; $BJ17),0)))))/1024</f>
        <v>187.12714843750001</v>
      </c>
      <c r="AT17" s="709">
        <f ca="1">IF(ISERROR(MATCH(AT$1,INDIRECT("Table!A"&amp;$BJ17):INDIRECT("Table!" &amp; $BV$88 &amp; $BJ17),0)),"",INDIRECT(CONCATENATE("Table!",ADDRESS($BN17,MATCH(AT$1,INDIRECT("Table!A" &amp; $BJ17):INDIRECT("Table!" &amp; $BV$88 &amp; $BJ17),0)))))/1024</f>
        <v>218.81953125000001</v>
      </c>
      <c r="AU17" s="709">
        <f ca="1">IF(ISERROR(MATCH(AU$1,INDIRECT("Table!A"&amp;$BJ17):INDIRECT("Table!" &amp; $BV$88 &amp; $BJ17),0)),"",INDIRECT(CONCATENATE("Table!",ADDRESS($BN17,MATCH(AU$1,INDIRECT("Table!A" &amp; $BJ17):INDIRECT("Table!" &amp; $BV$88 &amp; $BJ17),0)))))/1024</f>
        <v>53.8583984375</v>
      </c>
      <c r="AV17" s="709">
        <f ca="1">IF(ISERROR(MATCH(AV$1,INDIRECT("Table!A"&amp;$BJ17):INDIRECT("Table!" &amp; $BV$88 &amp; $BJ17),0)),"",INDIRECT(CONCATENATE("Table!",ADDRESS($BN17,MATCH(AV$1,INDIRECT("Table!A" &amp; $BJ17):INDIRECT("Table!" &amp; $BV$88 &amp; $BJ17),0)))))/1024</f>
        <v>32.31494140625</v>
      </c>
      <c r="AW17" s="709">
        <f ca="1">IF(ISERROR(MATCH(AW$1,INDIRECT("Table!A"&amp;$BJ17):INDIRECT("Table!" &amp; $BV$88 &amp; $BJ17),0)),"",INDIRECT(CONCATENATE("Table!",ADDRESS($BN17,MATCH(AW$1,INDIRECT("Table!A" &amp; $BJ17):INDIRECT("Table!" &amp; $BV$88 &amp; $BJ17),0)))))/1024</f>
        <v>99.80126953125</v>
      </c>
      <c r="AX17" s="709">
        <f ca="1">IF(ISERROR(MATCH(AX$1,INDIRECT("Table!A"&amp;$BJ17):INDIRECT("Table!" &amp; $BV$88 &amp; $BJ17),0)),"",INDIRECT(CONCATENATE("Table!",ADDRESS($BN17,MATCH(AX$1,INDIRECT("Table!A" &amp; $BJ17):INDIRECT("Table!" &amp; $BV$88 &amp; $BJ17),0)))))/1024</f>
        <v>204.58642578125</v>
      </c>
      <c r="AY17" s="909"/>
      <c r="AZ17" s="909"/>
      <c r="BA17" s="909"/>
      <c r="BB17" s="909"/>
      <c r="BC17" s="909"/>
      <c r="BD17" s="909"/>
      <c r="BE17" s="909"/>
      <c r="BF17" s="704">
        <f>MATCH($A17,Table!$A:$A,0)+$BH$2-1</f>
        <v>201</v>
      </c>
      <c r="BG17" s="744"/>
      <c r="BH17" s="744"/>
      <c r="BI17" s="744"/>
      <c r="BJ17" s="717">
        <f>MATCH($A17,Table!$A:$A,0)+$BL$2-1</f>
        <v>199</v>
      </c>
      <c r="BK17" s="744"/>
      <c r="BL17" s="744"/>
      <c r="BM17" s="744"/>
      <c r="BN17" s="704">
        <f>MATCH($A17,Table!$A:$A,0)+$BP$2-1</f>
        <v>200</v>
      </c>
      <c r="BO17" s="744"/>
      <c r="BP17" s="744"/>
      <c r="BQ17" s="744"/>
      <c r="BR17" s="717">
        <f>MATCH($A17,Table!$A:$A,0)+$BL$2-1</f>
        <v>199</v>
      </c>
      <c r="BS17" s="744"/>
      <c r="BT17" s="744"/>
      <c r="BU17" s="744"/>
      <c r="BV17" s="711" t="s">
        <v>284</v>
      </c>
      <c r="BW17" s="712">
        <f t="shared" ca="1" si="12"/>
        <v>3772.9941406249995</v>
      </c>
      <c r="BX17" s="712">
        <f t="shared" ca="1" si="0"/>
        <v>1850.8783203125001</v>
      </c>
      <c r="BY17" s="712">
        <f t="shared" ca="1" si="37"/>
        <v>1922.1158203124994</v>
      </c>
      <c r="BZ17" s="718">
        <f t="shared" ca="1" si="38"/>
        <v>0.49055955332225898</v>
      </c>
      <c r="CA17" s="712">
        <f ca="1">SUMIF('Alloc Feed'!A:A,A:A,'Alloc Feed'!I:I)</f>
        <v>3297.4501611328124</v>
      </c>
      <c r="CB17" s="718">
        <f t="shared" ca="1" si="39"/>
        <v>0.87396111370228291</v>
      </c>
    </row>
    <row r="18" spans="1:80" s="591" customFormat="1" x14ac:dyDescent="0.25">
      <c r="A18" s="703">
        <v>41704</v>
      </c>
      <c r="B18" s="709">
        <f ca="1">IF(ISERROR(MATCH(B$1,INDIRECT("Table!A"&amp;$BJ18):INDIRECT("Table!" &amp; $BV$88 &amp; $BJ18),0)),"",INDIRECT(CONCATENATE("Table!",ADDRESS($BF18,MATCH(B$1,INDIRECT("Table!A" &amp; $BJ18):INDIRECT("Table!" &amp; $BV$88 &amp; $BJ18),0)))))/1024</f>
        <v>98.359667968750003</v>
      </c>
      <c r="C18" s="709">
        <f ca="1">IF(ISERROR(MATCH(C$1,INDIRECT("Table!A"&amp;$BJ18):INDIRECT("Table!" &amp; $BV$88 &amp; $BJ18),0)),"",INDIRECT(CONCATENATE("Table!",ADDRESS($BF18,MATCH(C$1,INDIRECT("Table!A" &amp; $BJ18):INDIRECT("Table!" &amp; $BV$88 &amp; $BJ18),0)))))/1024</f>
        <v>80.8115234375</v>
      </c>
      <c r="D18" s="709">
        <f ca="1">IF(ISERROR(MATCH(D$1,INDIRECT("Table!A"&amp;$BJ18):INDIRECT("Table!" &amp; $BV$88 &amp; $BJ18),0)),"",INDIRECT(CONCATENATE("Table!",ADDRESS($BF18,MATCH(D$1,INDIRECT("Table!A" &amp; $BJ18):INDIRECT("Table!" &amp; $BV$88 &amp; $BJ18),0)))))/1024</f>
        <v>82.1220703125</v>
      </c>
      <c r="E18" s="709">
        <f ca="1">IF(ISERROR(MATCH(E$1,INDIRECT("Table!A"&amp;$BJ18):INDIRECT("Table!" &amp; $BV$88 &amp; $BJ18),0)),"",INDIRECT(CONCATENATE("Table!",ADDRESS($BF18,MATCH(E$1,INDIRECT("Table!A" &amp; $BJ18):INDIRECT("Table!" &amp; $BV$88 &amp; $BJ18),0)))))/1024</f>
        <v>153.16572265625001</v>
      </c>
      <c r="F18" s="709">
        <f ca="1">IF(ISERROR(MATCH(F$1,INDIRECT("Table!A"&amp;$BJ18):INDIRECT("Table!" &amp; $BV$88 &amp; $BJ18),0)),"",INDIRECT(CONCATENATE("Table!",ADDRESS($BF18,MATCH(F$1,INDIRECT("Table!A" &amp; $BJ18):INDIRECT("Table!" &amp; $BV$88 &amp; $BJ18),0)))))/1024</f>
        <v>111.580078125</v>
      </c>
      <c r="G18" s="709">
        <f ca="1">IF(ISERROR(MATCH(G$1,INDIRECT("Table!A"&amp;$BJ18):INDIRECT("Table!" &amp; $BV$88 &amp; $BJ18),0)),"",INDIRECT(CONCATENATE("Table!",ADDRESS($BF18,MATCH(G$1,INDIRECT("Table!A" &amp; $BJ18):INDIRECT("Table!" &amp; $BV$88 &amp; $BJ18),0)))))/1024</f>
        <v>197.80830078125001</v>
      </c>
      <c r="H18" s="709">
        <f ca="1">IF(ISERROR(MATCH(H$1,INDIRECT("Table!A"&amp;$BJ18):INDIRECT("Table!" &amp; $BV$88 &amp; $BJ18),0)),"",INDIRECT(CONCATENATE("Table!",ADDRESS($BF18,MATCH(H$1,INDIRECT("Table!A" &amp; $BJ18):INDIRECT("Table!" &amp; $BV$88 &amp; $BJ18),0)))))/1024</f>
        <v>115.51035156250001</v>
      </c>
      <c r="I18" s="709">
        <f ca="1">IF(ISERROR(MATCH(I$1,INDIRECT("Table!A"&amp;$BJ18):INDIRECT("Table!" &amp; $BV$88 &amp; $BJ18),0)),"",INDIRECT(CONCATENATE("Table!",ADDRESS($BF18,MATCH(I$1,INDIRECT("Table!A" &amp; $BJ18):INDIRECT("Table!" &amp; $BV$88 &amp; $BJ18),0)))))/1024</f>
        <v>19.685449218750001</v>
      </c>
      <c r="J18" s="709">
        <f ca="1">IF(ISERROR(MATCH(J$1,INDIRECT("Table!A"&amp;$BJ18):INDIRECT("Table!" &amp; $BV$88 &amp; $BJ18),0)),"",INDIRECT(CONCATENATE("Table!",ADDRESS($BF18,MATCH(J$1,INDIRECT("Table!A" &amp; $BJ18):INDIRECT("Table!" &amp; $BV$88 &amp; $BJ18),0)))))/1024</f>
        <v>63.6982421875</v>
      </c>
      <c r="K18" s="709">
        <f ca="1">IF(ISERROR(MATCH(K$1,INDIRECT("Table!A"&amp;$BJ18):INDIRECT("Table!" &amp; $BV$88 &amp; $BJ18),0)),"",INDIRECT(CONCATENATE("Table!",ADDRESS($BF18,MATCH(K$1,INDIRECT("Table!A" &amp; $BJ18):INDIRECT("Table!" &amp; $BV$88 &amp; $BJ18),0)))))/1024</f>
        <v>23.697070312499999</v>
      </c>
      <c r="L18" s="709">
        <f ca="1">IF(ISERROR(MATCH(L$1,INDIRECT("Table!A"&amp;$BJ18):INDIRECT("Table!" &amp; $BV$88 &amp; $BJ18),0)),"",INDIRECT(CONCATENATE("Table!",ADDRESS($BF18,MATCH(L$1,INDIRECT("Table!A" &amp; $BJ18):INDIRECT("Table!" &amp; $BV$88 &amp; $BJ18),0)))))/1024</f>
        <v>164.81494140625</v>
      </c>
      <c r="M18" s="709">
        <f ca="1">IF(ISERROR(MATCH(M$1,INDIRECT("Table!A"&amp;$BJ18):INDIRECT("Table!" &amp; $BV$88 &amp; $BJ18),0)),"",INDIRECT(CONCATENATE("Table!",ADDRESS($BF18,MATCH(M$1,INDIRECT("Table!A" &amp; $BJ18):INDIRECT("Table!" &amp; $BV$88 &amp; $BJ18),0)))))/1024</f>
        <v>195.720703125</v>
      </c>
      <c r="N18" s="709">
        <f ca="1">IF(ISERROR(MATCH(N$1,INDIRECT("Table!A"&amp;$BJ18):INDIRECT("Table!" &amp; $BV$88 &amp; $BJ18),0)),"",INDIRECT(CONCATENATE("Table!",ADDRESS($BF18,MATCH(N$1,INDIRECT("Table!A" &amp; $BJ18):INDIRECT("Table!" &amp; $BV$88 &amp; $BJ18),0)))))/1024</f>
        <v>57.601464843750001</v>
      </c>
      <c r="O18" s="709">
        <f ca="1">IF(ISERROR(MATCH(O$1,INDIRECT("Table!A"&amp;$BJ18):INDIRECT("Table!" &amp; $BV$88 &amp; $BJ18),0)),"",INDIRECT(CONCATENATE("Table!",ADDRESS($BF18,MATCH(O$1,INDIRECT("Table!A" &amp; $BJ18):INDIRECT("Table!" &amp; $BV$88 &amp; $BJ18),0)))))/1024</f>
        <v>212.91005859374999</v>
      </c>
      <c r="P18" s="709">
        <f ca="1">IF(ISERROR(MATCH(P$1,INDIRECT("Table!A"&amp;$BJ18):INDIRECT("Table!" &amp; $BV$88 &amp; $BJ18),0)),"",INDIRECT(CONCATENATE("Table!",ADDRESS($BF18,MATCH(P$1,INDIRECT("Table!A" &amp; $BJ18):INDIRECT("Table!" &amp; $BV$88 &amp; $BJ18),0)))))/1024</f>
        <v>37.909374999999997</v>
      </c>
      <c r="Q18" s="709">
        <f ca="1">IF(ISERROR(MATCH(Q$1,INDIRECT("Table!A"&amp;$BJ18):INDIRECT("Table!" &amp; $BV$88 &amp; $BJ18),0)),"",INDIRECT(CONCATENATE("Table!",ADDRESS($BF18,MATCH(Q$1,INDIRECT("Table!A" &amp; $BJ18):INDIRECT("Table!" &amp; $BV$88 &amp; $BJ18),0)))))/1024</f>
        <v>104.5927734375</v>
      </c>
      <c r="R18" s="709">
        <f ca="1">IF(ISERROR(MATCH(R$1,INDIRECT("Table!A"&amp;$BJ18):INDIRECT("Table!" &amp; $BV$88 &amp; $BJ18),0)),"",INDIRECT(CONCATENATE("Table!",ADDRESS($BF18,MATCH(R$1,INDIRECT("Table!A" &amp; $BJ18):INDIRECT("Table!" &amp; $BV$88 &amp; $BJ18),0)))))/1024</f>
        <v>109.4412109375</v>
      </c>
      <c r="S18" s="709">
        <f ca="1">IF(ISERROR(MATCH(S$1,INDIRECT("Table!A"&amp;$BJ18):INDIRECT("Table!" &amp; $BV$43 &amp; $BJ18),0)),"",INDIRECT(CONCATENATE("Table!",ADDRESS($BF18,MATCH(S$1,INDIRECT("Table!A" &amp; $BJ18):INDIRECT("Table!" &amp; $BV$43 &amp; $BJ18),0)))))/1024</f>
        <v>13.76572265625</v>
      </c>
      <c r="T18" s="709">
        <f ca="1">IF(ISERROR(MATCH(T$1,INDIRECT("Table!A"&amp;$BJ18):INDIRECT("Table!" &amp; $BV$43 &amp; $BJ18),0)),"",INDIRECT(CONCATENATE("Table!",ADDRESS($BF18,MATCH(T$1,INDIRECT("Table!A" &amp; $BJ18):INDIRECT("Table!" &amp; $BV$43 &amp; $BJ18),0)))))/1024</f>
        <v>7.14794921875</v>
      </c>
      <c r="U18" s="709">
        <f ca="1">IF(ISERROR(MATCH(U$1,INDIRECT("Table!A"&amp;$BJ18):INDIRECT("Table!" &amp; $BV$43 &amp; $BJ18),0)),"",INDIRECT(CONCATENATE("Table!",ADDRESS($BF18,MATCH(U$1,INDIRECT("Table!A" &amp; $BJ18):INDIRECT("Table!" &amp; $BV$43 &amp; $BJ18),0)))))/1024</f>
        <v>3.1247070312499998</v>
      </c>
      <c r="V18" s="709">
        <f ca="1">IF(ISERROR(MATCH(V$1,INDIRECT("Table!A"&amp;$BJ18):INDIRECT("Table!" &amp; $BV$43 &amp; $BJ18),0)),"",INDIRECT(CONCATENATE("Table!",ADDRESS($BF18,MATCH(V$1,INDIRECT("Table!A" &amp; $BJ18):INDIRECT("Table!" &amp; $BV$43 &amp; $BJ18),0)))))/1024</f>
        <v>6.2493164062500002</v>
      </c>
      <c r="W18" s="909"/>
      <c r="X18" s="909"/>
      <c r="Y18" s="909"/>
      <c r="Z18" s="909"/>
      <c r="AA18" s="909"/>
      <c r="AB18" s="909"/>
      <c r="AC18" s="709" t="str">
        <f ca="1">IF(ISERROR(MATCH(AC$1,INDIRECT("Table!A"&amp;$BJ18):INDIRECT("Table!" &amp; $BV$88 &amp; $BJ18),0)),"",INDIRECT(CONCATENATE("Table!",ADDRESS($BF18,MATCH(AC$1,INDIRECT("Table!A" &amp; $BJ18):INDIRECT("Table!" &amp; $BV$88 &amp; $BJ18),0)))))</f>
        <v/>
      </c>
      <c r="AD18" s="709">
        <f ca="1">IF(ISERROR(MATCH(AD$1,INDIRECT("Table!A"&amp;$BJ18):INDIRECT("Table!" &amp; $BV$88 &amp; $BJ18),0)),"",INDIRECT(CONCATENATE("Table!",ADDRESS($BN18,MATCH(AD$1,INDIRECT("Table!A" &amp; $BJ18):INDIRECT("Table!" &amp; $BV$88 &amp; $BJ18),0)))))/1024</f>
        <v>244.15859374999999</v>
      </c>
      <c r="AE18" s="709">
        <f ca="1">IF(ISERROR(MATCH(AE$1,INDIRECT("Table!A"&amp;$BJ18):INDIRECT("Table!" &amp; $BV$88 &amp; $BJ18),0)),"",INDIRECT(CONCATENATE("Table!",ADDRESS($BN18,MATCH(AE$1,INDIRECT("Table!A" &amp; $BJ18):INDIRECT("Table!" &amp; $BV$88 &amp; $BJ18),0)))))/1024</f>
        <v>146.98896484375001</v>
      </c>
      <c r="AF18" s="709">
        <f ca="1">IF(ISERROR(MATCH(AF$1,INDIRECT("Table!A"&amp;$BJ18):INDIRECT("Table!" &amp; $BV$88 &amp; $BJ18),0)),"",INDIRECT(CONCATENATE("Table!",ADDRESS($BN18,MATCH(AF$1,INDIRECT("Table!A" &amp; $BJ18):INDIRECT("Table!" &amp; $BV$88 &amp; $BJ18),0)))))/1024</f>
        <v>146.98896484375001</v>
      </c>
      <c r="AG18" s="709">
        <f ca="1">IF(ISERROR(MATCH(AG$1,INDIRECT("Table!A"&amp;$BJ18):INDIRECT("Table!" &amp; $BV$88 &amp; $BJ18),0)),"",INDIRECT(CONCATENATE("Table!",ADDRESS($BN18,MATCH(AG$1,INDIRECT("Table!A" &amp; $BJ18):INDIRECT("Table!" &amp; $BV$88 &amp; $BJ18),0)))))/1024</f>
        <v>177.73320312499999</v>
      </c>
      <c r="AH18" s="709">
        <f ca="1">IF(ISERROR(MATCH(AH$1,INDIRECT("Table!A"&amp;$BJ18):INDIRECT("Table!" &amp; $BV$88 &amp; $BJ18),0)),"",INDIRECT(CONCATENATE("Table!",ADDRESS($BN18,MATCH(AH$1,INDIRECT("Table!A" &amp; $BJ18):INDIRECT("Table!" &amp; $BV$88 &amp; $BJ18),0)))))/1024</f>
        <v>161.88056640625001</v>
      </c>
      <c r="AI18" s="709">
        <f ca="1">IF(ISERROR(MATCH(AI$1,INDIRECT("Table!A"&amp;$BJ18):INDIRECT("Table!" &amp; $BV$88 &amp; $BJ18),0)),"",INDIRECT(CONCATENATE("Table!",ADDRESS($BN18,MATCH(AI$1,INDIRECT("Table!A" &amp; $BJ18):INDIRECT("Table!" &amp; $BV$88 &amp; $BJ18),0)))))/1024</f>
        <v>380.3759765625</v>
      </c>
      <c r="AJ18" s="709">
        <f ca="1">IF(ISERROR(MATCH(AJ$1,INDIRECT("Table!A"&amp;$BJ18):INDIRECT("Table!" &amp; $BV$88 &amp; $BJ18),0)),"",INDIRECT(CONCATENATE("Table!",ADDRESS($BN18,MATCH(AJ$1,INDIRECT("Table!A" &amp; $BJ18):INDIRECT("Table!" &amp; $BV$88 &amp; $BJ18),0)))))/1024</f>
        <v>167.94482421875</v>
      </c>
      <c r="AK18" s="709">
        <f ca="1">IF(ISERROR(MATCH(AK$1,INDIRECT("Table!A"&amp;$BJ18):INDIRECT("Table!" &amp; $BV$88 &amp; $BJ18),0)),"",INDIRECT(CONCATENATE("Table!",ADDRESS($BN18,MATCH(AK$1,INDIRECT("Table!A" &amp; $BJ18):INDIRECT("Table!" &amp; $BV$88 &amp; $BJ18),0)))))/1024</f>
        <v>162.18544921874999</v>
      </c>
      <c r="AL18" s="709">
        <f ca="1">IF(ISERROR(MATCH(AL$1,INDIRECT("Table!A"&amp;$BJ18):INDIRECT("Table!" &amp; $BV$88 &amp; $BJ18),0)),"",INDIRECT(CONCATENATE("Table!",ADDRESS($BN18,MATCH(AL$1,INDIRECT("Table!A" &amp; $BJ18):INDIRECT("Table!" &amp; $BV$88 &amp; $BJ18),0)))))/1024</f>
        <v>121.1125</v>
      </c>
      <c r="AM18" s="709">
        <f ca="1">IF(ISERROR(MATCH(AM$1,INDIRECT("Table!A"&amp;$BJ18):INDIRECT("Table!" &amp; $BV$88 &amp; $BJ18),0)),"",INDIRECT(CONCATENATE("Table!",ADDRESS($BN18,MATCH(AM$1,INDIRECT("Table!A" &amp; $BJ18):INDIRECT("Table!" &amp; $BV$88 &amp; $BJ18),0)))))/1024</f>
        <v>218.81953125000001</v>
      </c>
      <c r="AN18" s="709">
        <f ca="1">IF(ISERROR(MATCH(AN$1,INDIRECT("Table!A"&amp;$BJ18):INDIRECT("Table!" &amp; $BV$88 &amp; $BJ18),0)),"",INDIRECT(CONCATENATE("Table!",ADDRESS($BN18,MATCH(AN$1,INDIRECT("Table!A" &amp; $BJ18):INDIRECT("Table!" &amp; $BV$88 &amp; $BJ18),0)))))/1024</f>
        <v>188.50498046875001</v>
      </c>
      <c r="AO18" s="709">
        <f ca="1">IF(ISERROR(MATCH(AO$1,INDIRECT("Table!A"&amp;$BJ18):INDIRECT("Table!" &amp; $BV$88 &amp; $BJ18),0)),"",INDIRECT(CONCATENATE("Table!",ADDRESS($BN18,MATCH(AO$1,INDIRECT("Table!A" &amp; $BJ18):INDIRECT("Table!" &amp; $BV$88 &amp; $BJ18),0)))))/1024</f>
        <v>427.94912109375002</v>
      </c>
      <c r="AP18" s="709">
        <f ca="1">IF(ISERROR(MATCH(AP$1,INDIRECT("Table!A"&amp;$BJ18):INDIRECT("Table!" &amp; $BV$88 &amp; $BJ18),0)),"",INDIRECT(CONCATENATE("Table!",ADDRESS($BN18,MATCH(AP$1,INDIRECT("Table!A" &amp; $BJ18):INDIRECT("Table!" &amp; $BV$88 &amp; $BJ18),0)))))/1024</f>
        <v>81.092578125000003</v>
      </c>
      <c r="AQ18" s="709">
        <f ca="1">IF(ISERROR(MATCH(AQ$1,INDIRECT("Table!A"&amp;$BJ18):INDIRECT("Table!" &amp; $BV$88 &amp; $BJ18),0)),"",INDIRECT(CONCATENATE("Table!",ADDRESS($BN18,MATCH(AQ$1,INDIRECT("Table!A" &amp; $BJ18):INDIRECT("Table!" &amp; $BV$88 &amp; $BJ18),0)))))/1024</f>
        <v>269.65859375000002</v>
      </c>
      <c r="AR18" s="709">
        <f ca="1">IF(ISERROR(MATCH(AR$1,INDIRECT("Table!A"&amp;$BJ18):INDIRECT("Table!" &amp; $BV$88 &amp; $BJ18),0)),"",INDIRECT(CONCATENATE("Table!",ADDRESS($BN18,MATCH(AR$1,INDIRECT("Table!A" &amp; $BJ18):INDIRECT("Table!" &amp; $BV$88 &amp; $BJ18),0)))))/1024</f>
        <v>81.092578125000003</v>
      </c>
      <c r="AS18" s="709">
        <f ca="1">IF(ISERROR(MATCH(AS$1,INDIRECT("Table!A"&amp;$BJ18):INDIRECT("Table!" &amp; $BV$88 &amp; $BJ18),0)),"",INDIRECT(CONCATENATE("Table!",ADDRESS($BN18,MATCH(AS$1,INDIRECT("Table!A" &amp; $BJ18):INDIRECT("Table!" &amp; $BV$88 &amp; $BJ18),0)))))/1024</f>
        <v>187.12714843750001</v>
      </c>
      <c r="AT18" s="709">
        <f ca="1">IF(ISERROR(MATCH(AT$1,INDIRECT("Table!A"&amp;$BJ18):INDIRECT("Table!" &amp; $BV$88 &amp; $BJ18),0)),"",INDIRECT(CONCATENATE("Table!",ADDRESS($BN18,MATCH(AT$1,INDIRECT("Table!A" &amp; $BJ18):INDIRECT("Table!" &amp; $BV$88 &amp; $BJ18),0)))))/1024</f>
        <v>218.81953125000001</v>
      </c>
      <c r="AU18" s="709">
        <f ca="1">IF(ISERROR(MATCH(AU$1,INDIRECT("Table!A"&amp;$BJ18):INDIRECT("Table!" &amp; $BV$88 &amp; $BJ18),0)),"",INDIRECT(CONCATENATE("Table!",ADDRESS($BN18,MATCH(AU$1,INDIRECT("Table!A" &amp; $BJ18):INDIRECT("Table!" &amp; $BV$88 &amp; $BJ18),0)))))/1024</f>
        <v>53.8583984375</v>
      </c>
      <c r="AV18" s="709">
        <f ca="1">IF(ISERROR(MATCH(AV$1,INDIRECT("Table!A"&amp;$BJ18):INDIRECT("Table!" &amp; $BV$88 &amp; $BJ18),0)),"",INDIRECT(CONCATENATE("Table!",ADDRESS($BN18,MATCH(AV$1,INDIRECT("Table!A" &amp; $BJ18):INDIRECT("Table!" &amp; $BV$88 &amp; $BJ18),0)))))/1024</f>
        <v>32.31494140625</v>
      </c>
      <c r="AW18" s="709">
        <f ca="1">IF(ISERROR(MATCH(AW$1,INDIRECT("Table!A"&amp;$BJ18):INDIRECT("Table!" &amp; $BV$88 &amp; $BJ18),0)),"",INDIRECT(CONCATENATE("Table!",ADDRESS($BN18,MATCH(AW$1,INDIRECT("Table!A" &amp; $BJ18):INDIRECT("Table!" &amp; $BV$88 &amp; $BJ18),0)))))/1024</f>
        <v>99.80126953125</v>
      </c>
      <c r="AX18" s="709">
        <f ca="1">IF(ISERROR(MATCH(AX$1,INDIRECT("Table!A"&amp;$BJ18):INDIRECT("Table!" &amp; $BV$88 &amp; $BJ18),0)),"",INDIRECT(CONCATENATE("Table!",ADDRESS($BN18,MATCH(AX$1,INDIRECT("Table!A" &amp; $BJ18):INDIRECT("Table!" &amp; $BV$88 &amp; $BJ18),0)))))/1024</f>
        <v>204.58642578125</v>
      </c>
      <c r="AY18" s="909"/>
      <c r="AZ18" s="909"/>
      <c r="BA18" s="909"/>
      <c r="BB18" s="909"/>
      <c r="BC18" s="909"/>
      <c r="BD18" s="909"/>
      <c r="BE18" s="909"/>
      <c r="BF18" s="704">
        <f>MATCH($A18,Table!$A:$A,0)+$BH$2-1</f>
        <v>215</v>
      </c>
      <c r="BG18" s="705"/>
      <c r="BH18" s="705"/>
      <c r="BI18" s="705"/>
      <c r="BJ18" s="717">
        <f>MATCH($A18,Table!$A:$A,0)+$BL$2-1</f>
        <v>213</v>
      </c>
      <c r="BK18" s="705"/>
      <c r="BL18" s="705"/>
      <c r="BM18" s="705"/>
      <c r="BN18" s="704">
        <f>MATCH($A18,Table!$A:$A,0)+$BP$2-1</f>
        <v>214</v>
      </c>
      <c r="BO18" s="705"/>
      <c r="BP18" s="705"/>
      <c r="BQ18" s="705"/>
      <c r="BR18" s="717">
        <f>MATCH($A18,Table!$A:$A,0)+$BL$2-1</f>
        <v>213</v>
      </c>
      <c r="BS18" s="705"/>
      <c r="BT18" s="705"/>
      <c r="BU18" s="705"/>
      <c r="BV18" s="711" t="s">
        <v>284</v>
      </c>
      <c r="BW18" s="712">
        <f t="shared" ca="1" si="12"/>
        <v>3772.9941406249995</v>
      </c>
      <c r="BX18" s="712">
        <f t="shared" ca="1" si="0"/>
        <v>1859.7166992187499</v>
      </c>
      <c r="BY18" s="712">
        <f t="shared" ca="1" si="37"/>
        <v>1913.2774414062496</v>
      </c>
      <c r="BZ18" s="718">
        <f t="shared" ca="1" si="38"/>
        <v>0.49290209046300992</v>
      </c>
      <c r="CA18" s="712">
        <f ca="1">SUMIF('Alloc Feed'!A:A,A:A,'Alloc Feed'!I:I)</f>
        <v>3289.0867646484371</v>
      </c>
      <c r="CB18" s="718">
        <f t="shared" ca="1" si="39"/>
        <v>0.8717444666117603</v>
      </c>
    </row>
    <row r="19" spans="1:80" s="591" customFormat="1" x14ac:dyDescent="0.25">
      <c r="A19" s="703">
        <v>41703</v>
      </c>
      <c r="B19" s="709">
        <f ca="1">IF(ISERROR(MATCH(B$1,INDIRECT("Table!A"&amp;$BJ19):INDIRECT("Table!" &amp; $BV$88 &amp; $BJ19),0)),"",INDIRECT(CONCATENATE("Table!",ADDRESS($BF19,MATCH(B$1,INDIRECT("Table!A" &amp; $BJ19):INDIRECT("Table!" &amp; $BV$88 &amp; $BJ19),0)))))/1024</f>
        <v>98.325976562500003</v>
      </c>
      <c r="C19" s="709">
        <f ca="1">IF(ISERROR(MATCH(C$1,INDIRECT("Table!A"&amp;$BJ19):INDIRECT("Table!" &amp; $BV$88 &amp; $BJ19),0)),"",INDIRECT(CONCATENATE("Table!",ADDRESS($BF19,MATCH(C$1,INDIRECT("Table!A" &amp; $BJ19):INDIRECT("Table!" &amp; $BV$88 &amp; $BJ19),0)))))/1024</f>
        <v>80.810351562500003</v>
      </c>
      <c r="D19" s="709">
        <f ca="1">IF(ISERROR(MATCH(D$1,INDIRECT("Table!A"&amp;$BJ19):INDIRECT("Table!" &amp; $BV$88 &amp; $BJ19),0)),"",INDIRECT(CONCATENATE("Table!",ADDRESS($BF19,MATCH(D$1,INDIRECT("Table!A" &amp; $BJ19):INDIRECT("Table!" &amp; $BV$88 &amp; $BJ19),0)))))/1024</f>
        <v>82.120996093749994</v>
      </c>
      <c r="E19" s="709">
        <f ca="1">IF(ISERROR(MATCH(E$1,INDIRECT("Table!A"&amp;$BJ19):INDIRECT("Table!" &amp; $BV$88 &amp; $BJ19),0)),"",INDIRECT(CONCATENATE("Table!",ADDRESS($BF19,MATCH(E$1,INDIRECT("Table!A" &amp; $BJ19):INDIRECT("Table!" &amp; $BV$88 &amp; $BJ19),0)))))/1024</f>
        <v>153.13261718749999</v>
      </c>
      <c r="F19" s="709">
        <f ca="1">IF(ISERROR(MATCH(F$1,INDIRECT("Table!A"&amp;$BJ19):INDIRECT("Table!" &amp; $BV$88 &amp; $BJ19),0)),"",INDIRECT(CONCATENATE("Table!",ADDRESS($BF19,MATCH(F$1,INDIRECT("Table!A" &amp; $BJ19):INDIRECT("Table!" &amp; $BV$88 &amp; $BJ19),0)))))/1024</f>
        <v>111.35419921875</v>
      </c>
      <c r="G19" s="709">
        <f ca="1">IF(ISERROR(MATCH(G$1,INDIRECT("Table!A"&amp;$BJ19):INDIRECT("Table!" &amp; $BV$88 &amp; $BJ19),0)),"",INDIRECT(CONCATENATE("Table!",ADDRESS($BF19,MATCH(G$1,INDIRECT("Table!A" &amp; $BJ19):INDIRECT("Table!" &amp; $BV$88 &amp; $BJ19),0)))))/1024</f>
        <v>197.61572265625</v>
      </c>
      <c r="H19" s="709">
        <f ca="1">IF(ISERROR(MATCH(H$1,INDIRECT("Table!A"&amp;$BJ19):INDIRECT("Table!" &amp; $BV$88 &amp; $BJ19),0)),"",INDIRECT(CONCATENATE("Table!",ADDRESS($BF19,MATCH(H$1,INDIRECT("Table!A" &amp; $BJ19):INDIRECT("Table!" &amp; $BV$88 &amp; $BJ19),0)))))/1024</f>
        <v>115.3328125</v>
      </c>
      <c r="I19" s="709">
        <f ca="1">IF(ISERROR(MATCH(I$1,INDIRECT("Table!A"&amp;$BJ19):INDIRECT("Table!" &amp; $BV$88 &amp; $BJ19),0)),"",INDIRECT(CONCATENATE("Table!",ADDRESS($BF19,MATCH(I$1,INDIRECT("Table!A" &amp; $BJ19):INDIRECT("Table!" &amp; $BV$88 &amp; $BJ19),0)))))/1024</f>
        <v>19.666210937500001</v>
      </c>
      <c r="J19" s="709">
        <f ca="1">IF(ISERROR(MATCH(J$1,INDIRECT("Table!A"&amp;$BJ19):INDIRECT("Table!" &amp; $BV$88 &amp; $BJ19),0)),"",INDIRECT(CONCATENATE("Table!",ADDRESS($BF19,MATCH(J$1,INDIRECT("Table!A" &amp; $BJ19):INDIRECT("Table!" &amp; $BV$88 &amp; $BJ19),0)))))/1024</f>
        <v>63.689843750000001</v>
      </c>
      <c r="K19" s="709">
        <f ca="1">IF(ISERROR(MATCH(K$1,INDIRECT("Table!A"&amp;$BJ19):INDIRECT("Table!" &amp; $BV$88 &amp; $BJ19),0)),"",INDIRECT(CONCATENATE("Table!",ADDRESS($BF19,MATCH(K$1,INDIRECT("Table!A" &amp; $BJ19):INDIRECT("Table!" &amp; $BV$88 &amp; $BJ19),0)))))/1024</f>
        <v>22.930761718749999</v>
      </c>
      <c r="L19" s="709">
        <f ca="1">IF(ISERROR(MATCH(L$1,INDIRECT("Table!A"&amp;$BJ19):INDIRECT("Table!" &amp; $BV$88 &amp; $BJ19),0)),"",INDIRECT(CONCATENATE("Table!",ADDRESS($BF19,MATCH(L$1,INDIRECT("Table!A" &amp; $BJ19):INDIRECT("Table!" &amp; $BV$88 &amp; $BJ19),0)))))/1024</f>
        <v>164.70625000000001</v>
      </c>
      <c r="M19" s="709">
        <f ca="1">IF(ISERROR(MATCH(M$1,INDIRECT("Table!A"&amp;$BJ19):INDIRECT("Table!" &amp; $BV$88 &amp; $BJ19),0)),"",INDIRECT(CONCATENATE("Table!",ADDRESS($BF19,MATCH(M$1,INDIRECT("Table!A" &amp; $BJ19):INDIRECT("Table!" &amp; $BV$88 &amp; $BJ19),0)))))/1024</f>
        <v>195.55</v>
      </c>
      <c r="N19" s="709">
        <f ca="1">IF(ISERROR(MATCH(N$1,INDIRECT("Table!A"&amp;$BJ19):INDIRECT("Table!" &amp; $BV$88 &amp; $BJ19),0)),"",INDIRECT(CONCATENATE("Table!",ADDRESS($BF19,MATCH(N$1,INDIRECT("Table!A" &amp; $BJ19):INDIRECT("Table!" &amp; $BV$88 &amp; $BJ19),0)))))/1024</f>
        <v>57.489453124999997</v>
      </c>
      <c r="O19" s="709">
        <f ca="1">IF(ISERROR(MATCH(O$1,INDIRECT("Table!A"&amp;$BJ19):INDIRECT("Table!" &amp; $BV$88 &amp; $BJ19),0)),"",INDIRECT(CONCATENATE("Table!",ADDRESS($BF19,MATCH(O$1,INDIRECT("Table!A" &amp; $BJ19):INDIRECT("Table!" &amp; $BV$88 &amp; $BJ19),0)))))/1024</f>
        <v>212.56943359375001</v>
      </c>
      <c r="P19" s="709">
        <f ca="1">IF(ISERROR(MATCH(P$1,INDIRECT("Table!A"&amp;$BJ19):INDIRECT("Table!" &amp; $BV$88 &amp; $BJ19),0)),"",INDIRECT(CONCATENATE("Table!",ADDRESS($BF19,MATCH(P$1,INDIRECT("Table!A" &amp; $BJ19):INDIRECT("Table!" &amp; $BV$88 &amp; $BJ19),0)))))/1024</f>
        <v>37.870507812500001</v>
      </c>
      <c r="Q19" s="709">
        <f ca="1">IF(ISERROR(MATCH(Q$1,INDIRECT("Table!A"&amp;$BJ19):INDIRECT("Table!" &amp; $BV$88 &amp; $BJ19),0)),"",INDIRECT(CONCATENATE("Table!",ADDRESS($BF19,MATCH(Q$1,INDIRECT("Table!A" &amp; $BJ19):INDIRECT("Table!" &amp; $BV$88 &amp; $BJ19),0)))))/1024</f>
        <v>104.58437499999999</v>
      </c>
      <c r="R19" s="709">
        <f ca="1">IF(ISERROR(MATCH(R$1,INDIRECT("Table!A"&amp;$BJ19):INDIRECT("Table!" &amp; $BV$88 &amp; $BJ19),0)),"",INDIRECT(CONCATENATE("Table!",ADDRESS($BF19,MATCH(R$1,INDIRECT("Table!A" &amp; $BJ19):INDIRECT("Table!" &amp; $BV$88 &amp; $BJ19),0)))))/1024</f>
        <v>105.99736328125</v>
      </c>
      <c r="S19" s="709">
        <f ca="1">IF(ISERROR(MATCH(S$1,INDIRECT("Table!A"&amp;$BJ19):INDIRECT("Table!" &amp; $BV$43 &amp; $BJ19),0)),"",INDIRECT(CONCATENATE("Table!",ADDRESS($BF19,MATCH(S$1,INDIRECT("Table!A" &amp; $BJ19):INDIRECT("Table!" &amp; $BV$43 &amp; $BJ19),0)))))/1024</f>
        <v>13.76572265625</v>
      </c>
      <c r="T19" s="709">
        <f ca="1">IF(ISERROR(MATCH(T$1,INDIRECT("Table!A"&amp;$BJ19):INDIRECT("Table!" &amp; $BV$43 &amp; $BJ19),0)),"",INDIRECT(CONCATENATE("Table!",ADDRESS($BF19,MATCH(T$1,INDIRECT("Table!A" &amp; $BJ19):INDIRECT("Table!" &amp; $BV$43 &amp; $BJ19),0)))))/1024</f>
        <v>7.14794921875</v>
      </c>
      <c r="U19" s="709">
        <f ca="1">IF(ISERROR(MATCH(U$1,INDIRECT("Table!A"&amp;$BJ19):INDIRECT("Table!" &amp; $BV$43 &amp; $BJ19),0)),"",INDIRECT(CONCATENATE("Table!",ADDRESS($BF19,MATCH(U$1,INDIRECT("Table!A" &amp; $BJ19):INDIRECT("Table!" &amp; $BV$43 &amp; $BJ19),0)))))/1024</f>
        <v>3.1237304687499998</v>
      </c>
      <c r="V19" s="709">
        <f ca="1">IF(ISERROR(MATCH(V$1,INDIRECT("Table!A"&amp;$BJ19):INDIRECT("Table!" &amp; $BV$43 &amp; $BJ19),0)),"",INDIRECT(CONCATENATE("Table!",ADDRESS($BF19,MATCH(V$1,INDIRECT("Table!A" &amp; $BJ19):INDIRECT("Table!" &amp; $BV$43 &amp; $BJ19),0)))))/1024</f>
        <v>6.2473632812500002</v>
      </c>
      <c r="W19" s="909"/>
      <c r="X19" s="909"/>
      <c r="Y19" s="909"/>
      <c r="Z19" s="909"/>
      <c r="AA19" s="909"/>
      <c r="AB19" s="909"/>
      <c r="AC19" s="709" t="str">
        <f ca="1">IF(ISERROR(MATCH(AC$1,INDIRECT("Table!A"&amp;$BJ19):INDIRECT("Table!" &amp; $BV$88 &amp; $BJ19),0)),"",INDIRECT(CONCATENATE("Table!",ADDRESS($BF19,MATCH(AC$1,INDIRECT("Table!A" &amp; $BJ19):INDIRECT("Table!" &amp; $BV$88 &amp; $BJ19),0)))))</f>
        <v/>
      </c>
      <c r="AD19" s="709">
        <f ca="1">IF(ISERROR(MATCH(AD$1,INDIRECT("Table!A"&amp;$BJ19):INDIRECT("Table!" &amp; $BV$88 &amp; $BJ19),0)),"",INDIRECT(CONCATENATE("Table!",ADDRESS($BN19,MATCH(AD$1,INDIRECT("Table!A" &amp; $BJ19):INDIRECT("Table!" &amp; $BV$88 &amp; $BJ19),0)))))/1024</f>
        <v>244.15859374999999</v>
      </c>
      <c r="AE19" s="709">
        <f ca="1">IF(ISERROR(MATCH(AE$1,INDIRECT("Table!A"&amp;$BJ19):INDIRECT("Table!" &amp; $BV$88 &amp; $BJ19),0)),"",INDIRECT(CONCATENATE("Table!",ADDRESS($BN19,MATCH(AE$1,INDIRECT("Table!A" &amp; $BJ19):INDIRECT("Table!" &amp; $BV$88 &amp; $BJ19),0)))))/1024</f>
        <v>146.98896484375001</v>
      </c>
      <c r="AF19" s="709">
        <f ca="1">IF(ISERROR(MATCH(AF$1,INDIRECT("Table!A"&amp;$BJ19):INDIRECT("Table!" &amp; $BV$88 &amp; $BJ19),0)),"",INDIRECT(CONCATENATE("Table!",ADDRESS($BN19,MATCH(AF$1,INDIRECT("Table!A" &amp; $BJ19):INDIRECT("Table!" &amp; $BV$88 &amp; $BJ19),0)))))/1024</f>
        <v>146.98896484375001</v>
      </c>
      <c r="AG19" s="709">
        <f ca="1">IF(ISERROR(MATCH(AG$1,INDIRECT("Table!A"&amp;$BJ19):INDIRECT("Table!" &amp; $BV$88 &amp; $BJ19),0)),"",INDIRECT(CONCATENATE("Table!",ADDRESS($BN19,MATCH(AG$1,INDIRECT("Table!A" &amp; $BJ19):INDIRECT("Table!" &amp; $BV$88 &amp; $BJ19),0)))))/1024</f>
        <v>177.73320312499999</v>
      </c>
      <c r="AH19" s="709">
        <f ca="1">IF(ISERROR(MATCH(AH$1,INDIRECT("Table!A"&amp;$BJ19):INDIRECT("Table!" &amp; $BV$88 &amp; $BJ19),0)),"",INDIRECT(CONCATENATE("Table!",ADDRESS($BN19,MATCH(AH$1,INDIRECT("Table!A" &amp; $BJ19):INDIRECT("Table!" &amp; $BV$88 &amp; $BJ19),0)))))/1024</f>
        <v>161.88056640625001</v>
      </c>
      <c r="AI19" s="709">
        <f ca="1">IF(ISERROR(MATCH(AI$1,INDIRECT("Table!A"&amp;$BJ19):INDIRECT("Table!" &amp; $BV$88 &amp; $BJ19),0)),"",INDIRECT(CONCATENATE("Table!",ADDRESS($BN19,MATCH(AI$1,INDIRECT("Table!A" &amp; $BJ19):INDIRECT("Table!" &amp; $BV$88 &amp; $BJ19),0)))))/1024</f>
        <v>380.3759765625</v>
      </c>
      <c r="AJ19" s="709">
        <f ca="1">IF(ISERROR(MATCH(AJ$1,INDIRECT("Table!A"&amp;$BJ19):INDIRECT("Table!" &amp; $BV$88 &amp; $BJ19),0)),"",INDIRECT(CONCATENATE("Table!",ADDRESS($BN19,MATCH(AJ$1,INDIRECT("Table!A" &amp; $BJ19):INDIRECT("Table!" &amp; $BV$88 &amp; $BJ19),0)))))/1024</f>
        <v>167.94482421875</v>
      </c>
      <c r="AK19" s="709">
        <f ca="1">IF(ISERROR(MATCH(AK$1,INDIRECT("Table!A"&amp;$BJ19):INDIRECT("Table!" &amp; $BV$88 &amp; $BJ19),0)),"",INDIRECT(CONCATENATE("Table!",ADDRESS($BN19,MATCH(AK$1,INDIRECT("Table!A" &amp; $BJ19):INDIRECT("Table!" &amp; $BV$88 &amp; $BJ19),0)))))/1024</f>
        <v>162.18544921874999</v>
      </c>
      <c r="AL19" s="709">
        <f ca="1">IF(ISERROR(MATCH(AL$1,INDIRECT("Table!A"&amp;$BJ19):INDIRECT("Table!" &amp; $BV$88 &amp; $BJ19),0)),"",INDIRECT(CONCATENATE("Table!",ADDRESS($BN19,MATCH(AL$1,INDIRECT("Table!A" &amp; $BJ19):INDIRECT("Table!" &amp; $BV$88 &amp; $BJ19),0)))))/1024</f>
        <v>121.1125</v>
      </c>
      <c r="AM19" s="709">
        <f ca="1">IF(ISERROR(MATCH(AM$1,INDIRECT("Table!A"&amp;$BJ19):INDIRECT("Table!" &amp; $BV$88 &amp; $BJ19),0)),"",INDIRECT(CONCATENATE("Table!",ADDRESS($BN19,MATCH(AM$1,INDIRECT("Table!A" &amp; $BJ19):INDIRECT("Table!" &amp; $BV$88 &amp; $BJ19),0)))))/1024</f>
        <v>218.81953125000001</v>
      </c>
      <c r="AN19" s="709">
        <f ca="1">IF(ISERROR(MATCH(AN$1,INDIRECT("Table!A"&amp;$BJ19):INDIRECT("Table!" &amp; $BV$88 &amp; $BJ19),0)),"",INDIRECT(CONCATENATE("Table!",ADDRESS($BN19,MATCH(AN$1,INDIRECT("Table!A" &amp; $BJ19):INDIRECT("Table!" &amp; $BV$88 &amp; $BJ19),0)))))/1024</f>
        <v>188.50498046875001</v>
      </c>
      <c r="AO19" s="709">
        <f ca="1">IF(ISERROR(MATCH(AO$1,INDIRECT("Table!A"&amp;$BJ19):INDIRECT("Table!" &amp; $BV$88 &amp; $BJ19),0)),"",INDIRECT(CONCATENATE("Table!",ADDRESS($BN19,MATCH(AO$1,INDIRECT("Table!A" &amp; $BJ19):INDIRECT("Table!" &amp; $BV$88 &amp; $BJ19),0)))))/1024</f>
        <v>427.94912109375002</v>
      </c>
      <c r="AP19" s="709">
        <f ca="1">IF(ISERROR(MATCH(AP$1,INDIRECT("Table!A"&amp;$BJ19):INDIRECT("Table!" &amp; $BV$88 &amp; $BJ19),0)),"",INDIRECT(CONCATENATE("Table!",ADDRESS($BN19,MATCH(AP$1,INDIRECT("Table!A" &amp; $BJ19):INDIRECT("Table!" &amp; $BV$88 &amp; $BJ19),0)))))/1024</f>
        <v>81.092578125000003</v>
      </c>
      <c r="AQ19" s="709">
        <f ca="1">IF(ISERROR(MATCH(AQ$1,INDIRECT("Table!A"&amp;$BJ19):INDIRECT("Table!" &amp; $BV$88 &amp; $BJ19),0)),"",INDIRECT(CONCATENATE("Table!",ADDRESS($BN19,MATCH(AQ$1,INDIRECT("Table!A" &amp; $BJ19):INDIRECT("Table!" &amp; $BV$88 &amp; $BJ19),0)))))/1024</f>
        <v>269.65859375000002</v>
      </c>
      <c r="AR19" s="709">
        <f ca="1">IF(ISERROR(MATCH(AR$1,INDIRECT("Table!A"&amp;$BJ19):INDIRECT("Table!" &amp; $BV$88 &amp; $BJ19),0)),"",INDIRECT(CONCATENATE("Table!",ADDRESS($BN19,MATCH(AR$1,INDIRECT("Table!A" &amp; $BJ19):INDIRECT("Table!" &amp; $BV$88 &amp; $BJ19),0)))))/1024</f>
        <v>81.092578125000003</v>
      </c>
      <c r="AS19" s="709">
        <f ca="1">IF(ISERROR(MATCH(AS$1,INDIRECT("Table!A"&amp;$BJ19):INDIRECT("Table!" &amp; $BV$88 &amp; $BJ19),0)),"",INDIRECT(CONCATENATE("Table!",ADDRESS($BN19,MATCH(AS$1,INDIRECT("Table!A" &amp; $BJ19):INDIRECT("Table!" &amp; $BV$88 &amp; $BJ19),0)))))/1024</f>
        <v>187.12714843750001</v>
      </c>
      <c r="AT19" s="709">
        <f ca="1">IF(ISERROR(MATCH(AT$1,INDIRECT("Table!A"&amp;$BJ19):INDIRECT("Table!" &amp; $BV$88 &amp; $BJ19),0)),"",INDIRECT(CONCATENATE("Table!",ADDRESS($BN19,MATCH(AT$1,INDIRECT("Table!A" &amp; $BJ19):INDIRECT("Table!" &amp; $BV$88 &amp; $BJ19),0)))))/1024</f>
        <v>218.81953125000001</v>
      </c>
      <c r="AU19" s="709">
        <f ca="1">IF(ISERROR(MATCH(AU$1,INDIRECT("Table!A"&amp;$BJ19):INDIRECT("Table!" &amp; $BV$88 &amp; $BJ19),0)),"",INDIRECT(CONCATENATE("Table!",ADDRESS($BN19,MATCH(AU$1,INDIRECT("Table!A" &amp; $BJ19):INDIRECT("Table!" &amp; $BV$88 &amp; $BJ19),0)))))/1024</f>
        <v>53.8583984375</v>
      </c>
      <c r="AV19" s="709">
        <f ca="1">IF(ISERROR(MATCH(AV$1,INDIRECT("Table!A"&amp;$BJ19):INDIRECT("Table!" &amp; $BV$88 &amp; $BJ19),0)),"",INDIRECT(CONCATENATE("Table!",ADDRESS($BN19,MATCH(AV$1,INDIRECT("Table!A" &amp; $BJ19):INDIRECT("Table!" &amp; $BV$88 &amp; $BJ19),0)))))/1024</f>
        <v>32.31494140625</v>
      </c>
      <c r="AW19" s="709">
        <f ca="1">IF(ISERROR(MATCH(AW$1,INDIRECT("Table!A"&amp;$BJ19):INDIRECT("Table!" &amp; $BV$88 &amp; $BJ19),0)),"",INDIRECT(CONCATENATE("Table!",ADDRESS($BN19,MATCH(AW$1,INDIRECT("Table!A" &amp; $BJ19):INDIRECT("Table!" &amp; $BV$88 &amp; $BJ19),0)))))/1024</f>
        <v>99.80126953125</v>
      </c>
      <c r="AX19" s="709">
        <f ca="1">IF(ISERROR(MATCH(AX$1,INDIRECT("Table!A"&amp;$BJ19):INDIRECT("Table!" &amp; $BV$88 &amp; $BJ19),0)),"",INDIRECT(CONCATENATE("Table!",ADDRESS($BN19,MATCH(AX$1,INDIRECT("Table!A" &amp; $BJ19):INDIRECT("Table!" &amp; $BV$88 &amp; $BJ19),0)))))/1024</f>
        <v>204.58642578125</v>
      </c>
      <c r="AY19" s="909"/>
      <c r="AZ19" s="909"/>
      <c r="BA19" s="909"/>
      <c r="BB19" s="909"/>
      <c r="BC19" s="909"/>
      <c r="BD19" s="909"/>
      <c r="BE19" s="909"/>
      <c r="BF19" s="704">
        <f>MATCH($A19,Table!$A:$A,0)+$BH$2-1</f>
        <v>229</v>
      </c>
      <c r="BG19" s="705"/>
      <c r="BH19" s="705"/>
      <c r="BI19" s="705"/>
      <c r="BJ19" s="717">
        <f>MATCH($A19,Table!$A:$A,0)+$BL$2-1</f>
        <v>227</v>
      </c>
      <c r="BK19" s="705"/>
      <c r="BL19" s="705"/>
      <c r="BM19" s="705"/>
      <c r="BN19" s="704">
        <f>MATCH($A19,Table!$A:$A,0)+$BP$2-1</f>
        <v>228</v>
      </c>
      <c r="BO19" s="705"/>
      <c r="BP19" s="705"/>
      <c r="BQ19" s="705"/>
      <c r="BR19" s="717">
        <f>MATCH($A19,Table!$A:$A,0)+$BL$2-1</f>
        <v>227</v>
      </c>
      <c r="BS19" s="705"/>
      <c r="BT19" s="705"/>
      <c r="BU19" s="705"/>
      <c r="BV19" s="711" t="s">
        <v>284</v>
      </c>
      <c r="BW19" s="712">
        <f t="shared" ca="1" si="12"/>
        <v>3772.9941406249995</v>
      </c>
      <c r="BX19" s="712">
        <f t="shared" ca="1" si="0"/>
        <v>1854.0316406249999</v>
      </c>
      <c r="BY19" s="712">
        <f t="shared" ca="1" si="37"/>
        <v>1918.9624999999996</v>
      </c>
      <c r="BZ19" s="718">
        <f t="shared" ca="1" si="38"/>
        <v>0.49139531404569797</v>
      </c>
      <c r="CA19" s="712">
        <f ca="1">SUMIF('Alloc Feed'!A:A,A:A,'Alloc Feed'!I:I)</f>
        <v>3265.3794990234373</v>
      </c>
      <c r="CB19" s="718">
        <f t="shared" ca="1" si="39"/>
        <v>0.86546105753626335</v>
      </c>
    </row>
    <row r="20" spans="1:80" s="591" customFormat="1" x14ac:dyDescent="0.25">
      <c r="A20" s="703">
        <v>41702</v>
      </c>
      <c r="B20" s="709">
        <f ca="1">IF(ISERROR(MATCH(B$1,INDIRECT("Table!A"&amp;$BJ20):INDIRECT("Table!" &amp; $BV$88 &amp; $BJ20),0)),"",INDIRECT(CONCATENATE("Table!",ADDRESS($BF20,MATCH(B$1,INDIRECT("Table!A" &amp; $BJ20):INDIRECT("Table!" &amp; $BV$88 &amp; $BJ20),0)))))/1024</f>
        <v>98.328808593749997</v>
      </c>
      <c r="C20" s="709">
        <f ca="1">IF(ISERROR(MATCH(C$1,INDIRECT("Table!A"&amp;$BJ20):INDIRECT("Table!" &amp; $BV$88 &amp; $BJ20),0)),"",INDIRECT(CONCATENATE("Table!",ADDRESS($BF20,MATCH(C$1,INDIRECT("Table!A" &amp; $BJ20):INDIRECT("Table!" &amp; $BV$88 &amp; $BJ20),0)))))/1024</f>
        <v>80.810351562500003</v>
      </c>
      <c r="D20" s="709">
        <f ca="1">IF(ISERROR(MATCH(D$1,INDIRECT("Table!A"&amp;$BJ20):INDIRECT("Table!" &amp; $BV$88 &amp; $BJ20),0)),"",INDIRECT(CONCATENATE("Table!",ADDRESS($BF20,MATCH(D$1,INDIRECT("Table!A" &amp; $BJ20):INDIRECT("Table!" &amp; $BV$88 &amp; $BJ20),0)))))/1024</f>
        <v>82.120996093749994</v>
      </c>
      <c r="E20" s="709">
        <f ca="1">IF(ISERROR(MATCH(E$1,INDIRECT("Table!A"&amp;$BJ20):INDIRECT("Table!" &amp; $BV$88 &amp; $BJ20),0)),"",INDIRECT(CONCATENATE("Table!",ADDRESS($BF20,MATCH(E$1,INDIRECT("Table!A" &amp; $BJ20):INDIRECT("Table!" &amp; $BV$88 &amp; $BJ20),0)))))/1024</f>
        <v>153.13261718749999</v>
      </c>
      <c r="F20" s="709">
        <f ca="1">IF(ISERROR(MATCH(F$1,INDIRECT("Table!A"&amp;$BJ20):INDIRECT("Table!" &amp; $BV$88 &amp; $BJ20),0)),"",INDIRECT(CONCATENATE("Table!",ADDRESS($BF20,MATCH(F$1,INDIRECT("Table!A" &amp; $BJ20):INDIRECT("Table!" &amp; $BV$88 &amp; $BJ20),0)))))/1024</f>
        <v>111.35419921875</v>
      </c>
      <c r="G20" s="709">
        <f ca="1">IF(ISERROR(MATCH(G$1,INDIRECT("Table!A"&amp;$BJ20):INDIRECT("Table!" &amp; $BV$88 &amp; $BJ20),0)),"",INDIRECT(CONCATENATE("Table!",ADDRESS($BF20,MATCH(G$1,INDIRECT("Table!A" &amp; $BJ20):INDIRECT("Table!" &amp; $BV$88 &amp; $BJ20),0)))))/1024</f>
        <v>197.62080078125001</v>
      </c>
      <c r="H20" s="709">
        <f ca="1">IF(ISERROR(MATCH(H$1,INDIRECT("Table!A"&amp;$BJ20):INDIRECT("Table!" &amp; $BV$88 &amp; $BJ20),0)),"",INDIRECT(CONCATENATE("Table!",ADDRESS($BF20,MATCH(H$1,INDIRECT("Table!A" &amp; $BJ20):INDIRECT("Table!" &amp; $BV$88 &amp; $BJ20),0)))))/1024</f>
        <v>115.3328125</v>
      </c>
      <c r="I20" s="709">
        <f ca="1">IF(ISERROR(MATCH(I$1,INDIRECT("Table!A"&amp;$BJ20):INDIRECT("Table!" &amp; $BV$88 &amp; $BJ20),0)),"",INDIRECT(CONCATENATE("Table!",ADDRESS($BF20,MATCH(I$1,INDIRECT("Table!A" &amp; $BJ20):INDIRECT("Table!" &amp; $BV$88 &amp; $BJ20),0)))))/1024</f>
        <v>19.666210937500001</v>
      </c>
      <c r="J20" s="709">
        <f ca="1">IF(ISERROR(MATCH(J$1,INDIRECT("Table!A"&amp;$BJ20):INDIRECT("Table!" &amp; $BV$88 &amp; $BJ20),0)),"",INDIRECT(CONCATENATE("Table!",ADDRESS($BF20,MATCH(J$1,INDIRECT("Table!A" &amp; $BJ20):INDIRECT("Table!" &amp; $BV$88 &amp; $BJ20),0)))))/1024</f>
        <v>63.689843750000001</v>
      </c>
      <c r="K20" s="709">
        <f ca="1">IF(ISERROR(MATCH(K$1,INDIRECT("Table!A"&amp;$BJ20):INDIRECT("Table!" &amp; $BV$88 &amp; $BJ20),0)),"",INDIRECT(CONCATENATE("Table!",ADDRESS($BF20,MATCH(K$1,INDIRECT("Table!A" &amp; $BJ20):INDIRECT("Table!" &amp; $BV$88 &amp; $BJ20),0)))))/1024</f>
        <v>22.948339843749999</v>
      </c>
      <c r="L20" s="709">
        <f ca="1">IF(ISERROR(MATCH(L$1,INDIRECT("Table!A"&amp;$BJ20):INDIRECT("Table!" &amp; $BV$88 &amp; $BJ20),0)),"",INDIRECT(CONCATENATE("Table!",ADDRESS($BF20,MATCH(L$1,INDIRECT("Table!A" &amp; $BJ20):INDIRECT("Table!" &amp; $BV$88 &amp; $BJ20),0)))))/1024</f>
        <v>164.70625000000001</v>
      </c>
      <c r="M20" s="709">
        <f ca="1">IF(ISERROR(MATCH(M$1,INDIRECT("Table!A"&amp;$BJ20):INDIRECT("Table!" &amp; $BV$88 &amp; $BJ20),0)),"",INDIRECT(CONCATENATE("Table!",ADDRESS($BF20,MATCH(M$1,INDIRECT("Table!A" &amp; $BJ20):INDIRECT("Table!" &amp; $BV$88 &amp; $BJ20),0)))))/1024</f>
        <v>195.5537109375</v>
      </c>
      <c r="N20" s="709">
        <f ca="1">IF(ISERROR(MATCH(N$1,INDIRECT("Table!A"&amp;$BJ20):INDIRECT("Table!" &amp; $BV$88 &amp; $BJ20),0)),"",INDIRECT(CONCATENATE("Table!",ADDRESS($BF20,MATCH(N$1,INDIRECT("Table!A" &amp; $BJ20):INDIRECT("Table!" &amp; $BV$88 &amp; $BJ20),0)))))/1024</f>
        <v>57.489453124999997</v>
      </c>
      <c r="O20" s="709">
        <f ca="1">IF(ISERROR(MATCH(O$1,INDIRECT("Table!A"&amp;$BJ20):INDIRECT("Table!" &amp; $BV$88 &amp; $BJ20),0)),"",INDIRECT(CONCATENATE("Table!",ADDRESS($BF20,MATCH(O$1,INDIRECT("Table!A" &amp; $BJ20):INDIRECT("Table!" &amp; $BV$88 &amp; $BJ20),0)))))/1024</f>
        <v>212.56943359375001</v>
      </c>
      <c r="P20" s="709">
        <f ca="1">IF(ISERROR(MATCH(P$1,INDIRECT("Table!A"&amp;$BJ20):INDIRECT("Table!" &amp; $BV$88 &amp; $BJ20),0)),"",INDIRECT(CONCATENATE("Table!",ADDRESS($BF20,MATCH(P$1,INDIRECT("Table!A" &amp; $BJ20):INDIRECT("Table!" &amp; $BV$88 &amp; $BJ20),0)))))/1024</f>
        <v>37.870507812500001</v>
      </c>
      <c r="Q20" s="709">
        <f ca="1">IF(ISERROR(MATCH(Q$1,INDIRECT("Table!A"&amp;$BJ20):INDIRECT("Table!" &amp; $BV$88 &amp; $BJ20),0)),"",INDIRECT(CONCATENATE("Table!",ADDRESS($BF20,MATCH(Q$1,INDIRECT("Table!A" &amp; $BJ20):INDIRECT("Table!" &amp; $BV$88 &amp; $BJ20),0)))))/1024</f>
        <v>104.58437499999999</v>
      </c>
      <c r="R20" s="709">
        <f ca="1">IF(ISERROR(MATCH(R$1,INDIRECT("Table!A"&amp;$BJ20):INDIRECT("Table!" &amp; $BV$88 &amp; $BJ20),0)),"",INDIRECT(CONCATENATE("Table!",ADDRESS($BF20,MATCH(R$1,INDIRECT("Table!A" &amp; $BJ20):INDIRECT("Table!" &amp; $BV$88 &amp; $BJ20),0)))))/1024</f>
        <v>106.02890625000001</v>
      </c>
      <c r="S20" s="709">
        <f ca="1">IF(ISERROR(MATCH(S$1,INDIRECT("Table!A"&amp;$BJ20):INDIRECT("Table!" &amp; $BV$43 &amp; $BJ20),0)),"",INDIRECT(CONCATENATE("Table!",ADDRESS($BF20,MATCH(S$1,INDIRECT("Table!A" &amp; $BJ20):INDIRECT("Table!" &amp; $BV$43 &amp; $BJ20),0)))))/1024</f>
        <v>13.76572265625</v>
      </c>
      <c r="T20" s="709">
        <f ca="1">IF(ISERROR(MATCH(T$1,INDIRECT("Table!A"&amp;$BJ20):INDIRECT("Table!" &amp; $BV$43 &amp; $BJ20),0)),"",INDIRECT(CONCATENATE("Table!",ADDRESS($BF20,MATCH(T$1,INDIRECT("Table!A" &amp; $BJ20):INDIRECT("Table!" &amp; $BV$43 &amp; $BJ20),0)))))/1024</f>
        <v>7.14794921875</v>
      </c>
      <c r="U20" s="709">
        <f ca="1">IF(ISERROR(MATCH(U$1,INDIRECT("Table!A"&amp;$BJ20):INDIRECT("Table!" &amp; $BV$43 &amp; $BJ20),0)),"",INDIRECT(CONCATENATE("Table!",ADDRESS($BF20,MATCH(U$1,INDIRECT("Table!A" &amp; $BJ20):INDIRECT("Table!" &amp; $BV$43 &amp; $BJ20),0)))))/1024</f>
        <v>3.1237304687499998</v>
      </c>
      <c r="V20" s="709">
        <f ca="1">IF(ISERROR(MATCH(V$1,INDIRECT("Table!A"&amp;$BJ20):INDIRECT("Table!" &amp; $BV$43 &amp; $BJ20),0)),"",INDIRECT(CONCATENATE("Table!",ADDRESS($BF20,MATCH(V$1,INDIRECT("Table!A" &amp; $BJ20):INDIRECT("Table!" &amp; $BV$43 &amp; $BJ20),0)))))/1024</f>
        <v>6.2473632812500002</v>
      </c>
      <c r="W20" s="909"/>
      <c r="X20" s="909"/>
      <c r="Y20" s="909"/>
      <c r="Z20" s="909"/>
      <c r="AA20" s="909"/>
      <c r="AB20" s="909"/>
      <c r="AC20" s="709" t="str">
        <f ca="1">IF(ISERROR(MATCH(AC$1,INDIRECT("Table!A"&amp;$BJ20):INDIRECT("Table!" &amp; $BV$88 &amp; $BJ20),0)),"",INDIRECT(CONCATENATE("Table!",ADDRESS($BF20,MATCH(AC$1,INDIRECT("Table!A" &amp; $BJ20):INDIRECT("Table!" &amp; $BV$88 &amp; $BJ20),0)))))</f>
        <v/>
      </c>
      <c r="AD20" s="709">
        <f ca="1">IF(ISERROR(MATCH(AD$1,INDIRECT("Table!A"&amp;$BJ20):INDIRECT("Table!" &amp; $BV$88 &amp; $BJ20),0)),"",INDIRECT(CONCATENATE("Table!",ADDRESS($BN20,MATCH(AD$1,INDIRECT("Table!A" &amp; $BJ20):INDIRECT("Table!" &amp; $BV$88 &amp; $BJ20),0)))))/1024</f>
        <v>244.15859374999999</v>
      </c>
      <c r="AE20" s="709">
        <f ca="1">IF(ISERROR(MATCH(AE$1,INDIRECT("Table!A"&amp;$BJ20):INDIRECT("Table!" &amp; $BV$88 &amp; $BJ20),0)),"",INDIRECT(CONCATENATE("Table!",ADDRESS($BN20,MATCH(AE$1,INDIRECT("Table!A" &amp; $BJ20):INDIRECT("Table!" &amp; $BV$88 &amp; $BJ20),0)))))/1024</f>
        <v>146.98896484375001</v>
      </c>
      <c r="AF20" s="709">
        <f ca="1">IF(ISERROR(MATCH(AF$1,INDIRECT("Table!A"&amp;$BJ20):INDIRECT("Table!" &amp; $BV$88 &amp; $BJ20),0)),"",INDIRECT(CONCATENATE("Table!",ADDRESS($BN20,MATCH(AF$1,INDIRECT("Table!A" &amp; $BJ20):INDIRECT("Table!" &amp; $BV$88 &amp; $BJ20),0)))))/1024</f>
        <v>146.98896484375001</v>
      </c>
      <c r="AG20" s="709">
        <f ca="1">IF(ISERROR(MATCH(AG$1,INDIRECT("Table!A"&amp;$BJ20):INDIRECT("Table!" &amp; $BV$88 &amp; $BJ20),0)),"",INDIRECT(CONCATENATE("Table!",ADDRESS($BN20,MATCH(AG$1,INDIRECT("Table!A" &amp; $BJ20):INDIRECT("Table!" &amp; $BV$88 &amp; $BJ20),0)))))/1024</f>
        <v>177.73320312499999</v>
      </c>
      <c r="AH20" s="709">
        <f ca="1">IF(ISERROR(MATCH(AH$1,INDIRECT("Table!A"&amp;$BJ20):INDIRECT("Table!" &amp; $BV$88 &amp; $BJ20),0)),"",INDIRECT(CONCATENATE("Table!",ADDRESS($BN20,MATCH(AH$1,INDIRECT("Table!A" &amp; $BJ20):INDIRECT("Table!" &amp; $BV$88 &amp; $BJ20),0)))))/1024</f>
        <v>161.57568359375</v>
      </c>
      <c r="AI20" s="709">
        <f ca="1">IF(ISERROR(MATCH(AI$1,INDIRECT("Table!A"&amp;$BJ20):INDIRECT("Table!" &amp; $BV$88 &amp; $BJ20),0)),"",INDIRECT(CONCATENATE("Table!",ADDRESS($BN20,MATCH(AI$1,INDIRECT("Table!A" &amp; $BJ20):INDIRECT("Table!" &amp; $BV$88 &amp; $BJ20),0)))))/1024</f>
        <v>380.3759765625</v>
      </c>
      <c r="AJ20" s="709">
        <f ca="1">IF(ISERROR(MATCH(AJ$1,INDIRECT("Table!A"&amp;$BJ20):INDIRECT("Table!" &amp; $BV$88 &amp; $BJ20),0)),"",INDIRECT(CONCATENATE("Table!",ADDRESS($BN20,MATCH(AJ$1,INDIRECT("Table!A" &amp; $BJ20):INDIRECT("Table!" &amp; $BV$88 &amp; $BJ20),0)))))/1024</f>
        <v>166.96152343750001</v>
      </c>
      <c r="AK20" s="709">
        <f ca="1">IF(ISERROR(MATCH(AK$1,INDIRECT("Table!A"&amp;$BJ20):INDIRECT("Table!" &amp; $BV$88 &amp; $BJ20),0)),"",INDIRECT(CONCATENATE("Table!",ADDRESS($BN20,MATCH(AK$1,INDIRECT("Table!A" &amp; $BJ20):INDIRECT("Table!" &amp; $BV$88 &amp; $BJ20),0)))))/1024</f>
        <v>161.57568359375</v>
      </c>
      <c r="AL20" s="709">
        <f ca="1">IF(ISERROR(MATCH(AL$1,INDIRECT("Table!A"&amp;$BJ20):INDIRECT("Table!" &amp; $BV$88 &amp; $BJ20),0)),"",INDIRECT(CONCATENATE("Table!",ADDRESS($BN20,MATCH(AL$1,INDIRECT("Table!A" &amp; $BJ20):INDIRECT("Table!" &amp; $BV$88 &amp; $BJ20),0)))))/1024</f>
        <v>118.53769531250001</v>
      </c>
      <c r="AM20" s="709">
        <f ca="1">IF(ISERROR(MATCH(AM$1,INDIRECT("Table!A"&amp;$BJ20):INDIRECT("Table!" &amp; $BV$88 &amp; $BJ20),0)),"",INDIRECT(CONCATENATE("Table!",ADDRESS($BN20,MATCH(AM$1,INDIRECT("Table!A" &amp; $BJ20):INDIRECT("Table!" &amp; $BV$88 &amp; $BJ20),0)))))/1024</f>
        <v>218.81953125000001</v>
      </c>
      <c r="AN20" s="709">
        <f ca="1">IF(ISERROR(MATCH(AN$1,INDIRECT("Table!A"&amp;$BJ20):INDIRECT("Table!" &amp; $BV$88 &amp; $BJ20),0)),"",INDIRECT(CONCATENATE("Table!",ADDRESS($BN20,MATCH(AN$1,INDIRECT("Table!A" &amp; $BJ20):INDIRECT("Table!" &amp; $BV$88 &amp; $BJ20),0)))))/1024</f>
        <v>188.50498046875001</v>
      </c>
      <c r="AO20" s="709">
        <f ca="1">IF(ISERROR(MATCH(AO$1,INDIRECT("Table!A"&amp;$BJ20):INDIRECT("Table!" &amp; $BV$88 &amp; $BJ20),0)),"",INDIRECT(CONCATENATE("Table!",ADDRESS($BN20,MATCH(AO$1,INDIRECT("Table!A" &amp; $BJ20):INDIRECT("Table!" &amp; $BV$88 &amp; $BJ20),0)))))/1024</f>
        <v>427.94912109375002</v>
      </c>
      <c r="AP20" s="709">
        <f ca="1">IF(ISERROR(MATCH(AP$1,INDIRECT("Table!A"&amp;$BJ20):INDIRECT("Table!" &amp; $BV$88 &amp; $BJ20),0)),"",INDIRECT(CONCATENATE("Table!",ADDRESS($BN20,MATCH(AP$1,INDIRECT("Table!A" &amp; $BJ20):INDIRECT("Table!" &amp; $BV$88 &amp; $BJ20),0)))))/1024</f>
        <v>80.787695312500006</v>
      </c>
      <c r="AQ20" s="709">
        <f ca="1">IF(ISERROR(MATCH(AQ$1,INDIRECT("Table!A"&amp;$BJ20):INDIRECT("Table!" &amp; $BV$88 &amp; $BJ20),0)),"",INDIRECT(CONCATENATE("Table!",ADDRESS($BN20,MATCH(AQ$1,INDIRECT("Table!A" &amp; $BJ20):INDIRECT("Table!" &amp; $BV$88 &amp; $BJ20),0)))))/1024</f>
        <v>269.2919921875</v>
      </c>
      <c r="AR20" s="709">
        <f ca="1">IF(ISERROR(MATCH(AR$1,INDIRECT("Table!A"&amp;$BJ20):INDIRECT("Table!" &amp; $BV$88 &amp; $BJ20),0)),"",INDIRECT(CONCATENATE("Table!",ADDRESS($BN20,MATCH(AR$1,INDIRECT("Table!A" &amp; $BJ20):INDIRECT("Table!" &amp; $BV$88 &amp; $BJ20),0)))))/1024</f>
        <v>80.787695312500006</v>
      </c>
      <c r="AS20" s="709">
        <f ca="1">IF(ISERROR(MATCH(AS$1,INDIRECT("Table!A"&amp;$BJ20):INDIRECT("Table!" &amp; $BV$88 &amp; $BJ20),0)),"",INDIRECT(CONCATENATE("Table!",ADDRESS($BN20,MATCH(AS$1,INDIRECT("Table!A" &amp; $BJ20):INDIRECT("Table!" &amp; $BV$88 &amp; $BJ20),0)))))/1024</f>
        <v>184.55234375000001</v>
      </c>
      <c r="AT20" s="709">
        <f ca="1">IF(ISERROR(MATCH(AT$1,INDIRECT("Table!A"&amp;$BJ20):INDIRECT("Table!" &amp; $BV$88 &amp; $BJ20),0)),"",INDIRECT(CONCATENATE("Table!",ADDRESS($BN20,MATCH(AT$1,INDIRECT("Table!A" &amp; $BJ20):INDIRECT("Table!" &amp; $BV$88 &amp; $BJ20),0)))))/1024</f>
        <v>218.81953125000001</v>
      </c>
      <c r="AU20" s="709">
        <f ca="1">IF(ISERROR(MATCH(AU$1,INDIRECT("Table!A"&amp;$BJ20):INDIRECT("Table!" &amp; $BV$88 &amp; $BJ20),0)),"",INDIRECT(CONCATENATE("Table!",ADDRESS($BN20,MATCH(AU$1,INDIRECT("Table!A" &amp; $BJ20):INDIRECT("Table!" &amp; $BV$88 &amp; $BJ20),0)))))/1024</f>
        <v>53.8583984375</v>
      </c>
      <c r="AV20" s="709">
        <f ca="1">IF(ISERROR(MATCH(AV$1,INDIRECT("Table!A"&amp;$BJ20):INDIRECT("Table!" &amp; $BV$88 &amp; $BJ20),0)),"",INDIRECT(CONCATENATE("Table!",ADDRESS($BN20,MATCH(AV$1,INDIRECT("Table!A" &amp; $BJ20):INDIRECT("Table!" &amp; $BV$88 &amp; $BJ20),0)))))/1024</f>
        <v>32.31494140625</v>
      </c>
      <c r="AW20" s="709">
        <f ca="1">IF(ISERROR(MATCH(AW$1,INDIRECT("Table!A"&amp;$BJ20):INDIRECT("Table!" &amp; $BV$88 &amp; $BJ20),0)),"",INDIRECT(CONCATENATE("Table!",ADDRESS($BN20,MATCH(AW$1,INDIRECT("Table!A" &amp; $BJ20):INDIRECT("Table!" &amp; $BV$88 &amp; $BJ20),0)))))/1024</f>
        <v>97.9736328125</v>
      </c>
      <c r="AX20" s="709">
        <f ca="1">IF(ISERROR(MATCH(AX$1,INDIRECT("Table!A"&amp;$BJ20):INDIRECT("Table!" &amp; $BV$88 &amp; $BJ20),0)),"",INDIRECT(CONCATENATE("Table!",ADDRESS($BN20,MATCH(AX$1,INDIRECT("Table!A" &amp; $BJ20):INDIRECT("Table!" &amp; $BV$88 &amp; $BJ20),0)))))/1024</f>
        <v>202.7587890625</v>
      </c>
      <c r="AY20" s="909"/>
      <c r="AZ20" s="909"/>
      <c r="BA20" s="909"/>
      <c r="BB20" s="909"/>
      <c r="BC20" s="909"/>
      <c r="BD20" s="909"/>
      <c r="BE20" s="909"/>
      <c r="BF20" s="704">
        <f>MATCH($A20,Table!$A:$A,0)+$BH$2-1</f>
        <v>243</v>
      </c>
      <c r="BG20" s="705"/>
      <c r="BH20" s="705"/>
      <c r="BI20" s="705"/>
      <c r="BJ20" s="717">
        <f>MATCH($A20,Table!$A:$A,0)+$BL$2-1</f>
        <v>241</v>
      </c>
      <c r="BK20" s="705"/>
      <c r="BL20" s="705"/>
      <c r="BM20" s="705"/>
      <c r="BN20" s="704">
        <f>MATCH($A20,Table!$A:$A,0)+$BP$2-1</f>
        <v>242</v>
      </c>
      <c r="BO20" s="705"/>
      <c r="BP20" s="705"/>
      <c r="BQ20" s="705"/>
      <c r="BR20" s="717">
        <f>MATCH($A20,Table!$A:$A,0)+$BL$2-1</f>
        <v>241</v>
      </c>
      <c r="BS20" s="705"/>
      <c r="BT20" s="705"/>
      <c r="BU20" s="705"/>
      <c r="BV20" s="711" t="s">
        <v>284</v>
      </c>
      <c r="BW20" s="712">
        <f t="shared" ca="1" si="12"/>
        <v>3761.3149414062505</v>
      </c>
      <c r="BX20" s="712">
        <f t="shared" ca="1" si="0"/>
        <v>1854.0923828125001</v>
      </c>
      <c r="BY20" s="712">
        <f t="shared" ca="1" si="37"/>
        <v>1907.2225585937504</v>
      </c>
      <c r="BZ20" s="718">
        <f t="shared" ca="1" si="38"/>
        <v>0.49293728701146916</v>
      </c>
      <c r="CA20" s="712">
        <f ca="1">SUMIF('Alloc Feed'!A:A,A:A,'Alloc Feed'!I:I)</f>
        <v>3226.0649501953121</v>
      </c>
      <c r="CB20" s="718">
        <f t="shared" ref="CB20:CB83" ca="1" si="42">CA20/BW20</f>
        <v>0.85769604525304033</v>
      </c>
    </row>
    <row r="21" spans="1:80" s="591" customFormat="1" x14ac:dyDescent="0.25">
      <c r="A21" s="703">
        <v>41695</v>
      </c>
      <c r="B21" s="709">
        <f ca="1">IF(ISERROR(MATCH(B$1,INDIRECT("Table!A"&amp;$BJ21):INDIRECT("Table!" &amp; $BV$88 &amp; $BJ21),0)),"",INDIRECT(CONCATENATE("Table!",ADDRESS($BF21,MATCH(B$1,INDIRECT("Table!A" &amp; $BJ21):INDIRECT("Table!" &amp; $BV$88 &amp; $BJ21),0)))))/1024</f>
        <v>51.736035156249997</v>
      </c>
      <c r="C21" s="709">
        <f ca="1">IF(ISERROR(MATCH(C$1,INDIRECT("Table!A"&amp;$BJ21):INDIRECT("Table!" &amp; $BV$88 &amp; $BJ21),0)),"",INDIRECT(CONCATENATE("Table!",ADDRESS($BF21,MATCH(C$1,INDIRECT("Table!A" &amp; $BJ21):INDIRECT("Table!" &amp; $BV$88 &amp; $BJ21),0)))))/1024</f>
        <v>80.800585937500003</v>
      </c>
      <c r="D21" s="709">
        <f ca="1">IF(ISERROR(MATCH(D$1,INDIRECT("Table!A"&amp;$BJ21):INDIRECT("Table!" &amp; $BV$88 &amp; $BJ21),0)),"",INDIRECT(CONCATENATE("Table!",ADDRESS($BF21,MATCH(D$1,INDIRECT("Table!A" &amp; $BJ21):INDIRECT("Table!" &amp; $BV$88 &amp; $BJ21),0)))))/1024</f>
        <v>82.111132812500003</v>
      </c>
      <c r="E21" s="709">
        <f ca="1">IF(ISERROR(MATCH(E$1,INDIRECT("Table!A"&amp;$BJ21):INDIRECT("Table!" &amp; $BV$88 &amp; $BJ21),0)),"",INDIRECT(CONCATENATE("Table!",ADDRESS($BF21,MATCH(E$1,INDIRECT("Table!A" &amp; $BJ21):INDIRECT("Table!" &amp; $BV$88 &amp; $BJ21),0)))))/1024</f>
        <v>153.01347656249999</v>
      </c>
      <c r="F21" s="709">
        <f ca="1">IF(ISERROR(MATCH(F$1,INDIRECT("Table!A"&amp;$BJ21):INDIRECT("Table!" &amp; $BV$88 &amp; $BJ21),0)),"",INDIRECT(CONCATENATE("Table!",ADDRESS($BF21,MATCH(F$1,INDIRECT("Table!A" &amp; $BJ21):INDIRECT("Table!" &amp; $BV$88 &amp; $BJ21),0)))))/1024</f>
        <v>111.38339843750001</v>
      </c>
      <c r="G21" s="709">
        <f ca="1">IF(ISERROR(MATCH(G$1,INDIRECT("Table!A"&amp;$BJ21):INDIRECT("Table!" &amp; $BV$88 &amp; $BJ21),0)),"",INDIRECT(CONCATENATE("Table!",ADDRESS($BF21,MATCH(G$1,INDIRECT("Table!A" &amp; $BJ21):INDIRECT("Table!" &amp; $BV$88 &amp; $BJ21),0)))))/1024</f>
        <v>65.2158203125</v>
      </c>
      <c r="H21" s="709">
        <f ca="1">IF(ISERROR(MATCH(H$1,INDIRECT("Table!A"&amp;$BJ21):INDIRECT("Table!" &amp; $BV$88 &amp; $BJ21),0)),"",INDIRECT(CONCATENATE("Table!",ADDRESS($BF21,MATCH(H$1,INDIRECT("Table!A" &amp; $BJ21):INDIRECT("Table!" &amp; $BV$88 &amp; $BJ21),0)))))/1024</f>
        <v>114.57382812500001</v>
      </c>
      <c r="I21" s="709">
        <f ca="1">IF(ISERROR(MATCH(I$1,INDIRECT("Table!A"&amp;$BJ21):INDIRECT("Table!" &amp; $BV$88 &amp; $BJ21),0)),"",INDIRECT(CONCATENATE("Table!",ADDRESS($BF21,MATCH(I$1,INDIRECT("Table!A" &amp; $BJ21):INDIRECT("Table!" &amp; $BV$88 &amp; $BJ21),0)))))/1024</f>
        <v>18.826074218750001</v>
      </c>
      <c r="J21" s="709">
        <f ca="1">IF(ISERROR(MATCH(J$1,INDIRECT("Table!A"&amp;$BJ21):INDIRECT("Table!" &amp; $BV$88 &amp; $BJ21),0)),"",INDIRECT(CONCATENATE("Table!",ADDRESS($BF21,MATCH(J$1,INDIRECT("Table!A" &amp; $BJ21):INDIRECT("Table!" &amp; $BV$88 &amp; $BJ21),0)))))/1024</f>
        <v>62.265039062500001</v>
      </c>
      <c r="K21" s="709">
        <f ca="1">IF(ISERROR(MATCH(K$1,INDIRECT("Table!A"&amp;$BJ21):INDIRECT("Table!" &amp; $BV$88 &amp; $BJ21),0)),"",INDIRECT(CONCATENATE("Table!",ADDRESS($BF21,MATCH(K$1,INDIRECT("Table!A" &amp; $BJ21):INDIRECT("Table!" &amp; $BV$88 &amp; $BJ21),0)))))/1024</f>
        <v>8.0310546874999993</v>
      </c>
      <c r="L21" s="709">
        <f ca="1">IF(ISERROR(MATCH(L$1,INDIRECT("Table!A"&amp;$BJ21):INDIRECT("Table!" &amp; $BV$88 &amp; $BJ21),0)),"",INDIRECT(CONCATENATE("Table!",ADDRESS($BF21,MATCH(L$1,INDIRECT("Table!A" &amp; $BJ21):INDIRECT("Table!" &amp; $BV$88 &amp; $BJ21),0)))))/1024</f>
        <v>167.63691406250001</v>
      </c>
      <c r="M21" s="709">
        <f ca="1">IF(ISERROR(MATCH(M$1,INDIRECT("Table!A"&amp;$BJ21):INDIRECT("Table!" &amp; $BV$88 &amp; $BJ21),0)),"",INDIRECT(CONCATENATE("Table!",ADDRESS($BF21,MATCH(M$1,INDIRECT("Table!A" &amp; $BJ21):INDIRECT("Table!" &amp; $BV$88 &amp; $BJ21),0)))))/1024</f>
        <v>65.934472656249994</v>
      </c>
      <c r="N21" s="709">
        <f ca="1">IF(ISERROR(MATCH(N$1,INDIRECT("Table!A"&amp;$BJ21):INDIRECT("Table!" &amp; $BV$88 &amp; $BJ21),0)),"",INDIRECT(CONCATENATE("Table!",ADDRESS($BF21,MATCH(N$1,INDIRECT("Table!A" &amp; $BJ21):INDIRECT("Table!" &amp; $BV$88 &amp; $BJ21),0)))))/1024</f>
        <v>57.590527343749997</v>
      </c>
      <c r="O21" s="709">
        <f ca="1">IF(ISERROR(MATCH(O$1,INDIRECT("Table!A"&amp;$BJ21):INDIRECT("Table!" &amp; $BV$88 &amp; $BJ21),0)),"",INDIRECT(CONCATENATE("Table!",ADDRESS($BF21,MATCH(O$1,INDIRECT("Table!A" &amp; $BJ21):INDIRECT("Table!" &amp; $BV$88 &amp; $BJ21),0)))))/1024</f>
        <v>210.05224609375</v>
      </c>
      <c r="P21" s="709">
        <f ca="1">IF(ISERROR(MATCH(P$1,INDIRECT("Table!A"&amp;$BJ21):INDIRECT("Table!" &amp; $BV$88 &amp; $BJ21),0)),"",INDIRECT(CONCATENATE("Table!",ADDRESS($BF21,MATCH(P$1,INDIRECT("Table!A" &amp; $BJ21):INDIRECT("Table!" &amp; $BV$88 &amp; $BJ21),0)))))/1024</f>
        <v>36.28466796875</v>
      </c>
      <c r="Q21" s="709">
        <f ca="1">IF(ISERROR(MATCH(Q$1,INDIRECT("Table!A"&amp;$BJ21):INDIRECT("Table!" &amp; $BV$88 &amp; $BJ21),0)),"",INDIRECT(CONCATENATE("Table!",ADDRESS($BF21,MATCH(Q$1,INDIRECT("Table!A" &amp; $BJ21):INDIRECT("Table!" &amp; $BV$88 &amp; $BJ21),0)))))/1024</f>
        <v>101.94287109375</v>
      </c>
      <c r="R21" s="709">
        <f ca="1">IF(ISERROR(MATCH(R$1,INDIRECT("Table!A"&amp;$BJ21):INDIRECT("Table!" &amp; $BV$88 &amp; $BJ21),0)),"",INDIRECT(CONCATENATE("Table!",ADDRESS($BF21,MATCH(R$1,INDIRECT("Table!A" &amp; $BJ21):INDIRECT("Table!" &amp; $BV$88 &amp; $BJ21),0)))))/1024</f>
        <v>57.13818359375</v>
      </c>
      <c r="S21" s="709">
        <f ca="1">IF(ISERROR(MATCH(S$1,INDIRECT("Table!A"&amp;$BJ21):INDIRECT("Table!" &amp; $BV$43 &amp; $BJ21),0)),"",INDIRECT(CONCATENATE("Table!",ADDRESS($BF21,MATCH(S$1,INDIRECT("Table!A" &amp; $BJ21):INDIRECT("Table!" &amp; $BV$43 &amp; $BJ21),0)))))/1024</f>
        <v>13.76572265625</v>
      </c>
      <c r="T21" s="709">
        <f ca="1">IF(ISERROR(MATCH(T$1,INDIRECT("Table!A"&amp;$BJ21):INDIRECT("Table!" &amp; $BV$43 &amp; $BJ21),0)),"",INDIRECT(CONCATENATE("Table!",ADDRESS($BF21,MATCH(T$1,INDIRECT("Table!A" &amp; $BJ21):INDIRECT("Table!" &amp; $BV$43 &amp; $BJ21),0)))))/1024</f>
        <v>7.14794921875</v>
      </c>
      <c r="U21" s="709">
        <f ca="1">IF(ISERROR(MATCH(U$1,INDIRECT("Table!A"&amp;$BJ21):INDIRECT("Table!" &amp; $BV$43 &amp; $BJ21),0)),"",INDIRECT(CONCATENATE("Table!",ADDRESS($BF21,MATCH(U$1,INDIRECT("Table!A" &amp; $BJ21):INDIRECT("Table!" &amp; $BV$43 &amp; $BJ21),0)))))/1024</f>
        <v>1.3867187499999999E-2</v>
      </c>
      <c r="V21" s="709">
        <f ca="1">IF(ISERROR(MATCH(V$1,INDIRECT("Table!A"&amp;$BJ21):INDIRECT("Table!" &amp; $BV$43 &amp; $BJ21),0)),"",INDIRECT(CONCATENATE("Table!",ADDRESS($BF21,MATCH(V$1,INDIRECT("Table!A" &amp; $BJ21):INDIRECT("Table!" &amp; $BV$43 &amp; $BJ21),0)))))/1024</f>
        <v>0.27714843750000001</v>
      </c>
      <c r="W21" s="909"/>
      <c r="X21" s="909"/>
      <c r="Y21" s="909"/>
      <c r="Z21" s="909"/>
      <c r="AA21" s="909"/>
      <c r="AB21" s="909"/>
      <c r="AC21" s="709" t="str">
        <f ca="1">IF(ISERROR(MATCH(AC$1,INDIRECT("Table!A"&amp;$BJ21):INDIRECT("Table!" &amp; $BV$88 &amp; $BJ21),0)),"",INDIRECT(CONCATENATE("Table!",ADDRESS($BF21,MATCH(AC$1,INDIRECT("Table!A" &amp; $BJ21):INDIRECT("Table!" &amp; $BV$88 &amp; $BJ21),0)))))</f>
        <v/>
      </c>
      <c r="AD21" s="709">
        <f ca="1">IF(ISERROR(MATCH(AD$1,INDIRECT("Table!A"&amp;$BJ21):INDIRECT("Table!" &amp; $BV$88 &amp; $BJ21),0)),"",INDIRECT(CONCATENATE("Table!",ADDRESS($BN21,MATCH(AD$1,INDIRECT("Table!A" &amp; $BJ21):INDIRECT("Table!" &amp; $BV$88 &amp; $BJ21),0)))))/1024</f>
        <v>140.0322265625</v>
      </c>
      <c r="AE21" s="709">
        <f ca="1">IF(ISERROR(MATCH(AE$1,INDIRECT("Table!A"&amp;$BJ21):INDIRECT("Table!" &amp; $BV$88 &amp; $BJ21),0)),"",INDIRECT(CONCATENATE("Table!",ADDRESS($BN21,MATCH(AE$1,INDIRECT("Table!A" &amp; $BJ21):INDIRECT("Table!" &amp; $BV$88 &amp; $BJ21),0)))))/1024</f>
        <v>146.98896484375001</v>
      </c>
      <c r="AF21" s="709">
        <f ca="1">IF(ISERROR(MATCH(AF$1,INDIRECT("Table!A"&amp;$BJ21):INDIRECT("Table!" &amp; $BV$88 &amp; $BJ21),0)),"",INDIRECT(CONCATENATE("Table!",ADDRESS($BN21,MATCH(AF$1,INDIRECT("Table!A" &amp; $BJ21):INDIRECT("Table!" &amp; $BV$88 &amp; $BJ21),0)))))/1024</f>
        <v>146.98896484375001</v>
      </c>
      <c r="AG21" s="709">
        <f ca="1">IF(ISERROR(MATCH(AG$1,INDIRECT("Table!A"&amp;$BJ21):INDIRECT("Table!" &amp; $BV$88 &amp; $BJ21),0)),"",INDIRECT(CONCATENATE("Table!",ADDRESS($BN21,MATCH(AG$1,INDIRECT("Table!A" &amp; $BJ21):INDIRECT("Table!" &amp; $BV$88 &amp; $BJ21),0)))))/1024</f>
        <v>177.73320312499999</v>
      </c>
      <c r="AH21" s="709">
        <f ca="1">IF(ISERROR(MATCH(AH$1,INDIRECT("Table!A"&amp;$BJ21):INDIRECT("Table!" &amp; $BV$88 &amp; $BJ21),0)),"",INDIRECT(CONCATENATE("Table!",ADDRESS($BN21,MATCH(AH$1,INDIRECT("Table!A" &amp; $BJ21):INDIRECT("Table!" &amp; $BV$88 &amp; $BJ21),0)))))/1024</f>
        <v>161.57568359375</v>
      </c>
      <c r="AI21" s="709">
        <f ca="1">IF(ISERROR(MATCH(AI$1,INDIRECT("Table!A"&amp;$BJ21):INDIRECT("Table!" &amp; $BV$88 &amp; $BJ21),0)),"",INDIRECT(CONCATENATE("Table!",ADDRESS($BN21,MATCH(AI$1,INDIRECT("Table!A" &amp; $BJ21):INDIRECT("Table!" &amp; $BV$88 &amp; $BJ21),0)))))/1024</f>
        <v>129.03603515624999</v>
      </c>
      <c r="AJ21" s="709">
        <f ca="1">IF(ISERROR(MATCH(AJ$1,INDIRECT("Table!A"&amp;$BJ21):INDIRECT("Table!" &amp; $BV$88 &amp; $BJ21),0)),"",INDIRECT(CONCATENATE("Table!",ADDRESS($BN21,MATCH(AJ$1,INDIRECT("Table!A" &amp; $BJ21):INDIRECT("Table!" &amp; $BV$88 &amp; $BJ21),0)))))/1024</f>
        <v>166.96152343750001</v>
      </c>
      <c r="AK21" s="709">
        <f ca="1">IF(ISERROR(MATCH(AK$1,INDIRECT("Table!A"&amp;$BJ21):INDIRECT("Table!" &amp; $BV$88 &amp; $BJ21),0)),"",INDIRECT(CONCATENATE("Table!",ADDRESS($BN21,MATCH(AK$1,INDIRECT("Table!A" &amp; $BJ21):INDIRECT("Table!" &amp; $BV$88 &amp; $BJ21),0)))))/1024</f>
        <v>161.57568359375</v>
      </c>
      <c r="AL21" s="709">
        <f ca="1">IF(ISERROR(MATCH(AL$1,INDIRECT("Table!A"&amp;$BJ21):INDIRECT("Table!" &amp; $BV$88 &amp; $BJ21),0)),"",INDIRECT(CONCATENATE("Table!",ADDRESS($BN21,MATCH(AL$1,INDIRECT("Table!A" &amp; $BJ21):INDIRECT("Table!" &amp; $BV$88 &amp; $BJ21),0)))))/1024</f>
        <v>118.53769531250001</v>
      </c>
      <c r="AM21" s="709">
        <f ca="1">IF(ISERROR(MATCH(AM$1,INDIRECT("Table!A"&amp;$BJ21):INDIRECT("Table!" &amp; $BV$88 &amp; $BJ21),0)),"",INDIRECT(CONCATENATE("Table!",ADDRESS($BN21,MATCH(AM$1,INDIRECT("Table!A" &amp; $BJ21):INDIRECT("Table!" &amp; $BV$88 &amp; $BJ21),0)))))/1024</f>
        <v>81.246191406250006</v>
      </c>
      <c r="AN21" s="709">
        <f ca="1">IF(ISERROR(MATCH(AN$1,INDIRECT("Table!A"&amp;$BJ21):INDIRECT("Table!" &amp; $BV$88 &amp; $BJ21),0)),"",INDIRECT(CONCATENATE("Table!",ADDRESS($BN21,MATCH(AN$1,INDIRECT("Table!A" &amp; $BJ21):INDIRECT("Table!" &amp; $BV$88 &amp; $BJ21),0)))))/1024</f>
        <v>188.50498046875001</v>
      </c>
      <c r="AO21" s="709">
        <f ca="1">IF(ISERROR(MATCH(AO$1,INDIRECT("Table!A"&amp;$BJ21):INDIRECT("Table!" &amp; $BV$88 &amp; $BJ21),0)),"",INDIRECT(CONCATENATE("Table!",ADDRESS($BN21,MATCH(AO$1,INDIRECT("Table!A" &amp; $BJ21):INDIRECT("Table!" &amp; $BV$88 &amp; $BJ21),0)))))/1024</f>
        <v>129.03603515624999</v>
      </c>
      <c r="AP21" s="709">
        <f ca="1">IF(ISERROR(MATCH(AP$1,INDIRECT("Table!A"&amp;$BJ21):INDIRECT("Table!" &amp; $BV$88 &amp; $BJ21),0)),"",INDIRECT(CONCATENATE("Table!",ADDRESS($BN21,MATCH(AP$1,INDIRECT("Table!A" &amp; $BJ21):INDIRECT("Table!" &amp; $BV$88 &amp; $BJ21),0)))))/1024</f>
        <v>80.787695312500006</v>
      </c>
      <c r="AQ21" s="709">
        <f ca="1">IF(ISERROR(MATCH(AQ$1,INDIRECT("Table!A"&amp;$BJ21):INDIRECT("Table!" &amp; $BV$88 &amp; $BJ21),0)),"",INDIRECT(CONCATENATE("Table!",ADDRESS($BN21,MATCH(AQ$1,INDIRECT("Table!A" &amp; $BJ21):INDIRECT("Table!" &amp; $BV$88 &amp; $BJ21),0)))))/1024</f>
        <v>269.2919921875</v>
      </c>
      <c r="AR21" s="709">
        <f ca="1">IF(ISERROR(MATCH(AR$1,INDIRECT("Table!A"&amp;$BJ21):INDIRECT("Table!" &amp; $BV$88 &amp; $BJ21),0)),"",INDIRECT(CONCATENATE("Table!",ADDRESS($BN21,MATCH(AR$1,INDIRECT("Table!A" &amp; $BJ21):INDIRECT("Table!" &amp; $BV$88 &amp; $BJ21),0)))))/1024</f>
        <v>80.787695312500006</v>
      </c>
      <c r="AS21" s="709">
        <f ca="1">IF(ISERROR(MATCH(AS$1,INDIRECT("Table!A"&amp;$BJ21):INDIRECT("Table!" &amp; $BV$88 &amp; $BJ21),0)),"",INDIRECT(CONCATENATE("Table!",ADDRESS($BN21,MATCH(AS$1,INDIRECT("Table!A" &amp; $BJ21):INDIRECT("Table!" &amp; $BV$88 &amp; $BJ21),0)))))/1024</f>
        <v>184.55234375000001</v>
      </c>
      <c r="AT21" s="709">
        <f ca="1">IF(ISERROR(MATCH(AT$1,INDIRECT("Table!A"&amp;$BJ21):INDIRECT("Table!" &amp; $BV$88 &amp; $BJ21),0)),"",INDIRECT(CONCATENATE("Table!",ADDRESS($BN21,MATCH(AT$1,INDIRECT("Table!A" &amp; $BJ21):INDIRECT("Table!" &amp; $BV$88 &amp; $BJ21),0)))))/1024</f>
        <v>81.246191406250006</v>
      </c>
      <c r="AU21" s="709">
        <f ca="1">IF(ISERROR(MATCH(AU$1,INDIRECT("Table!A"&amp;$BJ21):INDIRECT("Table!" &amp; $BV$88 &amp; $BJ21),0)),"",INDIRECT(CONCATENATE("Table!",ADDRESS($BN21,MATCH(AU$1,INDIRECT("Table!A" &amp; $BJ21):INDIRECT("Table!" &amp; $BV$88 &amp; $BJ21),0)))))/1024</f>
        <v>53.8583984375</v>
      </c>
      <c r="AV21" s="709">
        <f ca="1">IF(ISERROR(MATCH(AV$1,INDIRECT("Table!A"&amp;$BJ21):INDIRECT("Table!" &amp; $BV$88 &amp; $BJ21),0)),"",INDIRECT(CONCATENATE("Table!",ADDRESS($BN21,MATCH(AV$1,INDIRECT("Table!A" &amp; $BJ21):INDIRECT("Table!" &amp; $BV$88 &amp; $BJ21),0)))))/1024</f>
        <v>32.31494140625</v>
      </c>
      <c r="AW21" s="709">
        <f ca="1">IF(ISERROR(MATCH(AW$1,INDIRECT("Table!A"&amp;$BJ21):INDIRECT("Table!" &amp; $BV$88 &amp; $BJ21),0)),"",INDIRECT(CONCATENATE("Table!",ADDRESS($BN21,MATCH(AW$1,INDIRECT("Table!A" &amp; $BJ21):INDIRECT("Table!" &amp; $BV$88 &amp; $BJ21),0)))))/1024</f>
        <v>97.9736328125</v>
      </c>
      <c r="AX21" s="709">
        <f ca="1">IF(ISERROR(MATCH(AX$1,INDIRECT("Table!A"&amp;$BJ21):INDIRECT("Table!" &amp; $BV$88 &amp; $BJ21),0)),"",INDIRECT(CONCATENATE("Table!",ADDRESS($BN21,MATCH(AX$1,INDIRECT("Table!A" &amp; $BJ21):INDIRECT("Table!" &amp; $BV$88 &amp; $BJ21),0)))))/1024</f>
        <v>202.7587890625</v>
      </c>
      <c r="AY21" s="909"/>
      <c r="AZ21" s="909"/>
      <c r="BA21" s="909"/>
      <c r="BB21" s="909"/>
      <c r="BC21" s="909"/>
      <c r="BD21" s="909"/>
      <c r="BE21" s="909"/>
      <c r="BF21" s="704">
        <f>MATCH($A21,Table!$A:$A,0)+$BH$2-1</f>
        <v>257</v>
      </c>
      <c r="BG21" s="705"/>
      <c r="BH21" s="705"/>
      <c r="BI21" s="705"/>
      <c r="BJ21" s="717">
        <f>MATCH($A21,Table!$A:$A,0)+$BL$2-1</f>
        <v>255</v>
      </c>
      <c r="BK21" s="705"/>
      <c r="BL21" s="705"/>
      <c r="BM21" s="705"/>
      <c r="BN21" s="704">
        <f>MATCH($A21,Table!$A:$A,0)+$BP$2-1</f>
        <v>256</v>
      </c>
      <c r="BO21" s="705"/>
      <c r="BP21" s="705"/>
      <c r="BQ21" s="705"/>
      <c r="BR21" s="717">
        <f>MATCH($A21,Table!$A:$A,0)+$BL$2-1</f>
        <v>255</v>
      </c>
      <c r="BS21" s="705"/>
      <c r="BT21" s="705"/>
      <c r="BU21" s="705"/>
      <c r="BV21" s="711" t="s">
        <v>284</v>
      </c>
      <c r="BW21" s="712">
        <f t="shared" ca="1" si="12"/>
        <v>2831.7888671875003</v>
      </c>
      <c r="BX21" s="712">
        <f t="shared" ca="1" si="0"/>
        <v>1465.7410156250003</v>
      </c>
      <c r="BY21" s="712">
        <f t="shared" ref="BY21:BY84" ca="1" si="43">BW21-BX21</f>
        <v>1366.0478515625</v>
      </c>
      <c r="BZ21" s="718">
        <f t="shared" ref="BZ21:BZ84" ca="1" si="44">BX21/BW21</f>
        <v>0.51760250653176598</v>
      </c>
      <c r="CA21" s="712">
        <f ca="1">SUMIF('Alloc Feed'!A:A,A:A,'Alloc Feed'!I:I)</f>
        <v>3182.1077285156248</v>
      </c>
      <c r="CB21" s="718">
        <f t="shared" ca="1" si="42"/>
        <v>1.123709385748118</v>
      </c>
    </row>
    <row r="22" spans="1:80" s="591" customFormat="1" x14ac:dyDescent="0.25">
      <c r="A22" s="703">
        <v>41690</v>
      </c>
      <c r="B22" s="709">
        <f ca="1">IF(ISERROR(MATCH(B$1,INDIRECT("Table!A"&amp;$BJ22):INDIRECT("Table!" &amp; $BV$88 &amp; $BJ22),0)),"",INDIRECT(CONCATENATE("Table!",ADDRESS($BF22,MATCH(B$1,INDIRECT("Table!A" &amp; $BJ22):INDIRECT("Table!" &amp; $BV$88 &amp; $BJ22),0)))))/1024</f>
        <v>51.684863281250003</v>
      </c>
      <c r="C22" s="709">
        <f ca="1">IF(ISERROR(MATCH(C$1,INDIRECT("Table!A"&amp;$BJ22):INDIRECT("Table!" &amp; $BV$88 &amp; $BJ22),0)),"",INDIRECT(CONCATENATE("Table!",ADDRESS($BF22,MATCH(C$1,INDIRECT("Table!A" &amp; $BJ22):INDIRECT("Table!" &amp; $BV$88 &amp; $BJ22),0)))))/1024</f>
        <v>80.777929687500006</v>
      </c>
      <c r="D22" s="709">
        <f ca="1">IF(ISERROR(MATCH(D$1,INDIRECT("Table!A"&amp;$BJ22):INDIRECT("Table!" &amp; $BV$88 &amp; $BJ22),0)),"",INDIRECT(CONCATENATE("Table!",ADDRESS($BF22,MATCH(D$1,INDIRECT("Table!A" &amp; $BJ22):INDIRECT("Table!" &amp; $BV$88 &amp; $BJ22),0)))))/1024</f>
        <v>82.088476562500006</v>
      </c>
      <c r="E22" s="709">
        <f ca="1">IF(ISERROR(MATCH(E$1,INDIRECT("Table!A"&amp;$BJ22):INDIRECT("Table!" &amp; $BV$88 &amp; $BJ22),0)),"",INDIRECT(CONCATENATE("Table!",ADDRESS($BF22,MATCH(E$1,INDIRECT("Table!A" &amp; $BJ22):INDIRECT("Table!" &amp; $BV$88 &amp; $BJ22),0)))))/1024</f>
        <v>152.8251953125</v>
      </c>
      <c r="F22" s="709">
        <f ca="1">IF(ISERROR(MATCH(F$1,INDIRECT("Table!A"&amp;$BJ22):INDIRECT("Table!" &amp; $BV$88 &amp; $BJ22),0)),"",INDIRECT(CONCATENATE("Table!",ADDRESS($BF22,MATCH(F$1,INDIRECT("Table!A" &amp; $BJ22):INDIRECT("Table!" &amp; $BV$88 &amp; $BJ22),0)))))/1024</f>
        <v>109.97724609375</v>
      </c>
      <c r="G22" s="709">
        <f ca="1">IF(ISERROR(MATCH(G$1,INDIRECT("Table!A"&amp;$BJ22):INDIRECT("Table!" &amp; $BV$88 &amp; $BJ22),0)),"",INDIRECT(CONCATENATE("Table!",ADDRESS($BF22,MATCH(G$1,INDIRECT("Table!A" &amp; $BJ22):INDIRECT("Table!" &amp; $BV$88 &amp; $BJ22),0)))))/1024</f>
        <v>65.286328124999997</v>
      </c>
      <c r="H22" s="709">
        <f ca="1">IF(ISERROR(MATCH(H$1,INDIRECT("Table!A"&amp;$BJ22):INDIRECT("Table!" &amp; $BV$88 &amp; $BJ22),0)),"",INDIRECT(CONCATENATE("Table!",ADDRESS($BF22,MATCH(H$1,INDIRECT("Table!A" &amp; $BJ22):INDIRECT("Table!" &amp; $BV$88 &amp; $BJ22),0)))))/1024</f>
        <v>113.89873046875</v>
      </c>
      <c r="I22" s="709">
        <f ca="1">IF(ISERROR(MATCH(I$1,INDIRECT("Table!A"&amp;$BJ22):INDIRECT("Table!" &amp; $BV$88 &amp; $BJ22),0)),"",INDIRECT(CONCATENATE("Table!",ADDRESS($BF22,MATCH(I$1,INDIRECT("Table!A" &amp; $BJ22):INDIRECT("Table!" &amp; $BV$88 &amp; $BJ22),0)))))/1024</f>
        <v>18.620019531250001</v>
      </c>
      <c r="J22" s="709">
        <f ca="1">IF(ISERROR(MATCH(J$1,INDIRECT("Table!A"&amp;$BJ22):INDIRECT("Table!" &amp; $BV$88 &amp; $BJ22),0)),"",INDIRECT(CONCATENATE("Table!",ADDRESS($BF22,MATCH(J$1,INDIRECT("Table!A" &amp; $BJ22):INDIRECT("Table!" &amp; $BV$88 &amp; $BJ22),0)))))/1024</f>
        <v>59.657910156249997</v>
      </c>
      <c r="K22" s="709">
        <f ca="1">IF(ISERROR(MATCH(K$1,INDIRECT("Table!A"&amp;$BJ22):INDIRECT("Table!" &amp; $BV$88 &amp; $BJ22),0)),"",INDIRECT(CONCATENATE("Table!",ADDRESS($BF22,MATCH(K$1,INDIRECT("Table!A" &amp; $BJ22):INDIRECT("Table!" &amp; $BV$88 &amp; $BJ22),0)))))/1024</f>
        <v>4.3580078125000004</v>
      </c>
      <c r="L22" s="709">
        <f ca="1">IF(ISERROR(MATCH(L$1,INDIRECT("Table!A"&amp;$BJ22):INDIRECT("Table!" &amp; $BV$88 &amp; $BJ22),0)),"",INDIRECT(CONCATENATE("Table!",ADDRESS($BF22,MATCH(L$1,INDIRECT("Table!A" &amp; $BJ22):INDIRECT("Table!" &amp; $BV$88 &amp; $BJ22),0)))))/1024</f>
        <v>168.43896484375</v>
      </c>
      <c r="M22" s="709">
        <f ca="1">IF(ISERROR(MATCH(M$1,INDIRECT("Table!A"&amp;$BJ22):INDIRECT("Table!" &amp; $BV$88 &amp; $BJ22),0)),"",INDIRECT(CONCATENATE("Table!",ADDRESS($BF22,MATCH(M$1,INDIRECT("Table!A" &amp; $BJ22):INDIRECT("Table!" &amp; $BV$88 &amp; $BJ22),0)))))/1024</f>
        <v>64.976660156250006</v>
      </c>
      <c r="N22" s="709">
        <f ca="1">IF(ISERROR(MATCH(N$1,INDIRECT("Table!A"&amp;$BJ22):INDIRECT("Table!" &amp; $BV$88 &amp; $BJ22),0)),"",INDIRECT(CONCATENATE("Table!",ADDRESS($BF22,MATCH(N$1,INDIRECT("Table!A" &amp; $BJ22):INDIRECT("Table!" &amp; $BV$88 &amp; $BJ22),0)))))/1024</f>
        <v>57.289160156249999</v>
      </c>
      <c r="O22" s="709">
        <f ca="1">IF(ISERROR(MATCH(O$1,INDIRECT("Table!A"&amp;$BJ22):INDIRECT("Table!" &amp; $BV$88 &amp; $BJ22),0)),"",INDIRECT(CONCATENATE("Table!",ADDRESS($BF22,MATCH(O$1,INDIRECT("Table!A" &amp; $BJ22):INDIRECT("Table!" &amp; $BV$88 &amp; $BJ22),0)))))/1024</f>
        <v>209.61386718750001</v>
      </c>
      <c r="P22" s="709">
        <f ca="1">IF(ISERROR(MATCH(P$1,INDIRECT("Table!A"&amp;$BJ22):INDIRECT("Table!" &amp; $BV$88 &amp; $BJ22),0)),"",INDIRECT(CONCATENATE("Table!",ADDRESS($BF22,MATCH(P$1,INDIRECT("Table!A" &amp; $BJ22):INDIRECT("Table!" &amp; $BV$88 &amp; $BJ22),0)))))/1024</f>
        <v>35.326171875</v>
      </c>
      <c r="Q22" s="709">
        <f ca="1">IF(ISERROR(MATCH(Q$1,INDIRECT("Table!A"&amp;$BJ22):INDIRECT("Table!" &amp; $BV$88 &amp; $BJ22),0)),"",INDIRECT(CONCATENATE("Table!",ADDRESS($BF22,MATCH(Q$1,INDIRECT("Table!A" &amp; $BJ22):INDIRECT("Table!" &amp; $BV$88 &amp; $BJ22),0)))))/1024</f>
        <v>98.302539062500003</v>
      </c>
      <c r="R22" s="709">
        <f ca="1">IF(ISERROR(MATCH(R$1,INDIRECT("Table!A"&amp;$BJ22):INDIRECT("Table!" &amp; $BV$88 &amp; $BJ22),0)),"",INDIRECT(CONCATENATE("Table!",ADDRESS($BF22,MATCH(R$1,INDIRECT("Table!A" &amp; $BJ22):INDIRECT("Table!" &amp; $BV$88 &amp; $BJ22),0)))))/1024</f>
        <v>49.472558593750001</v>
      </c>
      <c r="S22" s="709">
        <f ca="1">IF(ISERROR(MATCH(S$1,INDIRECT("Table!A"&amp;$BJ22):INDIRECT("Table!" &amp; $BV$43 &amp; $BJ22),0)),"",INDIRECT(CONCATENATE("Table!",ADDRESS($BF22,MATCH(S$1,INDIRECT("Table!A" &amp; $BJ22):INDIRECT("Table!" &amp; $BV$43 &amp; $BJ22),0)))))/1024</f>
        <v>13.76572265625</v>
      </c>
      <c r="T22" s="709">
        <f ca="1">IF(ISERROR(MATCH(T$1,INDIRECT("Table!A"&amp;$BJ22):INDIRECT("Table!" &amp; $BV$43 &amp; $BJ22),0)),"",INDIRECT(CONCATENATE("Table!",ADDRESS($BF22,MATCH(T$1,INDIRECT("Table!A" &amp; $BJ22):INDIRECT("Table!" &amp; $BV$43 &amp; $BJ22),0)))))/1024</f>
        <v>7.14794921875</v>
      </c>
      <c r="U22" s="709">
        <f ca="1">IF(ISERROR(MATCH(U$1,INDIRECT("Table!A"&amp;$BJ22):INDIRECT("Table!" &amp; $BV$43 &amp; $BJ22),0)),"",INDIRECT(CONCATENATE("Table!",ADDRESS($BF22,MATCH(U$1,INDIRECT("Table!A" &amp; $BJ22):INDIRECT("Table!" &amp; $BV$43 &amp; $BJ22),0)))))/1024</f>
        <v>3.0273437500000001E-3</v>
      </c>
      <c r="V22" s="909"/>
      <c r="W22" s="909"/>
      <c r="X22" s="909"/>
      <c r="Y22" s="909"/>
      <c r="Z22" s="909"/>
      <c r="AA22" s="909"/>
      <c r="AB22" s="909"/>
      <c r="AC22" s="709" t="str">
        <f ca="1">IF(ISERROR(MATCH(AC$1,INDIRECT("Table!A"&amp;$BJ22):INDIRECT("Table!" &amp; $BV$88 &amp; $BJ22),0)),"",INDIRECT(CONCATENATE("Table!",ADDRESS($BF22,MATCH(AC$1,INDIRECT("Table!A" &amp; $BJ22):INDIRECT("Table!" &amp; $BV$88 &amp; $BJ22),0)))))</f>
        <v/>
      </c>
      <c r="AD22" s="709">
        <f ca="1">IF(ISERROR(MATCH(AD$1,INDIRECT("Table!A"&amp;$BJ22):INDIRECT("Table!" &amp; $BV$88 &amp; $BJ22),0)),"",INDIRECT(CONCATENATE("Table!",ADDRESS($BN22,MATCH(AD$1,INDIRECT("Table!A" &amp; $BJ22):INDIRECT("Table!" &amp; $BV$88 &amp; $BJ22),0)))))/1024</f>
        <v>140.0322265625</v>
      </c>
      <c r="AE22" s="709">
        <f ca="1">IF(ISERROR(MATCH(AE$1,INDIRECT("Table!A"&amp;$BJ22):INDIRECT("Table!" &amp; $BV$88 &amp; $BJ22),0)),"",INDIRECT(CONCATENATE("Table!",ADDRESS($BN22,MATCH(AE$1,INDIRECT("Table!A" &amp; $BJ22):INDIRECT("Table!" &amp; $BV$88 &amp; $BJ22),0)))))/1024</f>
        <v>146.98896484375001</v>
      </c>
      <c r="AF22" s="709">
        <f ca="1">IF(ISERROR(MATCH(AF$1,INDIRECT("Table!A"&amp;$BJ22):INDIRECT("Table!" &amp; $BV$88 &amp; $BJ22),0)),"",INDIRECT(CONCATENATE("Table!",ADDRESS($BN22,MATCH(AF$1,INDIRECT("Table!A" &amp; $BJ22):INDIRECT("Table!" &amp; $BV$88 &amp; $BJ22),0)))))/1024</f>
        <v>146.98896484375001</v>
      </c>
      <c r="AG22" s="709">
        <f ca="1">IF(ISERROR(MATCH(AG$1,INDIRECT("Table!A"&amp;$BJ22):INDIRECT("Table!" &amp; $BV$88 &amp; $BJ22),0)),"",INDIRECT(CONCATENATE("Table!",ADDRESS($BN22,MATCH(AG$1,INDIRECT("Table!A" &amp; $BJ22):INDIRECT("Table!" &amp; $BV$88 &amp; $BJ22),0)))))/1024</f>
        <v>177.73320312499999</v>
      </c>
      <c r="AH22" s="709">
        <f ca="1">IF(ISERROR(MATCH(AH$1,INDIRECT("Table!A"&amp;$BJ22):INDIRECT("Table!" &amp; $BV$88 &amp; $BJ22),0)),"",INDIRECT(CONCATENATE("Table!",ADDRESS($BN22,MATCH(AH$1,INDIRECT("Table!A" &amp; $BJ22):INDIRECT("Table!" &amp; $BV$88 &amp; $BJ22),0)))))/1024</f>
        <v>161.57568359375</v>
      </c>
      <c r="AI22" s="709">
        <f ca="1">IF(ISERROR(MATCH(AI$1,INDIRECT("Table!A"&amp;$BJ22):INDIRECT("Table!" &amp; $BV$88 &amp; $BJ22),0)),"",INDIRECT(CONCATENATE("Table!",ADDRESS($BN22,MATCH(AI$1,INDIRECT("Table!A" &amp; $BJ22):INDIRECT("Table!" &amp; $BV$88 &amp; $BJ22),0)))))/1024</f>
        <v>129.03603515624999</v>
      </c>
      <c r="AJ22" s="709">
        <f ca="1">IF(ISERROR(MATCH(AJ$1,INDIRECT("Table!A"&amp;$BJ22):INDIRECT("Table!" &amp; $BV$88 &amp; $BJ22),0)),"",INDIRECT(CONCATENATE("Table!",ADDRESS($BN22,MATCH(AJ$1,INDIRECT("Table!A" &amp; $BJ22):INDIRECT("Table!" &amp; $BV$88 &amp; $BJ22),0)))))/1024</f>
        <v>166.96152343750001</v>
      </c>
      <c r="AK22" s="709">
        <f ca="1">IF(ISERROR(MATCH(AK$1,INDIRECT("Table!A"&amp;$BJ22):INDIRECT("Table!" &amp; $BV$88 &amp; $BJ22),0)),"",INDIRECT(CONCATENATE("Table!",ADDRESS($BN22,MATCH(AK$1,INDIRECT("Table!A" &amp; $BJ22):INDIRECT("Table!" &amp; $BV$88 &amp; $BJ22),0)))))/1024</f>
        <v>161.57568359375</v>
      </c>
      <c r="AL22" s="709">
        <f ca="1">IF(ISERROR(MATCH(AL$1,INDIRECT("Table!A"&amp;$BJ22):INDIRECT("Table!" &amp; $BV$88 &amp; $BJ22),0)),"",INDIRECT(CONCATENATE("Table!",ADDRESS($BN22,MATCH(AL$1,INDIRECT("Table!A" &amp; $BJ22):INDIRECT("Table!" &amp; $BV$88 &amp; $BJ22),0)))))/1024</f>
        <v>118.53769531250001</v>
      </c>
      <c r="AM22" s="709">
        <f ca="1">IF(ISERROR(MATCH(AM$1,INDIRECT("Table!A"&amp;$BJ22):INDIRECT("Table!" &amp; $BV$88 &amp; $BJ22),0)),"",INDIRECT(CONCATENATE("Table!",ADDRESS($BN22,MATCH(AM$1,INDIRECT("Table!A" &amp; $BJ22):INDIRECT("Table!" &amp; $BV$88 &amp; $BJ22),0)))))/1024</f>
        <v>81.246191406250006</v>
      </c>
      <c r="AN22" s="709">
        <f ca="1">IF(ISERROR(MATCH(AN$1,INDIRECT("Table!A"&amp;$BJ22):INDIRECT("Table!" &amp; $BV$88 &amp; $BJ22),0)),"",INDIRECT(CONCATENATE("Table!",ADDRESS($BN22,MATCH(AN$1,INDIRECT("Table!A" &amp; $BJ22):INDIRECT("Table!" &amp; $BV$88 &amp; $BJ22),0)))))/1024</f>
        <v>188.50498046875001</v>
      </c>
      <c r="AO22" s="709">
        <f ca="1">IF(ISERROR(MATCH(AO$1,INDIRECT("Table!A"&amp;$BJ22):INDIRECT("Table!" &amp; $BV$88 &amp; $BJ22),0)),"",INDIRECT(CONCATENATE("Table!",ADDRESS($BN22,MATCH(AO$1,INDIRECT("Table!A" &amp; $BJ22):INDIRECT("Table!" &amp; $BV$88 &amp; $BJ22),0)))))/1024</f>
        <v>129.03603515624999</v>
      </c>
      <c r="AP22" s="709">
        <f ca="1">IF(ISERROR(MATCH(AP$1,INDIRECT("Table!A"&amp;$BJ22):INDIRECT("Table!" &amp; $BV$88 &amp; $BJ22),0)),"",INDIRECT(CONCATENATE("Table!",ADDRESS($BN22,MATCH(AP$1,INDIRECT("Table!A" &amp; $BJ22):INDIRECT("Table!" &amp; $BV$88 &amp; $BJ22),0)))))/1024</f>
        <v>80.787695312500006</v>
      </c>
      <c r="AQ22" s="709">
        <f ca="1">IF(ISERROR(MATCH(AQ$1,INDIRECT("Table!A"&amp;$BJ22):INDIRECT("Table!" &amp; $BV$88 &amp; $BJ22),0)),"",INDIRECT(CONCATENATE("Table!",ADDRESS($BN22,MATCH(AQ$1,INDIRECT("Table!A" &amp; $BJ22):INDIRECT("Table!" &amp; $BV$88 &amp; $BJ22),0)))))/1024</f>
        <v>269.2919921875</v>
      </c>
      <c r="AR22" s="709">
        <f ca="1">IF(ISERROR(MATCH(AR$1,INDIRECT("Table!A"&amp;$BJ22):INDIRECT("Table!" &amp; $BV$88 &amp; $BJ22),0)),"",INDIRECT(CONCATENATE("Table!",ADDRESS($BN22,MATCH(AR$1,INDIRECT("Table!A" &amp; $BJ22):INDIRECT("Table!" &amp; $BV$88 &amp; $BJ22),0)))))/1024</f>
        <v>80.787695312500006</v>
      </c>
      <c r="AS22" s="709">
        <f ca="1">IF(ISERROR(MATCH(AS$1,INDIRECT("Table!A"&amp;$BJ22):INDIRECT("Table!" &amp; $BV$88 &amp; $BJ22),0)),"",INDIRECT(CONCATENATE("Table!",ADDRESS($BN22,MATCH(AS$1,INDIRECT("Table!A" &amp; $BJ22):INDIRECT("Table!" &amp; $BV$88 &amp; $BJ22),0)))))/1024</f>
        <v>184.55234375000001</v>
      </c>
      <c r="AT22" s="709">
        <f ca="1">IF(ISERROR(MATCH(AT$1,INDIRECT("Table!A"&amp;$BJ22):INDIRECT("Table!" &amp; $BV$88 &amp; $BJ22),0)),"",INDIRECT(CONCATENATE("Table!",ADDRESS($BN22,MATCH(AT$1,INDIRECT("Table!A" &amp; $BJ22):INDIRECT("Table!" &amp; $BV$88 &amp; $BJ22),0)))))/1024</f>
        <v>81.246191406250006</v>
      </c>
      <c r="AU22" s="709">
        <f ca="1">IF(ISERROR(MATCH(AU$1,INDIRECT("Table!A"&amp;$BJ22):INDIRECT("Table!" &amp; $BV$88 &amp; $BJ22),0)),"",INDIRECT(CONCATENATE("Table!",ADDRESS($BN22,MATCH(AU$1,INDIRECT("Table!A" &amp; $BJ22):INDIRECT("Table!" &amp; $BV$88 &amp; $BJ22),0)))))/1024</f>
        <v>53.8583984375</v>
      </c>
      <c r="AV22" s="709">
        <f ca="1">IF(ISERROR(MATCH(AV$1,INDIRECT("Table!A"&amp;$BJ22):INDIRECT("Table!" &amp; $BV$88 &amp; $BJ22),0)),"",INDIRECT(CONCATENATE("Table!",ADDRESS($BN22,MATCH(AV$1,INDIRECT("Table!A" &amp; $BJ22):INDIRECT("Table!" &amp; $BV$88 &amp; $BJ22),0)))))/1024</f>
        <v>32.31494140625</v>
      </c>
      <c r="AW22" s="709">
        <f ca="1">IF(ISERROR(MATCH(AW$1,INDIRECT("Table!A"&amp;$BJ22):INDIRECT("Table!" &amp; $BV$88 &amp; $BJ22),0)),"",INDIRECT(CONCATENATE("Table!",ADDRESS($BN22,MATCH(AW$1,INDIRECT("Table!A" &amp; $BJ22):INDIRECT("Table!" &amp; $BV$88 &amp; $BJ22),0)))))/1024</f>
        <v>97.9736328125</v>
      </c>
      <c r="AX22" s="909"/>
      <c r="AY22" s="909"/>
      <c r="AZ22" s="909"/>
      <c r="BA22" s="909"/>
      <c r="BB22" s="909"/>
      <c r="BC22" s="909"/>
      <c r="BD22" s="909"/>
      <c r="BE22" s="909"/>
      <c r="BF22" s="704">
        <f>MATCH($A22,Table!$A:$A,0)+$BH$2-1</f>
        <v>271</v>
      </c>
      <c r="BG22" s="705"/>
      <c r="BH22" s="705"/>
      <c r="BI22" s="705"/>
      <c r="BJ22" s="717">
        <f>MATCH($A22,Table!$A:$A,0)+$BL$2-1</f>
        <v>269</v>
      </c>
      <c r="BK22" s="705"/>
      <c r="BL22" s="705"/>
      <c r="BM22" s="705"/>
      <c r="BN22" s="704">
        <f>MATCH($A22,Table!$A:$A,0)+$BP$2-1</f>
        <v>270</v>
      </c>
      <c r="BO22" s="705"/>
      <c r="BP22" s="705"/>
      <c r="BQ22" s="705"/>
      <c r="BR22" s="717">
        <f>MATCH($A22,Table!$A:$A,0)+$BL$2-1</f>
        <v>269</v>
      </c>
      <c r="BS22" s="705"/>
      <c r="BT22" s="705"/>
      <c r="BU22" s="705"/>
      <c r="BV22" s="711" t="s">
        <v>284</v>
      </c>
      <c r="BW22" s="712">
        <f t="shared" ca="1" si="12"/>
        <v>2629.0300781250003</v>
      </c>
      <c r="BX22" s="712">
        <f t="shared" ref="BX22:BX53" ca="1" si="45">SUM(B22:AB22)</f>
        <v>1443.5113281250003</v>
      </c>
      <c r="BY22" s="712">
        <f t="shared" ca="1" si="43"/>
        <v>1185.51875</v>
      </c>
      <c r="BZ22" s="718">
        <f t="shared" ca="1" si="44"/>
        <v>0.54906611382495063</v>
      </c>
      <c r="CA22" s="712">
        <f ca="1">SUMIF('Alloc Feed'!A:A,A:A,'Alloc Feed'!I:I)</f>
        <v>3112.9944638671873</v>
      </c>
      <c r="CB22" s="718">
        <f t="shared" ca="1" si="42"/>
        <v>1.184084765620995</v>
      </c>
    </row>
    <row r="23" spans="1:80" s="591" customFormat="1" x14ac:dyDescent="0.25">
      <c r="A23" s="703">
        <v>41684</v>
      </c>
      <c r="B23" s="709">
        <f ca="1">IF(ISERROR(MATCH(B$1,INDIRECT("Table!A"&amp;$BJ23):INDIRECT("Table!" &amp; $BV$88 &amp; $BJ23),0)),"",INDIRECT(CONCATENATE("Table!",ADDRESS($BF23,MATCH(B$1,INDIRECT("Table!A" &amp; $BJ23):INDIRECT("Table!" &amp; $BV$88 &amp; $BJ23),0)))))/1024</f>
        <v>51.684863281250003</v>
      </c>
      <c r="C23" s="709">
        <f ca="1">IF(ISERROR(MATCH(C$1,INDIRECT("Table!A"&amp;$BJ23):INDIRECT("Table!" &amp; $BV$88 &amp; $BJ23),0)),"",INDIRECT(CONCATENATE("Table!",ADDRESS($BF23,MATCH(C$1,INDIRECT("Table!A" &amp; $BJ23):INDIRECT("Table!" &amp; $BV$88 &amp; $BJ23),0)))))/1024</f>
        <v>80.777929687500006</v>
      </c>
      <c r="D23" s="709">
        <f ca="1">IF(ISERROR(MATCH(D$1,INDIRECT("Table!A"&amp;$BJ23):INDIRECT("Table!" &amp; $BV$88 &amp; $BJ23),0)),"",INDIRECT(CONCATENATE("Table!",ADDRESS($BF23,MATCH(D$1,INDIRECT("Table!A" &amp; $BJ23):INDIRECT("Table!" &amp; $BV$88 &amp; $BJ23),0)))))/1024</f>
        <v>82.088476562500006</v>
      </c>
      <c r="E23" s="709">
        <f ca="1">IF(ISERROR(MATCH(E$1,INDIRECT("Table!A"&amp;$BJ23):INDIRECT("Table!" &amp; $BV$88 &amp; $BJ23),0)),"",INDIRECT(CONCATENATE("Table!",ADDRESS($BF23,MATCH(E$1,INDIRECT("Table!A" &amp; $BJ23):INDIRECT("Table!" &amp; $BV$88 &amp; $BJ23),0)))))/1024</f>
        <v>152.8251953125</v>
      </c>
      <c r="F23" s="709">
        <f ca="1">IF(ISERROR(MATCH(F$1,INDIRECT("Table!A"&amp;$BJ23):INDIRECT("Table!" &amp; $BV$88 &amp; $BJ23),0)),"",INDIRECT(CONCATENATE("Table!",ADDRESS($BF23,MATCH(F$1,INDIRECT("Table!A" &amp; $BJ23):INDIRECT("Table!" &amp; $BV$88 &amp; $BJ23),0)))))/1024</f>
        <v>109.97724609375</v>
      </c>
      <c r="G23" s="709">
        <f ca="1">IF(ISERROR(MATCH(G$1,INDIRECT("Table!A"&amp;$BJ23):INDIRECT("Table!" &amp; $BV$88 &amp; $BJ23),0)),"",INDIRECT(CONCATENATE("Table!",ADDRESS($BF23,MATCH(G$1,INDIRECT("Table!A" &amp; $BJ23):INDIRECT("Table!" &amp; $BV$88 &amp; $BJ23),0)))))/1024</f>
        <v>65.286328124999997</v>
      </c>
      <c r="H23" s="709">
        <f ca="1">IF(ISERROR(MATCH(H$1,INDIRECT("Table!A"&amp;$BJ23):INDIRECT("Table!" &amp; $BV$88 &amp; $BJ23),0)),"",INDIRECT(CONCATENATE("Table!",ADDRESS($BF23,MATCH(H$1,INDIRECT("Table!A" &amp; $BJ23):INDIRECT("Table!" &amp; $BV$88 &amp; $BJ23),0)))))/1024</f>
        <v>113.89873046875</v>
      </c>
      <c r="I23" s="709">
        <f ca="1">IF(ISERROR(MATCH(I$1,INDIRECT("Table!A"&amp;$BJ23):INDIRECT("Table!" &amp; $BV$88 &amp; $BJ23),0)),"",INDIRECT(CONCATENATE("Table!",ADDRESS($BF23,MATCH(I$1,INDIRECT("Table!A" &amp; $BJ23):INDIRECT("Table!" &amp; $BV$88 &amp; $BJ23),0)))))/1024</f>
        <v>18.3447265625</v>
      </c>
      <c r="J23" s="709">
        <f ca="1">IF(ISERROR(MATCH(J$1,INDIRECT("Table!A"&amp;$BJ23):INDIRECT("Table!" &amp; $BV$88 &amp; $BJ23),0)),"",INDIRECT(CONCATENATE("Table!",ADDRESS($BF23,MATCH(J$1,INDIRECT("Table!A" &amp; $BJ23):INDIRECT("Table!" &amp; $BV$88 &amp; $BJ23),0)))))/1024</f>
        <v>59.657910156249997</v>
      </c>
      <c r="K23" s="709">
        <f ca="1">IF(ISERROR(MATCH(K$1,INDIRECT("Table!A"&amp;$BJ23):INDIRECT("Table!" &amp; $BV$88 &amp; $BJ23),0)),"",INDIRECT(CONCATENATE("Table!",ADDRESS($BF23,MATCH(K$1,INDIRECT("Table!A" &amp; $BJ23):INDIRECT("Table!" &amp; $BV$88 &amp; $BJ23),0)))))/1024</f>
        <v>4.3580078125000004</v>
      </c>
      <c r="L23" s="709">
        <f ca="1">IF(ISERROR(MATCH(L$1,INDIRECT("Table!A"&amp;$BJ23):INDIRECT("Table!" &amp; $BV$88 &amp; $BJ23),0)),"",INDIRECT(CONCATENATE("Table!",ADDRESS($BF23,MATCH(L$1,INDIRECT("Table!A" &amp; $BJ23):INDIRECT("Table!" &amp; $BV$88 &amp; $BJ23),0)))))/1024</f>
        <v>167.41367187500001</v>
      </c>
      <c r="M23" s="709">
        <f ca="1">IF(ISERROR(MATCH(M$1,INDIRECT("Table!A"&amp;$BJ23):INDIRECT("Table!" &amp; $BV$88 &amp; $BJ23),0)),"",INDIRECT(CONCATENATE("Table!",ADDRESS($BF23,MATCH(M$1,INDIRECT("Table!A" &amp; $BJ23):INDIRECT("Table!" &amp; $BV$88 &amp; $BJ23),0)))))/1024</f>
        <v>66.006640625000003</v>
      </c>
      <c r="N23" s="709">
        <f ca="1">IF(ISERROR(MATCH(N$1,INDIRECT("Table!A"&amp;$BJ23):INDIRECT("Table!" &amp; $BV$88 &amp; $BJ23),0)),"",INDIRECT(CONCATENATE("Table!",ADDRESS($BF23,MATCH(N$1,INDIRECT("Table!A" &amp; $BJ23):INDIRECT("Table!" &amp; $BV$88 &amp; $BJ23),0)))))/1024</f>
        <v>56.887890624999997</v>
      </c>
      <c r="O23" s="709">
        <f ca="1">IF(ISERROR(MATCH(O$1,INDIRECT("Table!A"&amp;$BJ23):INDIRECT("Table!" &amp; $BV$88 &amp; $BJ23),0)),"",INDIRECT(CONCATENATE("Table!",ADDRESS($BF23,MATCH(O$1,INDIRECT("Table!A" &amp; $BJ23):INDIRECT("Table!" &amp; $BV$88 &amp; $BJ23),0)))))/1024</f>
        <v>208.69130859374999</v>
      </c>
      <c r="P23" s="709">
        <f ca="1">IF(ISERROR(MATCH(P$1,INDIRECT("Table!A"&amp;$BJ23):INDIRECT("Table!" &amp; $BV$88 &amp; $BJ23),0)),"",INDIRECT(CONCATENATE("Table!",ADDRESS($BF23,MATCH(P$1,INDIRECT("Table!A" &amp; $BJ23):INDIRECT("Table!" &amp; $BV$88 &amp; $BJ23),0)))))/1024</f>
        <v>35.326171875</v>
      </c>
      <c r="Q23" s="709">
        <f ca="1">IF(ISERROR(MATCH(Q$1,INDIRECT("Table!A"&amp;$BJ23):INDIRECT("Table!" &amp; $BV$88 &amp; $BJ23),0)),"",INDIRECT(CONCATENATE("Table!",ADDRESS($BF23,MATCH(Q$1,INDIRECT("Table!A" &amp; $BJ23):INDIRECT("Table!" &amp; $BV$88 &amp; $BJ23),0)))))/1024</f>
        <v>97.81201171875</v>
      </c>
      <c r="R23" s="709">
        <f ca="1">IF(ISERROR(MATCH(R$1,INDIRECT("Table!A"&amp;$BJ23):INDIRECT("Table!" &amp; $BV$88 &amp; $BJ23),0)),"",INDIRECT(CONCATENATE("Table!",ADDRESS($BF23,MATCH(R$1,INDIRECT("Table!A" &amp; $BJ23):INDIRECT("Table!" &amp; $BV$88 &amp; $BJ23),0)))))/1024</f>
        <v>45.2880859375</v>
      </c>
      <c r="S23" s="709">
        <f ca="1">IF(ISERROR(MATCH(S$1,INDIRECT("Table!A"&amp;$BJ23):INDIRECT("Table!" &amp; $BV$43 &amp; $BJ23),0)),"",INDIRECT(CONCATENATE("Table!",ADDRESS($BF23,MATCH(S$1,INDIRECT("Table!A" &amp; $BJ23):INDIRECT("Table!" &amp; $BV$43 &amp; $BJ23),0)))))/1024</f>
        <v>13.76572265625</v>
      </c>
      <c r="T23" s="709">
        <f ca="1">IF(ISERROR(MATCH(T$1,INDIRECT("Table!A"&amp;$BJ23):INDIRECT("Table!" &amp; $BV$43 &amp; $BJ23),0)),"",INDIRECT(CONCATENATE("Table!",ADDRESS($BF23,MATCH(T$1,INDIRECT("Table!A" &amp; $BJ23):INDIRECT("Table!" &amp; $BV$43 &amp; $BJ23),0)))))/1024</f>
        <v>7.14794921875</v>
      </c>
      <c r="U23" s="709"/>
      <c r="V23" s="909"/>
      <c r="W23" s="909"/>
      <c r="X23" s="909"/>
      <c r="Y23" s="909"/>
      <c r="Z23" s="909"/>
      <c r="AA23" s="909"/>
      <c r="AB23" s="909"/>
      <c r="AC23" s="709" t="str">
        <f ca="1">IF(ISERROR(MATCH(AC$1,INDIRECT("Table!A"&amp;$BJ23):INDIRECT("Table!" &amp; $BV$88 &amp; $BJ23),0)),"",INDIRECT(CONCATENATE("Table!",ADDRESS($BF23,MATCH(AC$1,INDIRECT("Table!A" &amp; $BJ23):INDIRECT("Table!" &amp; $BV$88 &amp; $BJ23),0)))))</f>
        <v/>
      </c>
      <c r="AD23" s="709">
        <f ca="1">IF(ISERROR(MATCH(AD$1,INDIRECT("Table!A"&amp;$BJ23):INDIRECT("Table!" &amp; $BV$88 &amp; $BJ23),0)),"",INDIRECT(CONCATENATE("Table!",ADDRESS($BN23,MATCH(AD$1,INDIRECT("Table!A" &amp; $BJ23):INDIRECT("Table!" &amp; $BV$88 &amp; $BJ23),0)))))/1024</f>
        <v>140.0322265625</v>
      </c>
      <c r="AE23" s="709">
        <f ca="1">IF(ISERROR(MATCH(AE$1,INDIRECT("Table!A"&amp;$BJ23):INDIRECT("Table!" &amp; $BV$88 &amp; $BJ23),0)),"",INDIRECT(CONCATENATE("Table!",ADDRESS($BN23,MATCH(AE$1,INDIRECT("Table!A" &amp; $BJ23):INDIRECT("Table!" &amp; $BV$88 &amp; $BJ23),0)))))/1024</f>
        <v>146.98896484375001</v>
      </c>
      <c r="AF23" s="709">
        <f ca="1">IF(ISERROR(MATCH(AF$1,INDIRECT("Table!A"&amp;$BJ23):INDIRECT("Table!" &amp; $BV$88 &amp; $BJ23),0)),"",INDIRECT(CONCATENATE("Table!",ADDRESS($BN23,MATCH(AF$1,INDIRECT("Table!A" &amp; $BJ23):INDIRECT("Table!" &amp; $BV$88 &amp; $BJ23),0)))))/1024</f>
        <v>146.98896484375001</v>
      </c>
      <c r="AG23" s="709">
        <f ca="1">IF(ISERROR(MATCH(AG$1,INDIRECT("Table!A"&amp;$BJ23):INDIRECT("Table!" &amp; $BV$88 &amp; $BJ23),0)),"",INDIRECT(CONCATENATE("Table!",ADDRESS($BN23,MATCH(AG$1,INDIRECT("Table!A" &amp; $BJ23):INDIRECT("Table!" &amp; $BV$88 &amp; $BJ23),0)))))/1024</f>
        <v>177.73320312499999</v>
      </c>
      <c r="AH23" s="709">
        <f ca="1">IF(ISERROR(MATCH(AH$1,INDIRECT("Table!A"&amp;$BJ23):INDIRECT("Table!" &amp; $BV$88 &amp; $BJ23),0)),"",INDIRECT(CONCATENATE("Table!",ADDRESS($BN23,MATCH(AH$1,INDIRECT("Table!A" &amp; $BJ23):INDIRECT("Table!" &amp; $BV$88 &amp; $BJ23),0)))))/1024</f>
        <v>161.57568359375</v>
      </c>
      <c r="AI23" s="709">
        <f ca="1">IF(ISERROR(MATCH(AI$1,INDIRECT("Table!A"&amp;$BJ23):INDIRECT("Table!" &amp; $BV$88 &amp; $BJ23),0)),"",INDIRECT(CONCATENATE("Table!",ADDRESS($BN23,MATCH(AI$1,INDIRECT("Table!A" &amp; $BJ23):INDIRECT("Table!" &amp; $BV$88 &amp; $BJ23),0)))))/1024</f>
        <v>129.03603515624999</v>
      </c>
      <c r="AJ23" s="709">
        <f ca="1">IF(ISERROR(MATCH(AJ$1,INDIRECT("Table!A"&amp;$BJ23):INDIRECT("Table!" &amp; $BV$88 &amp; $BJ23),0)),"",INDIRECT(CONCATENATE("Table!",ADDRESS($BN23,MATCH(AJ$1,INDIRECT("Table!A" &amp; $BJ23):INDIRECT("Table!" &amp; $BV$88 &amp; $BJ23),0)))))/1024</f>
        <v>166.96152343750001</v>
      </c>
      <c r="AK23" s="709">
        <f ca="1">IF(ISERROR(MATCH(AK$1,INDIRECT("Table!A"&amp;$BJ23):INDIRECT("Table!" &amp; $BV$88 &amp; $BJ23),0)),"",INDIRECT(CONCATENATE("Table!",ADDRESS($BN23,MATCH(AK$1,INDIRECT("Table!A" &amp; $BJ23):INDIRECT("Table!" &amp; $BV$88 &amp; $BJ23),0)))))/1024</f>
        <v>161.57568359375</v>
      </c>
      <c r="AL23" s="709">
        <f ca="1">IF(ISERROR(MATCH(AL$1,INDIRECT("Table!A"&amp;$BJ23):INDIRECT("Table!" &amp; $BV$88 &amp; $BJ23),0)),"",INDIRECT(CONCATENATE("Table!",ADDRESS($BN23,MATCH(AL$1,INDIRECT("Table!A" &amp; $BJ23):INDIRECT("Table!" &amp; $BV$88 &amp; $BJ23),0)))))/1024</f>
        <v>118.53769531250001</v>
      </c>
      <c r="AM23" s="709">
        <f ca="1">IF(ISERROR(MATCH(AM$1,INDIRECT("Table!A"&amp;$BJ23):INDIRECT("Table!" &amp; $BV$88 &amp; $BJ23),0)),"",INDIRECT(CONCATENATE("Table!",ADDRESS($BN23,MATCH(AM$1,INDIRECT("Table!A" &amp; $BJ23):INDIRECT("Table!" &amp; $BV$88 &amp; $BJ23),0)))))/1024</f>
        <v>81.246191406250006</v>
      </c>
      <c r="AN23" s="709">
        <f ca="1">IF(ISERROR(MATCH(AN$1,INDIRECT("Table!A"&amp;$BJ23):INDIRECT("Table!" &amp; $BV$88 &amp; $BJ23),0)),"",INDIRECT(CONCATENATE("Table!",ADDRESS($BN23,MATCH(AN$1,INDIRECT("Table!A" &amp; $BJ23):INDIRECT("Table!" &amp; $BV$88 &amp; $BJ23),0)))))/1024</f>
        <v>188.50498046875001</v>
      </c>
      <c r="AO23" s="709">
        <f ca="1">IF(ISERROR(MATCH(AO$1,INDIRECT("Table!A"&amp;$BJ23):INDIRECT("Table!" &amp; $BV$88 &amp; $BJ23),0)),"",INDIRECT(CONCATENATE("Table!",ADDRESS($BN23,MATCH(AO$1,INDIRECT("Table!A" &amp; $BJ23):INDIRECT("Table!" &amp; $BV$88 &amp; $BJ23),0)))))/1024</f>
        <v>129.03603515624999</v>
      </c>
      <c r="AP23" s="709">
        <f ca="1">IF(ISERROR(MATCH(AP$1,INDIRECT("Table!A"&amp;$BJ23):INDIRECT("Table!" &amp; $BV$88 &amp; $BJ23),0)),"",INDIRECT(CONCATENATE("Table!",ADDRESS($BN23,MATCH(AP$1,INDIRECT("Table!A" &amp; $BJ23):INDIRECT("Table!" &amp; $BV$88 &amp; $BJ23),0)))))/1024</f>
        <v>80.787695312500006</v>
      </c>
      <c r="AQ23" s="709">
        <f ca="1">IF(ISERROR(MATCH(AQ$1,INDIRECT("Table!A"&amp;$BJ23):INDIRECT("Table!" &amp; $BV$88 &amp; $BJ23),0)),"",INDIRECT(CONCATENATE("Table!",ADDRESS($BN23,MATCH(AQ$1,INDIRECT("Table!A" &amp; $BJ23):INDIRECT("Table!" &amp; $BV$88 &amp; $BJ23),0)))))/1024</f>
        <v>269.2919921875</v>
      </c>
      <c r="AR23" s="709">
        <f ca="1">IF(ISERROR(MATCH(AR$1,INDIRECT("Table!A"&amp;$BJ23):INDIRECT("Table!" &amp; $BV$88 &amp; $BJ23),0)),"",INDIRECT(CONCATENATE("Table!",ADDRESS($BN23,MATCH(AR$1,INDIRECT("Table!A" &amp; $BJ23):INDIRECT("Table!" &amp; $BV$88 &amp; $BJ23),0)))))/1024</f>
        <v>80.787695312500006</v>
      </c>
      <c r="AS23" s="709">
        <f ca="1">IF(ISERROR(MATCH(AS$1,INDIRECT("Table!A"&amp;$BJ23):INDIRECT("Table!" &amp; $BV$88 &amp; $BJ23),0)),"",INDIRECT(CONCATENATE("Table!",ADDRESS($BN23,MATCH(AS$1,INDIRECT("Table!A" &amp; $BJ23):INDIRECT("Table!" &amp; $BV$88 &amp; $BJ23),0)))))/1024</f>
        <v>184.55234375000001</v>
      </c>
      <c r="AT23" s="709">
        <f ca="1">IF(ISERROR(MATCH(AT$1,INDIRECT("Table!A"&amp;$BJ23):INDIRECT("Table!" &amp; $BV$88 &amp; $BJ23),0)),"",INDIRECT(CONCATENATE("Table!",ADDRESS($BN23,MATCH(AT$1,INDIRECT("Table!A" &amp; $BJ23):INDIRECT("Table!" &amp; $BV$88 &amp; $BJ23),0)))))/1024</f>
        <v>81.246191406250006</v>
      </c>
      <c r="AU23" s="709">
        <f ca="1">IF(ISERROR(MATCH(AU$1,INDIRECT("Table!A"&amp;$BJ23):INDIRECT("Table!" &amp; $BV$88 &amp; $BJ23),0)),"",INDIRECT(CONCATENATE("Table!",ADDRESS($BN23,MATCH(AU$1,INDIRECT("Table!A" &amp; $BJ23):INDIRECT("Table!" &amp; $BV$88 &amp; $BJ23),0)))))/1024</f>
        <v>53.8583984375</v>
      </c>
      <c r="AV23" s="709">
        <f ca="1">IF(ISERROR(MATCH(AV$1,INDIRECT("Table!A"&amp;$BJ23):INDIRECT("Table!" &amp; $BV$88 &amp; $BJ23),0)),"",INDIRECT(CONCATENATE("Table!",ADDRESS($BN23,MATCH(AV$1,INDIRECT("Table!A" &amp; $BJ23):INDIRECT("Table!" &amp; $BV$88 &amp; $BJ23),0)))))/1024</f>
        <v>32.31494140625</v>
      </c>
      <c r="AW23" s="709"/>
      <c r="AX23" s="909"/>
      <c r="AY23" s="909"/>
      <c r="AZ23" s="909"/>
      <c r="BA23" s="909"/>
      <c r="BB23" s="909"/>
      <c r="BC23" s="909"/>
      <c r="BD23" s="909"/>
      <c r="BE23" s="909"/>
      <c r="BF23" s="704">
        <f>MATCH($A23,Table!$A:$A,0)+$BH$2-1</f>
        <v>285</v>
      </c>
      <c r="BG23" s="705"/>
      <c r="BH23" s="705"/>
      <c r="BI23" s="705"/>
      <c r="BJ23" s="717">
        <f>MATCH($A23,Table!$A:$A,0)+$BL$2-1</f>
        <v>283</v>
      </c>
      <c r="BK23" s="705"/>
      <c r="BL23" s="705"/>
      <c r="BM23" s="705"/>
      <c r="BN23" s="704">
        <f>MATCH($A23,Table!$A:$A,0)+$BP$2-1</f>
        <v>284</v>
      </c>
      <c r="BO23" s="705"/>
      <c r="BP23" s="705"/>
      <c r="BQ23" s="705"/>
      <c r="BR23" s="717">
        <f>MATCH($A23,Table!$A:$A,0)+$BL$2-1</f>
        <v>283</v>
      </c>
      <c r="BS23" s="705"/>
      <c r="BT23" s="705"/>
      <c r="BU23" s="705"/>
      <c r="BV23" s="711" t="s">
        <v>284</v>
      </c>
      <c r="BW23" s="712">
        <f t="shared" ca="1" si="12"/>
        <v>2531.0564453125003</v>
      </c>
      <c r="BX23" s="712">
        <f t="shared" ca="1" si="45"/>
        <v>1437.2388671875001</v>
      </c>
      <c r="BY23" s="712">
        <f t="shared" ca="1" si="43"/>
        <v>1093.8175781250002</v>
      </c>
      <c r="BZ23" s="718">
        <f t="shared" ca="1" si="44"/>
        <v>0.5678414915831913</v>
      </c>
      <c r="CA23" s="712">
        <f ca="1">SUMIF('Alloc Feed'!A:A,A:A,'Alloc Feed'!I:I)</f>
        <v>3037.8556025390626</v>
      </c>
      <c r="CB23" s="718">
        <f t="shared" ca="1" si="42"/>
        <v>1.2002322619731183</v>
      </c>
    </row>
    <row r="24" spans="1:80" s="591" customFormat="1" x14ac:dyDescent="0.25">
      <c r="A24" s="703">
        <v>41676</v>
      </c>
      <c r="B24" s="709">
        <f ca="1">IF(ISERROR(MATCH(B$1,INDIRECT("Table!A"&amp;$BJ24):INDIRECT("Table!" &amp; $BV$88 &amp; $BJ24),0)),"",INDIRECT(CONCATENATE("Table!",ADDRESS($BF24,MATCH(B$1,INDIRECT("Table!A" &amp; $BJ24):INDIRECT("Table!" &amp; $BV$88 &amp; $BJ24),0)))))/1024</f>
        <v>51.081152343749999</v>
      </c>
      <c r="C24" s="709">
        <f ca="1">IF(ISERROR(MATCH(C$1,INDIRECT("Table!A"&amp;$BJ24):INDIRECT("Table!" &amp; $BV$88 &amp; $BJ24),0)),"",INDIRECT(CONCATENATE("Table!",ADDRESS($BF24,MATCH(C$1,INDIRECT("Table!A" &amp; $BJ24):INDIRECT("Table!" &amp; $BV$88 &amp; $BJ24),0)))))/1024</f>
        <v>80.741503906250003</v>
      </c>
      <c r="D24" s="709">
        <f ca="1">IF(ISERROR(MATCH(D$1,INDIRECT("Table!A"&amp;$BJ24):INDIRECT("Table!" &amp; $BV$88 &amp; $BJ24),0)),"",INDIRECT(CONCATENATE("Table!",ADDRESS($BF24,MATCH(D$1,INDIRECT("Table!A" &amp; $BJ24):INDIRECT("Table!" &amp; $BV$88 &amp; $BJ24),0)))))/1024</f>
        <v>82.052050781250003</v>
      </c>
      <c r="E24" s="709">
        <f ca="1">IF(ISERROR(MATCH(E$1,INDIRECT("Table!A"&amp;$BJ24):INDIRECT("Table!" &amp; $BV$88 &amp; $BJ24),0)),"",INDIRECT(CONCATENATE("Table!",ADDRESS($BF24,MATCH(E$1,INDIRECT("Table!A" &amp; $BJ24):INDIRECT("Table!" &amp; $BV$88 &amp; $BJ24),0)))))/1024</f>
        <v>153.62050781249999</v>
      </c>
      <c r="F24" s="709">
        <f ca="1">IF(ISERROR(MATCH(F$1,INDIRECT("Table!A"&amp;$BJ24):INDIRECT("Table!" &amp; $BV$88 &amp; $BJ24),0)),"",INDIRECT(CONCATENATE("Table!",ADDRESS($BF24,MATCH(F$1,INDIRECT("Table!A" &amp; $BJ24):INDIRECT("Table!" &amp; $BV$88 &amp; $BJ24),0)))))/1024</f>
        <v>109.57070312499999</v>
      </c>
      <c r="G24" s="709">
        <f ca="1">IF(ISERROR(MATCH(G$1,INDIRECT("Table!A"&amp;$BJ24):INDIRECT("Table!" &amp; $BV$88 &amp; $BJ24),0)),"",INDIRECT(CONCATENATE("Table!",ADDRESS($BF24,MATCH(G$1,INDIRECT("Table!A" &amp; $BJ24):INDIRECT("Table!" &amp; $BV$88 &amp; $BJ24),0)))))/1024</f>
        <v>65.405175781249994</v>
      </c>
      <c r="H24" s="709">
        <f ca="1">IF(ISERROR(MATCH(H$1,INDIRECT("Table!A"&amp;$BJ24):INDIRECT("Table!" &amp; $BV$88 &amp; $BJ24),0)),"",INDIRECT(CONCATENATE("Table!",ADDRESS($BF24,MATCH(H$1,INDIRECT("Table!A" &amp; $BJ24):INDIRECT("Table!" &amp; $BV$88 &amp; $BJ24),0)))))/1024</f>
        <v>112.3146484375</v>
      </c>
      <c r="I24" s="709">
        <f ca="1">IF(ISERROR(MATCH(I$1,INDIRECT("Table!A"&amp;$BJ24):INDIRECT("Table!" &amp; $BV$88 &amp; $BJ24),0)),"",INDIRECT(CONCATENATE("Table!",ADDRESS($BF24,MATCH(I$1,INDIRECT("Table!A" &amp; $BJ24):INDIRECT("Table!" &amp; $BV$88 &amp; $BJ24),0)))))/1024</f>
        <v>16.879785156250001</v>
      </c>
      <c r="J24" s="709">
        <f ca="1">IF(ISERROR(MATCH(J$1,INDIRECT("Table!A"&amp;$BJ24):INDIRECT("Table!" &amp; $BV$88 &amp; $BJ24),0)),"",INDIRECT(CONCATENATE("Table!",ADDRESS($BF24,MATCH(J$1,INDIRECT("Table!A" &amp; $BJ24):INDIRECT("Table!" &amp; $BV$88 &amp; $BJ24),0)))))/1024</f>
        <v>59.287695312499999</v>
      </c>
      <c r="K24" s="709">
        <f ca="1">IF(ISERROR(MATCH(K$1,INDIRECT("Table!A"&amp;$BJ24):INDIRECT("Table!" &amp; $BV$88 &amp; $BJ24),0)),"",INDIRECT(CONCATENATE("Table!",ADDRESS($BF24,MATCH(K$1,INDIRECT("Table!A" &amp; $BJ24):INDIRECT("Table!" &amp; $BV$88 &amp; $BJ24),0)))))/1024</f>
        <v>3.2283203125000002</v>
      </c>
      <c r="L24" s="709">
        <f ca="1">IF(ISERROR(MATCH(L$1,INDIRECT("Table!A"&amp;$BJ24):INDIRECT("Table!" &amp; $BV$88 &amp; $BJ24),0)),"",INDIRECT(CONCATENATE("Table!",ADDRESS($BF24,MATCH(L$1,INDIRECT("Table!A" &amp; $BJ24):INDIRECT("Table!" &amp; $BV$88 &amp; $BJ24),0)))))/1024</f>
        <v>166.14306640625</v>
      </c>
      <c r="M24" s="709">
        <f ca="1">IF(ISERROR(MATCH(M$1,INDIRECT("Table!A"&amp;$BJ24):INDIRECT("Table!" &amp; $BV$88 &amp; $BJ24),0)),"",INDIRECT(CONCATENATE("Table!",ADDRESS($BF24,MATCH(M$1,INDIRECT("Table!A" &amp; $BJ24):INDIRECT("Table!" &amp; $BV$88 &amp; $BJ24),0)))))/1024</f>
        <v>69.55322265625</v>
      </c>
      <c r="N24" s="709">
        <f ca="1">IF(ISERROR(MATCH(N$1,INDIRECT("Table!A"&amp;$BJ24):INDIRECT("Table!" &amp; $BV$88 &amp; $BJ24),0)),"",INDIRECT(CONCATENATE("Table!",ADDRESS($BF24,MATCH(N$1,INDIRECT("Table!A" &amp; $BJ24):INDIRECT("Table!" &amp; $BV$88 &amp; $BJ24),0)))))/1024</f>
        <v>56.690820312500001</v>
      </c>
      <c r="O24" s="709">
        <f ca="1">IF(ISERROR(MATCH(O$1,INDIRECT("Table!A"&amp;$BJ24):INDIRECT("Table!" &amp; $BV$88 &amp; $BJ24),0)),"",INDIRECT(CONCATENATE("Table!",ADDRESS($BF24,MATCH(O$1,INDIRECT("Table!A" &amp; $BJ24):INDIRECT("Table!" &amp; $BV$88 &amp; $BJ24),0)))))/1024</f>
        <v>205.54404296875001</v>
      </c>
      <c r="P24" s="709">
        <f ca="1">IF(ISERROR(MATCH(P$1,INDIRECT("Table!A"&amp;$BJ24):INDIRECT("Table!" &amp; $BV$88 &amp; $BJ24),0)),"",INDIRECT(CONCATENATE("Table!",ADDRESS($BF24,MATCH(P$1,INDIRECT("Table!A" &amp; $BJ24):INDIRECT("Table!" &amp; $BV$88 &amp; $BJ24),0)))))/1024</f>
        <v>32.583789062500003</v>
      </c>
      <c r="Q24" s="709">
        <f ca="1">IF(ISERROR(MATCH(Q$1,INDIRECT("Table!A"&amp;$BJ24):INDIRECT("Table!" &amp; $BV$88 &amp; $BJ24),0)),"",INDIRECT(CONCATENATE("Table!",ADDRESS($BF24,MATCH(Q$1,INDIRECT("Table!A" &amp; $BJ24):INDIRECT("Table!" &amp; $BV$88 &amp; $BJ24),0)))))/1024</f>
        <v>94.10888671875</v>
      </c>
      <c r="R24" s="709">
        <f ca="1">IF(ISERROR(MATCH(R$1,INDIRECT("Table!A"&amp;$BJ24):INDIRECT("Table!" &amp; $BV$88 &amp; $BJ24),0)),"",INDIRECT(CONCATENATE("Table!",ADDRESS($BF24,MATCH(R$1,INDIRECT("Table!A" &amp; $BJ24):INDIRECT("Table!" &amp; $BV$88 &amp; $BJ24),0)))))/1024</f>
        <v>38.130468749999999</v>
      </c>
      <c r="S24" s="709">
        <f ca="1">IF(ISERROR(MATCH(S$1,INDIRECT("Table!A"&amp;$BJ24):INDIRECT("Table!" &amp; $BV$43 &amp; $BJ24),0)),"",INDIRECT(CONCATENATE("Table!",ADDRESS($BF24,MATCH(S$1,INDIRECT("Table!A" &amp; $BJ24):INDIRECT("Table!" &amp; $BV$43 &amp; $BJ24),0)))))/1024</f>
        <v>13.76572265625</v>
      </c>
      <c r="T24" s="709">
        <f ca="1">IF(ISERROR(MATCH(T$1,INDIRECT("Table!A"&amp;$BJ24):INDIRECT("Table!" &amp; $BV$43 &amp; $BJ24),0)),"",INDIRECT(CONCATENATE("Table!",ADDRESS($BF24,MATCH(T$1,INDIRECT("Table!A" &amp; $BJ24):INDIRECT("Table!" &amp; $BV$43 &amp; $BJ24),0)))))/1024</f>
        <v>7.14794921875</v>
      </c>
      <c r="U24" s="709"/>
      <c r="V24" s="909"/>
      <c r="W24" s="909"/>
      <c r="X24" s="909"/>
      <c r="Y24" s="909"/>
      <c r="Z24" s="909"/>
      <c r="AA24" s="909"/>
      <c r="AB24" s="909"/>
      <c r="AC24" s="709" t="str">
        <f ca="1">IF(ISERROR(MATCH(AC$1,INDIRECT("Table!A"&amp;$BJ24):INDIRECT("Table!" &amp; $BV$88 &amp; $BJ24),0)),"",INDIRECT(CONCATENATE("Table!",ADDRESS($BF24,MATCH(AC$1,INDIRECT("Table!A" &amp; $BJ24):INDIRECT("Table!" &amp; $BV$88 &amp; $BJ24),0)))))</f>
        <v/>
      </c>
      <c r="AD24" s="709">
        <f ca="1">IF(ISERROR(MATCH(AD$1,INDIRECT("Table!A"&amp;$BJ24):INDIRECT("Table!" &amp; $BV$88 &amp; $BJ24),0)),"",INDIRECT(CONCATENATE("Table!",ADDRESS($BN24,MATCH(AD$1,INDIRECT("Table!A" &amp; $BJ24):INDIRECT("Table!" &amp; $BV$88 &amp; $BJ24),0)))))/1024</f>
        <v>140.0322265625</v>
      </c>
      <c r="AE24" s="709">
        <f ca="1">IF(ISERROR(MATCH(AE$1,INDIRECT("Table!A"&amp;$BJ24):INDIRECT("Table!" &amp; $BV$88 &amp; $BJ24),0)),"",INDIRECT(CONCATENATE("Table!",ADDRESS($BN24,MATCH(AE$1,INDIRECT("Table!A" &amp; $BJ24):INDIRECT("Table!" &amp; $BV$88 &amp; $BJ24),0)))))/1024</f>
        <v>146.98896484375001</v>
      </c>
      <c r="AF24" s="709">
        <f ca="1">IF(ISERROR(MATCH(AF$1,INDIRECT("Table!A"&amp;$BJ24):INDIRECT("Table!" &amp; $BV$88 &amp; $BJ24),0)),"",INDIRECT(CONCATENATE("Table!",ADDRESS($BN24,MATCH(AF$1,INDIRECT("Table!A" &amp; $BJ24):INDIRECT("Table!" &amp; $BV$88 &amp; $BJ24),0)))))/1024</f>
        <v>146.98896484375001</v>
      </c>
      <c r="AG24" s="709">
        <f ca="1">IF(ISERROR(MATCH(AG$1,INDIRECT("Table!A"&amp;$BJ24):INDIRECT("Table!" &amp; $BV$88 &amp; $BJ24),0)),"",INDIRECT(CONCATENATE("Table!",ADDRESS($BN24,MATCH(AG$1,INDIRECT("Table!A" &amp; $BJ24):INDIRECT("Table!" &amp; $BV$88 &amp; $BJ24),0)))))/1024</f>
        <v>177.73320312499999</v>
      </c>
      <c r="AH24" s="709">
        <f ca="1">IF(ISERROR(MATCH(AH$1,INDIRECT("Table!A"&amp;$BJ24):INDIRECT("Table!" &amp; $BV$88 &amp; $BJ24),0)),"",INDIRECT(CONCATENATE("Table!",ADDRESS($BN24,MATCH(AH$1,INDIRECT("Table!A" &amp; $BJ24):INDIRECT("Table!" &amp; $BV$88 &amp; $BJ24),0)))))/1024</f>
        <v>161.57568359375</v>
      </c>
      <c r="AI24" s="709">
        <f ca="1">IF(ISERROR(MATCH(AI$1,INDIRECT("Table!A"&amp;$BJ24):INDIRECT("Table!" &amp; $BV$88 &amp; $BJ24),0)),"",INDIRECT(CONCATENATE("Table!",ADDRESS($BN24,MATCH(AI$1,INDIRECT("Table!A" &amp; $BJ24):INDIRECT("Table!" &amp; $BV$88 &amp; $BJ24),0)))))/1024</f>
        <v>129.03603515624999</v>
      </c>
      <c r="AJ24" s="709">
        <f ca="1">IF(ISERROR(MATCH(AJ$1,INDIRECT("Table!A"&amp;$BJ24):INDIRECT("Table!" &amp; $BV$88 &amp; $BJ24),0)),"",INDIRECT(CONCATENATE("Table!",ADDRESS($BN24,MATCH(AJ$1,INDIRECT("Table!A" &amp; $BJ24):INDIRECT("Table!" &amp; $BV$88 &amp; $BJ24),0)))))/1024</f>
        <v>166.96152343750001</v>
      </c>
      <c r="AK24" s="709">
        <f ca="1">IF(ISERROR(MATCH(AK$1,INDIRECT("Table!A"&amp;$BJ24):INDIRECT("Table!" &amp; $BV$88 &amp; $BJ24),0)),"",INDIRECT(CONCATENATE("Table!",ADDRESS($BN24,MATCH(AK$1,INDIRECT("Table!A" &amp; $BJ24):INDIRECT("Table!" &amp; $BV$88 &amp; $BJ24),0)))))/1024</f>
        <v>161.57568359375</v>
      </c>
      <c r="AL24" s="709">
        <f ca="1">IF(ISERROR(MATCH(AL$1,INDIRECT("Table!A"&amp;$BJ24):INDIRECT("Table!" &amp; $BV$88 &amp; $BJ24),0)),"",INDIRECT(CONCATENATE("Table!",ADDRESS($BN24,MATCH(AL$1,INDIRECT("Table!A" &amp; $BJ24):INDIRECT("Table!" &amp; $BV$88 &amp; $BJ24),0)))))/1024</f>
        <v>118.53769531250001</v>
      </c>
      <c r="AM24" s="709">
        <f ca="1">IF(ISERROR(MATCH(AM$1,INDIRECT("Table!A"&amp;$BJ24):INDIRECT("Table!" &amp; $BV$88 &amp; $BJ24),0)),"",INDIRECT(CONCATENATE("Table!",ADDRESS($BN24,MATCH(AM$1,INDIRECT("Table!A" &amp; $BJ24):INDIRECT("Table!" &amp; $BV$88 &amp; $BJ24),0)))))/1024</f>
        <v>81.246191406250006</v>
      </c>
      <c r="AN24" s="709">
        <f ca="1">IF(ISERROR(MATCH(AN$1,INDIRECT("Table!A"&amp;$BJ24):INDIRECT("Table!" &amp; $BV$88 &amp; $BJ24),0)),"",INDIRECT(CONCATENATE("Table!",ADDRESS($BN24,MATCH(AN$1,INDIRECT("Table!A" &amp; $BJ24):INDIRECT("Table!" &amp; $BV$88 &amp; $BJ24),0)))))/1024</f>
        <v>188.50498046875001</v>
      </c>
      <c r="AO24" s="709">
        <f ca="1">IF(ISERROR(MATCH(AO$1,INDIRECT("Table!A"&amp;$BJ24):INDIRECT("Table!" &amp; $BV$88 &amp; $BJ24),0)),"",INDIRECT(CONCATENATE("Table!",ADDRESS($BN24,MATCH(AO$1,INDIRECT("Table!A" &amp; $BJ24):INDIRECT("Table!" &amp; $BV$88 &amp; $BJ24),0)))))/1024</f>
        <v>129.03603515624999</v>
      </c>
      <c r="AP24" s="709">
        <f ca="1">IF(ISERROR(MATCH(AP$1,INDIRECT("Table!A"&amp;$BJ24):INDIRECT("Table!" &amp; $BV$88 &amp; $BJ24),0)),"",INDIRECT(CONCATENATE("Table!",ADDRESS($BN24,MATCH(AP$1,INDIRECT("Table!A" &amp; $BJ24):INDIRECT("Table!" &amp; $BV$88 &amp; $BJ24),0)))))/1024</f>
        <v>80.787695312500006</v>
      </c>
      <c r="AQ24" s="709">
        <f ca="1">IF(ISERROR(MATCH(AQ$1,INDIRECT("Table!A"&amp;$BJ24):INDIRECT("Table!" &amp; $BV$88 &amp; $BJ24),0)),"",INDIRECT(CONCATENATE("Table!",ADDRESS($BN24,MATCH(AQ$1,INDIRECT("Table!A" &amp; $BJ24):INDIRECT("Table!" &amp; $BV$88 &amp; $BJ24),0)))))/1024</f>
        <v>269.2919921875</v>
      </c>
      <c r="AR24" s="709">
        <f ca="1">IF(ISERROR(MATCH(AR$1,INDIRECT("Table!A"&amp;$BJ24):INDIRECT("Table!" &amp; $BV$88 &amp; $BJ24),0)),"",INDIRECT(CONCATENATE("Table!",ADDRESS($BN24,MATCH(AR$1,INDIRECT("Table!A" &amp; $BJ24):INDIRECT("Table!" &amp; $BV$88 &amp; $BJ24),0)))))/1024</f>
        <v>80.787695312500006</v>
      </c>
      <c r="AS24" s="709">
        <f ca="1">IF(ISERROR(MATCH(AS$1,INDIRECT("Table!A"&amp;$BJ24):INDIRECT("Table!" &amp; $BV$88 &amp; $BJ24),0)),"",INDIRECT(CONCATENATE("Table!",ADDRESS($BN24,MATCH(AS$1,INDIRECT("Table!A" &amp; $BJ24):INDIRECT("Table!" &amp; $BV$88 &amp; $BJ24),0)))))/1024</f>
        <v>184.55234375000001</v>
      </c>
      <c r="AT24" s="709">
        <f ca="1">IF(ISERROR(MATCH(AT$1,INDIRECT("Table!A"&amp;$BJ24):INDIRECT("Table!" &amp; $BV$88 &amp; $BJ24),0)),"",INDIRECT(CONCATENATE("Table!",ADDRESS($BN24,MATCH(AT$1,INDIRECT("Table!A" &amp; $BJ24):INDIRECT("Table!" &amp; $BV$88 &amp; $BJ24),0)))))/1024</f>
        <v>81.246191406250006</v>
      </c>
      <c r="AU24" s="709">
        <f ca="1">IF(ISERROR(MATCH(AU$1,INDIRECT("Table!A"&amp;$BJ24):INDIRECT("Table!" &amp; $BV$88 &amp; $BJ24),0)),"",INDIRECT(CONCATENATE("Table!",ADDRESS($BN24,MATCH(AU$1,INDIRECT("Table!A" &amp; $BJ24):INDIRECT("Table!" &amp; $BV$88 &amp; $BJ24),0)))))/1024</f>
        <v>53.8583984375</v>
      </c>
      <c r="AV24" s="709">
        <f ca="1">IF(ISERROR(MATCH(AV$1,INDIRECT("Table!A"&amp;$BJ24):INDIRECT("Table!" &amp; $BV$88 &amp; $BJ24),0)),"",INDIRECT(CONCATENATE("Table!",ADDRESS($BN24,MATCH(AV$1,INDIRECT("Table!A" &amp; $BJ24):INDIRECT("Table!" &amp; $BV$88 &amp; $BJ24),0)))))/1024</f>
        <v>32.31494140625</v>
      </c>
      <c r="AW24" s="709"/>
      <c r="AX24" s="909"/>
      <c r="AY24" s="909"/>
      <c r="AZ24" s="909"/>
      <c r="BA24" s="909"/>
      <c r="BB24" s="909"/>
      <c r="BC24" s="909"/>
      <c r="BD24" s="909"/>
      <c r="BE24" s="909"/>
      <c r="BF24" s="704">
        <f>MATCH($A24,Table!$A:$A,0)+$BH$2-1</f>
        <v>299</v>
      </c>
      <c r="BG24" s="705"/>
      <c r="BH24" s="705"/>
      <c r="BI24" s="705"/>
      <c r="BJ24" s="717">
        <f>MATCH($A24,Table!$A:$A,0)+$BL$2-1</f>
        <v>297</v>
      </c>
      <c r="BK24" s="705"/>
      <c r="BL24" s="705"/>
      <c r="BM24" s="705"/>
      <c r="BN24" s="704">
        <f>MATCH($A24,Table!$A:$A,0)+$BP$2-1</f>
        <v>298</v>
      </c>
      <c r="BO24" s="705"/>
      <c r="BP24" s="705"/>
      <c r="BQ24" s="705"/>
      <c r="BR24" s="717">
        <f>MATCH($A24,Table!$A:$A,0)+$BL$2-1</f>
        <v>297</v>
      </c>
      <c r="BS24" s="705"/>
      <c r="BT24" s="705"/>
      <c r="BU24" s="705"/>
      <c r="BV24" s="711" t="s">
        <v>284</v>
      </c>
      <c r="BW24" s="712">
        <f t="shared" ca="1" si="12"/>
        <v>2531.0564453125003</v>
      </c>
      <c r="BX24" s="712">
        <f t="shared" ca="1" si="45"/>
        <v>1417.8495117187504</v>
      </c>
      <c r="BY24" s="712">
        <f t="shared" ca="1" si="43"/>
        <v>1113.2069335937499</v>
      </c>
      <c r="BZ24" s="718">
        <f t="shared" ca="1" si="44"/>
        <v>0.56018091352510069</v>
      </c>
      <c r="CA24" s="712">
        <f ca="1">SUMIF('Alloc Feed'!A:A,A:A,'Alloc Feed'!I:I)</f>
        <v>3050.8945986328126</v>
      </c>
      <c r="CB24" s="718">
        <f t="shared" ca="1" si="42"/>
        <v>1.2053838642291241</v>
      </c>
    </row>
    <row r="25" spans="1:80" s="267" customFormat="1" x14ac:dyDescent="0.25">
      <c r="A25" s="703">
        <v>41642</v>
      </c>
      <c r="B25" s="709">
        <f ca="1">IF(ISERROR(MATCH(B$1,INDIRECT("Table!A"&amp;$BJ25):INDIRECT("Table!" &amp; $BV$88 &amp; $BJ25),0)),"",INDIRECT(CONCATENATE("Table!",ADDRESS($BF25,MATCH(B$1,INDIRECT("Table!A" &amp; $BJ25):INDIRECT("Table!" &amp; $BV$88 &amp; $BJ25),0)))))/1024</f>
        <v>50.74609375</v>
      </c>
      <c r="C25" s="709">
        <f ca="1">IF(ISERROR(MATCH(C$1,INDIRECT("Table!A"&amp;$BJ25):INDIRECT("Table!" &amp; $BV$88 &amp; $BJ25),0)),"",INDIRECT(CONCATENATE("Table!",ADDRESS($BF25,MATCH(C$1,INDIRECT("Table!A" &amp; $BJ25):INDIRECT("Table!" &amp; $BV$88 &amp; $BJ25),0)))))/1024</f>
        <v>80.017773437499997</v>
      </c>
      <c r="D25" s="709">
        <f ca="1">IF(ISERROR(MATCH(D$1,INDIRECT("Table!A"&amp;$BJ25):INDIRECT("Table!" &amp; $BV$88 &amp; $BJ25),0)),"",INDIRECT(CONCATENATE("Table!",ADDRESS($BF25,MATCH(D$1,INDIRECT("Table!A" &amp; $BJ25):INDIRECT("Table!" &amp; $BV$88 &amp; $BJ25),0)))))/1024</f>
        <v>80.10546875</v>
      </c>
      <c r="E25" s="709">
        <f ca="1">IF(ISERROR(MATCH(E$1,INDIRECT("Table!A"&amp;$BJ25):INDIRECT("Table!" &amp; $BV$88 &amp; $BJ25),0)),"",INDIRECT(CONCATENATE("Table!",ADDRESS($BF25,MATCH(E$1,INDIRECT("Table!A" &amp; $BJ25):INDIRECT("Table!" &amp; $BV$88 &amp; $BJ25),0)))))/1024</f>
        <v>151.9765625</v>
      </c>
      <c r="F25" s="709">
        <f ca="1">IF(ISERROR(MATCH(F$1,INDIRECT("Table!A"&amp;$BJ25):INDIRECT("Table!" &amp; $BV$88 &amp; $BJ25),0)),"",INDIRECT(CONCATENATE("Table!",ADDRESS($BF25,MATCH(F$1,INDIRECT("Table!A" &amp; $BJ25):INDIRECT("Table!" &amp; $BV$88 &amp; $BJ25),0)))))/1024</f>
        <v>107.7177734375</v>
      </c>
      <c r="G25" s="709">
        <f ca="1">IF(ISERROR(MATCH(G$1,INDIRECT("Table!A"&amp;$BJ25):INDIRECT("Table!" &amp; $BV$88 &amp; $BJ25),0)),"",INDIRECT(CONCATENATE("Table!",ADDRESS($BF25,MATCH(G$1,INDIRECT("Table!A" &amp; $BJ25):INDIRECT("Table!" &amp; $BV$88 &amp; $BJ25),0)))))/1024</f>
        <v>57.170214843750003</v>
      </c>
      <c r="H25" s="709">
        <f ca="1">IF(ISERROR(MATCH(H$1,INDIRECT("Table!A"&amp;$BJ25):INDIRECT("Table!" &amp; $BV$88 &amp; $BJ25),0)),"",INDIRECT(CONCATENATE("Table!",ADDRESS($BF25,MATCH(H$1,INDIRECT("Table!A" &amp; $BJ25):INDIRECT("Table!" &amp; $BV$88 &amp; $BJ25),0)))))/1024</f>
        <v>108.33203125</v>
      </c>
      <c r="I25" s="709">
        <f ca="1">IF(ISERROR(MATCH(I$1,INDIRECT("Table!A"&amp;$BJ25):INDIRECT("Table!" &amp; $BV$88 &amp; $BJ25),0)),"",INDIRECT(CONCATENATE("Table!",ADDRESS($BF25,MATCH(I$1,INDIRECT("Table!A" &amp; $BJ25):INDIRECT("Table!" &amp; $BV$88 &amp; $BJ25),0)))))/1024</f>
        <v>15.1826171875</v>
      </c>
      <c r="J25" s="709">
        <f ca="1">IF(ISERROR(MATCH(J$1,INDIRECT("Table!A"&amp;$BJ25):INDIRECT("Table!" &amp; $BV$88 &amp; $BJ25),0)),"",INDIRECT(CONCATENATE("Table!",ADDRESS($BF25,MATCH(J$1,INDIRECT("Table!A" &amp; $BJ25):INDIRECT("Table!" &amp; $BV$88 &amp; $BJ25),0)))))/1024</f>
        <v>56.50634765625</v>
      </c>
      <c r="K25" s="709">
        <f ca="1">IF(ISERROR(MATCH(K$1,INDIRECT("Table!A"&amp;$BJ25):INDIRECT("Table!" &amp; $BV$88 &amp; $BJ25),0)),"",INDIRECT(CONCATENATE("Table!",ADDRESS($BF25,MATCH(K$1,INDIRECT("Table!A" &amp; $BJ25):INDIRECT("Table!" &amp; $BV$88 &amp; $BJ25),0)))))/1024</f>
        <v>2.4600585937499999</v>
      </c>
      <c r="L25" s="709">
        <f ca="1">IF(ISERROR(MATCH(L$1,INDIRECT("Table!A"&amp;$BJ25):INDIRECT("Table!" &amp; $BV$88 &amp; $BJ25),0)),"",INDIRECT(CONCATENATE("Table!",ADDRESS($BF25,MATCH(L$1,INDIRECT("Table!A" &amp; $BJ25):INDIRECT("Table!" &amp; $BV$88 &amp; $BJ25),0)))))/1024</f>
        <v>165.111328125</v>
      </c>
      <c r="M25" s="709">
        <f ca="1">IF(ISERROR(MATCH(M$1,INDIRECT("Table!A"&amp;$BJ25):INDIRECT("Table!" &amp; $BV$88 &amp; $BJ25),0)),"",INDIRECT(CONCATENATE("Table!",ADDRESS($BF25,MATCH(M$1,INDIRECT("Table!A" &amp; $BJ25):INDIRECT("Table!" &amp; $BV$88 &amp; $BJ25),0)))))/1024</f>
        <v>69.0732421875</v>
      </c>
      <c r="N25" s="709">
        <f ca="1">IF(ISERROR(MATCH(N$1,INDIRECT("Table!A"&amp;$BJ25):INDIRECT("Table!" &amp; $BV$88 &amp; $BJ25),0)),"",INDIRECT(CONCATENATE("Table!",ADDRESS($BF25,MATCH(N$1,INDIRECT("Table!A" &amp; $BJ25):INDIRECT("Table!" &amp; $BV$88 &amp; $BJ25),0)))))/1024</f>
        <v>55.24609375</v>
      </c>
      <c r="O25" s="709">
        <f ca="1">IF(ISERROR(MATCH(O$1,INDIRECT("Table!A"&amp;$BJ25):INDIRECT("Table!" &amp; $BV$88 &amp; $BJ25),0)),"",INDIRECT(CONCATENATE("Table!",ADDRESS($BF25,MATCH(O$1,INDIRECT("Table!A" &amp; $BJ25):INDIRECT("Table!" &amp; $BV$88 &amp; $BJ25),0)))))/1024</f>
        <v>199.1669921875</v>
      </c>
      <c r="P25" s="709">
        <f ca="1">IF(ISERROR(MATCH(P$1,INDIRECT("Table!A"&amp;$BJ25):INDIRECT("Table!" &amp; $BV$88 &amp; $BJ25),0)),"",INDIRECT(CONCATENATE("Table!",ADDRESS($BF25,MATCH(P$1,INDIRECT("Table!A" &amp; $BJ25):INDIRECT("Table!" &amp; $BV$88 &amp; $BJ25),0)))))/1024</f>
        <v>29.195996093750001</v>
      </c>
      <c r="Q25" s="709">
        <f ca="1">IF(ISERROR(MATCH(Q$1,INDIRECT("Table!A"&amp;$BJ25):INDIRECT("Table!" &amp; $BV$88 &amp; $BJ25),0)),"",INDIRECT(CONCATENATE("Table!",ADDRESS($BF25,MATCH(Q$1,INDIRECT("Table!A" &amp; $BJ25):INDIRECT("Table!" &amp; $BV$88 &amp; $BJ25),0)))))/1024</f>
        <v>90.8544921875</v>
      </c>
      <c r="R25" s="709">
        <f ca="1">IF(ISERROR(MATCH(R$1,INDIRECT("Table!A"&amp;$BJ25):INDIRECT("Table!" &amp; $BV$88 &amp; $BJ25),0)),"",INDIRECT(CONCATENATE("Table!",ADDRESS($BF25,MATCH(R$1,INDIRECT("Table!A" &amp; $BJ25):INDIRECT("Table!" &amp; $BV$88 &amp; $BJ25),0)))))/1024</f>
        <v>30.707910156250001</v>
      </c>
      <c r="S25" s="709">
        <f ca="1">IF(ISERROR(MATCH(S$1,INDIRECT("Table!A"&amp;$BJ25):INDIRECT("Table!" &amp; $BV$43 &amp; $BJ25),0)),"",INDIRECT(CONCATENATE("Table!",ADDRESS($BF25,MATCH(S$1,INDIRECT("Table!A" &amp; $BJ25):INDIRECT("Table!" &amp; $BV$43 &amp; $BJ25),0)))))/1024</f>
        <v>13.447265625</v>
      </c>
      <c r="T25" s="709">
        <f ca="1">IF(ISERROR(MATCH(T$1,INDIRECT("Table!A"&amp;$BJ25):INDIRECT("Table!" &amp; $BV$43 &amp; $BJ25),0)),"",INDIRECT(CONCATENATE("Table!",ADDRESS($BF25,MATCH(T$1,INDIRECT("Table!A" &amp; $BJ25):INDIRECT("Table!" &amp; $BV$43 &amp; $BJ25),0)))))/1024</f>
        <v>6.833984375</v>
      </c>
      <c r="U25" s="709"/>
      <c r="V25" s="909"/>
      <c r="W25" s="909"/>
      <c r="X25" s="909"/>
      <c r="Y25" s="909"/>
      <c r="Z25" s="909"/>
      <c r="AA25" s="909"/>
      <c r="AB25" s="909"/>
      <c r="AC25" s="709" t="str">
        <f ca="1">IF(ISERROR(MATCH(AC$1,INDIRECT("Table!A"&amp;$BJ25):INDIRECT("Table!" &amp; $BV$88 &amp; $BJ25),0)),"",INDIRECT(CONCATENATE("Table!",ADDRESS($BF25,MATCH(AC$1,INDIRECT("Table!A" &amp; $BJ25):INDIRECT("Table!" &amp; $BV$88 &amp; $BJ25),0)))))</f>
        <v/>
      </c>
      <c r="AD25" s="709">
        <f ca="1">IF(ISERROR(MATCH(AD$1,INDIRECT("Table!A"&amp;$BJ25):INDIRECT("Table!" &amp; $BV$88 &amp; $BJ25),0)),"",INDIRECT(CONCATENATE("Table!",ADDRESS($BN25,MATCH(AD$1,INDIRECT("Table!A" &amp; $BJ25):INDIRECT("Table!" &amp; $BV$88 &amp; $BJ25),0)))))/1024</f>
        <v>140.0322265625</v>
      </c>
      <c r="AE25" s="709">
        <f ca="1">IF(ISERROR(MATCH(AE$1,INDIRECT("Table!A"&amp;$BJ25):INDIRECT("Table!" &amp; $BV$88 &amp; $BJ25),0)),"",INDIRECT(CONCATENATE("Table!",ADDRESS($BN25,MATCH(AE$1,INDIRECT("Table!A" &amp; $BJ25):INDIRECT("Table!" &amp; $BV$88 &amp; $BJ25),0)))))/1024</f>
        <v>146.98896484375001</v>
      </c>
      <c r="AF25" s="709">
        <f ca="1">IF(ISERROR(MATCH(AF$1,INDIRECT("Table!A"&amp;$BJ25):INDIRECT("Table!" &amp; $BV$88 &amp; $BJ25),0)),"",INDIRECT(CONCATENATE("Table!",ADDRESS($BN25,MATCH(AF$1,INDIRECT("Table!A" &amp; $BJ25):INDIRECT("Table!" &amp; $BV$88 &amp; $BJ25),0)))))/1024</f>
        <v>146.98896484375001</v>
      </c>
      <c r="AG25" s="709">
        <f ca="1">IF(ISERROR(MATCH(AG$1,INDIRECT("Table!A"&amp;$BJ25):INDIRECT("Table!" &amp; $BV$88 &amp; $BJ25),0)),"",INDIRECT(CONCATENATE("Table!",ADDRESS($BN25,MATCH(AG$1,INDIRECT("Table!A" &amp; $BJ25):INDIRECT("Table!" &amp; $BV$88 &amp; $BJ25),0)))))/1024</f>
        <v>177.73320312499999</v>
      </c>
      <c r="AH25" s="709">
        <f ca="1">IF(ISERROR(MATCH(AH$1,INDIRECT("Table!A"&amp;$BJ25):INDIRECT("Table!" &amp; $BV$88 &amp; $BJ25),0)),"",INDIRECT(CONCATENATE("Table!",ADDRESS($BN25,MATCH(AH$1,INDIRECT("Table!A" &amp; $BJ25):INDIRECT("Table!" &amp; $BV$88 &amp; $BJ25),0)))))/1024</f>
        <v>161.57568359375</v>
      </c>
      <c r="AI25" s="709">
        <f ca="1">IF(ISERROR(MATCH(AI$1,INDIRECT("Table!A"&amp;$BJ25):INDIRECT("Table!" &amp; $BV$88 &amp; $BJ25),0)),"",INDIRECT(CONCATENATE("Table!",ADDRESS($BN25,MATCH(AI$1,INDIRECT("Table!A" &amp; $BJ25):INDIRECT("Table!" &amp; $BV$88 &amp; $BJ25),0)))))/1024</f>
        <v>129.03603515624999</v>
      </c>
      <c r="AJ25" s="709">
        <f ca="1">IF(ISERROR(MATCH(AJ$1,INDIRECT("Table!A"&amp;$BJ25):INDIRECT("Table!" &amp; $BV$88 &amp; $BJ25),0)),"",INDIRECT(CONCATENATE("Table!",ADDRESS($BN25,MATCH(AJ$1,INDIRECT("Table!A" &amp; $BJ25):INDIRECT("Table!" &amp; $BV$88 &amp; $BJ25),0)))))/1024</f>
        <v>166.96152343750001</v>
      </c>
      <c r="AK25" s="709">
        <f ca="1">IF(ISERROR(MATCH(AK$1,INDIRECT("Table!A"&amp;$BJ25):INDIRECT("Table!" &amp; $BV$88 &amp; $BJ25),0)),"",INDIRECT(CONCATENATE("Table!",ADDRESS($BN25,MATCH(AK$1,INDIRECT("Table!A" &amp; $BJ25):INDIRECT("Table!" &amp; $BV$88 &amp; $BJ25),0)))))/1024</f>
        <v>161.57568359375</v>
      </c>
      <c r="AL25" s="709">
        <f ca="1">IF(ISERROR(MATCH(AL$1,INDIRECT("Table!A"&amp;$BJ25):INDIRECT("Table!" &amp; $BV$88 &amp; $BJ25),0)),"",INDIRECT(CONCATENATE("Table!",ADDRESS($BN25,MATCH(AL$1,INDIRECT("Table!A" &amp; $BJ25):INDIRECT("Table!" &amp; $BV$88 &amp; $BJ25),0)))))/1024</f>
        <v>90.245703125000006</v>
      </c>
      <c r="AM25" s="709">
        <f ca="1">IF(ISERROR(MATCH(AM$1,INDIRECT("Table!A"&amp;$BJ25):INDIRECT("Table!" &amp; $BV$88 &amp; $BJ25),0)),"",INDIRECT(CONCATENATE("Table!",ADDRESS($BN25,MATCH(AM$1,INDIRECT("Table!A" &amp; $BJ25):INDIRECT("Table!" &amp; $BV$88 &amp; $BJ25),0)))))/1024</f>
        <v>81.246191406250006</v>
      </c>
      <c r="AN25" s="709">
        <f ca="1">IF(ISERROR(MATCH(AN$1,INDIRECT("Table!A"&amp;$BJ25):INDIRECT("Table!" &amp; $BV$88 &amp; $BJ25),0)),"",INDIRECT(CONCATENATE("Table!",ADDRESS($BN25,MATCH(AN$1,INDIRECT("Table!A" &amp; $BJ25):INDIRECT("Table!" &amp; $BV$88 &amp; $BJ25),0)))))/1024</f>
        <v>188.50498046875001</v>
      </c>
      <c r="AO25" s="709">
        <f ca="1">IF(ISERROR(MATCH(AO$1,INDIRECT("Table!A"&amp;$BJ25):INDIRECT("Table!" &amp; $BV$88 &amp; $BJ25),0)),"",INDIRECT(CONCATENATE("Table!",ADDRESS($BN25,MATCH(AO$1,INDIRECT("Table!A" &amp; $BJ25):INDIRECT("Table!" &amp; $BV$88 &amp; $BJ25),0)))))/1024</f>
        <v>129.03603515624999</v>
      </c>
      <c r="AP25" s="709">
        <f ca="1">IF(ISERROR(MATCH(AP$1,INDIRECT("Table!A"&amp;$BJ25):INDIRECT("Table!" &amp; $BV$88 &amp; $BJ25),0)),"",INDIRECT(CONCATENATE("Table!",ADDRESS($BN25,MATCH(AP$1,INDIRECT("Table!A" &amp; $BJ25):INDIRECT("Table!" &amp; $BV$88 &amp; $BJ25),0)))))/1024</f>
        <v>80.787695312500006</v>
      </c>
      <c r="AQ25" s="709">
        <f ca="1">IF(ISERROR(MATCH(AQ$1,INDIRECT("Table!A"&amp;$BJ25):INDIRECT("Table!" &amp; $BV$88 &amp; $BJ25),0)),"",INDIRECT(CONCATENATE("Table!",ADDRESS($BN25,MATCH(AQ$1,INDIRECT("Table!A" &amp; $BJ25):INDIRECT("Table!" &amp; $BV$88 &amp; $BJ25),0)))))/1024</f>
        <v>269.2919921875</v>
      </c>
      <c r="AR25" s="709">
        <f ca="1">IF(ISERROR(MATCH(AR$1,INDIRECT("Table!A"&amp;$BJ25):INDIRECT("Table!" &amp; $BV$88 &amp; $BJ25),0)),"",INDIRECT(CONCATENATE("Table!",ADDRESS($BN25,MATCH(AR$1,INDIRECT("Table!A" &amp; $BJ25):INDIRECT("Table!" &amp; $BV$88 &amp; $BJ25),0)))))/1024</f>
        <v>80.787695312500006</v>
      </c>
      <c r="AS25" s="709">
        <f ca="1">IF(ISERROR(MATCH(AS$1,INDIRECT("Table!A"&amp;$BJ25):INDIRECT("Table!" &amp; $BV$88 &amp; $BJ25),0)),"",INDIRECT(CONCATENATE("Table!",ADDRESS($BN25,MATCH(AS$1,INDIRECT("Table!A" &amp; $BJ25):INDIRECT("Table!" &amp; $BV$88 &amp; $BJ25),0)))))/1024</f>
        <v>184.55234375000001</v>
      </c>
      <c r="AT25" s="709">
        <f ca="1">IF(ISERROR(MATCH(AT$1,INDIRECT("Table!A"&amp;$BJ25):INDIRECT("Table!" &amp; $BV$88 &amp; $BJ25),0)),"",INDIRECT(CONCATENATE("Table!",ADDRESS($BN25,MATCH(AT$1,INDIRECT("Table!A" &amp; $BJ25):INDIRECT("Table!" &amp; $BV$88 &amp; $BJ25),0)))))/1024</f>
        <v>81.246191406250006</v>
      </c>
      <c r="AU25" s="709">
        <f ca="1">IF(ISERROR(MATCH(AU$1,INDIRECT("Table!A"&amp;$BJ25):INDIRECT("Table!" &amp; $BV$88 &amp; $BJ25),0)),"",INDIRECT(CONCATENATE("Table!",ADDRESS($BN25,MATCH(AU$1,INDIRECT("Table!A" &amp; $BJ25):INDIRECT("Table!" &amp; $BV$88 &amp; $BJ25),0)))))/1024</f>
        <v>53.8583984375</v>
      </c>
      <c r="AV25" s="709">
        <f ca="1">IF(ISERROR(MATCH(AV$1,INDIRECT("Table!A"&amp;$BJ25):INDIRECT("Table!" &amp; $BV$88 &amp; $BJ25),0)),"",INDIRECT(CONCATENATE("Table!",ADDRESS($BN25,MATCH(AV$1,INDIRECT("Table!A" &amp; $BJ25):INDIRECT("Table!" &amp; $BV$88 &amp; $BJ25),0)))))/1024</f>
        <v>32.31494140625</v>
      </c>
      <c r="AW25" s="709"/>
      <c r="AX25" s="909"/>
      <c r="AY25" s="909"/>
      <c r="AZ25" s="909"/>
      <c r="BA25" s="909"/>
      <c r="BB25" s="909"/>
      <c r="BC25" s="909"/>
      <c r="BD25" s="909"/>
      <c r="BE25" s="909"/>
      <c r="BF25" s="704">
        <f>MATCH($A25,Table!$A:$A,0)+$BH$2-1</f>
        <v>341</v>
      </c>
      <c r="BG25" s="705"/>
      <c r="BH25" s="705"/>
      <c r="BI25" s="705"/>
      <c r="BJ25" s="717">
        <f>MATCH($A25,Table!$A:$A,0)+$BL$2-1</f>
        <v>339</v>
      </c>
      <c r="BK25" s="705"/>
      <c r="BL25" s="705"/>
      <c r="BM25" s="705"/>
      <c r="BN25" s="704">
        <f>MATCH($A25,Table!$A:$A,0)+$BP$2-1</f>
        <v>340</v>
      </c>
      <c r="BO25" s="705"/>
      <c r="BP25" s="705"/>
      <c r="BQ25" s="705"/>
      <c r="BR25" s="717">
        <f>MATCH($A25,Table!$A:$A,0)+$BL$2-1</f>
        <v>339</v>
      </c>
      <c r="BS25" s="705"/>
      <c r="BT25" s="705"/>
      <c r="BU25" s="705"/>
      <c r="BV25" s="711" t="s">
        <v>284</v>
      </c>
      <c r="BW25" s="712">
        <f t="shared" ca="1" si="12"/>
        <v>2502.7644531250003</v>
      </c>
      <c r="BX25" s="712">
        <f t="shared" ca="1" si="45"/>
        <v>1369.85224609375</v>
      </c>
      <c r="BY25" s="712">
        <f t="shared" ca="1" si="43"/>
        <v>1132.9122070312503</v>
      </c>
      <c r="BZ25" s="718">
        <f t="shared" ca="1" si="44"/>
        <v>0.5473356649217731</v>
      </c>
      <c r="CA25" s="712">
        <f ca="1">SUMIF('Alloc Feed'!A:A,A:A,'Alloc Feed'!I:I)</f>
        <v>2941.9728837890625</v>
      </c>
      <c r="CB25" s="718">
        <f t="shared" ca="1" si="42"/>
        <v>1.1754893194665834</v>
      </c>
    </row>
    <row r="26" spans="1:80" s="591" customFormat="1" x14ac:dyDescent="0.25">
      <c r="A26" s="703">
        <v>41626</v>
      </c>
      <c r="B26" s="709">
        <f ca="1">IF(ISERROR(MATCH(B$1,INDIRECT("Table!A"&amp;$BJ26):INDIRECT("Table!" &amp; $BV$88 &amp; $BJ26),0)),"",INDIRECT(CONCATENATE("Table!",ADDRESS($BF26,MATCH(B$1,INDIRECT("Table!A" &amp; $BJ26):INDIRECT("Table!" &amp; $BV$88 &amp; $BJ26),0)))))/1024</f>
        <v>49.7373046875</v>
      </c>
      <c r="C26" s="709">
        <f ca="1">IF(ISERROR(MATCH(C$1,INDIRECT("Table!A"&amp;$BJ26):INDIRECT("Table!" &amp; $BV$88 &amp; $BJ26),0)),"",INDIRECT(CONCATENATE("Table!",ADDRESS($BF26,MATCH(C$1,INDIRECT("Table!A" &amp; $BJ26):INDIRECT("Table!" &amp; $BV$88 &amp; $BJ26),0)))))/1024</f>
        <v>80.017773437499997</v>
      </c>
      <c r="D26" s="709">
        <f ca="1">IF(ISERROR(MATCH(D$1,INDIRECT("Table!A"&amp;$BJ26):INDIRECT("Table!" &amp; $BV$88 &amp; $BJ26),0)),"",INDIRECT(CONCATENATE("Table!",ADDRESS($BF26,MATCH(D$1,INDIRECT("Table!A" &amp; $BJ26):INDIRECT("Table!" &amp; $BV$88 &amp; $BJ26),0)))))/1024</f>
        <v>81.359375</v>
      </c>
      <c r="E26" s="709">
        <f ca="1">IF(ISERROR(MATCH(E$1,INDIRECT("Table!A"&amp;$BJ26):INDIRECT("Table!" &amp; $BV$88 &amp; $BJ26),0)),"",INDIRECT(CONCATENATE("Table!",ADDRESS($BF26,MATCH(E$1,INDIRECT("Table!A" &amp; $BJ26):INDIRECT("Table!" &amp; $BV$88 &amp; $BJ26),0)))))/1024</f>
        <v>151.44160156250001</v>
      </c>
      <c r="F26" s="709">
        <f ca="1">IF(ISERROR(MATCH(F$1,INDIRECT("Table!A"&amp;$BJ26):INDIRECT("Table!" &amp; $BV$88 &amp; $BJ26),0)),"",INDIRECT(CONCATENATE("Table!",ADDRESS($BF26,MATCH(F$1,INDIRECT("Table!A" &amp; $BJ26):INDIRECT("Table!" &amp; $BV$88 &amp; $BJ26),0)))))/1024</f>
        <v>107.1701171875</v>
      </c>
      <c r="G26" s="709">
        <f ca="1">IF(ISERROR(MATCH(G$1,INDIRECT("Table!A"&amp;$BJ26):INDIRECT("Table!" &amp; $BV$88 &amp; $BJ26),0)),"",INDIRECT(CONCATENATE("Table!",ADDRESS($BF26,MATCH(G$1,INDIRECT("Table!A" &amp; $BJ26):INDIRECT("Table!" &amp; $BV$88 &amp; $BJ26),0)))))/1024</f>
        <v>61.460839843750001</v>
      </c>
      <c r="H26" s="709">
        <f ca="1">IF(ISERROR(MATCH(H$1,INDIRECT("Table!A"&amp;$BJ26):INDIRECT("Table!" &amp; $BV$88 &amp; $BJ26),0)),"",INDIRECT(CONCATENATE("Table!",ADDRESS($BF26,MATCH(H$1,INDIRECT("Table!A" &amp; $BJ26):INDIRECT("Table!" &amp; $BV$88 &amp; $BJ26),0)))))/1024</f>
        <v>107.94687500000001</v>
      </c>
      <c r="I26" s="709">
        <f ca="1">IF(ISERROR(MATCH(I$1,INDIRECT("Table!A"&amp;$BJ26):INDIRECT("Table!" &amp; $BV$88 &amp; $BJ26),0)),"",INDIRECT(CONCATENATE("Table!",ADDRESS($BF26,MATCH(I$1,INDIRECT("Table!A" &amp; $BJ26):INDIRECT("Table!" &amp; $BV$88 &amp; $BJ26),0)))))/1024</f>
        <v>14.9990234375</v>
      </c>
      <c r="J26" s="709">
        <f ca="1">IF(ISERROR(MATCH(J$1,INDIRECT("Table!A"&amp;$BJ26):INDIRECT("Table!" &amp; $BV$88 &amp; $BJ26),0)),"",INDIRECT(CONCATENATE("Table!",ADDRESS($BF26,MATCH(J$1,INDIRECT("Table!A" &amp; $BJ26):INDIRECT("Table!" &amp; $BV$88 &amp; $BJ26),0)))))/1024</f>
        <v>54.55224609375</v>
      </c>
      <c r="K26" s="709">
        <f ca="1">IF(ISERROR(MATCH(K$1,INDIRECT("Table!A"&amp;$BJ26):INDIRECT("Table!" &amp; $BV$88 &amp; $BJ26),0)),"",INDIRECT(CONCATENATE("Table!",ADDRESS($BF26,MATCH(K$1,INDIRECT("Table!A" &amp; $BJ26):INDIRECT("Table!" &amp; $BV$88 &amp; $BJ26),0)))))/1024</f>
        <v>2.5696289062500002</v>
      </c>
      <c r="L26" s="709">
        <f ca="1">IF(ISERROR(MATCH(L$1,INDIRECT("Table!A"&amp;$BJ26):INDIRECT("Table!" &amp; $BV$88 &amp; $BJ26),0)),"",INDIRECT(CONCATENATE("Table!",ADDRESS($BF26,MATCH(L$1,INDIRECT("Table!A" &amp; $BJ26):INDIRECT("Table!" &amp; $BV$88 &amp; $BJ26),0)))))/1024</f>
        <v>164.638671875</v>
      </c>
      <c r="M26" s="709">
        <f ca="1">IF(ISERROR(MATCH(M$1,INDIRECT("Table!A"&amp;$BJ26):INDIRECT("Table!" &amp; $BV$88 &amp; $BJ26),0)),"",INDIRECT(CONCATENATE("Table!",ADDRESS($BF26,MATCH(M$1,INDIRECT("Table!A" &amp; $BJ26):INDIRECT("Table!" &amp; $BV$88 &amp; $BJ26),0)))))/1024</f>
        <v>70.203125</v>
      </c>
      <c r="N26" s="709">
        <f ca="1">IF(ISERROR(MATCH(N$1,INDIRECT("Table!A"&amp;$BJ26):INDIRECT("Table!" &amp; $BV$88 &amp; $BJ26),0)),"",INDIRECT(CONCATENATE("Table!",ADDRESS($BF26,MATCH(N$1,INDIRECT("Table!A" &amp; $BJ26):INDIRECT("Table!" &amp; $BV$88 &amp; $BJ26),0)))))/1024</f>
        <v>55.24609375</v>
      </c>
      <c r="O26" s="709">
        <f ca="1">IF(ISERROR(MATCH(O$1,INDIRECT("Table!A"&amp;$BJ26):INDIRECT("Table!" &amp; $BV$88 &amp; $BJ26),0)),"",INDIRECT(CONCATENATE("Table!",ADDRESS($BF26,MATCH(O$1,INDIRECT("Table!A" &amp; $BJ26):INDIRECT("Table!" &amp; $BV$88 &amp; $BJ26),0)))))/1024</f>
        <v>199.1669921875</v>
      </c>
      <c r="P26" s="709">
        <f ca="1">IF(ISERROR(MATCH(P$1,INDIRECT("Table!A"&amp;$BJ26):INDIRECT("Table!" &amp; $BV$88 &amp; $BJ26),0)),"",INDIRECT(CONCATENATE("Table!",ADDRESS($BF26,MATCH(P$1,INDIRECT("Table!A" &amp; $BJ26):INDIRECT("Table!" &amp; $BV$88 &amp; $BJ26),0)))))/1024</f>
        <v>28.827832031250001</v>
      </c>
      <c r="Q26" s="709">
        <f ca="1">IF(ISERROR(MATCH(Q$1,INDIRECT("Table!A"&amp;$BJ26):INDIRECT("Table!" &amp; $BV$88 &amp; $BJ26),0)),"",INDIRECT(CONCATENATE("Table!",ADDRESS($BF26,MATCH(Q$1,INDIRECT("Table!A" &amp; $BJ26):INDIRECT("Table!" &amp; $BV$88 &amp; $BJ26),0)))))/1024</f>
        <v>88.583984375</v>
      </c>
      <c r="R26" s="709">
        <f ca="1">IF(ISERROR(MATCH(R$1,INDIRECT("Table!A"&amp;$BJ26):INDIRECT("Table!" &amp; $BV$88 &amp; $BJ26),0)),"",INDIRECT(CONCATENATE("Table!",ADDRESS($BF26,MATCH(R$1,INDIRECT("Table!A" &amp; $BJ26):INDIRECT("Table!" &amp; $BV$88 &amp; $BJ26),0)))))/1024</f>
        <v>35.987499999999997</v>
      </c>
      <c r="S26" s="709">
        <f ca="1">IF(ISERROR(MATCH(S$1,INDIRECT("Table!A"&amp;$BJ26):INDIRECT("Table!" &amp; $BV$43 &amp; $BJ26),0)),"",INDIRECT(CONCATENATE("Table!",ADDRESS($BF26,MATCH(S$1,INDIRECT("Table!A" &amp; $BJ26):INDIRECT("Table!" &amp; $BV$43 &amp; $BJ26),0)))))/1024</f>
        <v>13.1953125</v>
      </c>
      <c r="T26" s="709">
        <f ca="1">IF(ISERROR(MATCH(T$1,INDIRECT("Table!A"&amp;$BJ26):INDIRECT("Table!" &amp; $BV$43 &amp; $BJ26),0)),"",INDIRECT(CONCATENATE("Table!",ADDRESS($BF26,MATCH(T$1,INDIRECT("Table!A" &amp; $BJ26):INDIRECT("Table!" &amp; $BV$43 &amp; $BJ26),0)))))/1024</f>
        <v>6.7381835937499996</v>
      </c>
      <c r="U26" s="709"/>
      <c r="V26" s="909"/>
      <c r="W26" s="909"/>
      <c r="X26" s="909"/>
      <c r="Y26" s="909"/>
      <c r="Z26" s="909"/>
      <c r="AA26" s="909"/>
      <c r="AB26" s="909"/>
      <c r="AC26" s="709" t="str">
        <f ca="1">IF(ISERROR(MATCH(AC$1,INDIRECT("Table!A"&amp;$BJ26):INDIRECT("Table!" &amp; $BV$88 &amp; $BJ26),0)),"",INDIRECT(CONCATENATE("Table!",ADDRESS($BF26,MATCH(AC$1,INDIRECT("Table!A" &amp; $BJ26):INDIRECT("Table!" &amp; $BV$88 &amp; $BJ26),0)))))</f>
        <v/>
      </c>
      <c r="AD26" s="709">
        <f ca="1">IF(ISERROR(MATCH(AD$1,INDIRECT("Table!A"&amp;$BJ26):INDIRECT("Table!" &amp; $BV$88 &amp; $BJ26),0)),"",INDIRECT(CONCATENATE("Table!",ADDRESS($BN26,MATCH(AD$1,INDIRECT("Table!A" &amp; $BJ26):INDIRECT("Table!" &amp; $BV$88 &amp; $BJ26),0)))))/1024</f>
        <v>140.0322265625</v>
      </c>
      <c r="AE26" s="709">
        <f ca="1">IF(ISERROR(MATCH(AE$1,INDIRECT("Table!A"&amp;$BJ26):INDIRECT("Table!" &amp; $BV$88 &amp; $BJ26),0)),"",INDIRECT(CONCATENATE("Table!",ADDRESS($BN26,MATCH(AE$1,INDIRECT("Table!A" &amp; $BJ26):INDIRECT("Table!" &amp; $BV$88 &amp; $BJ26),0)))))/1024</f>
        <v>146.98896484375001</v>
      </c>
      <c r="AF26" s="709">
        <f ca="1">IF(ISERROR(MATCH(AF$1,INDIRECT("Table!A"&amp;$BJ26):INDIRECT("Table!" &amp; $BV$88 &amp; $BJ26),0)),"",INDIRECT(CONCATENATE("Table!",ADDRESS($BN26,MATCH(AF$1,INDIRECT("Table!A" &amp; $BJ26):INDIRECT("Table!" &amp; $BV$88 &amp; $BJ26),0)))))/1024</f>
        <v>146.98896484375001</v>
      </c>
      <c r="AG26" s="709">
        <f ca="1">IF(ISERROR(MATCH(AG$1,INDIRECT("Table!A"&amp;$BJ26):INDIRECT("Table!" &amp; $BV$88 &amp; $BJ26),0)),"",INDIRECT(CONCATENATE("Table!",ADDRESS($BN26,MATCH(AG$1,INDIRECT("Table!A" &amp; $BJ26):INDIRECT("Table!" &amp; $BV$88 &amp; $BJ26),0)))))/1024</f>
        <v>177.73320312499999</v>
      </c>
      <c r="AH26" s="709">
        <f ca="1">IF(ISERROR(MATCH(AH$1,INDIRECT("Table!A"&amp;$BJ26):INDIRECT("Table!" &amp; $BV$88 &amp; $BJ26),0)),"",INDIRECT(CONCATENATE("Table!",ADDRESS($BN26,MATCH(AH$1,INDIRECT("Table!A" &amp; $BJ26):INDIRECT("Table!" &amp; $BV$88 &amp; $BJ26),0)))))/1024</f>
        <v>161.57568359375</v>
      </c>
      <c r="AI26" s="709">
        <f ca="1">IF(ISERROR(MATCH(AI$1,INDIRECT("Table!A"&amp;$BJ26):INDIRECT("Table!" &amp; $BV$88 &amp; $BJ26),0)),"",INDIRECT(CONCATENATE("Table!",ADDRESS($BN26,MATCH(AI$1,INDIRECT("Table!A" &amp; $BJ26):INDIRECT("Table!" &amp; $BV$88 &amp; $BJ26),0)))))/1024</f>
        <v>129.03603515624999</v>
      </c>
      <c r="AJ26" s="709">
        <f ca="1">IF(ISERROR(MATCH(AJ$1,INDIRECT("Table!A"&amp;$BJ26):INDIRECT("Table!" &amp; $BV$88 &amp; $BJ26),0)),"",INDIRECT(CONCATENATE("Table!",ADDRESS($BN26,MATCH(AJ$1,INDIRECT("Table!A" &amp; $BJ26):INDIRECT("Table!" &amp; $BV$88 &amp; $BJ26),0)))))/1024</f>
        <v>166.96152343750001</v>
      </c>
      <c r="AK26" s="709">
        <f ca="1">IF(ISERROR(MATCH(AK$1,INDIRECT("Table!A"&amp;$BJ26):INDIRECT("Table!" &amp; $BV$88 &amp; $BJ26),0)),"",INDIRECT(CONCATENATE("Table!",ADDRESS($BN26,MATCH(AK$1,INDIRECT("Table!A" &amp; $BJ26):INDIRECT("Table!" &amp; $BV$88 &amp; $BJ26),0)))))/1024</f>
        <v>161.57568359375</v>
      </c>
      <c r="AL26" s="709">
        <f ca="1">IF(ISERROR(MATCH(AL$1,INDIRECT("Table!A"&amp;$BJ26):INDIRECT("Table!" &amp; $BV$88 &amp; $BJ26),0)),"",INDIRECT(CONCATENATE("Table!",ADDRESS($BN26,MATCH(AL$1,INDIRECT("Table!A" &amp; $BJ26):INDIRECT("Table!" &amp; $BV$88 &amp; $BJ26),0)))))/1024</f>
        <v>90.245703125000006</v>
      </c>
      <c r="AM26" s="709">
        <f ca="1">IF(ISERROR(MATCH(AM$1,INDIRECT("Table!A"&amp;$BJ26):INDIRECT("Table!" &amp; $BV$88 &amp; $BJ26),0)),"",INDIRECT(CONCATENATE("Table!",ADDRESS($BN26,MATCH(AM$1,INDIRECT("Table!A" &amp; $BJ26):INDIRECT("Table!" &amp; $BV$88 &amp; $BJ26),0)))))/1024</f>
        <v>81.246191406250006</v>
      </c>
      <c r="AN26" s="709">
        <f ca="1">IF(ISERROR(MATCH(AN$1,INDIRECT("Table!A"&amp;$BJ26):INDIRECT("Table!" &amp; $BV$88 &amp; $BJ26),0)),"",INDIRECT(CONCATENATE("Table!",ADDRESS($BN26,MATCH(AN$1,INDIRECT("Table!A" &amp; $BJ26):INDIRECT("Table!" &amp; $BV$88 &amp; $BJ26),0)))))/1024</f>
        <v>188.50498046875001</v>
      </c>
      <c r="AO26" s="709">
        <f ca="1">IF(ISERROR(MATCH(AO$1,INDIRECT("Table!A"&amp;$BJ26):INDIRECT("Table!" &amp; $BV$88 &amp; $BJ26),0)),"",INDIRECT(CONCATENATE("Table!",ADDRESS($BN26,MATCH(AO$1,INDIRECT("Table!A" &amp; $BJ26):INDIRECT("Table!" &amp; $BV$88 &amp; $BJ26),0)))))/1024</f>
        <v>129.03603515624999</v>
      </c>
      <c r="AP26" s="709">
        <f ca="1">IF(ISERROR(MATCH(AP$1,INDIRECT("Table!A"&amp;$BJ26):INDIRECT("Table!" &amp; $BV$88 &amp; $BJ26),0)),"",INDIRECT(CONCATENATE("Table!",ADDRESS($BN26,MATCH(AP$1,INDIRECT("Table!A" &amp; $BJ26):INDIRECT("Table!" &amp; $BV$88 &amp; $BJ26),0)))))/1024</f>
        <v>80.787695312500006</v>
      </c>
      <c r="AQ26" s="709">
        <f ca="1">IF(ISERROR(MATCH(AQ$1,INDIRECT("Table!A"&amp;$BJ26):INDIRECT("Table!" &amp; $BV$88 &amp; $BJ26),0)),"",INDIRECT(CONCATENATE("Table!",ADDRESS($BN26,MATCH(AQ$1,INDIRECT("Table!A" &amp; $BJ26):INDIRECT("Table!" &amp; $BV$88 &amp; $BJ26),0)))))/1024</f>
        <v>269.2919921875</v>
      </c>
      <c r="AR26" s="709">
        <f ca="1">IF(ISERROR(MATCH(AR$1,INDIRECT("Table!A"&amp;$BJ26):INDIRECT("Table!" &amp; $BV$88 &amp; $BJ26),0)),"",INDIRECT(CONCATENATE("Table!",ADDRESS($BN26,MATCH(AR$1,INDIRECT("Table!A" &amp; $BJ26):INDIRECT("Table!" &amp; $BV$88 &amp; $BJ26),0)))))/1024</f>
        <v>80.787695312500006</v>
      </c>
      <c r="AS26" s="709">
        <f ca="1">IF(ISERROR(MATCH(AS$1,INDIRECT("Table!A"&amp;$BJ26):INDIRECT("Table!" &amp; $BV$88 &amp; $BJ26),0)),"",INDIRECT(CONCATENATE("Table!",ADDRESS($BN26,MATCH(AS$1,INDIRECT("Table!A" &amp; $BJ26):INDIRECT("Table!" &amp; $BV$88 &amp; $BJ26),0)))))/1024</f>
        <v>184.55234375000001</v>
      </c>
      <c r="AT26" s="709">
        <f ca="1">IF(ISERROR(MATCH(AT$1,INDIRECT("Table!A"&amp;$BJ26):INDIRECT("Table!" &amp; $BV$88 &amp; $BJ26),0)),"",INDIRECT(CONCATENATE("Table!",ADDRESS($BN26,MATCH(AT$1,INDIRECT("Table!A" &amp; $BJ26):INDIRECT("Table!" &amp; $BV$88 &amp; $BJ26),0)))))/1024</f>
        <v>81.246191406250006</v>
      </c>
      <c r="AU26" s="709">
        <f ca="1">IF(ISERROR(MATCH(AU$1,INDIRECT("Table!A"&amp;$BJ26):INDIRECT("Table!" &amp; $BV$88 &amp; $BJ26),0)),"",INDIRECT(CONCATENATE("Table!",ADDRESS($BN26,MATCH(AU$1,INDIRECT("Table!A" &amp; $BJ26):INDIRECT("Table!" &amp; $BV$88 &amp; $BJ26),0)))))/1024</f>
        <v>53.8583984375</v>
      </c>
      <c r="AV26" s="709">
        <f ca="1">IF(ISERROR(MATCH(AV$1,INDIRECT("Table!A"&amp;$BJ26):INDIRECT("Table!" &amp; $BV$88 &amp; $BJ26),0)),"",INDIRECT(CONCATENATE("Table!",ADDRESS($BN26,MATCH(AV$1,INDIRECT("Table!A" &amp; $BJ26):INDIRECT("Table!" &amp; $BV$88 &amp; $BJ26),0)))))/1024</f>
        <v>32.31494140625</v>
      </c>
      <c r="AW26" s="709"/>
      <c r="AX26" s="909"/>
      <c r="AY26" s="909"/>
      <c r="AZ26" s="909"/>
      <c r="BA26" s="909"/>
      <c r="BB26" s="909"/>
      <c r="BC26" s="909"/>
      <c r="BD26" s="909"/>
      <c r="BE26" s="909"/>
      <c r="BF26" s="704">
        <f>MATCH($A26,Table!$A:$A,0)+$BH$2-1</f>
        <v>355</v>
      </c>
      <c r="BG26" s="705"/>
      <c r="BH26" s="705"/>
      <c r="BI26" s="705"/>
      <c r="BJ26" s="717">
        <f>MATCH($A26,Table!$A:$A,0)+$BL$2-1</f>
        <v>353</v>
      </c>
      <c r="BK26" s="705"/>
      <c r="BL26" s="705"/>
      <c r="BM26" s="705"/>
      <c r="BN26" s="704">
        <f>MATCH($A26,Table!$A:$A,0)+$BP$2-1</f>
        <v>354</v>
      </c>
      <c r="BO26" s="705"/>
      <c r="BP26" s="705"/>
      <c r="BQ26" s="705"/>
      <c r="BR26" s="717">
        <f>MATCH($A26,Table!$A:$A,0)+$BL$2-1</f>
        <v>353</v>
      </c>
      <c r="BS26" s="705"/>
      <c r="BT26" s="705"/>
      <c r="BU26" s="705"/>
      <c r="BV26" s="711" t="s">
        <v>284</v>
      </c>
      <c r="BW26" s="712">
        <f t="shared" ca="1" si="12"/>
        <v>2502.7644531250003</v>
      </c>
      <c r="BX26" s="712">
        <f t="shared" ca="1" si="45"/>
        <v>1373.8424804687497</v>
      </c>
      <c r="BY26" s="712">
        <f t="shared" ca="1" si="43"/>
        <v>1128.9219726562505</v>
      </c>
      <c r="BZ26" s="718">
        <f t="shared" ca="1" si="44"/>
        <v>0.54892999569070244</v>
      </c>
      <c r="CA26" s="712">
        <f ca="1">SUMIF('Alloc Feed'!A:A,A:A,'Alloc Feed'!I:I)</f>
        <v>2939.5033769531246</v>
      </c>
      <c r="CB26" s="718">
        <f t="shared" ca="1" si="42"/>
        <v>1.1745026078194469</v>
      </c>
    </row>
    <row r="27" spans="1:80" s="591" customFormat="1" x14ac:dyDescent="0.25">
      <c r="A27" s="703">
        <v>41617</v>
      </c>
      <c r="B27" s="709">
        <f ca="1">IF(ISERROR(MATCH(B$1,INDIRECT("Table!A"&amp;$BJ27):INDIRECT("Table!" &amp; $BV$88 &amp; $BJ27),0)),"",INDIRECT(CONCATENATE("Table!",ADDRESS($BF27,MATCH(B$1,INDIRECT("Table!A" &amp; $BJ27):INDIRECT("Table!" &amp; $BV$88 &amp; $BJ27),0)))))/1024</f>
        <v>49.086328125000001</v>
      </c>
      <c r="C27" s="709">
        <f ca="1">IF(ISERROR(MATCH(C$1,INDIRECT("Table!A"&amp;$BJ27):INDIRECT("Table!" &amp; $BV$88 &amp; $BJ27),0)),"",INDIRECT(CONCATENATE("Table!",ADDRESS($BF27,MATCH(C$1,INDIRECT("Table!A" &amp; $BJ27):INDIRECT("Table!" &amp; $BV$88 &amp; $BJ27),0)))))/1024</f>
        <v>79.679492187500003</v>
      </c>
      <c r="D27" s="709">
        <f ca="1">IF(ISERROR(MATCH(D$1,INDIRECT("Table!A"&amp;$BJ27):INDIRECT("Table!" &amp; $BV$88 &amp; $BJ27),0)),"",INDIRECT(CONCATENATE("Table!",ADDRESS($BF27,MATCH(D$1,INDIRECT("Table!A" &amp; $BJ27):INDIRECT("Table!" &amp; $BV$88 &amp; $BJ27),0)))))/1024</f>
        <v>81.023339843749994</v>
      </c>
      <c r="E27" s="709">
        <f ca="1">IF(ISERROR(MATCH(E$1,INDIRECT("Table!A"&amp;$BJ27):INDIRECT("Table!" &amp; $BV$88 &amp; $BJ27),0)),"",INDIRECT(CONCATENATE("Table!",ADDRESS($BF27,MATCH(E$1,INDIRECT("Table!A" &amp; $BJ27):INDIRECT("Table!" &amp; $BV$88 &amp; $BJ27),0)))))/1024</f>
        <v>150.86884765625001</v>
      </c>
      <c r="F27" s="709">
        <f ca="1">IF(ISERROR(MATCH(F$1,INDIRECT("Table!A"&amp;$BJ27):INDIRECT("Table!" &amp; $BV$88 &amp; $BJ27),0)),"",INDIRECT(CONCATENATE("Table!",ADDRESS($BF27,MATCH(F$1,INDIRECT("Table!A" &amp; $BJ27):INDIRECT("Table!" &amp; $BV$88 &amp; $BJ27),0)))))/1024</f>
        <v>115.21132812499999</v>
      </c>
      <c r="G27" s="709">
        <f ca="1">IF(ISERROR(MATCH(G$1,INDIRECT("Table!A"&amp;$BJ27):INDIRECT("Table!" &amp; $BV$88 &amp; $BJ27),0)),"",INDIRECT(CONCATENATE("Table!",ADDRESS($BF27,MATCH(G$1,INDIRECT("Table!A" &amp; $BJ27):INDIRECT("Table!" &amp; $BV$88 &amp; $BJ27),0)))))/1024</f>
        <v>62.73681640625</v>
      </c>
      <c r="H27" s="709">
        <f ca="1">IF(ISERROR(MATCH(H$1,INDIRECT("Table!A"&amp;$BJ27):INDIRECT("Table!" &amp; $BV$88 &amp; $BJ27),0)),"",INDIRECT(CONCATENATE("Table!",ADDRESS($BF27,MATCH(H$1,INDIRECT("Table!A" &amp; $BJ27):INDIRECT("Table!" &amp; $BV$88 &amp; $BJ27),0)))))/1024</f>
        <v>107.68007812499999</v>
      </c>
      <c r="I27" s="709">
        <f ca="1">IF(ISERROR(MATCH(I$1,INDIRECT("Table!A"&amp;$BJ27):INDIRECT("Table!" &amp; $BV$88 &amp; $BJ27),0)),"",INDIRECT(CONCATENATE("Table!",ADDRESS($BF27,MATCH(I$1,INDIRECT("Table!A" &amp; $BJ27):INDIRECT("Table!" &amp; $BV$88 &amp; $BJ27),0)))))/1024</f>
        <v>14.8021484375</v>
      </c>
      <c r="J27" s="709">
        <f ca="1">IF(ISERROR(MATCH(J$1,INDIRECT("Table!A"&amp;$BJ27):INDIRECT("Table!" &amp; $BV$88 &amp; $BJ27),0)),"",INDIRECT(CONCATENATE("Table!",ADDRESS($BF27,MATCH(J$1,INDIRECT("Table!A" &amp; $BJ27):INDIRECT("Table!" &amp; $BV$88 &amp; $BJ27),0)))))/1024</f>
        <v>54.2431640625</v>
      </c>
      <c r="K27" s="709">
        <f ca="1">IF(ISERROR(MATCH(K$1,INDIRECT("Table!A"&amp;$BJ27):INDIRECT("Table!" &amp; $BV$88 &amp; $BJ27),0)),"",INDIRECT(CONCATENATE("Table!",ADDRESS($BF27,MATCH(K$1,INDIRECT("Table!A" &amp; $BJ27):INDIRECT("Table!" &amp; $BV$88 &amp; $BJ27),0)))))/1024</f>
        <v>5.1627929687499998</v>
      </c>
      <c r="L27" s="709">
        <f ca="1">IF(ISERROR(MATCH(L$1,INDIRECT("Table!A"&amp;$BJ27):INDIRECT("Table!" &amp; $BV$88 &amp; $BJ27),0)),"",INDIRECT(CONCATENATE("Table!",ADDRESS($BF27,MATCH(L$1,INDIRECT("Table!A" &amp; $BJ27):INDIRECT("Table!" &amp; $BV$88 &amp; $BJ27),0)))))/1024</f>
        <v>162.79169921875001</v>
      </c>
      <c r="M27" s="709">
        <f ca="1">IF(ISERROR(MATCH(M$1,INDIRECT("Table!A"&amp;$BJ27):INDIRECT("Table!" &amp; $BV$88 &amp; $BJ27),0)),"",INDIRECT(CONCATENATE("Table!",ADDRESS($BF27,MATCH(M$1,INDIRECT("Table!A" &amp; $BJ27):INDIRECT("Table!" &amp; $BV$88 &amp; $BJ27),0)))))/1024</f>
        <v>81.959179687500011</v>
      </c>
      <c r="N27" s="709">
        <f ca="1">IF(ISERROR(MATCH(N$1,INDIRECT("Table!A"&amp;$BJ27):INDIRECT("Table!" &amp; $BV$88 &amp; $BJ27),0)),"",INDIRECT(CONCATENATE("Table!",ADDRESS($BF27,MATCH(N$1,INDIRECT("Table!A" &amp; $BJ27):INDIRECT("Table!" &amp; $BV$88 &amp; $BJ27),0)))))/1024</f>
        <v>59.180273437499999</v>
      </c>
      <c r="O27" s="709">
        <f ca="1">IF(ISERROR(MATCH(O$1,INDIRECT("Table!A"&amp;$BJ27):INDIRECT("Table!" &amp; $BV$88 &amp; $BJ27),0)),"",INDIRECT(CONCATENATE("Table!",ADDRESS($BF27,MATCH(O$1,INDIRECT("Table!A" &amp; $BJ27):INDIRECT("Table!" &amp; $BV$88 &amp; $BJ27),0)))))/1024</f>
        <v>198.63828125000001</v>
      </c>
      <c r="P27" s="709">
        <f ca="1">IF(ISERROR(MATCH(P$1,INDIRECT("Table!A"&amp;$BJ27):INDIRECT("Table!" &amp; $BV$88 &amp; $BJ27),0)),"",INDIRECT(CONCATENATE("Table!",ADDRESS($BF27,MATCH(P$1,INDIRECT("Table!A" &amp; $BJ27):INDIRECT("Table!" &amp; $BV$88 &amp; $BJ27),0)))))/1024</f>
        <v>28.43408203125</v>
      </c>
      <c r="Q27" s="709">
        <f ca="1">IF(ISERROR(MATCH(Q$1,INDIRECT("Table!A"&amp;$BJ27):INDIRECT("Table!" &amp; $BV$88 &amp; $BJ27),0)),"",INDIRECT(CONCATENATE("Table!",ADDRESS($BF27,MATCH(Q$1,INDIRECT("Table!A" &amp; $BJ27):INDIRECT("Table!" &amp; $BV$88 &amp; $BJ27),0)))))/1024</f>
        <v>88.13720703125</v>
      </c>
      <c r="R27" s="709">
        <f ca="1">IF(ISERROR(MATCH(R$1,INDIRECT("Table!A"&amp;$BJ27):INDIRECT("Table!" &amp; $BV$88 &amp; $BJ27),0)),"",INDIRECT(CONCATENATE("Table!",ADDRESS($BF27,MATCH(R$1,INDIRECT("Table!A" &amp; $BJ27):INDIRECT("Table!" &amp; $BV$88 &amp; $BJ27),0)))))/1024</f>
        <v>61.342578124999996</v>
      </c>
      <c r="S27" s="709">
        <f ca="1">IF(ISERROR(MATCH(S$1,INDIRECT("Table!A"&amp;$BJ27):INDIRECT("Table!" &amp; $BV$43 &amp; $BJ27),0)),"",INDIRECT(CONCATENATE("Table!",ADDRESS($BF27,MATCH(S$1,INDIRECT("Table!A" &amp; $BJ27):INDIRECT("Table!" &amp; $BV$43 &amp; $BJ27),0)))))/1024</f>
        <v>13.1953125</v>
      </c>
      <c r="T27" s="709">
        <f ca="1">IF(ISERROR(MATCH(T$1,INDIRECT("Table!A"&amp;$BJ27):INDIRECT("Table!" &amp; $BV$43 &amp; $BJ27),0)),"",INDIRECT(CONCATENATE("Table!",ADDRESS($BF27,MATCH(T$1,INDIRECT("Table!A" &amp; $BJ27):INDIRECT("Table!" &amp; $BV$43 &amp; $BJ27),0)))))/1024</f>
        <v>6.7381835937499996</v>
      </c>
      <c r="U27" s="709"/>
      <c r="V27" s="909"/>
      <c r="W27" s="909"/>
      <c r="X27" s="909"/>
      <c r="Y27" s="909"/>
      <c r="Z27" s="909"/>
      <c r="AA27" s="909"/>
      <c r="AB27" s="909"/>
      <c r="AC27" s="709" t="str">
        <f ca="1">IF(ISERROR(MATCH(AC$1,INDIRECT("Table!A"&amp;$BJ27):INDIRECT("Table!" &amp; $BV$88 &amp; $BJ27),0)),"",INDIRECT(CONCATENATE("Table!",ADDRESS($BF27,MATCH(AC$1,INDIRECT("Table!A" &amp; $BJ27):INDIRECT("Table!" &amp; $BV$88 &amp; $BJ27),0)))))</f>
        <v/>
      </c>
      <c r="AD27" s="709">
        <f ca="1">IF(ISERROR(MATCH(AD$1,INDIRECT("Table!A"&amp;$BJ27):INDIRECT("Table!" &amp; $BV$88 &amp; $BJ27),0)),"",INDIRECT(CONCATENATE("Table!",ADDRESS($BN27,MATCH(AD$1,INDIRECT("Table!A" &amp; $BJ27):INDIRECT("Table!" &amp; $BV$88 &amp; $BJ27),0)))))/1024</f>
        <v>140.0322265625</v>
      </c>
      <c r="AE27" s="709">
        <f ca="1">IF(ISERROR(MATCH(AE$1,INDIRECT("Table!A"&amp;$BJ27):INDIRECT("Table!" &amp; $BV$88 &amp; $BJ27),0)),"",INDIRECT(CONCATENATE("Table!",ADDRESS($BN27,MATCH(AE$1,INDIRECT("Table!A" &amp; $BJ27):INDIRECT("Table!" &amp; $BV$88 &amp; $BJ27),0)))))/1024</f>
        <v>146.98896484375001</v>
      </c>
      <c r="AF27" s="709">
        <f ca="1">IF(ISERROR(MATCH(AF$1,INDIRECT("Table!A"&amp;$BJ27):INDIRECT("Table!" &amp; $BV$88 &amp; $BJ27),0)),"",INDIRECT(CONCATENATE("Table!",ADDRESS($BN27,MATCH(AF$1,INDIRECT("Table!A" &amp; $BJ27):INDIRECT("Table!" &amp; $BV$88 &amp; $BJ27),0)))))/1024</f>
        <v>146.98896484375001</v>
      </c>
      <c r="AG27" s="709">
        <f ca="1">IF(ISERROR(MATCH(AG$1,INDIRECT("Table!A"&amp;$BJ27):INDIRECT("Table!" &amp; $BV$88 &amp; $BJ27),0)),"",INDIRECT(CONCATENATE("Table!",ADDRESS($BN27,MATCH(AG$1,INDIRECT("Table!A" &amp; $BJ27):INDIRECT("Table!" &amp; $BV$88 &amp; $BJ27),0)))))/1024</f>
        <v>177.73320312499999</v>
      </c>
      <c r="AH27" s="709">
        <f ca="1">IF(ISERROR(MATCH(AH$1,INDIRECT("Table!A"&amp;$BJ27):INDIRECT("Table!" &amp; $BV$88 &amp; $BJ27),0)),"",INDIRECT(CONCATENATE("Table!",ADDRESS($BN27,MATCH(AH$1,INDIRECT("Table!A" &amp; $BJ27):INDIRECT("Table!" &amp; $BV$88 &amp; $BJ27),0)))))/1024</f>
        <v>161.57568359375</v>
      </c>
      <c r="AI27" s="709">
        <f ca="1">IF(ISERROR(MATCH(AI$1,INDIRECT("Table!A"&amp;$BJ27):INDIRECT("Table!" &amp; $BV$88 &amp; $BJ27),0)),"",INDIRECT(CONCATENATE("Table!",ADDRESS($BN27,MATCH(AI$1,INDIRECT("Table!A" &amp; $BJ27):INDIRECT("Table!" &amp; $BV$88 &amp; $BJ27),0)))))/1024</f>
        <v>129.03603515624999</v>
      </c>
      <c r="AJ27" s="709">
        <f ca="1">IF(ISERROR(MATCH(AJ$1,INDIRECT("Table!A"&amp;$BJ27):INDIRECT("Table!" &amp; $BV$88 &amp; $BJ27),0)),"",INDIRECT(CONCATENATE("Table!",ADDRESS($BN27,MATCH(AJ$1,INDIRECT("Table!A" &amp; $BJ27):INDIRECT("Table!" &amp; $BV$88 &amp; $BJ27),0)))))/1024</f>
        <v>166.96152343750001</v>
      </c>
      <c r="AK27" s="709">
        <f ca="1">IF(ISERROR(MATCH(AK$1,INDIRECT("Table!A"&amp;$BJ27):INDIRECT("Table!" &amp; $BV$88 &amp; $BJ27),0)),"",INDIRECT(CONCATENATE("Table!",ADDRESS($BN27,MATCH(AK$1,INDIRECT("Table!A" &amp; $BJ27):INDIRECT("Table!" &amp; $BV$88 &amp; $BJ27),0)))))/1024</f>
        <v>161.57568359375</v>
      </c>
      <c r="AL27" s="709">
        <f ca="1">IF(ISERROR(MATCH(AL$1,INDIRECT("Table!A"&amp;$BJ27):INDIRECT("Table!" &amp; $BV$88 &amp; $BJ27),0)),"",INDIRECT(CONCATENATE("Table!",ADDRESS($BN27,MATCH(AL$1,INDIRECT("Table!A" &amp; $BJ27):INDIRECT("Table!" &amp; $BV$88 &amp; $BJ27),0)))))/1024</f>
        <v>90.245703125000006</v>
      </c>
      <c r="AM27" s="709">
        <f ca="1">IF(ISERROR(MATCH(AM$1,INDIRECT("Table!A"&amp;$BJ27):INDIRECT("Table!" &amp; $BV$88 &amp; $BJ27),0)),"",INDIRECT(CONCATENATE("Table!",ADDRESS($BN27,MATCH(AM$1,INDIRECT("Table!A" &amp; $BJ27):INDIRECT("Table!" &amp; $BV$88 &amp; $BJ27),0)))))/1024</f>
        <v>210.22119140625</v>
      </c>
      <c r="AN27" s="709">
        <f ca="1">IF(ISERROR(MATCH(AN$1,INDIRECT("Table!A"&amp;$BJ27):INDIRECT("Table!" &amp; $BV$88 &amp; $BJ27),0)),"",INDIRECT(CONCATENATE("Table!",ADDRESS($BN27,MATCH(AN$1,INDIRECT("Table!A" &amp; $BJ27):INDIRECT("Table!" &amp; $BV$88 &amp; $BJ27),0)))))/1024</f>
        <v>188.50498046875001</v>
      </c>
      <c r="AO27" s="709">
        <f ca="1">IF(ISERROR(MATCH(AO$1,INDIRECT("Table!A"&amp;$BJ27):INDIRECT("Table!" &amp; $BV$88 &amp; $BJ27),0)),"",INDIRECT(CONCATENATE("Table!",ADDRESS($BN27,MATCH(AO$1,INDIRECT("Table!A" &amp; $BJ27):INDIRECT("Table!" &amp; $BV$88 &amp; $BJ27),0)))))/1024</f>
        <v>414.48457031249995</v>
      </c>
      <c r="AP27" s="709">
        <f ca="1">IF(ISERROR(MATCH(AP$1,INDIRECT("Table!A"&amp;$BJ27):INDIRECT("Table!" &amp; $BV$88 &amp; $BJ27),0)),"",INDIRECT(CONCATENATE("Table!",ADDRESS($BN27,MATCH(AP$1,INDIRECT("Table!A" &amp; $BJ27):INDIRECT("Table!" &amp; $BV$88 &amp; $BJ27),0)))))/1024</f>
        <v>80.787695312500006</v>
      </c>
      <c r="AQ27" s="709">
        <f ca="1">IF(ISERROR(MATCH(AQ$1,INDIRECT("Table!A"&amp;$BJ27):INDIRECT("Table!" &amp; $BV$88 &amp; $BJ27),0)),"",INDIRECT(CONCATENATE("Table!",ADDRESS($BN27,MATCH(AQ$1,INDIRECT("Table!A" &amp; $BJ27):INDIRECT("Table!" &amp; $BV$88 &amp; $BJ27),0)))))/1024</f>
        <v>269.2919921875</v>
      </c>
      <c r="AR27" s="709">
        <f ca="1">IF(ISERROR(MATCH(AR$1,INDIRECT("Table!A"&amp;$BJ27):INDIRECT("Table!" &amp; $BV$88 &amp; $BJ27),0)),"",INDIRECT(CONCATENATE("Table!",ADDRESS($BN27,MATCH(AR$1,INDIRECT("Table!A" &amp; $BJ27):INDIRECT("Table!" &amp; $BV$88 &amp; $BJ27),0)))))/1024</f>
        <v>80.787695312500006</v>
      </c>
      <c r="AS27" s="709">
        <f ca="1">IF(ISERROR(MATCH(AS$1,INDIRECT("Table!A"&amp;$BJ27):INDIRECT("Table!" &amp; $BV$88 &amp; $BJ27),0)),"",INDIRECT(CONCATENATE("Table!",ADDRESS($BN27,MATCH(AS$1,INDIRECT("Table!A" &amp; $BJ27):INDIRECT("Table!" &amp; $BV$88 &amp; $BJ27),0)))))/1024</f>
        <v>184.55234375000001</v>
      </c>
      <c r="AT27" s="709">
        <f ca="1">IF(ISERROR(MATCH(AT$1,INDIRECT("Table!A"&amp;$BJ27):INDIRECT("Table!" &amp; $BV$88 &amp; $BJ27),0)),"",INDIRECT(CONCATENATE("Table!",ADDRESS($BN27,MATCH(AT$1,INDIRECT("Table!A" &amp; $BJ27):INDIRECT("Table!" &amp; $BV$88 &amp; $BJ27),0)))))/1024</f>
        <v>210.22119140625</v>
      </c>
      <c r="AU27" s="709">
        <f ca="1">IF(ISERROR(MATCH(AU$1,INDIRECT("Table!A"&amp;$BJ27):INDIRECT("Table!" &amp; $BV$88 &amp; $BJ27),0)),"",INDIRECT(CONCATENATE("Table!",ADDRESS($BN27,MATCH(AU$1,INDIRECT("Table!A" &amp; $BJ27):INDIRECT("Table!" &amp; $BV$88 &amp; $BJ27),0)))))/1024</f>
        <v>53.8583984375</v>
      </c>
      <c r="AV27" s="709">
        <f ca="1">IF(ISERROR(MATCH(AV$1,INDIRECT("Table!A"&amp;$BJ27):INDIRECT("Table!" &amp; $BV$88 &amp; $BJ27),0)),"",INDIRECT(CONCATENATE("Table!",ADDRESS($BN27,MATCH(AV$1,INDIRECT("Table!A" &amp; $BJ27):INDIRECT("Table!" &amp; $BV$88 &amp; $BJ27),0)))))/1024</f>
        <v>32.31494140625</v>
      </c>
      <c r="AW27" s="709"/>
      <c r="AX27" s="909"/>
      <c r="AY27" s="909"/>
      <c r="AZ27" s="909"/>
      <c r="BA27" s="909"/>
      <c r="BB27" s="909"/>
      <c r="BC27" s="909"/>
      <c r="BD27" s="909"/>
      <c r="BE27" s="909"/>
      <c r="BF27" s="704">
        <f>MATCH($A27,Table!$A:$A,0)+$BH$2-1</f>
        <v>367</v>
      </c>
      <c r="BG27" s="705"/>
      <c r="BH27" s="705"/>
      <c r="BI27" s="705"/>
      <c r="BJ27" s="717">
        <f>MATCH($A27,Table!$A:$A,0)+$BL$2-1</f>
        <v>365</v>
      </c>
      <c r="BK27" s="705"/>
      <c r="BL27" s="705"/>
      <c r="BM27" s="705"/>
      <c r="BN27" s="704">
        <f>MATCH($A27,Table!$A:$A,0)+$BP$2-1</f>
        <v>366</v>
      </c>
      <c r="BO27" s="705"/>
      <c r="BP27" s="705"/>
      <c r="BQ27" s="705"/>
      <c r="BR27" s="717">
        <f>MATCH($A27,Table!$A:$A,0)+$BL$2-1</f>
        <v>365</v>
      </c>
      <c r="BS27" s="705"/>
      <c r="BT27" s="705"/>
      <c r="BU27" s="705"/>
      <c r="BV27" s="711" t="s">
        <v>284</v>
      </c>
      <c r="BW27" s="712">
        <f t="shared" ca="1" si="12"/>
        <v>3046.1629882812504</v>
      </c>
      <c r="BX27" s="712">
        <f t="shared" ca="1" si="45"/>
        <v>1420.9111328125002</v>
      </c>
      <c r="BY27" s="712">
        <f t="shared" ca="1" si="43"/>
        <v>1625.2518554687501</v>
      </c>
      <c r="BZ27" s="718">
        <f t="shared" ca="1" si="44"/>
        <v>0.46645932547891239</v>
      </c>
      <c r="CA27" s="712">
        <f ca="1">SUMIF('Alloc Feed'!A:A,A:A,'Alloc Feed'!I:I)</f>
        <v>3038.3165771484373</v>
      </c>
      <c r="CB27" s="718">
        <f t="shared" ca="1" si="42"/>
        <v>0.99742416569205306</v>
      </c>
    </row>
    <row r="28" spans="1:80" s="591" customFormat="1" x14ac:dyDescent="0.25">
      <c r="A28" s="703">
        <v>41610</v>
      </c>
      <c r="B28" s="709">
        <f ca="1">IF(ISERROR(MATCH(B$1,INDIRECT("Table!A"&amp;$BJ28):INDIRECT("Table!" &amp; $BV$88 &amp; $BJ28),0)),"",INDIRECT(CONCATENATE("Table!",ADDRESS($BF28,MATCH(B$1,INDIRECT("Table!A" &amp; $BJ28):INDIRECT("Table!" &amp; $BV$88 &amp; $BJ28),0)))))/1024</f>
        <v>49.3544921875</v>
      </c>
      <c r="C28" s="709">
        <f ca="1">IF(ISERROR(MATCH(C$1,INDIRECT("Table!A"&amp;$BJ28):INDIRECT("Table!" &amp; $BV$88 &amp; $BJ28),0)),"",INDIRECT(CONCATENATE("Table!",ADDRESS($BF28,MATCH(C$1,INDIRECT("Table!A" &amp; $BJ28):INDIRECT("Table!" &amp; $BV$88 &amp; $BJ28),0)))))/1024</f>
        <v>79.467871093750006</v>
      </c>
      <c r="D28" s="709">
        <f ca="1">IF(ISERROR(MATCH(D$1,INDIRECT("Table!A"&amp;$BJ28):INDIRECT("Table!" &amp; $BV$88 &amp; $BJ28),0)),"",INDIRECT(CONCATENATE("Table!",ADDRESS($BF28,MATCH(D$1,INDIRECT("Table!A" &amp; $BJ28):INDIRECT("Table!" &amp; $BV$88 &amp; $BJ28),0)))))/1024</f>
        <v>80.806445312500003</v>
      </c>
      <c r="E28" s="709">
        <f ca="1">IF(ISERROR(MATCH(E$1,INDIRECT("Table!A"&amp;$BJ28):INDIRECT("Table!" &amp; $BV$88 &amp; $BJ28),0)),"",INDIRECT(CONCATENATE("Table!",ADDRESS($BF28,MATCH(E$1,INDIRECT("Table!A" &amp; $BJ28):INDIRECT("Table!" &amp; $BV$88 &amp; $BJ28),0)))))/1024</f>
        <v>150.25654296875001</v>
      </c>
      <c r="F28" s="709">
        <f ca="1">IF(ISERROR(MATCH(F$1,INDIRECT("Table!A"&amp;$BJ28):INDIRECT("Table!" &amp; $BV$88 &amp; $BJ28),0)),"",INDIRECT(CONCATENATE("Table!",ADDRESS($BF28,MATCH(F$1,INDIRECT("Table!A" &amp; $BJ28):INDIRECT("Table!" &amp; $BV$88 &amp; $BJ28),0)))))/1024</f>
        <v>115.00820312499999</v>
      </c>
      <c r="G28" s="709">
        <f ca="1">IF(ISERROR(MATCH(G$1,INDIRECT("Table!A"&amp;$BJ28):INDIRECT("Table!" &amp; $BV$88 &amp; $BJ28),0)),"",INDIRECT(CONCATENATE("Table!",ADDRESS($BF28,MATCH(G$1,INDIRECT("Table!A" &amp; $BJ28):INDIRECT("Table!" &amp; $BV$88 &amp; $BJ28),0)))))/1024</f>
        <v>61.681640625</v>
      </c>
      <c r="H28" s="709">
        <f ca="1">IF(ISERROR(MATCH(H$1,INDIRECT("Table!A"&amp;$BJ28):INDIRECT("Table!" &amp; $BV$88 &amp; $BJ28),0)),"",INDIRECT(CONCATENATE("Table!",ADDRESS($BF28,MATCH(H$1,INDIRECT("Table!A" &amp; $BJ28):INDIRECT("Table!" &amp; $BV$88 &amp; $BJ28),0)))))/1024</f>
        <v>107.2236328125</v>
      </c>
      <c r="I28" s="709">
        <f ca="1">IF(ISERROR(MATCH(I$1,INDIRECT("Table!A"&amp;$BJ28):INDIRECT("Table!" &amp; $BV$88 &amp; $BJ28),0)),"",INDIRECT(CONCATENATE("Table!",ADDRESS($BF28,MATCH(I$1,INDIRECT("Table!A" &amp; $BJ28):INDIRECT("Table!" &amp; $BV$88 &amp; $BJ28),0)))))/1024</f>
        <v>13.76455078125</v>
      </c>
      <c r="J28" s="709">
        <f ca="1">IF(ISERROR(MATCH(J$1,INDIRECT("Table!A"&amp;$BJ28):INDIRECT("Table!" &amp; $BV$88 &amp; $BJ28),0)),"",INDIRECT(CONCATENATE("Table!",ADDRESS($BF28,MATCH(J$1,INDIRECT("Table!A" &amp; $BJ28):INDIRECT("Table!" &amp; $BV$88 &amp; $BJ28),0)))))/1024</f>
        <v>52.895214843749997</v>
      </c>
      <c r="K28" s="709">
        <f ca="1">IF(ISERROR(MATCH(K$1,INDIRECT("Table!A"&amp;$BJ28):INDIRECT("Table!" &amp; $BV$88 &amp; $BJ28),0)),"",INDIRECT(CONCATENATE("Table!",ADDRESS($BF28,MATCH(K$1,INDIRECT("Table!A" &amp; $BJ28):INDIRECT("Table!" &amp; $BV$88 &amp; $BJ28),0)))))/1024</f>
        <v>5.3298828125000002</v>
      </c>
      <c r="L28" s="709">
        <f ca="1">IF(ISERROR(MATCH(L$1,INDIRECT("Table!A"&amp;$BJ28):INDIRECT("Table!" &amp; $BV$88 &amp; $BJ28),0)),"",INDIRECT(CONCATENATE("Table!",ADDRESS($BF28,MATCH(L$1,INDIRECT("Table!A" &amp; $BJ28):INDIRECT("Table!" &amp; $BV$88 &amp; $BJ28),0)))))/1024</f>
        <v>162.67841796875001</v>
      </c>
      <c r="M28" s="709">
        <f ca="1">IF(ISERROR(MATCH(M$1,INDIRECT("Table!A"&amp;$BJ28):INDIRECT("Table!" &amp; $BV$88 &amp; $BJ28),0)),"",INDIRECT(CONCATENATE("Table!",ADDRESS($BF28,MATCH(M$1,INDIRECT("Table!A" &amp; $BJ28):INDIRECT("Table!" &amp; $BV$88 &amp; $BJ28),0)))))/1024</f>
        <v>84.036816406250011</v>
      </c>
      <c r="N28" s="709">
        <f ca="1">IF(ISERROR(MATCH(N$1,INDIRECT("Table!A"&amp;$BJ28):INDIRECT("Table!" &amp; $BV$88 &amp; $BJ28),0)),"",INDIRECT(CONCATENATE("Table!",ADDRESS($BF28,MATCH(N$1,INDIRECT("Table!A" &amp; $BJ28):INDIRECT("Table!" &amp; $BV$88 &amp; $BJ28),0)))))/1024</f>
        <v>59.075976562500003</v>
      </c>
      <c r="O28" s="709">
        <f ca="1">IF(ISERROR(MATCH(O$1,INDIRECT("Table!A"&amp;$BJ28):INDIRECT("Table!" &amp; $BV$88 &amp; $BJ28),0)),"",INDIRECT(CONCATENATE("Table!",ADDRESS($BF28,MATCH(O$1,INDIRECT("Table!A" &amp; $BJ28):INDIRECT("Table!" &amp; $BV$88 &amp; $BJ28),0)))))/1024</f>
        <v>197.72470703125001</v>
      </c>
      <c r="P28" s="709">
        <f ca="1">IF(ISERROR(MATCH(P$1,INDIRECT("Table!A"&amp;$BJ28):INDIRECT("Table!" &amp; $BV$88 &amp; $BJ28),0)),"",INDIRECT(CONCATENATE("Table!",ADDRESS($BF28,MATCH(P$1,INDIRECT("Table!A" &amp; $BJ28):INDIRECT("Table!" &amp; $BV$88 &amp; $BJ28),0)))))/1024</f>
        <v>26.382031250000001</v>
      </c>
      <c r="Q28" s="709">
        <f ca="1">IF(ISERROR(MATCH(Q$1,INDIRECT("Table!A"&amp;$BJ28):INDIRECT("Table!" &amp; $BV$88 &amp; $BJ28),0)),"",INDIRECT(CONCATENATE("Table!",ADDRESS($BF28,MATCH(Q$1,INDIRECT("Table!A" &amp; $BJ28):INDIRECT("Table!" &amp; $BV$88 &amp; $BJ28),0)))))/1024</f>
        <v>85.041210937499997</v>
      </c>
      <c r="R28" s="709">
        <f ca="1">IF(ISERROR(MATCH(R$1,INDIRECT("Table!A"&amp;$BJ28):INDIRECT("Table!" &amp; $BV$88 &amp; $BJ28),0)),"",INDIRECT(CONCATENATE("Table!",ADDRESS($BF28,MATCH(R$1,INDIRECT("Table!A" &amp; $BJ28):INDIRECT("Table!" &amp; $BV$88 &amp; $BJ28),0)))))/1024</f>
        <v>54.245214843749999</v>
      </c>
      <c r="S28" s="709">
        <f ca="1">IF(ISERROR(MATCH(S$1,INDIRECT("Table!A"&amp;$BJ28):INDIRECT("Table!" &amp; $BV$43 &amp; $BJ28),0)),"",INDIRECT(CONCATENATE("Table!",ADDRESS($BF28,MATCH(S$1,INDIRECT("Table!A" &amp; $BJ28):INDIRECT("Table!" &amp; $BV$43 &amp; $BJ28),0)))))/1024</f>
        <v>13.050097656249999</v>
      </c>
      <c r="T28" s="709">
        <f ca="1">IF(ISERROR(MATCH(T$1,INDIRECT("Table!A"&amp;$BJ28):INDIRECT("Table!" &amp; $BV$43 &amp; $BJ28),0)),"",INDIRECT(CONCATENATE("Table!",ADDRESS($BF28,MATCH(T$1,INDIRECT("Table!A" &amp; $BJ28):INDIRECT("Table!" &amp; $BV$43 &amp; $BJ28),0)))))/1024</f>
        <v>6.4854492187500004</v>
      </c>
      <c r="U28" s="709"/>
      <c r="V28" s="909"/>
      <c r="W28" s="909"/>
      <c r="X28" s="909"/>
      <c r="Y28" s="909"/>
      <c r="Z28" s="909"/>
      <c r="AA28" s="909"/>
      <c r="AB28" s="909"/>
      <c r="AC28" s="709" t="str">
        <f ca="1">IF(ISERROR(MATCH(AC$1,INDIRECT("Table!A"&amp;$BJ28):INDIRECT("Table!" &amp; $BV$88 &amp; $BJ28),0)),"",INDIRECT(CONCATENATE("Table!",ADDRESS($BF28,MATCH(AC$1,INDIRECT("Table!A" &amp; $BJ28):INDIRECT("Table!" &amp; $BV$88 &amp; $BJ28),0)))))</f>
        <v/>
      </c>
      <c r="AD28" s="709">
        <f ca="1">IF(ISERROR(MATCH(AD$1,INDIRECT("Table!A"&amp;$BJ28):INDIRECT("Table!" &amp; $BV$88 &amp; $BJ28),0)),"",INDIRECT(CONCATENATE("Table!",ADDRESS($BN28,MATCH(AD$1,INDIRECT("Table!A" &amp; $BJ28):INDIRECT("Table!" &amp; $BV$88 &amp; $BJ28),0)))))/1024</f>
        <v>140.0322265625</v>
      </c>
      <c r="AE28" s="709">
        <f ca="1">IF(ISERROR(MATCH(AE$1,INDIRECT("Table!A"&amp;$BJ28):INDIRECT("Table!" &amp; $BV$88 &amp; $BJ28),0)),"",INDIRECT(CONCATENATE("Table!",ADDRESS($BN28,MATCH(AE$1,INDIRECT("Table!A" &amp; $BJ28):INDIRECT("Table!" &amp; $BV$88 &amp; $BJ28),0)))))/1024</f>
        <v>146.98896484375001</v>
      </c>
      <c r="AF28" s="709">
        <f ca="1">IF(ISERROR(MATCH(AF$1,INDIRECT("Table!A"&amp;$BJ28):INDIRECT("Table!" &amp; $BV$88 &amp; $BJ28),0)),"",INDIRECT(CONCATENATE("Table!",ADDRESS($BN28,MATCH(AF$1,INDIRECT("Table!A" &amp; $BJ28):INDIRECT("Table!" &amp; $BV$88 &amp; $BJ28),0)))))/1024</f>
        <v>146.98896484375001</v>
      </c>
      <c r="AG28" s="709">
        <f ca="1">IF(ISERROR(MATCH(AG$1,INDIRECT("Table!A"&amp;$BJ28):INDIRECT("Table!" &amp; $BV$88 &amp; $BJ28),0)),"",INDIRECT(CONCATENATE("Table!",ADDRESS($BN28,MATCH(AG$1,INDIRECT("Table!A" &amp; $BJ28):INDIRECT("Table!" &amp; $BV$88 &amp; $BJ28),0)))))/1024</f>
        <v>177.73320312499999</v>
      </c>
      <c r="AH28" s="709">
        <f ca="1">IF(ISERROR(MATCH(AH$1,INDIRECT("Table!A"&amp;$BJ28):INDIRECT("Table!" &amp; $BV$88 &amp; $BJ28),0)),"",INDIRECT(CONCATENATE("Table!",ADDRESS($BN28,MATCH(AH$1,INDIRECT("Table!A" &amp; $BJ28):INDIRECT("Table!" &amp; $BV$88 &amp; $BJ28),0)))))/1024</f>
        <v>161.57568359375</v>
      </c>
      <c r="AI28" s="709">
        <f ca="1">IF(ISERROR(MATCH(AI$1,INDIRECT("Table!A"&amp;$BJ28):INDIRECT("Table!" &amp; $BV$88 &amp; $BJ28),0)),"",INDIRECT(CONCATENATE("Table!",ADDRESS($BN28,MATCH(AI$1,INDIRECT("Table!A" &amp; $BJ28):INDIRECT("Table!" &amp; $BV$88 &amp; $BJ28),0)))))/1024</f>
        <v>129.03603515624999</v>
      </c>
      <c r="AJ28" s="709">
        <f ca="1">IF(ISERROR(MATCH(AJ$1,INDIRECT("Table!A"&amp;$BJ28):INDIRECT("Table!" &amp; $BV$88 &amp; $BJ28),0)),"",INDIRECT(CONCATENATE("Table!",ADDRESS($BN28,MATCH(AJ$1,INDIRECT("Table!A" &amp; $BJ28):INDIRECT("Table!" &amp; $BV$88 &amp; $BJ28),0)))))/1024</f>
        <v>166.96152343750001</v>
      </c>
      <c r="AK28" s="709">
        <f ca="1">IF(ISERROR(MATCH(AK$1,INDIRECT("Table!A"&amp;$BJ28):INDIRECT("Table!" &amp; $BV$88 &amp; $BJ28),0)),"",INDIRECT(CONCATENATE("Table!",ADDRESS($BN28,MATCH(AK$1,INDIRECT("Table!A" &amp; $BJ28):INDIRECT("Table!" &amp; $BV$88 &amp; $BJ28),0)))))/1024</f>
        <v>161.57568359375</v>
      </c>
      <c r="AL28" s="709">
        <f ca="1">IF(ISERROR(MATCH(AL$1,INDIRECT("Table!A"&amp;$BJ28):INDIRECT("Table!" &amp; $BV$88 &amp; $BJ28),0)),"",INDIRECT(CONCATENATE("Table!",ADDRESS($BN28,MATCH(AL$1,INDIRECT("Table!A" &amp; $BJ28):INDIRECT("Table!" &amp; $BV$88 &amp; $BJ28),0)))))/1024</f>
        <v>90.245703125000006</v>
      </c>
      <c r="AM28" s="709">
        <f ca="1">IF(ISERROR(MATCH(AM$1,INDIRECT("Table!A"&amp;$BJ28):INDIRECT("Table!" &amp; $BV$88 &amp; $BJ28),0)),"",INDIRECT(CONCATENATE("Table!",ADDRESS($BN28,MATCH(AM$1,INDIRECT("Table!A" &amp; $BJ28):INDIRECT("Table!" &amp; $BV$88 &amp; $BJ28),0)))))/1024</f>
        <v>210.22119140625</v>
      </c>
      <c r="AN28" s="709">
        <f ca="1">IF(ISERROR(MATCH(AN$1,INDIRECT("Table!A"&amp;$BJ28):INDIRECT("Table!" &amp; $BV$88 &amp; $BJ28),0)),"",INDIRECT(CONCATENATE("Table!",ADDRESS($BN28,MATCH(AN$1,INDIRECT("Table!A" &amp; $BJ28):INDIRECT("Table!" &amp; $BV$88 &amp; $BJ28),0)))))/1024</f>
        <v>188.50498046875001</v>
      </c>
      <c r="AO28" s="709">
        <f ca="1">IF(ISERROR(MATCH(AO$1,INDIRECT("Table!A"&amp;$BJ28):INDIRECT("Table!" &amp; $BV$88 &amp; $BJ28),0)),"",INDIRECT(CONCATENATE("Table!",ADDRESS($BN28,MATCH(AO$1,INDIRECT("Table!A" &amp; $BJ28):INDIRECT("Table!" &amp; $BV$88 &amp; $BJ28),0)))))/1024</f>
        <v>414.48457031249995</v>
      </c>
      <c r="AP28" s="709">
        <f ca="1">IF(ISERROR(MATCH(AP$1,INDIRECT("Table!A"&amp;$BJ28):INDIRECT("Table!" &amp; $BV$88 &amp; $BJ28),0)),"",INDIRECT(CONCATENATE("Table!",ADDRESS($BN28,MATCH(AP$1,INDIRECT("Table!A" &amp; $BJ28):INDIRECT("Table!" &amp; $BV$88 &amp; $BJ28),0)))))/1024</f>
        <v>80.787695312500006</v>
      </c>
      <c r="AQ28" s="709">
        <f ca="1">IF(ISERROR(MATCH(AQ$1,INDIRECT("Table!A"&amp;$BJ28):INDIRECT("Table!" &amp; $BV$88 &amp; $BJ28),0)),"",INDIRECT(CONCATENATE("Table!",ADDRESS($BN28,MATCH(AQ$1,INDIRECT("Table!A" &amp; $BJ28):INDIRECT("Table!" &amp; $BV$88 &amp; $BJ28),0)))))/1024</f>
        <v>269.2919921875</v>
      </c>
      <c r="AR28" s="709">
        <f ca="1">IF(ISERROR(MATCH(AR$1,INDIRECT("Table!A"&amp;$BJ28):INDIRECT("Table!" &amp; $BV$88 &amp; $BJ28),0)),"",INDIRECT(CONCATENATE("Table!",ADDRESS($BN28,MATCH(AR$1,INDIRECT("Table!A" &amp; $BJ28):INDIRECT("Table!" &amp; $BV$88 &amp; $BJ28),0)))))/1024</f>
        <v>80.787695312500006</v>
      </c>
      <c r="AS28" s="709">
        <f ca="1">IF(ISERROR(MATCH(AS$1,INDIRECT("Table!A"&amp;$BJ28):INDIRECT("Table!" &amp; $BV$88 &amp; $BJ28),0)),"",INDIRECT(CONCATENATE("Table!",ADDRESS($BN28,MATCH(AS$1,INDIRECT("Table!A" &amp; $BJ28):INDIRECT("Table!" &amp; $BV$88 &amp; $BJ28),0)))))/1024</f>
        <v>184.55234375000001</v>
      </c>
      <c r="AT28" s="709">
        <f ca="1">IF(ISERROR(MATCH(AT$1,INDIRECT("Table!A"&amp;$BJ28):INDIRECT("Table!" &amp; $BV$88 &amp; $BJ28),0)),"",INDIRECT(CONCATENATE("Table!",ADDRESS($BN28,MATCH(AT$1,INDIRECT("Table!A" &amp; $BJ28):INDIRECT("Table!" &amp; $BV$88 &amp; $BJ28),0)))))/1024</f>
        <v>210.22119140625</v>
      </c>
      <c r="AU28" s="709">
        <f ca="1">IF(ISERROR(MATCH(AU$1,INDIRECT("Table!A"&amp;$BJ28):INDIRECT("Table!" &amp; $BV$88 &amp; $BJ28),0)),"",INDIRECT(CONCATENATE("Table!",ADDRESS($BN28,MATCH(AU$1,INDIRECT("Table!A" &amp; $BJ28):INDIRECT("Table!" &amp; $BV$88 &amp; $BJ28),0)))))/1024</f>
        <v>53.8583984375</v>
      </c>
      <c r="AV28" s="709">
        <f ca="1">IF(ISERROR(MATCH(AV$1,INDIRECT("Table!A"&amp;$BJ28):INDIRECT("Table!" &amp; $BV$88 &amp; $BJ28),0)),"",INDIRECT(CONCATENATE("Table!",ADDRESS($BN28,MATCH(AV$1,INDIRECT("Table!A" &amp; $BJ28):INDIRECT("Table!" &amp; $BV$88 &amp; $BJ28),0)))))/1024</f>
        <v>32.31494140625</v>
      </c>
      <c r="AW28" s="709"/>
      <c r="AX28" s="909"/>
      <c r="AY28" s="909"/>
      <c r="AZ28" s="909"/>
      <c r="BA28" s="909"/>
      <c r="BB28" s="909"/>
      <c r="BC28" s="909"/>
      <c r="BD28" s="909"/>
      <c r="BE28" s="909"/>
      <c r="BF28" s="704">
        <f>MATCH($A28,Table!$A:$A,0)+$BH$2-1</f>
        <v>379</v>
      </c>
      <c r="BG28" s="705"/>
      <c r="BH28" s="705"/>
      <c r="BI28" s="705"/>
      <c r="BJ28" s="717">
        <f>MATCH($A28,Table!$A:$A,0)+$BL$2-1</f>
        <v>377</v>
      </c>
      <c r="BK28" s="705"/>
      <c r="BL28" s="705"/>
      <c r="BM28" s="705"/>
      <c r="BN28" s="704">
        <f>MATCH($A28,Table!$A:$A,0)+$BP$2-1</f>
        <v>378</v>
      </c>
      <c r="BO28" s="705"/>
      <c r="BP28" s="705"/>
      <c r="BQ28" s="705"/>
      <c r="BR28" s="717">
        <f>MATCH($A28,Table!$A:$A,0)+$BL$2-1</f>
        <v>377</v>
      </c>
      <c r="BS28" s="705"/>
      <c r="BT28" s="705"/>
      <c r="BU28" s="705"/>
      <c r="BV28" s="711" t="s">
        <v>284</v>
      </c>
      <c r="BW28" s="712">
        <f t="shared" ca="1" si="12"/>
        <v>3046.1629882812504</v>
      </c>
      <c r="BX28" s="712">
        <f t="shared" ca="1" si="45"/>
        <v>1404.5083984375003</v>
      </c>
      <c r="BY28" s="712">
        <f t="shared" ca="1" si="43"/>
        <v>1641.65458984375</v>
      </c>
      <c r="BZ28" s="718">
        <f t="shared" ca="1" si="44"/>
        <v>0.4610746056073553</v>
      </c>
      <c r="CA28" s="712">
        <f ca="1">SUMIF('Alloc Feed'!A:A,A:A,'Alloc Feed'!I:I)</f>
        <v>3024.1909980468749</v>
      </c>
      <c r="CB28" s="718">
        <f t="shared" ca="1" si="42"/>
        <v>0.9927869945505533</v>
      </c>
    </row>
    <row r="29" spans="1:80" s="591" customFormat="1" x14ac:dyDescent="0.25">
      <c r="A29" s="703">
        <v>41603</v>
      </c>
      <c r="B29" s="709">
        <f ca="1">IF(ISERROR(MATCH(B$1,INDIRECT("Table!A"&amp;$BJ29):INDIRECT("Table!" &amp; $BV$88 &amp; $BJ29),0)),"",INDIRECT(CONCATENATE("Table!",ADDRESS($BF29,MATCH(B$1,INDIRECT("Table!A" &amp; $BJ29):INDIRECT("Table!" &amp; $BV$88 &amp; $BJ29),0)))))/1024</f>
        <v>48.391015625000001</v>
      </c>
      <c r="C29" s="709">
        <f ca="1">IF(ISERROR(MATCH(C$1,INDIRECT("Table!A"&amp;$BJ29):INDIRECT("Table!" &amp; $BV$88 &amp; $BJ29),0)),"",INDIRECT(CONCATENATE("Table!",ADDRESS($BF29,MATCH(C$1,INDIRECT("Table!A" &amp; $BJ29):INDIRECT("Table!" &amp; $BV$88 &amp; $BJ29),0)))))/1024</f>
        <v>79.280957031249997</v>
      </c>
      <c r="D29" s="709">
        <f ca="1">IF(ISERROR(MATCH(D$1,INDIRECT("Table!A"&amp;$BJ29):INDIRECT("Table!" &amp; $BV$88 &amp; $BJ29),0)),"",INDIRECT(CONCATENATE("Table!",ADDRESS($BF29,MATCH(D$1,INDIRECT("Table!A" &amp; $BJ29):INDIRECT("Table!" &amp; $BV$88 &amp; $BJ29),0)))))/1024</f>
        <v>80.619531249999994</v>
      </c>
      <c r="E29" s="709">
        <f ca="1">IF(ISERROR(MATCH(E$1,INDIRECT("Table!A"&amp;$BJ29):INDIRECT("Table!" &amp; $BV$88 &amp; $BJ29),0)),"",INDIRECT(CONCATENATE("Table!",ADDRESS($BF29,MATCH(E$1,INDIRECT("Table!A" &amp; $BJ29):INDIRECT("Table!" &amp; $BV$88 &amp; $BJ29),0)))))/1024</f>
        <v>149.7783203125</v>
      </c>
      <c r="F29" s="709">
        <f ca="1">IF(ISERROR(MATCH(F$1,INDIRECT("Table!A"&amp;$BJ29):INDIRECT("Table!" &amp; $BV$88 &amp; $BJ29),0)),"",INDIRECT(CONCATENATE("Table!",ADDRESS($BF29,MATCH(F$1,INDIRECT("Table!A" &amp; $BJ29):INDIRECT("Table!" &amp; $BV$88 &amp; $BJ29),0)))))/1024</f>
        <v>114.36767578125</v>
      </c>
      <c r="G29" s="709">
        <f ca="1">IF(ISERROR(MATCH(G$1,INDIRECT("Table!A"&amp;$BJ29):INDIRECT("Table!" &amp; $BV$88 &amp; $BJ29),0)),"",INDIRECT(CONCATENATE("Table!",ADDRESS($BF29,MATCH(G$1,INDIRECT("Table!A" &amp; $BJ29):INDIRECT("Table!" &amp; $BV$88 &amp; $BJ29),0)))))/1024</f>
        <v>64.006640625000003</v>
      </c>
      <c r="H29" s="709">
        <f ca="1">IF(ISERROR(MATCH(H$1,INDIRECT("Table!A"&amp;$BJ29):INDIRECT("Table!" &amp; $BV$88 &amp; $BJ29),0)),"",INDIRECT(CONCATENATE("Table!",ADDRESS($BF29,MATCH(H$1,INDIRECT("Table!A" &amp; $BJ29):INDIRECT("Table!" &amp; $BV$88 &amp; $BJ29),0)))))/1024</f>
        <v>104.3416015625</v>
      </c>
      <c r="I29" s="709">
        <f ca="1">IF(ISERROR(MATCH(I$1,INDIRECT("Table!A"&amp;$BJ29):INDIRECT("Table!" &amp; $BV$88 &amp; $BJ29),0)),"",INDIRECT(CONCATENATE("Table!",ADDRESS($BF29,MATCH(I$1,INDIRECT("Table!A" &amp; $BJ29):INDIRECT("Table!" &amp; $BV$88 &amp; $BJ29),0)))))/1024</f>
        <v>13.738574218749999</v>
      </c>
      <c r="J29" s="709">
        <f ca="1">IF(ISERROR(MATCH(J$1,INDIRECT("Table!A"&amp;$BJ29):INDIRECT("Table!" &amp; $BV$88 &amp; $BJ29),0)),"",INDIRECT(CONCATENATE("Table!",ADDRESS($BF29,MATCH(J$1,INDIRECT("Table!A" &amp; $BJ29):INDIRECT("Table!" &amp; $BV$88 &amp; $BJ29),0)))))/1024</f>
        <v>52.310449218750001</v>
      </c>
      <c r="K29" s="709">
        <f ca="1">IF(ISERROR(MATCH(K$1,INDIRECT("Table!A"&amp;$BJ29):INDIRECT("Table!" &amp; $BV$88 &amp; $BJ29),0)),"",INDIRECT(CONCATENATE("Table!",ADDRESS($BF29,MATCH(K$1,INDIRECT("Table!A" &amp; $BJ29):INDIRECT("Table!" &amp; $BV$88 &amp; $BJ29),0)))))/1024</f>
        <v>4.8490234374999996</v>
      </c>
      <c r="L29" s="709">
        <f ca="1">IF(ISERROR(MATCH(L$1,INDIRECT("Table!A"&amp;$BJ29):INDIRECT("Table!" &amp; $BV$88 &amp; $BJ29),0)),"",INDIRECT(CONCATENATE("Table!",ADDRESS($BF29,MATCH(L$1,INDIRECT("Table!A" &amp; $BJ29):INDIRECT("Table!" &amp; $BV$88 &amp; $BJ29),0)))))/1024</f>
        <v>160.37236328124999</v>
      </c>
      <c r="M29" s="709">
        <f ca="1">IF(ISERROR(MATCH(M$1,INDIRECT("Table!A"&amp;$BJ29):INDIRECT("Table!" &amp; $BV$88 &amp; $BJ29),0)),"",INDIRECT(CONCATENATE("Table!",ADDRESS($BF29,MATCH(M$1,INDIRECT("Table!A" &amp; $BJ29):INDIRECT("Table!" &amp; $BV$88 &amp; $BJ29),0)))))/1024</f>
        <v>83.968359375000006</v>
      </c>
      <c r="N29" s="709">
        <f ca="1">IF(ISERROR(MATCH(N$1,INDIRECT("Table!A"&amp;$BJ29):INDIRECT("Table!" &amp; $BV$88 &amp; $BJ29),0)),"",INDIRECT(CONCATENATE("Table!",ADDRESS($BF29,MATCH(N$1,INDIRECT("Table!A" &amp; $BJ29):INDIRECT("Table!" &amp; $BV$88 &amp; $BJ29),0)))))/1024</f>
        <v>58.751269531250003</v>
      </c>
      <c r="O29" s="709">
        <f ca="1">IF(ISERROR(MATCH(O$1,INDIRECT("Table!A"&amp;$BJ29):INDIRECT("Table!" &amp; $BV$88 &amp; $BJ29),0)),"",INDIRECT(CONCATENATE("Table!",ADDRESS($BF29,MATCH(O$1,INDIRECT("Table!A" &amp; $BJ29):INDIRECT("Table!" &amp; $BV$88 &amp; $BJ29),0)))))/1024</f>
        <v>191.91064453125</v>
      </c>
      <c r="P29" s="709">
        <f ca="1">IF(ISERROR(MATCH(P$1,INDIRECT("Table!A"&amp;$BJ29):INDIRECT("Table!" &amp; $BV$88 &amp; $BJ29),0)),"",INDIRECT(CONCATENATE("Table!",ADDRESS($BF29,MATCH(P$1,INDIRECT("Table!A" &amp; $BJ29):INDIRECT("Table!" &amp; $BV$88 &amp; $BJ29),0)))))/1024</f>
        <v>26.339941406249999</v>
      </c>
      <c r="Q29" s="709">
        <f ca="1">IF(ISERROR(MATCH(Q$1,INDIRECT("Table!A"&amp;$BJ29):INDIRECT("Table!" &amp; $BV$88 &amp; $BJ29),0)),"",INDIRECT(CONCATENATE("Table!",ADDRESS($BF29,MATCH(Q$1,INDIRECT("Table!A" &amp; $BJ29):INDIRECT("Table!" &amp; $BV$88 &amp; $BJ29),0)))))/1024</f>
        <v>83.787207031250006</v>
      </c>
      <c r="R29" s="709">
        <f ca="1">IF(ISERROR(MATCH(R$1,INDIRECT("Table!A"&amp;$BJ29):INDIRECT("Table!" &amp; $BV$88 &amp; $BJ29),0)),"",INDIRECT(CONCATENATE("Table!",ADDRESS($BF29,MATCH(R$1,INDIRECT("Table!A" &amp; $BJ29):INDIRECT("Table!" &amp; $BV$88 &amp; $BJ29),0)))))/1024</f>
        <v>53.892578125</v>
      </c>
      <c r="S29" s="709">
        <f ca="1">IF(ISERROR(MATCH(S$1,INDIRECT("Table!A"&amp;$BJ29):INDIRECT("Table!" &amp; $BV$43 &amp; $BJ29),0)),"",INDIRECT(CONCATENATE("Table!",ADDRESS($BF29,MATCH(S$1,INDIRECT("Table!A" &amp; $BJ29):INDIRECT("Table!" &amp; $BV$43 &amp; $BJ29),0)))))/1024</f>
        <v>13.050097656249999</v>
      </c>
      <c r="T29" s="709">
        <f ca="1">IF(ISERROR(MATCH(T$1,INDIRECT("Table!A"&amp;$BJ29):INDIRECT("Table!" &amp; $BV$43 &amp; $BJ29),0)),"",INDIRECT(CONCATENATE("Table!",ADDRESS($BF29,MATCH(T$1,INDIRECT("Table!A" &amp; $BJ29):INDIRECT("Table!" &amp; $BV$43 &amp; $BJ29),0)))))/1024</f>
        <v>6.4854492187500004</v>
      </c>
      <c r="U29" s="709"/>
      <c r="V29" s="909"/>
      <c r="W29" s="909"/>
      <c r="X29" s="909"/>
      <c r="Y29" s="909"/>
      <c r="Z29" s="909"/>
      <c r="AA29" s="909"/>
      <c r="AB29" s="909"/>
      <c r="AC29" s="709" t="str">
        <f ca="1">IF(ISERROR(MATCH(AC$1,INDIRECT("Table!A"&amp;$BJ29):INDIRECT("Table!" &amp; $BV$88 &amp; $BJ29),0)),"",INDIRECT(CONCATENATE("Table!",ADDRESS($BF29,MATCH(AC$1,INDIRECT("Table!A" &amp; $BJ29):INDIRECT("Table!" &amp; $BV$88 &amp; $BJ29),0)))))</f>
        <v/>
      </c>
      <c r="AD29" s="709">
        <f ca="1">IF(ISERROR(MATCH(AD$1,INDIRECT("Table!A"&amp;$BJ29):INDIRECT("Table!" &amp; $BV$88 &amp; $BJ29),0)),"",INDIRECT(CONCATENATE("Table!",ADDRESS($BN29,MATCH(AD$1,INDIRECT("Table!A" &amp; $BJ29):INDIRECT("Table!" &amp; $BV$88 &amp; $BJ29),0)))))/1024</f>
        <v>140.0322265625</v>
      </c>
      <c r="AE29" s="709">
        <f ca="1">IF(ISERROR(MATCH(AE$1,INDIRECT("Table!A"&amp;$BJ29):INDIRECT("Table!" &amp; $BV$88 &amp; $BJ29),0)),"",INDIRECT(CONCATENATE("Table!",ADDRESS($BN29,MATCH(AE$1,INDIRECT("Table!A" &amp; $BJ29):INDIRECT("Table!" &amp; $BV$88 &amp; $BJ29),0)))))/1024</f>
        <v>146.98896484375001</v>
      </c>
      <c r="AF29" s="709">
        <f ca="1">IF(ISERROR(MATCH(AF$1,INDIRECT("Table!A"&amp;$BJ29):INDIRECT("Table!" &amp; $BV$88 &amp; $BJ29),0)),"",INDIRECT(CONCATENATE("Table!",ADDRESS($BN29,MATCH(AF$1,INDIRECT("Table!A" &amp; $BJ29):INDIRECT("Table!" &amp; $BV$88 &amp; $BJ29),0)))))/1024</f>
        <v>146.98896484375001</v>
      </c>
      <c r="AG29" s="709">
        <f ca="1">IF(ISERROR(MATCH(AG$1,INDIRECT("Table!A"&amp;$BJ29):INDIRECT("Table!" &amp; $BV$88 &amp; $BJ29),0)),"",INDIRECT(CONCATENATE("Table!",ADDRESS($BN29,MATCH(AG$1,INDIRECT("Table!A" &amp; $BJ29):INDIRECT("Table!" &amp; $BV$88 &amp; $BJ29),0)))))/1024</f>
        <v>177.73320312499999</v>
      </c>
      <c r="AH29" s="709">
        <f ca="1">IF(ISERROR(MATCH(AH$1,INDIRECT("Table!A"&amp;$BJ29):INDIRECT("Table!" &amp; $BV$88 &amp; $BJ29),0)),"",INDIRECT(CONCATENATE("Table!",ADDRESS($BN29,MATCH(AH$1,INDIRECT("Table!A" &amp; $BJ29):INDIRECT("Table!" &amp; $BV$88 &amp; $BJ29),0)))))/1024</f>
        <v>161.57568359375</v>
      </c>
      <c r="AI29" s="709">
        <f ca="1">IF(ISERROR(MATCH(AI$1,INDIRECT("Table!A"&amp;$BJ29):INDIRECT("Table!" &amp; $BV$88 &amp; $BJ29),0)),"",INDIRECT(CONCATENATE("Table!",ADDRESS($BN29,MATCH(AI$1,INDIRECT("Table!A" &amp; $BJ29):INDIRECT("Table!" &amp; $BV$88 &amp; $BJ29),0)))))/1024</f>
        <v>129.03603515624999</v>
      </c>
      <c r="AJ29" s="709">
        <f ca="1">IF(ISERROR(MATCH(AJ$1,INDIRECT("Table!A"&amp;$BJ29):INDIRECT("Table!" &amp; $BV$88 &amp; $BJ29),0)),"",INDIRECT(CONCATENATE("Table!",ADDRESS($BN29,MATCH(AJ$1,INDIRECT("Table!A" &amp; $BJ29):INDIRECT("Table!" &amp; $BV$88 &amp; $BJ29),0)))))/1024</f>
        <v>166.96152343750001</v>
      </c>
      <c r="AK29" s="709">
        <f ca="1">IF(ISERROR(MATCH(AK$1,INDIRECT("Table!A"&amp;$BJ29):INDIRECT("Table!" &amp; $BV$88 &amp; $BJ29),0)),"",INDIRECT(CONCATENATE("Table!",ADDRESS($BN29,MATCH(AK$1,INDIRECT("Table!A" &amp; $BJ29):INDIRECT("Table!" &amp; $BV$88 &amp; $BJ29),0)))))/1024</f>
        <v>161.57568359375</v>
      </c>
      <c r="AL29" s="709">
        <f ca="1">IF(ISERROR(MATCH(AL$1,INDIRECT("Table!A"&amp;$BJ29):INDIRECT("Table!" &amp; $BV$88 &amp; $BJ29),0)),"",INDIRECT(CONCATENATE("Table!",ADDRESS($BN29,MATCH(AL$1,INDIRECT("Table!A" &amp; $BJ29):INDIRECT("Table!" &amp; $BV$88 &amp; $BJ29),0)))))/1024</f>
        <v>90.245703125000006</v>
      </c>
      <c r="AM29" s="709">
        <f ca="1">IF(ISERROR(MATCH(AM$1,INDIRECT("Table!A"&amp;$BJ29):INDIRECT("Table!" &amp; $BV$88 &amp; $BJ29),0)),"",INDIRECT(CONCATENATE("Table!",ADDRESS($BN29,MATCH(AM$1,INDIRECT("Table!A" &amp; $BJ29):INDIRECT("Table!" &amp; $BV$88 &amp; $BJ29),0)))))/1024</f>
        <v>210.22119140625</v>
      </c>
      <c r="AN29" s="709">
        <f ca="1">IF(ISERROR(MATCH(AN$1,INDIRECT("Table!A"&amp;$BJ29):INDIRECT("Table!" &amp; $BV$88 &amp; $BJ29),0)),"",INDIRECT(CONCATENATE("Table!",ADDRESS($BN29,MATCH(AN$1,INDIRECT("Table!A" &amp; $BJ29):INDIRECT("Table!" &amp; $BV$88 &amp; $BJ29),0)))))/1024</f>
        <v>188.50498046875001</v>
      </c>
      <c r="AO29" s="709">
        <f ca="1">IF(ISERROR(MATCH(AO$1,INDIRECT("Table!A"&amp;$BJ29):INDIRECT("Table!" &amp; $BV$88 &amp; $BJ29),0)),"",INDIRECT(CONCATENATE("Table!",ADDRESS($BN29,MATCH(AO$1,INDIRECT("Table!A" &amp; $BJ29):INDIRECT("Table!" &amp; $BV$88 &amp; $BJ29),0)))))/1024</f>
        <v>414.48457031249995</v>
      </c>
      <c r="AP29" s="709">
        <f ca="1">IF(ISERROR(MATCH(AP$1,INDIRECT("Table!A"&amp;$BJ29):INDIRECT("Table!" &amp; $BV$88 &amp; $BJ29),0)),"",INDIRECT(CONCATENATE("Table!",ADDRESS($BN29,MATCH(AP$1,INDIRECT("Table!A" &amp; $BJ29):INDIRECT("Table!" &amp; $BV$88 &amp; $BJ29),0)))))/1024</f>
        <v>80.787695312500006</v>
      </c>
      <c r="AQ29" s="709">
        <f ca="1">IF(ISERROR(MATCH(AQ$1,INDIRECT("Table!A"&amp;$BJ29):INDIRECT("Table!" &amp; $BV$88 &amp; $BJ29),0)),"",INDIRECT(CONCATENATE("Table!",ADDRESS($BN29,MATCH(AQ$1,INDIRECT("Table!A" &amp; $BJ29):INDIRECT("Table!" &amp; $BV$88 &amp; $BJ29),0)))))/1024</f>
        <v>269.2919921875</v>
      </c>
      <c r="AR29" s="709">
        <f ca="1">IF(ISERROR(MATCH(AR$1,INDIRECT("Table!A"&amp;$BJ29):INDIRECT("Table!" &amp; $BV$88 &amp; $BJ29),0)),"",INDIRECT(CONCATENATE("Table!",ADDRESS($BN29,MATCH(AR$1,INDIRECT("Table!A" &amp; $BJ29):INDIRECT("Table!" &amp; $BV$88 &amp; $BJ29),0)))))/1024</f>
        <v>80.787695312500006</v>
      </c>
      <c r="AS29" s="709">
        <f ca="1">IF(ISERROR(MATCH(AS$1,INDIRECT("Table!A"&amp;$BJ29):INDIRECT("Table!" &amp; $BV$88 &amp; $BJ29),0)),"",INDIRECT(CONCATENATE("Table!",ADDRESS($BN29,MATCH(AS$1,INDIRECT("Table!A" &amp; $BJ29):INDIRECT("Table!" &amp; $BV$88 &amp; $BJ29),0)))))/1024</f>
        <v>184.55234375000001</v>
      </c>
      <c r="AT29" s="709">
        <f ca="1">IF(ISERROR(MATCH(AT$1,INDIRECT("Table!A"&amp;$BJ29):INDIRECT("Table!" &amp; $BV$88 &amp; $BJ29),0)),"",INDIRECT(CONCATENATE("Table!",ADDRESS($BN29,MATCH(AT$1,INDIRECT("Table!A" &amp; $BJ29):INDIRECT("Table!" &amp; $BV$88 &amp; $BJ29),0)))))/1024</f>
        <v>210.22119140625</v>
      </c>
      <c r="AU29" s="709">
        <f ca="1">IF(ISERROR(MATCH(AU$1,INDIRECT("Table!A"&amp;$BJ29):INDIRECT("Table!" &amp; $BV$88 &amp; $BJ29),0)),"",INDIRECT(CONCATENATE("Table!",ADDRESS($BN29,MATCH(AU$1,INDIRECT("Table!A" &amp; $BJ29):INDIRECT("Table!" &amp; $BV$88 &amp; $BJ29),0)))))/1024</f>
        <v>53.8583984375</v>
      </c>
      <c r="AV29" s="709">
        <f ca="1">IF(ISERROR(MATCH(AV$1,INDIRECT("Table!A"&amp;$BJ29):INDIRECT("Table!" &amp; $BV$88 &amp; $BJ29),0)),"",INDIRECT(CONCATENATE("Table!",ADDRESS($BN29,MATCH(AV$1,INDIRECT("Table!A" &amp; $BJ29):INDIRECT("Table!" &amp; $BV$88 &amp; $BJ29),0)))))/1024</f>
        <v>32.31494140625</v>
      </c>
      <c r="AW29" s="709"/>
      <c r="AX29" s="909"/>
      <c r="AY29" s="909"/>
      <c r="AZ29" s="909"/>
      <c r="BA29" s="909"/>
      <c r="BB29" s="909"/>
      <c r="BC29" s="909"/>
      <c r="BD29" s="909"/>
      <c r="BE29" s="909"/>
      <c r="BF29" s="704">
        <f>MATCH($A29,Table!$A:$A,0)+$BH$2-1</f>
        <v>391</v>
      </c>
      <c r="BG29" s="705"/>
      <c r="BH29" s="705"/>
      <c r="BI29" s="705"/>
      <c r="BJ29" s="717">
        <f>MATCH($A29,Table!$A:$A,0)+$BL$2-1</f>
        <v>389</v>
      </c>
      <c r="BK29" s="705"/>
      <c r="BL29" s="705"/>
      <c r="BM29" s="705"/>
      <c r="BN29" s="704">
        <f>MATCH($A29,Table!$A:$A,0)+$BP$2-1</f>
        <v>390</v>
      </c>
      <c r="BO29" s="705"/>
      <c r="BP29" s="705"/>
      <c r="BQ29" s="705"/>
      <c r="BR29" s="717">
        <f>MATCH($A29,Table!$A:$A,0)+$BL$2-1</f>
        <v>389</v>
      </c>
      <c r="BS29" s="705"/>
      <c r="BT29" s="705"/>
      <c r="BU29" s="705"/>
      <c r="BV29" s="711" t="s">
        <v>284</v>
      </c>
      <c r="BW29" s="712">
        <f t="shared" ca="1" si="12"/>
        <v>3046.1629882812504</v>
      </c>
      <c r="BX29" s="712">
        <f t="shared" ca="1" si="45"/>
        <v>1390.2416992187507</v>
      </c>
      <c r="BY29" s="712">
        <f t="shared" ca="1" si="43"/>
        <v>1655.9212890624997</v>
      </c>
      <c r="BZ29" s="718">
        <f t="shared" ca="1" si="44"/>
        <v>0.45639110729369498</v>
      </c>
      <c r="CA29" s="712">
        <f ca="1">SUMIF('Alloc Feed'!A:A,A:A,'Alloc Feed'!I:I)</f>
        <v>2964.7252734374997</v>
      </c>
      <c r="CB29" s="718">
        <f t="shared" ca="1" si="42"/>
        <v>0.97326547687794585</v>
      </c>
    </row>
    <row r="30" spans="1:80" s="591" customFormat="1" x14ac:dyDescent="0.25">
      <c r="A30" s="703">
        <v>41596</v>
      </c>
      <c r="B30" s="709">
        <f ca="1">IF(ISERROR(MATCH(B$1,INDIRECT("Table!A"&amp;$BJ30):INDIRECT("Table!" &amp; $BV$88 &amp; $BJ30),0)),"",INDIRECT(CONCATENATE("Table!",ADDRESS($BF30,MATCH(B$1,INDIRECT("Table!A" &amp; $BJ30):INDIRECT("Table!" &amp; $BV$88 &amp; $BJ30),0)))))/1024</f>
        <v>48.4384765625</v>
      </c>
      <c r="C30" s="709">
        <f ca="1">IF(ISERROR(MATCH(C$1,INDIRECT("Table!A"&amp;$BJ30):INDIRECT("Table!" &amp; $BV$88 &amp; $BJ30),0)),"",INDIRECT(CONCATENATE("Table!",ADDRESS($BF30,MATCH(C$1,INDIRECT("Table!A" &amp; $BJ30):INDIRECT("Table!" &amp; $BV$88 &amp; $BJ30),0)))))/1024</f>
        <v>79.24658203125</v>
      </c>
      <c r="D30" s="709">
        <f ca="1">IF(ISERROR(MATCH(D$1,INDIRECT("Table!A"&amp;$BJ30):INDIRECT("Table!" &amp; $BV$88 &amp; $BJ30),0)),"",INDIRECT(CONCATENATE("Table!",ADDRESS($BF30,MATCH(D$1,INDIRECT("Table!A" &amp; $BJ30):INDIRECT("Table!" &amp; $BV$88 &amp; $BJ30),0)))))/1024</f>
        <v>80.585156249999997</v>
      </c>
      <c r="E30" s="709">
        <f ca="1">IF(ISERROR(MATCH(E$1,INDIRECT("Table!A"&amp;$BJ30):INDIRECT("Table!" &amp; $BV$88 &amp; $BJ30),0)),"",INDIRECT(CONCATENATE("Table!",ADDRESS($BF30,MATCH(E$1,INDIRECT("Table!A" &amp; $BJ30):INDIRECT("Table!" &amp; $BV$88 &amp; $BJ30),0)))))/1024</f>
        <v>149.40185546875</v>
      </c>
      <c r="F30" s="709">
        <f ca="1">IF(ISERROR(MATCH(F$1,INDIRECT("Table!A"&amp;$BJ30):INDIRECT("Table!" &amp; $BV$88 &amp; $BJ30),0)),"",INDIRECT(CONCATENATE("Table!",ADDRESS($BF30,MATCH(F$1,INDIRECT("Table!A" &amp; $BJ30):INDIRECT("Table!" &amp; $BV$88 &amp; $BJ30),0)))))/1024</f>
        <v>112.86630859375001</v>
      </c>
      <c r="G30" s="709">
        <f ca="1">IF(ISERROR(MATCH(G$1,INDIRECT("Table!A"&amp;$BJ30):INDIRECT("Table!" &amp; $BV$88 &amp; $BJ30),0)),"",INDIRECT(CONCATENATE("Table!",ADDRESS($BF30,MATCH(G$1,INDIRECT("Table!A" &amp; $BJ30):INDIRECT("Table!" &amp; $BV$88 &amp; $BJ30),0)))))/1024</f>
        <v>63.994238281249999</v>
      </c>
      <c r="H30" s="709">
        <f ca="1">IF(ISERROR(MATCH(H$1,INDIRECT("Table!A"&amp;$BJ30):INDIRECT("Table!" &amp; $BV$88 &amp; $BJ30),0)),"",INDIRECT(CONCATENATE("Table!",ADDRESS($BF30,MATCH(H$1,INDIRECT("Table!A" &amp; $BJ30):INDIRECT("Table!" &amp; $BV$88 &amp; $BJ30),0)))))/1024</f>
        <v>102.63544921875</v>
      </c>
      <c r="I30" s="709">
        <f ca="1">IF(ISERROR(MATCH(I$1,INDIRECT("Table!A"&amp;$BJ30):INDIRECT("Table!" &amp; $BV$88 &amp; $BJ30),0)),"",INDIRECT(CONCATENATE("Table!",ADDRESS($BF30,MATCH(I$1,INDIRECT("Table!A" &amp; $BJ30):INDIRECT("Table!" &amp; $BV$88 &amp; $BJ30),0)))))/1024</f>
        <v>13.523242187499999</v>
      </c>
      <c r="J30" s="709">
        <f ca="1">IF(ISERROR(MATCH(J$1,INDIRECT("Table!A"&amp;$BJ30):INDIRECT("Table!" &amp; $BV$88 &amp; $BJ30),0)),"",INDIRECT(CONCATENATE("Table!",ADDRESS($BF30,MATCH(J$1,INDIRECT("Table!A" &amp; $BJ30):INDIRECT("Table!" &amp; $BV$88 &amp; $BJ30),0)))))/1024</f>
        <v>50.957910156250001</v>
      </c>
      <c r="K30" s="709">
        <f ca="1">IF(ISERROR(MATCH(K$1,INDIRECT("Table!A"&amp;$BJ30):INDIRECT("Table!" &amp; $BV$88 &amp; $BJ30),0)),"",INDIRECT(CONCATENATE("Table!",ADDRESS($BF30,MATCH(K$1,INDIRECT("Table!A" &amp; $BJ30):INDIRECT("Table!" &amp; $BV$88 &amp; $BJ30),0)))))/1024</f>
        <v>4.3294921874999996</v>
      </c>
      <c r="L30" s="709">
        <f ca="1">IF(ISERROR(MATCH(L$1,INDIRECT("Table!A"&amp;$BJ30):INDIRECT("Table!" &amp; $BV$88 &amp; $BJ30),0)),"",INDIRECT(CONCATENATE("Table!",ADDRESS($BF30,MATCH(L$1,INDIRECT("Table!A" &amp; $BJ30):INDIRECT("Table!" &amp; $BV$88 &amp; $BJ30),0)))))/1024</f>
        <v>158.18691406249999</v>
      </c>
      <c r="M30" s="709">
        <f ca="1">IF(ISERROR(MATCH(M$1,INDIRECT("Table!A"&amp;$BJ30):INDIRECT("Table!" &amp; $BV$88 &amp; $BJ30),0)),"",INDIRECT(CONCATENATE("Table!",ADDRESS($BF30,MATCH(M$1,INDIRECT("Table!A" &amp; $BJ30):INDIRECT("Table!" &amp; $BV$88 &amp; $BJ30),0)))))/1024</f>
        <v>85.078417968750003</v>
      </c>
      <c r="N30" s="709">
        <f ca="1">IF(ISERROR(MATCH(N$1,INDIRECT("Table!A"&amp;$BJ30):INDIRECT("Table!" &amp; $BV$88 &amp; $BJ30),0)),"",INDIRECT(CONCATENATE("Table!",ADDRESS($BF30,MATCH(N$1,INDIRECT("Table!A" &amp; $BJ30):INDIRECT("Table!" &amp; $BV$88 &amp; $BJ30),0)))))/1024</f>
        <v>58.508398437499999</v>
      </c>
      <c r="O30" s="709">
        <f ca="1">IF(ISERROR(MATCH(O$1,INDIRECT("Table!A"&amp;$BJ30):INDIRECT("Table!" &amp; $BV$88 &amp; $BJ30),0)),"",INDIRECT(CONCATENATE("Table!",ADDRESS($BF30,MATCH(O$1,INDIRECT("Table!A" &amp; $BJ30):INDIRECT("Table!" &amp; $BV$88 &amp; $BJ30),0)))))/1024</f>
        <v>188.08730468749999</v>
      </c>
      <c r="P30" s="709">
        <f ca="1">IF(ISERROR(MATCH(P$1,INDIRECT("Table!A"&amp;$BJ30):INDIRECT("Table!" &amp; $BV$88 &amp; $BJ30),0)),"",INDIRECT(CONCATENATE("Table!",ADDRESS($BF30,MATCH(P$1,INDIRECT("Table!A" &amp; $BJ30):INDIRECT("Table!" &amp; $BV$88 &amp; $BJ30),0)))))/1024</f>
        <v>25.929296874999999</v>
      </c>
      <c r="Q30" s="709">
        <f ca="1">IF(ISERROR(MATCH(Q$1,INDIRECT("Table!A"&amp;$BJ30):INDIRECT("Table!" &amp; $BV$88 &amp; $BJ30),0)),"",INDIRECT(CONCATENATE("Table!",ADDRESS($BF30,MATCH(Q$1,INDIRECT("Table!A" &amp; $BJ30):INDIRECT("Table!" &amp; $BV$88 &amp; $BJ30),0)))))/1024</f>
        <v>81.8798828125</v>
      </c>
      <c r="R30" s="709">
        <f ca="1">IF(ISERROR(MATCH(R$1,INDIRECT("Table!A"&amp;$BJ30):INDIRECT("Table!" &amp; $BV$88 &amp; $BJ30),0)),"",INDIRECT(CONCATENATE("Table!",ADDRESS($BF30,MATCH(R$1,INDIRECT("Table!A" &amp; $BJ30):INDIRECT("Table!" &amp; $BV$88 &amp; $BJ30),0)))))/1024</f>
        <v>53.172656249999996</v>
      </c>
      <c r="S30" s="709">
        <f ca="1">IF(ISERROR(MATCH(S$1,INDIRECT("Table!A"&amp;$BJ30):INDIRECT("Table!" &amp; $BV$43 &amp; $BJ30),0)),"",INDIRECT(CONCATENATE("Table!",ADDRESS($BF30,MATCH(S$1,INDIRECT("Table!A" &amp; $BJ30):INDIRECT("Table!" &amp; $BV$43 &amp; $BJ30),0)))))/1024</f>
        <v>13.050097656249999</v>
      </c>
      <c r="T30" s="709">
        <f ca="1">IF(ISERROR(MATCH(T$1,INDIRECT("Table!A"&amp;$BJ30):INDIRECT("Table!" &amp; $BV$43 &amp; $BJ30),0)),"",INDIRECT(CONCATENATE("Table!",ADDRESS($BF30,MATCH(T$1,INDIRECT("Table!A" &amp; $BJ30):INDIRECT("Table!" &amp; $BV$43 &amp; $BJ30),0)))))/1024</f>
        <v>6.4854492187500004</v>
      </c>
      <c r="U30" s="709"/>
      <c r="V30" s="909"/>
      <c r="W30" s="909"/>
      <c r="X30" s="909"/>
      <c r="Y30" s="909"/>
      <c r="Z30" s="909"/>
      <c r="AA30" s="909"/>
      <c r="AB30" s="909"/>
      <c r="AC30" s="709" t="str">
        <f ca="1">IF(ISERROR(MATCH(AC$1,INDIRECT("Table!A"&amp;$BJ30):INDIRECT("Table!" &amp; $BV$88 &amp; $BJ30),0)),"",INDIRECT(CONCATENATE("Table!",ADDRESS($BF30,MATCH(AC$1,INDIRECT("Table!A" &amp; $BJ30):INDIRECT("Table!" &amp; $BV$88 &amp; $BJ30),0)))))</f>
        <v/>
      </c>
      <c r="AD30" s="709">
        <f ca="1">IF(ISERROR(MATCH(AD$1,INDIRECT("Table!A"&amp;$BJ30):INDIRECT("Table!" &amp; $BV$88 &amp; $BJ30),0)),"",INDIRECT(CONCATENATE("Table!",ADDRESS($BN30,MATCH(AD$1,INDIRECT("Table!A" &amp; $BJ30):INDIRECT("Table!" &amp; $BV$88 &amp; $BJ30),0)))))/1024</f>
        <v>140.0322265625</v>
      </c>
      <c r="AE30" s="709">
        <f ca="1">IF(ISERROR(MATCH(AE$1,INDIRECT("Table!A"&amp;$BJ30):INDIRECT("Table!" &amp; $BV$88 &amp; $BJ30),0)),"",INDIRECT(CONCATENATE("Table!",ADDRESS($BN30,MATCH(AE$1,INDIRECT("Table!A" &amp; $BJ30):INDIRECT("Table!" &amp; $BV$88 &amp; $BJ30),0)))))/1024</f>
        <v>146.98896484375001</v>
      </c>
      <c r="AF30" s="709">
        <f ca="1">IF(ISERROR(MATCH(AF$1,INDIRECT("Table!A"&amp;$BJ30):INDIRECT("Table!" &amp; $BV$88 &amp; $BJ30),0)),"",INDIRECT(CONCATENATE("Table!",ADDRESS($BN30,MATCH(AF$1,INDIRECT("Table!A" &amp; $BJ30):INDIRECT("Table!" &amp; $BV$88 &amp; $BJ30),0)))))/1024</f>
        <v>146.98896484375001</v>
      </c>
      <c r="AG30" s="709">
        <f ca="1">IF(ISERROR(MATCH(AG$1,INDIRECT("Table!A"&amp;$BJ30):INDIRECT("Table!" &amp; $BV$88 &amp; $BJ30),0)),"",INDIRECT(CONCATENATE("Table!",ADDRESS($BN30,MATCH(AG$1,INDIRECT("Table!A" &amp; $BJ30):INDIRECT("Table!" &amp; $BV$88 &amp; $BJ30),0)))))/1024</f>
        <v>177.73320312499999</v>
      </c>
      <c r="AH30" s="709">
        <f ca="1">IF(ISERROR(MATCH(AH$1,INDIRECT("Table!A"&amp;$BJ30):INDIRECT("Table!" &amp; $BV$88 &amp; $BJ30),0)),"",INDIRECT(CONCATENATE("Table!",ADDRESS($BN30,MATCH(AH$1,INDIRECT("Table!A" &amp; $BJ30):INDIRECT("Table!" &amp; $BV$88 &amp; $BJ30),0)))))/1024</f>
        <v>161.57568359375</v>
      </c>
      <c r="AI30" s="709">
        <f ca="1">IF(ISERROR(MATCH(AI$1,INDIRECT("Table!A"&amp;$BJ30):INDIRECT("Table!" &amp; $BV$88 &amp; $BJ30),0)),"",INDIRECT(CONCATENATE("Table!",ADDRESS($BN30,MATCH(AI$1,INDIRECT("Table!A" &amp; $BJ30):INDIRECT("Table!" &amp; $BV$88 &amp; $BJ30),0)))))/1024</f>
        <v>129.03603515624999</v>
      </c>
      <c r="AJ30" s="709">
        <f ca="1">IF(ISERROR(MATCH(AJ$1,INDIRECT("Table!A"&amp;$BJ30):INDIRECT("Table!" &amp; $BV$88 &amp; $BJ30),0)),"",INDIRECT(CONCATENATE("Table!",ADDRESS($BN30,MATCH(AJ$1,INDIRECT("Table!A" &amp; $BJ30):INDIRECT("Table!" &amp; $BV$88 &amp; $BJ30),0)))))/1024</f>
        <v>166.96152343750001</v>
      </c>
      <c r="AK30" s="709">
        <f ca="1">IF(ISERROR(MATCH(AK$1,INDIRECT("Table!A"&amp;$BJ30):INDIRECT("Table!" &amp; $BV$88 &amp; $BJ30),0)),"",INDIRECT(CONCATENATE("Table!",ADDRESS($BN30,MATCH(AK$1,INDIRECT("Table!A" &amp; $BJ30):INDIRECT("Table!" &amp; $BV$88 &amp; $BJ30),0)))))/1024</f>
        <v>161.57568359375</v>
      </c>
      <c r="AL30" s="709">
        <f ca="1">IF(ISERROR(MATCH(AL$1,INDIRECT("Table!A"&amp;$BJ30):INDIRECT("Table!" &amp; $BV$88 &amp; $BJ30),0)),"",INDIRECT(CONCATENATE("Table!",ADDRESS($BN30,MATCH(AL$1,INDIRECT("Table!A" &amp; $BJ30):INDIRECT("Table!" &amp; $BV$88 &amp; $BJ30),0)))))/1024</f>
        <v>90.245703125000006</v>
      </c>
      <c r="AM30" s="709">
        <f ca="1">IF(ISERROR(MATCH(AM$1,INDIRECT("Table!A"&amp;$BJ30):INDIRECT("Table!" &amp; $BV$88 &amp; $BJ30),0)),"",INDIRECT(CONCATENATE("Table!",ADDRESS($BN30,MATCH(AM$1,INDIRECT("Table!A" &amp; $BJ30):INDIRECT("Table!" &amp; $BV$88 &amp; $BJ30),0)))))/1024</f>
        <v>210.22119140625</v>
      </c>
      <c r="AN30" s="709">
        <f ca="1">IF(ISERROR(MATCH(AN$1,INDIRECT("Table!A"&amp;$BJ30):INDIRECT("Table!" &amp; $BV$88 &amp; $BJ30),0)),"",INDIRECT(CONCATENATE("Table!",ADDRESS($BN30,MATCH(AN$1,INDIRECT("Table!A" &amp; $BJ30):INDIRECT("Table!" &amp; $BV$88 &amp; $BJ30),0)))))/1024</f>
        <v>188.50498046875001</v>
      </c>
      <c r="AO30" s="709">
        <f ca="1">IF(ISERROR(MATCH(AO$1,INDIRECT("Table!A"&amp;$BJ30):INDIRECT("Table!" &amp; $BV$88 &amp; $BJ30),0)),"",INDIRECT(CONCATENATE("Table!",ADDRESS($BN30,MATCH(AO$1,INDIRECT("Table!A" &amp; $BJ30):INDIRECT("Table!" &amp; $BV$88 &amp; $BJ30),0)))))/1024</f>
        <v>414.48457031249995</v>
      </c>
      <c r="AP30" s="709">
        <f ca="1">IF(ISERROR(MATCH(AP$1,INDIRECT("Table!A"&amp;$BJ30):INDIRECT("Table!" &amp; $BV$88 &amp; $BJ30),0)),"",INDIRECT(CONCATENATE("Table!",ADDRESS($BN30,MATCH(AP$1,INDIRECT("Table!A" &amp; $BJ30):INDIRECT("Table!" &amp; $BV$88 &amp; $BJ30),0)))))/1024</f>
        <v>80.787695312500006</v>
      </c>
      <c r="AQ30" s="709">
        <f ca="1">IF(ISERROR(MATCH(AQ$1,INDIRECT("Table!A"&amp;$BJ30):INDIRECT("Table!" &amp; $BV$88 &amp; $BJ30),0)),"",INDIRECT(CONCATENATE("Table!",ADDRESS($BN30,MATCH(AQ$1,INDIRECT("Table!A" &amp; $BJ30):INDIRECT("Table!" &amp; $BV$88 &amp; $BJ30),0)))))/1024</f>
        <v>269.2919921875</v>
      </c>
      <c r="AR30" s="709">
        <f ca="1">IF(ISERROR(MATCH(AR$1,INDIRECT("Table!A"&amp;$BJ30):INDIRECT("Table!" &amp; $BV$88 &amp; $BJ30),0)),"",INDIRECT(CONCATENATE("Table!",ADDRESS($BN30,MATCH(AR$1,INDIRECT("Table!A" &amp; $BJ30):INDIRECT("Table!" &amp; $BV$88 &amp; $BJ30),0)))))/1024</f>
        <v>80.787695312500006</v>
      </c>
      <c r="AS30" s="709">
        <f ca="1">IF(ISERROR(MATCH(AS$1,INDIRECT("Table!A"&amp;$BJ30):INDIRECT("Table!" &amp; $BV$88 &amp; $BJ30),0)),"",INDIRECT(CONCATENATE("Table!",ADDRESS($BN30,MATCH(AS$1,INDIRECT("Table!A" &amp; $BJ30):INDIRECT("Table!" &amp; $BV$88 &amp; $BJ30),0)))))/1024</f>
        <v>184.55234375000001</v>
      </c>
      <c r="AT30" s="709">
        <f ca="1">IF(ISERROR(MATCH(AT$1,INDIRECT("Table!A"&amp;$BJ30):INDIRECT("Table!" &amp; $BV$88 &amp; $BJ30),0)),"",INDIRECT(CONCATENATE("Table!",ADDRESS($BN30,MATCH(AT$1,INDIRECT("Table!A" &amp; $BJ30):INDIRECT("Table!" &amp; $BV$88 &amp; $BJ30),0)))))/1024</f>
        <v>210.22119140625</v>
      </c>
      <c r="AU30" s="709">
        <f ca="1">IF(ISERROR(MATCH(AU$1,INDIRECT("Table!A"&amp;$BJ30):INDIRECT("Table!" &amp; $BV$88 &amp; $BJ30),0)),"",INDIRECT(CONCATENATE("Table!",ADDRESS($BN30,MATCH(AU$1,INDIRECT("Table!A" &amp; $BJ30):INDIRECT("Table!" &amp; $BV$88 &amp; $BJ30),0)))))/1024</f>
        <v>53.8583984375</v>
      </c>
      <c r="AV30" s="709">
        <f ca="1">IF(ISERROR(MATCH(AV$1,INDIRECT("Table!A"&amp;$BJ30):INDIRECT("Table!" &amp; $BV$88 &amp; $BJ30),0)),"",INDIRECT(CONCATENATE("Table!",ADDRESS($BN30,MATCH(AV$1,INDIRECT("Table!A" &amp; $BJ30):INDIRECT("Table!" &amp; $BV$88 &amp; $BJ30),0)))))/1024</f>
        <v>32.31494140625</v>
      </c>
      <c r="AW30" s="709"/>
      <c r="AX30" s="909"/>
      <c r="AY30" s="909"/>
      <c r="AZ30" s="909"/>
      <c r="BA30" s="909"/>
      <c r="BB30" s="909"/>
      <c r="BC30" s="909"/>
      <c r="BD30" s="909"/>
      <c r="BE30" s="909"/>
      <c r="BF30" s="704">
        <f>MATCH($A30,Table!$A:$A,0)+$BH$2-1</f>
        <v>403</v>
      </c>
      <c r="BG30" s="705"/>
      <c r="BH30" s="705"/>
      <c r="BI30" s="705"/>
      <c r="BJ30" s="717">
        <f>MATCH($A30,Table!$A:$A,0)+$BL$2-1</f>
        <v>401</v>
      </c>
      <c r="BK30" s="705"/>
      <c r="BL30" s="705"/>
      <c r="BM30" s="705"/>
      <c r="BN30" s="704">
        <f>MATCH($A30,Table!$A:$A,0)+$BP$2-1</f>
        <v>402</v>
      </c>
      <c r="BO30" s="705"/>
      <c r="BP30" s="705"/>
      <c r="BQ30" s="705"/>
      <c r="BR30" s="717">
        <f>MATCH($A30,Table!$A:$A,0)+$BL$2-1</f>
        <v>401</v>
      </c>
      <c r="BS30" s="705"/>
      <c r="BT30" s="705"/>
      <c r="BU30" s="705"/>
      <c r="BV30" s="711" t="s">
        <v>284</v>
      </c>
      <c r="BW30" s="712">
        <f t="shared" ca="1" si="12"/>
        <v>3046.1629882812504</v>
      </c>
      <c r="BX30" s="712">
        <f t="shared" ca="1" si="45"/>
        <v>1376.3571289062504</v>
      </c>
      <c r="BY30" s="712">
        <f t="shared" ca="1" si="43"/>
        <v>1669.805859375</v>
      </c>
      <c r="BZ30" s="718">
        <f t="shared" ca="1" si="44"/>
        <v>0.45183305496165793</v>
      </c>
      <c r="CA30" s="712">
        <f ca="1">SUMIF('Alloc Feed'!A:A,A:A,'Alloc Feed'!I:I)</f>
        <v>3046.4494863281247</v>
      </c>
      <c r="CB30" s="718">
        <f t="shared" ca="1" si="42"/>
        <v>1.000094052106856</v>
      </c>
    </row>
    <row r="31" spans="1:80" s="591" customFormat="1" x14ac:dyDescent="0.25">
      <c r="A31" s="703">
        <v>41589</v>
      </c>
      <c r="B31" s="709">
        <f ca="1">IF(ISERROR(MATCH(B$1,INDIRECT("Table!A"&amp;$BJ31):INDIRECT("Table!" &amp; $BV$88 &amp; $BJ31),0)),"",INDIRECT(CONCATENATE("Table!",ADDRESS($BF31,MATCH(B$1,INDIRECT("Table!A" &amp; $BJ31):INDIRECT("Table!" &amp; $BV$88 &amp; $BJ31),0)))))/1024</f>
        <v>48.048535156249997</v>
      </c>
      <c r="C31" s="709">
        <f ca="1">IF(ISERROR(MATCH(C$1,INDIRECT("Table!A"&amp;$BJ31):INDIRECT("Table!" &amp; $BV$88 &amp; $BJ31),0)),"",INDIRECT(CONCATENATE("Table!",ADDRESS($BF31,MATCH(C$1,INDIRECT("Table!A" &amp; $BJ31):INDIRECT("Table!" &amp; $BV$88 &amp; $BJ31),0)))))/1024</f>
        <v>79.209667968749997</v>
      </c>
      <c r="D31" s="709">
        <f ca="1">IF(ISERROR(MATCH(D$1,INDIRECT("Table!A"&amp;$BJ31):INDIRECT("Table!" &amp; $BV$88 &amp; $BJ31),0)),"",INDIRECT(CONCATENATE("Table!",ADDRESS($BF31,MATCH(D$1,INDIRECT("Table!A" &amp; $BJ31):INDIRECT("Table!" &amp; $BV$88 &amp; $BJ31),0)))))/1024</f>
        <v>80.54833984375</v>
      </c>
      <c r="E31" s="709">
        <f ca="1">IF(ISERROR(MATCH(E$1,INDIRECT("Table!A"&amp;$BJ31):INDIRECT("Table!" &amp; $BV$88 &amp; $BJ31),0)),"",INDIRECT(CONCATENATE("Table!",ADDRESS($BF31,MATCH(E$1,INDIRECT("Table!A" &amp; $BJ31):INDIRECT("Table!" &amp; $BV$88 &amp; $BJ31),0)))))/1024</f>
        <v>148.76982421874999</v>
      </c>
      <c r="F31" s="709">
        <f ca="1">IF(ISERROR(MATCH(F$1,INDIRECT("Table!A"&amp;$BJ31):INDIRECT("Table!" &amp; $BV$88 &amp; $BJ31),0)),"",INDIRECT(CONCATENATE("Table!",ADDRESS($BF31,MATCH(F$1,INDIRECT("Table!A" &amp; $BJ31):INDIRECT("Table!" &amp; $BV$88 &amp; $BJ31),0)))))/1024</f>
        <v>113.24912109375001</v>
      </c>
      <c r="G31" s="709">
        <f ca="1">IF(ISERROR(MATCH(G$1,INDIRECT("Table!A"&amp;$BJ31):INDIRECT("Table!" &amp; $BV$88 &amp; $BJ31),0)),"",INDIRECT(CONCATENATE("Table!",ADDRESS($BF31,MATCH(G$1,INDIRECT("Table!A" &amp; $BJ31):INDIRECT("Table!" &amp; $BV$88 &amp; $BJ31),0)))))/1024</f>
        <v>62.876171874999997</v>
      </c>
      <c r="H31" s="709">
        <f ca="1">IF(ISERROR(MATCH(H$1,INDIRECT("Table!A"&amp;$BJ31):INDIRECT("Table!" &amp; $BV$88 &amp; $BJ31),0)),"",INDIRECT(CONCATENATE("Table!",ADDRESS($BF31,MATCH(H$1,INDIRECT("Table!A" &amp; $BJ31):INDIRECT("Table!" &amp; $BV$88 &amp; $BJ31),0)))))/1024</f>
        <v>102.126953125</v>
      </c>
      <c r="I31" s="709">
        <f ca="1">IF(ISERROR(MATCH(I$1,INDIRECT("Table!A"&amp;$BJ31):INDIRECT("Table!" &amp; $BV$88 &amp; $BJ31),0)),"",INDIRECT(CONCATENATE("Table!",ADDRESS($BF31,MATCH(I$1,INDIRECT("Table!A" &amp; $BJ31):INDIRECT("Table!" &amp; $BV$88 &amp; $BJ31),0)))))/1024</f>
        <v>13.18837890625</v>
      </c>
      <c r="J31" s="709">
        <f ca="1">IF(ISERROR(MATCH(J$1,INDIRECT("Table!A"&amp;$BJ31):INDIRECT("Table!" &amp; $BV$88 &amp; $BJ31),0)),"",INDIRECT(CONCATENATE("Table!",ADDRESS($BF31,MATCH(J$1,INDIRECT("Table!A" &amp; $BJ31):INDIRECT("Table!" &amp; $BV$88 &amp; $BJ31),0)))))/1024</f>
        <v>50.583398437500001</v>
      </c>
      <c r="K31" s="709">
        <f ca="1">IF(ISERROR(MATCH(K$1,INDIRECT("Table!A"&amp;$BJ31):INDIRECT("Table!" &amp; $BV$88 &amp; $BJ31),0)),"",INDIRECT(CONCATENATE("Table!",ADDRESS($BF31,MATCH(K$1,INDIRECT("Table!A" &amp; $BJ31):INDIRECT("Table!" &amp; $BV$88 &amp; $BJ31),0)))))/1024</f>
        <v>3.5715820312500002</v>
      </c>
      <c r="L31" s="709">
        <f ca="1">IF(ISERROR(MATCH(L$1,INDIRECT("Table!A"&amp;$BJ31):INDIRECT("Table!" &amp; $BV$88 &amp; $BJ31),0)),"",INDIRECT(CONCATENATE("Table!",ADDRESS($BF31,MATCH(L$1,INDIRECT("Table!A" &amp; $BJ31):INDIRECT("Table!" &amp; $BV$88 &amp; $BJ31),0)))))/1024</f>
        <v>158.18691406249999</v>
      </c>
      <c r="M31" s="709">
        <f ca="1">IF(ISERROR(MATCH(M$1,INDIRECT("Table!A"&amp;$BJ31):INDIRECT("Table!" &amp; $BV$88 &amp; $BJ31),0)),"",INDIRECT(CONCATENATE("Table!",ADDRESS($BF31,MATCH(M$1,INDIRECT("Table!A" &amp; $BJ31):INDIRECT("Table!" &amp; $BV$88 &amp; $BJ31),0)))))/1024</f>
        <v>163.7099609375</v>
      </c>
      <c r="N31" s="709">
        <f ca="1">IF(ISERROR(MATCH(N$1,INDIRECT("Table!A"&amp;$BJ31):INDIRECT("Table!" &amp; $BV$88 &amp; $BJ31),0)),"",INDIRECT(CONCATENATE("Table!",ADDRESS($BF31,MATCH(N$1,INDIRECT("Table!A" &amp; $BJ31):INDIRECT("Table!" &amp; $BV$88 &amp; $BJ31),0)))))/1024</f>
        <v>58.328710937499999</v>
      </c>
      <c r="O31" s="709">
        <f ca="1">IF(ISERROR(MATCH(O$1,INDIRECT("Table!A"&amp;$BJ31):INDIRECT("Table!" &amp; $BV$88 &amp; $BJ31),0)),"",INDIRECT(CONCATENATE("Table!",ADDRESS($BF31,MATCH(O$1,INDIRECT("Table!A" &amp; $BJ31):INDIRECT("Table!" &amp; $BV$88 &amp; $BJ31),0)))))/1024</f>
        <v>184.04931640625</v>
      </c>
      <c r="P31" s="709">
        <f ca="1">IF(ISERROR(MATCH(P$1,INDIRECT("Table!A"&amp;$BJ31):INDIRECT("Table!" &amp; $BV$88 &amp; $BJ31),0)),"",INDIRECT(CONCATENATE("Table!",ADDRESS($BF31,MATCH(P$1,INDIRECT("Table!A" &amp; $BJ31):INDIRECT("Table!" &amp; $BV$88 &amp; $BJ31),0)))))/1024</f>
        <v>25.291308593749999</v>
      </c>
      <c r="Q31" s="709">
        <f ca="1">IF(ISERROR(MATCH(Q$1,INDIRECT("Table!A"&amp;$BJ31):INDIRECT("Table!" &amp; $BV$88 &amp; $BJ31),0)),"",INDIRECT(CONCATENATE("Table!",ADDRESS($BF31,MATCH(Q$1,INDIRECT("Table!A" &amp; $BJ31):INDIRECT("Table!" &amp; $BV$88 &amp; $BJ31),0)))))/1024</f>
        <v>81.2666015625</v>
      </c>
      <c r="R31" s="709">
        <f ca="1">IF(ISERROR(MATCH(R$1,INDIRECT("Table!A"&amp;$BJ31):INDIRECT("Table!" &amp; $BV$88 &amp; $BJ31),0)),"",INDIRECT(CONCATENATE("Table!",ADDRESS($BF31,MATCH(R$1,INDIRECT("Table!A" &amp; $BJ31):INDIRECT("Table!" &amp; $BV$88 &amp; $BJ31),0)))))/1024</f>
        <v>45.048046874999997</v>
      </c>
      <c r="S31" s="709">
        <f ca="1">IF(ISERROR(MATCH(S$1,INDIRECT("Table!A"&amp;$BJ31):INDIRECT("Table!" &amp; $BV$43 &amp; $BJ31),0)),"",INDIRECT(CONCATENATE("Table!",ADDRESS($BF31,MATCH(S$1,INDIRECT("Table!A" &amp; $BJ31):INDIRECT("Table!" &amp; $BV$43 &amp; $BJ31),0)))))/1024</f>
        <v>13.050097656249999</v>
      </c>
      <c r="T31" s="709">
        <f ca="1">IF(ISERROR(MATCH(T$1,INDIRECT("Table!A"&amp;$BJ31):INDIRECT("Table!" &amp; $BV$43 &amp; $BJ31),0)),"",INDIRECT(CONCATENATE("Table!",ADDRESS($BF31,MATCH(T$1,INDIRECT("Table!A" &amp; $BJ31):INDIRECT("Table!" &amp; $BV$43 &amp; $BJ31),0)))))/1024</f>
        <v>6.4854492187500004</v>
      </c>
      <c r="U31" s="709"/>
      <c r="V31" s="909"/>
      <c r="W31" s="909"/>
      <c r="X31" s="909"/>
      <c r="Y31" s="909"/>
      <c r="Z31" s="909"/>
      <c r="AA31" s="909"/>
      <c r="AB31" s="909"/>
      <c r="AC31" s="709" t="str">
        <f ca="1">IF(ISERROR(MATCH(AC$1,INDIRECT("Table!A"&amp;$BJ31):INDIRECT("Table!" &amp; $BV$88 &amp; $BJ31),0)),"",INDIRECT(CONCATENATE("Table!",ADDRESS($BF31,MATCH(AC$1,INDIRECT("Table!A" &amp; $BJ31):INDIRECT("Table!" &amp; $BV$88 &amp; $BJ31),0)))))</f>
        <v/>
      </c>
      <c r="AD31" s="709">
        <f ca="1">IF(ISERROR(MATCH(AD$1,INDIRECT("Table!A"&amp;$BJ31):INDIRECT("Table!" &amp; $BV$88 &amp; $BJ31),0)),"",INDIRECT(CONCATENATE("Table!",ADDRESS($BN31,MATCH(AD$1,INDIRECT("Table!A" &amp; $BJ31):INDIRECT("Table!" &amp; $BV$88 &amp; $BJ31),0)))))/1024</f>
        <v>140.0322265625</v>
      </c>
      <c r="AE31" s="709">
        <f ca="1">IF(ISERROR(MATCH(AE$1,INDIRECT("Table!A"&amp;$BJ31):INDIRECT("Table!" &amp; $BV$88 &amp; $BJ31),0)),"",INDIRECT(CONCATENATE("Table!",ADDRESS($BN31,MATCH(AE$1,INDIRECT("Table!A" &amp; $BJ31):INDIRECT("Table!" &amp; $BV$88 &amp; $BJ31),0)))))/1024</f>
        <v>146.98896484375001</v>
      </c>
      <c r="AF31" s="709">
        <f ca="1">IF(ISERROR(MATCH(AF$1,INDIRECT("Table!A"&amp;$BJ31):INDIRECT("Table!" &amp; $BV$88 &amp; $BJ31),0)),"",INDIRECT(CONCATENATE("Table!",ADDRESS($BN31,MATCH(AF$1,INDIRECT("Table!A" &amp; $BJ31):INDIRECT("Table!" &amp; $BV$88 &amp; $BJ31),0)))))/1024</f>
        <v>146.98896484375001</v>
      </c>
      <c r="AG31" s="709">
        <f ca="1">IF(ISERROR(MATCH(AG$1,INDIRECT("Table!A"&amp;$BJ31):INDIRECT("Table!" &amp; $BV$88 &amp; $BJ31),0)),"",INDIRECT(CONCATENATE("Table!",ADDRESS($BN31,MATCH(AG$1,INDIRECT("Table!A" &amp; $BJ31):INDIRECT("Table!" &amp; $BV$88 &amp; $BJ31),0)))))/1024</f>
        <v>177.73320312499999</v>
      </c>
      <c r="AH31" s="709">
        <f ca="1">IF(ISERROR(MATCH(AH$1,INDIRECT("Table!A"&amp;$BJ31):INDIRECT("Table!" &amp; $BV$88 &amp; $BJ31),0)),"",INDIRECT(CONCATENATE("Table!",ADDRESS($BN31,MATCH(AH$1,INDIRECT("Table!A" &amp; $BJ31):INDIRECT("Table!" &amp; $BV$88 &amp; $BJ31),0)))))/1024</f>
        <v>161.57568359375</v>
      </c>
      <c r="AI31" s="709">
        <f ca="1">IF(ISERROR(MATCH(AI$1,INDIRECT("Table!A"&amp;$BJ31):INDIRECT("Table!" &amp; $BV$88 &amp; $BJ31),0)),"",INDIRECT(CONCATENATE("Table!",ADDRESS($BN31,MATCH(AI$1,INDIRECT("Table!A" &amp; $BJ31):INDIRECT("Table!" &amp; $BV$88 &amp; $BJ31),0)))))/1024</f>
        <v>129.03603515624999</v>
      </c>
      <c r="AJ31" s="709">
        <f ca="1">IF(ISERROR(MATCH(AJ$1,INDIRECT("Table!A"&amp;$BJ31):INDIRECT("Table!" &amp; $BV$88 &amp; $BJ31),0)),"",INDIRECT(CONCATENATE("Table!",ADDRESS($BN31,MATCH(AJ$1,INDIRECT("Table!A" &amp; $BJ31):INDIRECT("Table!" &amp; $BV$88 &amp; $BJ31),0)))))/1024</f>
        <v>166.96152343750001</v>
      </c>
      <c r="AK31" s="709">
        <f ca="1">IF(ISERROR(MATCH(AK$1,INDIRECT("Table!A"&amp;$BJ31):INDIRECT("Table!" &amp; $BV$88 &amp; $BJ31),0)),"",INDIRECT(CONCATENATE("Table!",ADDRESS($BN31,MATCH(AK$1,INDIRECT("Table!A" &amp; $BJ31):INDIRECT("Table!" &amp; $BV$88 &amp; $BJ31),0)))))/1024</f>
        <v>161.57568359375</v>
      </c>
      <c r="AL31" s="709">
        <f ca="1">IF(ISERROR(MATCH(AL$1,INDIRECT("Table!A"&amp;$BJ31):INDIRECT("Table!" &amp; $BV$88 &amp; $BJ31),0)),"",INDIRECT(CONCATENATE("Table!",ADDRESS($BN31,MATCH(AL$1,INDIRECT("Table!A" &amp; $BJ31):INDIRECT("Table!" &amp; $BV$88 &amp; $BJ31),0)))))/1024</f>
        <v>90.245703125000006</v>
      </c>
      <c r="AM31" s="709">
        <f ca="1">IF(ISERROR(MATCH(AM$1,INDIRECT("Table!A"&amp;$BJ31):INDIRECT("Table!" &amp; $BV$88 &amp; $BJ31),0)),"",INDIRECT(CONCATENATE("Table!",ADDRESS($BN31,MATCH(AM$1,INDIRECT("Table!A" &amp; $BJ31):INDIRECT("Table!" &amp; $BV$88 &amp; $BJ31),0)))))/1024</f>
        <v>210.22119140625</v>
      </c>
      <c r="AN31" s="709">
        <f ca="1">IF(ISERROR(MATCH(AN$1,INDIRECT("Table!A"&amp;$BJ31):INDIRECT("Table!" &amp; $BV$88 &amp; $BJ31),0)),"",INDIRECT(CONCATENATE("Table!",ADDRESS($BN31,MATCH(AN$1,INDIRECT("Table!A" &amp; $BJ31):INDIRECT("Table!" &amp; $BV$88 &amp; $BJ31),0)))))/1024</f>
        <v>188.50498046875001</v>
      </c>
      <c r="AO31" s="709">
        <f ca="1">IF(ISERROR(MATCH(AO$1,INDIRECT("Table!A"&amp;$BJ31):INDIRECT("Table!" &amp; $BV$88 &amp; $BJ31),0)),"",INDIRECT(CONCATENATE("Table!",ADDRESS($BN31,MATCH(AO$1,INDIRECT("Table!A" &amp; $BJ31):INDIRECT("Table!" &amp; $BV$88 &amp; $BJ31),0)))))/1024</f>
        <v>414.48457031249995</v>
      </c>
      <c r="AP31" s="709">
        <f ca="1">IF(ISERROR(MATCH(AP$1,INDIRECT("Table!A"&amp;$BJ31):INDIRECT("Table!" &amp; $BV$88 &amp; $BJ31),0)),"",INDIRECT(CONCATENATE("Table!",ADDRESS($BN31,MATCH(AP$1,INDIRECT("Table!A" &amp; $BJ31):INDIRECT("Table!" &amp; $BV$88 &amp; $BJ31),0)))))/1024</f>
        <v>80.787695312500006</v>
      </c>
      <c r="AQ31" s="709">
        <f ca="1">IF(ISERROR(MATCH(AQ$1,INDIRECT("Table!A"&amp;$BJ31):INDIRECT("Table!" &amp; $BV$88 &amp; $BJ31),0)),"",INDIRECT(CONCATENATE("Table!",ADDRESS($BN31,MATCH(AQ$1,INDIRECT("Table!A" &amp; $BJ31):INDIRECT("Table!" &amp; $BV$88 &amp; $BJ31),0)))))/1024</f>
        <v>269.2919921875</v>
      </c>
      <c r="AR31" s="709">
        <f ca="1">IF(ISERROR(MATCH(AR$1,INDIRECT("Table!A"&amp;$BJ31):INDIRECT("Table!" &amp; $BV$88 &amp; $BJ31),0)),"",INDIRECT(CONCATENATE("Table!",ADDRESS($BN31,MATCH(AR$1,INDIRECT("Table!A" &amp; $BJ31):INDIRECT("Table!" &amp; $BV$88 &amp; $BJ31),0)))))/1024</f>
        <v>80.787695312500006</v>
      </c>
      <c r="AS31" s="709">
        <f ca="1">IF(ISERROR(MATCH(AS$1,INDIRECT("Table!A"&amp;$BJ31):INDIRECT("Table!" &amp; $BV$88 &amp; $BJ31),0)),"",INDIRECT(CONCATENATE("Table!",ADDRESS($BN31,MATCH(AS$1,INDIRECT("Table!A" &amp; $BJ31):INDIRECT("Table!" &amp; $BV$88 &amp; $BJ31),0)))))/1024</f>
        <v>184.55234375000001</v>
      </c>
      <c r="AT31" s="709">
        <f ca="1">IF(ISERROR(MATCH(AT$1,INDIRECT("Table!A"&amp;$BJ31):INDIRECT("Table!" &amp; $BV$88 &amp; $BJ31),0)),"",INDIRECT(CONCATENATE("Table!",ADDRESS($BN31,MATCH(AT$1,INDIRECT("Table!A" &amp; $BJ31):INDIRECT("Table!" &amp; $BV$88 &amp; $BJ31),0)))))/1024</f>
        <v>210.22119140625</v>
      </c>
      <c r="AU31" s="709">
        <f ca="1">IF(ISERROR(MATCH(AU$1,INDIRECT("Table!A"&amp;$BJ31):INDIRECT("Table!" &amp; $BV$88 &amp; $BJ31),0)),"",INDIRECT(CONCATENATE("Table!",ADDRESS($BN31,MATCH(AU$1,INDIRECT("Table!A" &amp; $BJ31):INDIRECT("Table!" &amp; $BV$88 &amp; $BJ31),0)))))/1024</f>
        <v>53.8583984375</v>
      </c>
      <c r="AV31" s="709">
        <f ca="1">IF(ISERROR(MATCH(AV$1,INDIRECT("Table!A"&amp;$BJ31):INDIRECT("Table!" &amp; $BV$88 &amp; $BJ31),0)),"",INDIRECT(CONCATENATE("Table!",ADDRESS($BN31,MATCH(AV$1,INDIRECT("Table!A" &amp; $BJ31):INDIRECT("Table!" &amp; $BV$88 &amp; $BJ31),0)))))/1024</f>
        <v>32.31494140625</v>
      </c>
      <c r="AW31" s="709"/>
      <c r="AX31" s="909"/>
      <c r="AY31" s="909"/>
      <c r="AZ31" s="909"/>
      <c r="BA31" s="909"/>
      <c r="BB31" s="909"/>
      <c r="BC31" s="909"/>
      <c r="BD31" s="909"/>
      <c r="BE31" s="909"/>
      <c r="BF31" s="704">
        <f>MATCH($A31,Table!$A:$A,0)+$BH$2-1</f>
        <v>415</v>
      </c>
      <c r="BG31" s="705"/>
      <c r="BH31" s="705"/>
      <c r="BI31" s="705"/>
      <c r="BJ31" s="717">
        <f>MATCH($A31,Table!$A:$A,0)+$BL$2-1</f>
        <v>413</v>
      </c>
      <c r="BK31" s="705"/>
      <c r="BL31" s="705"/>
      <c r="BM31" s="705"/>
      <c r="BN31" s="704">
        <f>MATCH($A31,Table!$A:$A,0)+$BP$2-1</f>
        <v>414</v>
      </c>
      <c r="BO31" s="705"/>
      <c r="BP31" s="705"/>
      <c r="BQ31" s="705"/>
      <c r="BR31" s="717">
        <f>MATCH($A31,Table!$A:$A,0)+$BL$2-1</f>
        <v>413</v>
      </c>
      <c r="BS31" s="705"/>
      <c r="BT31" s="705"/>
      <c r="BU31" s="705"/>
      <c r="BV31" s="711" t="s">
        <v>284</v>
      </c>
      <c r="BW31" s="712">
        <f t="shared" ca="1" si="12"/>
        <v>3046.1629882812504</v>
      </c>
      <c r="BX31" s="712">
        <f t="shared" ca="1" si="45"/>
        <v>1437.5883789062502</v>
      </c>
      <c r="BY31" s="712">
        <f t="shared" ca="1" si="43"/>
        <v>1608.5746093750001</v>
      </c>
      <c r="BZ31" s="718">
        <f t="shared" ca="1" si="44"/>
        <v>0.47193416256343751</v>
      </c>
      <c r="CA31" s="712">
        <f ca="1">SUMIF('Alloc Feed'!A:A,A:A,'Alloc Feed'!I:I)</f>
        <v>3037.6580419921875</v>
      </c>
      <c r="CB31" s="718">
        <f t="shared" ca="1" si="42"/>
        <v>0.99720798055725124</v>
      </c>
    </row>
    <row r="32" spans="1:80" s="267" customFormat="1" x14ac:dyDescent="0.25">
      <c r="A32" s="703">
        <v>41561</v>
      </c>
      <c r="B32" s="709">
        <f ca="1">IF(ISERROR(MATCH(B$1,INDIRECT("Table!A"&amp;$BJ32):INDIRECT("Table!" &amp; $BV$88 &amp; $BJ32),0)),"",INDIRECT(CONCATENATE("Table!",ADDRESS($BF32,MATCH(B$1,INDIRECT("Table!A" &amp; $BJ32):INDIRECT("Table!" &amp; $BV$88 &amp; $BJ32),0)))))/1024</f>
        <v>47.148730468750003</v>
      </c>
      <c r="C32" s="709">
        <f ca="1">IF(ISERROR(MATCH(C$1,INDIRECT("Table!A"&amp;$BJ32):INDIRECT("Table!" &amp; $BV$88 &amp; $BJ32),0)),"",INDIRECT(CONCATENATE("Table!",ADDRESS($BF32,MATCH(C$1,INDIRECT("Table!A" &amp; $BJ32):INDIRECT("Table!" &amp; $BV$88 &amp; $BJ32),0)))))/1024</f>
        <v>78.768945312499994</v>
      </c>
      <c r="D32" s="709">
        <f ca="1">IF(ISERROR(MATCH(D$1,INDIRECT("Table!A"&amp;$BJ32):INDIRECT("Table!" &amp; $BV$88 &amp; $BJ32),0)),"",INDIRECT(CONCATENATE("Table!",ADDRESS($BF32,MATCH(D$1,INDIRECT("Table!A" &amp; $BJ32):INDIRECT("Table!" &amp; $BV$88 &amp; $BJ32),0)))))/1024</f>
        <v>80.157128906249994</v>
      </c>
      <c r="E32" s="709">
        <f ca="1">IF(ISERROR(MATCH(E$1,INDIRECT("Table!A"&amp;$BJ32):INDIRECT("Table!" &amp; $BV$88 &amp; $BJ32),0)),"",INDIRECT(CONCATENATE("Table!",ADDRESS($BF32,MATCH(E$1,INDIRECT("Table!A" &amp; $BJ32):INDIRECT("Table!" &amp; $BV$88 &amp; $BJ32),0)))))/1024</f>
        <v>147.29707031250001</v>
      </c>
      <c r="F32" s="709">
        <f ca="1">IF(ISERROR(MATCH(F$1,INDIRECT("Table!A"&amp;$BJ32):INDIRECT("Table!" &amp; $BV$88 &amp; $BJ32),0)),"",INDIRECT(CONCATENATE("Table!",ADDRESS($BF32,MATCH(F$1,INDIRECT("Table!A" &amp; $BJ32):INDIRECT("Table!" &amp; $BV$88 &amp; $BJ32),0)))))/1024</f>
        <v>116.85634765624999</v>
      </c>
      <c r="G32" s="709">
        <f ca="1">IF(ISERROR(MATCH(G$1,INDIRECT("Table!A"&amp;$BJ32):INDIRECT("Table!" &amp; $BV$88 &amp; $BJ32),0)),"",INDIRECT(CONCATENATE("Table!",ADDRESS($BF32,MATCH(G$1,INDIRECT("Table!A" &amp; $BJ32):INDIRECT("Table!" &amp; $BV$88 &amp; $BJ32),0)))))/1024</f>
        <v>62.510546875000003</v>
      </c>
      <c r="H32" s="709">
        <f ca="1">IF(ISERROR(MATCH(H$1,INDIRECT("Table!A"&amp;$BJ32):INDIRECT("Table!" &amp; $BV$88 &amp; $BJ32),0)),"",INDIRECT(CONCATENATE("Table!",ADDRESS($BF32,MATCH(H$1,INDIRECT("Table!A" &amp; $BJ32):INDIRECT("Table!" &amp; $BV$88 &amp; $BJ32),0)))))/1024</f>
        <v>98.808789062499997</v>
      </c>
      <c r="I32" s="709">
        <f ca="1">IF(ISERROR(MATCH(I$1,INDIRECT("Table!A"&amp;$BJ32):INDIRECT("Table!" &amp; $BV$88 &amp; $BJ32),0)),"",INDIRECT(CONCATENATE("Table!",ADDRESS($BF32,MATCH(I$1,INDIRECT("Table!A" &amp; $BJ32):INDIRECT("Table!" &amp; $BV$88 &amp; $BJ32),0)))))/1024</f>
        <v>12.492480468749999</v>
      </c>
      <c r="J32" s="709">
        <f ca="1">IF(ISERROR(MATCH(J$1,INDIRECT("Table!A"&amp;$BJ32):INDIRECT("Table!" &amp; $BV$88 &amp; $BJ32),0)),"",INDIRECT(CONCATENATE("Table!",ADDRESS($BF32,MATCH(J$1,INDIRECT("Table!A" &amp; $BJ32):INDIRECT("Table!" &amp; $BV$88 &amp; $BJ32),0)))))/1024</f>
        <v>45.066503906249999</v>
      </c>
      <c r="K32" s="709">
        <f ca="1">IF(ISERROR(MATCH(K$1,INDIRECT("Table!A"&amp;$BJ32):INDIRECT("Table!" &amp; $BV$88 &amp; $BJ32),0)),"",INDIRECT(CONCATENATE("Table!",ADDRESS($BF32,MATCH(K$1,INDIRECT("Table!A" &amp; $BJ32):INDIRECT("Table!" &amp; $BV$88 &amp; $BJ32),0)))))/1024</f>
        <v>1.26044921875</v>
      </c>
      <c r="L32" s="709">
        <f ca="1">IF(ISERROR(MATCH(L$1,INDIRECT("Table!A"&amp;$BJ32):INDIRECT("Table!" &amp; $BV$88 &amp; $BJ32),0)),"",INDIRECT(CONCATENATE("Table!",ADDRESS($BF32,MATCH(L$1,INDIRECT("Table!A" &amp; $BJ32):INDIRECT("Table!" &amp; $BV$88 &amp; $BJ32),0)))))/1024</f>
        <v>157.107421875</v>
      </c>
      <c r="M32" s="709">
        <f ca="1">IF(ISERROR(MATCH(M$1,INDIRECT("Table!A"&amp;$BJ32):INDIRECT("Table!" &amp; $BV$88 &amp; $BJ32),0)),"",INDIRECT(CONCATENATE("Table!",ADDRESS($BF32,MATCH(M$1,INDIRECT("Table!A" &amp; $BJ32):INDIRECT("Table!" &amp; $BV$88 &amp; $BJ32),0)))))/1024</f>
        <v>154.63603515624999</v>
      </c>
      <c r="N32" s="709">
        <f ca="1">IF(ISERROR(MATCH(N$1,INDIRECT("Table!A"&amp;$BJ32):INDIRECT("Table!" &amp; $BV$88 &amp; $BJ32),0)),"",INDIRECT(CONCATENATE("Table!",ADDRESS($BF32,MATCH(N$1,INDIRECT("Table!A" &amp; $BJ32):INDIRECT("Table!" &amp; $BV$88 &amp; $BJ32),0)))))/1024</f>
        <v>60.054394531249997</v>
      </c>
      <c r="O32" s="709">
        <f ca="1">IF(ISERROR(MATCH(O$1,INDIRECT("Table!A"&amp;$BJ32):INDIRECT("Table!" &amp; $BV$88 &amp; $BJ32),0)),"",INDIRECT(CONCATENATE("Table!",ADDRESS($BF32,MATCH(O$1,INDIRECT("Table!A" &amp; $BJ32):INDIRECT("Table!" &amp; $BV$88 &amp; $BJ32),0)))))/1024</f>
        <v>177.33935546875</v>
      </c>
      <c r="P32" s="709">
        <f ca="1">IF(ISERROR(MATCH(P$1,INDIRECT("Table!A"&amp;$BJ32):INDIRECT("Table!" &amp; $BV$88 &amp; $BJ32),0)),"",INDIRECT(CONCATENATE("Table!",ADDRESS($BF32,MATCH(P$1,INDIRECT("Table!A" &amp; $BJ32):INDIRECT("Table!" &amp; $BV$88 &amp; $BJ32),0)))))/1024</f>
        <v>24.0283203125</v>
      </c>
      <c r="Q32" s="709">
        <f ca="1">IF(ISERROR(MATCH(Q$1,INDIRECT("Table!A"&amp;$BJ32):INDIRECT("Table!" &amp; $BV$88 &amp; $BJ32),0)),"",INDIRECT(CONCATENATE("Table!",ADDRESS($BF32,MATCH(Q$1,INDIRECT("Table!A" &amp; $BJ32):INDIRECT("Table!" &amp; $BV$88 &amp; $BJ32),0)))))/1024</f>
        <v>71.0576171875</v>
      </c>
      <c r="R32" s="709">
        <f ca="1">IF(ISERROR(MATCH(R$1,INDIRECT("Table!A"&amp;$BJ32):INDIRECT("Table!" &amp; $BV$88 &amp; $BJ32),0)),"",INDIRECT(CONCATENATE("Table!",ADDRESS($BF32,MATCH(R$1,INDIRECT("Table!A" &amp; $BJ32):INDIRECT("Table!" &amp; $BV$88 &amp; $BJ32),0)))))/1024</f>
        <v>35.453808593749997</v>
      </c>
      <c r="S32" s="709">
        <f ca="1">IF(ISERROR(MATCH(S$1,INDIRECT("Table!A"&amp;$BJ32):INDIRECT("Table!" &amp; $BV$43 &amp; $BJ32),0)),"",INDIRECT(CONCATENATE("Table!",ADDRESS($BF32,MATCH(S$1,INDIRECT("Table!A" &amp; $BJ32):INDIRECT("Table!" &amp; $BV$43 &amp; $BJ32),0)))))/1024</f>
        <v>12.1357421875</v>
      </c>
      <c r="T32" s="709">
        <f ca="1">IF(ISERROR(MATCH(T$1,INDIRECT("Table!A"&amp;$BJ32):INDIRECT("Table!" &amp; $BV$43 &amp; $BJ32),0)),"",INDIRECT(CONCATENATE("Table!",ADDRESS($BF32,MATCH(T$1,INDIRECT("Table!A" &amp; $BJ32):INDIRECT("Table!" &amp; $BV$43 &amp; $BJ32),0)))))/1024</f>
        <v>6.11328125</v>
      </c>
      <c r="U32" s="709"/>
      <c r="V32" s="909"/>
      <c r="W32" s="909"/>
      <c r="X32" s="909"/>
      <c r="Y32" s="909"/>
      <c r="Z32" s="909"/>
      <c r="AA32" s="909"/>
      <c r="AB32" s="909"/>
      <c r="AC32" s="709" t="str">
        <f ca="1">IF(ISERROR(MATCH(AC$1,INDIRECT("Table!A"&amp;$BJ32):INDIRECT("Table!" &amp; $BV$88 &amp; $BJ32),0)),"",INDIRECT(CONCATENATE("Table!",ADDRESS($BF32,MATCH(AC$1,INDIRECT("Table!A" &amp; $BJ32):INDIRECT("Table!" &amp; $BV$88 &amp; $BJ32),0)))))</f>
        <v/>
      </c>
      <c r="AD32" s="709">
        <f ca="1">IF(ISERROR(MATCH(AD$1,INDIRECT("Table!A"&amp;$BJ32):INDIRECT("Table!" &amp; $BV$88 &amp; $BJ32),0)),"",INDIRECT(CONCATENATE("Table!",ADDRESS($BN32,MATCH(AD$1,INDIRECT("Table!A" &amp; $BJ32):INDIRECT("Table!" &amp; $BV$88 &amp; $BJ32),0)))))/1024</f>
        <v>140.0322265625</v>
      </c>
      <c r="AE32" s="709">
        <f ca="1">IF(ISERROR(MATCH(AE$1,INDIRECT("Table!A"&amp;$BJ32):INDIRECT("Table!" &amp; $BV$88 &amp; $BJ32),0)),"",INDIRECT(CONCATENATE("Table!",ADDRESS($BN32,MATCH(AE$1,INDIRECT("Table!A" &amp; $BJ32):INDIRECT("Table!" &amp; $BV$88 &amp; $BJ32),0)))))/1024</f>
        <v>146.98896484375001</v>
      </c>
      <c r="AF32" s="709">
        <f ca="1">IF(ISERROR(MATCH(AF$1,INDIRECT("Table!A"&amp;$BJ32):INDIRECT("Table!" &amp; $BV$88 &amp; $BJ32),0)),"",INDIRECT(CONCATENATE("Table!",ADDRESS($BN32,MATCH(AF$1,INDIRECT("Table!A" &amp; $BJ32):INDIRECT("Table!" &amp; $BV$88 &amp; $BJ32),0)))))/1024</f>
        <v>146.98896484375001</v>
      </c>
      <c r="AG32" s="709">
        <f ca="1">IF(ISERROR(MATCH(AG$1,INDIRECT("Table!A"&amp;$BJ32):INDIRECT("Table!" &amp; $BV$88 &amp; $BJ32),0)),"",INDIRECT(CONCATENATE("Table!",ADDRESS($BN32,MATCH(AG$1,INDIRECT("Table!A" &amp; $BJ32):INDIRECT("Table!" &amp; $BV$88 &amp; $BJ32),0)))))/1024</f>
        <v>177.73320312499999</v>
      </c>
      <c r="AH32" s="709">
        <f ca="1">IF(ISERROR(MATCH(AH$1,INDIRECT("Table!A"&amp;$BJ32):INDIRECT("Table!" &amp; $BV$88 &amp; $BJ32),0)),"",INDIRECT(CONCATENATE("Table!",ADDRESS($BN32,MATCH(AH$1,INDIRECT("Table!A" &amp; $BJ32):INDIRECT("Table!" &amp; $BV$88 &amp; $BJ32),0)))))/1024</f>
        <v>161.57568359375</v>
      </c>
      <c r="AI32" s="709">
        <f ca="1">IF(ISERROR(MATCH(AI$1,INDIRECT("Table!A"&amp;$BJ32):INDIRECT("Table!" &amp; $BV$88 &amp; $BJ32),0)),"",INDIRECT(CONCATENATE("Table!",ADDRESS($BN32,MATCH(AI$1,INDIRECT("Table!A" &amp; $BJ32):INDIRECT("Table!" &amp; $BV$88 &amp; $BJ32),0)))))/1024</f>
        <v>129.03603515624999</v>
      </c>
      <c r="AJ32" s="709">
        <f ca="1">IF(ISERROR(MATCH(AJ$1,INDIRECT("Table!A"&amp;$BJ32):INDIRECT("Table!" &amp; $BV$88 &amp; $BJ32),0)),"",INDIRECT(CONCATENATE("Table!",ADDRESS($BN32,MATCH(AJ$1,INDIRECT("Table!A" &amp; $BJ32):INDIRECT("Table!" &amp; $BV$88 &amp; $BJ32),0)))))/1024</f>
        <v>166.96152343750001</v>
      </c>
      <c r="AK32" s="709">
        <f ca="1">IF(ISERROR(MATCH(AK$1,INDIRECT("Table!A"&amp;$BJ32):INDIRECT("Table!" &amp; $BV$88 &amp; $BJ32),0)),"",INDIRECT(CONCATENATE("Table!",ADDRESS($BN32,MATCH(AK$1,INDIRECT("Table!A" &amp; $BJ32):INDIRECT("Table!" &amp; $BV$88 &amp; $BJ32),0)))))/1024</f>
        <v>161.57568359375</v>
      </c>
      <c r="AL32" s="709">
        <f ca="1">IF(ISERROR(MATCH(AL$1,INDIRECT("Table!A"&amp;$BJ32):INDIRECT("Table!" &amp; $BV$88 &amp; $BJ32),0)),"",INDIRECT(CONCATENATE("Table!",ADDRESS($BN32,MATCH(AL$1,INDIRECT("Table!A" &amp; $BJ32):INDIRECT("Table!" &amp; $BV$88 &amp; $BJ32),0)))))/1024</f>
        <v>90.245703125000006</v>
      </c>
      <c r="AM32" s="709">
        <f ca="1">IF(ISERROR(MATCH(AM$1,INDIRECT("Table!A"&amp;$BJ32):INDIRECT("Table!" &amp; $BV$88 &amp; $BJ32),0)),"",INDIRECT(CONCATENATE("Table!",ADDRESS($BN32,MATCH(AM$1,INDIRECT("Table!A" &amp; $BJ32):INDIRECT("Table!" &amp; $BV$88 &amp; $BJ32),0)))))/1024</f>
        <v>210.22119140625</v>
      </c>
      <c r="AN32" s="709">
        <f ca="1">IF(ISERROR(MATCH(AN$1,INDIRECT("Table!A"&amp;$BJ32):INDIRECT("Table!" &amp; $BV$88 &amp; $BJ32),0)),"",INDIRECT(CONCATENATE("Table!",ADDRESS($BN32,MATCH(AN$1,INDIRECT("Table!A" &amp; $BJ32):INDIRECT("Table!" &amp; $BV$88 &amp; $BJ32),0)))))/1024</f>
        <v>188.50498046875001</v>
      </c>
      <c r="AO32" s="709">
        <f ca="1">IF(ISERROR(MATCH(AO$1,INDIRECT("Table!A"&amp;$BJ32):INDIRECT("Table!" &amp; $BV$88 &amp; $BJ32),0)),"",INDIRECT(CONCATENATE("Table!",ADDRESS($BN32,MATCH(AO$1,INDIRECT("Table!A" &amp; $BJ32):INDIRECT("Table!" &amp; $BV$88 &amp; $BJ32),0)))))/1024</f>
        <v>414.48457031249995</v>
      </c>
      <c r="AP32" s="709">
        <f ca="1">IF(ISERROR(MATCH(AP$1,INDIRECT("Table!A"&amp;$BJ32):INDIRECT("Table!" &amp; $BV$88 &amp; $BJ32),0)),"",INDIRECT(CONCATENATE("Table!",ADDRESS($BN32,MATCH(AP$1,INDIRECT("Table!A" &amp; $BJ32):INDIRECT("Table!" &amp; $BV$88 &amp; $BJ32),0)))))/1024</f>
        <v>80.787695312500006</v>
      </c>
      <c r="AQ32" s="709">
        <f ca="1">IF(ISERROR(MATCH(AQ$1,INDIRECT("Table!A"&amp;$BJ32):INDIRECT("Table!" &amp; $BV$88 &amp; $BJ32),0)),"",INDIRECT(CONCATENATE("Table!",ADDRESS($BN32,MATCH(AQ$1,INDIRECT("Table!A" &amp; $BJ32):INDIRECT("Table!" &amp; $BV$88 &amp; $BJ32),0)))))/1024</f>
        <v>269.2919921875</v>
      </c>
      <c r="AR32" s="709">
        <f ca="1">IF(ISERROR(MATCH(AR$1,INDIRECT("Table!A"&amp;$BJ32):INDIRECT("Table!" &amp; $BV$88 &amp; $BJ32),0)),"",INDIRECT(CONCATENATE("Table!",ADDRESS($BN32,MATCH(AR$1,INDIRECT("Table!A" &amp; $BJ32):INDIRECT("Table!" &amp; $BV$88 &amp; $BJ32),0)))))/1024</f>
        <v>80.787695312500006</v>
      </c>
      <c r="AS32" s="709">
        <f ca="1">IF(ISERROR(MATCH(AS$1,INDIRECT("Table!A"&amp;$BJ32):INDIRECT("Table!" &amp; $BV$88 &amp; $BJ32),0)),"",INDIRECT(CONCATENATE("Table!",ADDRESS($BN32,MATCH(AS$1,INDIRECT("Table!A" &amp; $BJ32):INDIRECT("Table!" &amp; $BV$88 &amp; $BJ32),0)))))/1024</f>
        <v>184.55234375000001</v>
      </c>
      <c r="AT32" s="709">
        <f ca="1">IF(ISERROR(MATCH(AT$1,INDIRECT("Table!A"&amp;$BJ32):INDIRECT("Table!" &amp; $BV$88 &amp; $BJ32),0)),"",INDIRECT(CONCATENATE("Table!",ADDRESS($BN32,MATCH(AT$1,INDIRECT("Table!A" &amp; $BJ32):INDIRECT("Table!" &amp; $BV$88 &amp; $BJ32),0)))))/1024</f>
        <v>210.22119140625</v>
      </c>
      <c r="AU32" s="709">
        <f ca="1">IF(ISERROR(MATCH(AU$1,INDIRECT("Table!A"&amp;$BJ32):INDIRECT("Table!" &amp; $BV$88 &amp; $BJ32),0)),"",INDIRECT(CONCATENATE("Table!",ADDRESS($BN32,MATCH(AU$1,INDIRECT("Table!A" &amp; $BJ32):INDIRECT("Table!" &amp; $BV$88 &amp; $BJ32),0)))))/1024</f>
        <v>53.8583984375</v>
      </c>
      <c r="AV32" s="709">
        <f ca="1">IF(ISERROR(MATCH(AV$1,INDIRECT("Table!A"&amp;$BJ32):INDIRECT("Table!" &amp; $BV$88 &amp; $BJ32),0)),"",INDIRECT(CONCATENATE("Table!",ADDRESS($BN32,MATCH(AV$1,INDIRECT("Table!A" &amp; $BJ32):INDIRECT("Table!" &amp; $BV$88 &amp; $BJ32),0)))))/1024</f>
        <v>32.31494140625</v>
      </c>
      <c r="AW32" s="709"/>
      <c r="AX32" s="909"/>
      <c r="AY32" s="909"/>
      <c r="AZ32" s="909"/>
      <c r="BA32" s="909"/>
      <c r="BB32" s="909"/>
      <c r="BC32" s="909"/>
      <c r="BD32" s="909"/>
      <c r="BE32" s="909"/>
      <c r="BF32" s="704">
        <f>MATCH($A32,Table!$A:$A,0)+$BH$2-1</f>
        <v>427</v>
      </c>
      <c r="BG32" s="705"/>
      <c r="BH32" s="705"/>
      <c r="BI32" s="705"/>
      <c r="BJ32" s="717">
        <f>MATCH($A32,Table!$A:$A,0)+$BL$2-1</f>
        <v>425</v>
      </c>
      <c r="BK32" s="705"/>
      <c r="BL32" s="705"/>
      <c r="BM32" s="705"/>
      <c r="BN32" s="704">
        <f>MATCH($A32,Table!$A:$A,0)+$BP$2-1</f>
        <v>426</v>
      </c>
      <c r="BO32" s="705"/>
      <c r="BP32" s="705"/>
      <c r="BQ32" s="705"/>
      <c r="BR32" s="717">
        <f>MATCH($A32,Table!$A:$A,0)+$BL$2-1</f>
        <v>425</v>
      </c>
      <c r="BS32" s="705"/>
      <c r="BT32" s="705"/>
      <c r="BU32" s="705"/>
      <c r="BV32" s="711" t="s">
        <v>284</v>
      </c>
      <c r="BW32" s="712">
        <f t="shared" ca="1" si="12"/>
        <v>3046.1629882812504</v>
      </c>
      <c r="BX32" s="712">
        <f t="shared" ca="1" si="45"/>
        <v>1388.2929687499998</v>
      </c>
      <c r="BY32" s="712">
        <f t="shared" ca="1" si="43"/>
        <v>1657.8700195312506</v>
      </c>
      <c r="BZ32" s="718">
        <f t="shared" ca="1" si="44"/>
        <v>0.45575137446382091</v>
      </c>
      <c r="CA32" s="712">
        <f ca="1">SUMIF('Alloc Feed'!A:A,A:A,'Alloc Feed'!I:I)</f>
        <v>2961.6301582031247</v>
      </c>
      <c r="CB32" s="718">
        <f t="shared" ca="1" si="42"/>
        <v>0.9722494067443771</v>
      </c>
    </row>
    <row r="33" spans="1:80" s="267" customFormat="1" x14ac:dyDescent="0.25">
      <c r="A33" s="703">
        <v>41548</v>
      </c>
      <c r="B33" s="709">
        <f ca="1">IF(ISERROR(MATCH(B$1,INDIRECT("Table!A"&amp;$BJ33):INDIRECT("Table!" &amp; $BV$88 &amp; $BJ33),0)),"",INDIRECT(CONCATENATE("Table!",ADDRESS($BF33,MATCH(B$1,INDIRECT("Table!A" &amp; $BJ33):INDIRECT("Table!" &amp; $BV$88 &amp; $BJ33),0)))))/1024</f>
        <v>47.033886718749997</v>
      </c>
      <c r="C33" s="709">
        <f ca="1">IF(ISERROR(MATCH(C$1,INDIRECT("Table!A"&amp;$BJ33):INDIRECT("Table!" &amp; $BV$88 &amp; $BJ33),0)),"",INDIRECT(CONCATENATE("Table!",ADDRESS($BF33,MATCH(C$1,INDIRECT("Table!A" &amp; $BJ33):INDIRECT("Table!" &amp; $BV$88 &amp; $BJ33),0)))))/1024</f>
        <v>78.558203125000006</v>
      </c>
      <c r="D33" s="709">
        <f ca="1">IF(ISERROR(MATCH(D$1,INDIRECT("Table!A"&amp;$BJ33):INDIRECT("Table!" &amp; $BV$88 &amp; $BJ33),0)),"",INDIRECT(CONCATENATE("Table!",ADDRESS($BF33,MATCH(D$1,INDIRECT("Table!A" &amp; $BJ33):INDIRECT("Table!" &amp; $BV$88 &amp; $BJ33),0)))))/1024</f>
        <v>80.00146484375</v>
      </c>
      <c r="E33" s="709">
        <f ca="1">IF(ISERROR(MATCH(E$1,INDIRECT("Table!A"&amp;$BJ33):INDIRECT("Table!" &amp; $BV$88 &amp; $BJ33),0)),"",INDIRECT(CONCATENATE("Table!",ADDRESS($BF33,MATCH(E$1,INDIRECT("Table!A" &amp; $BJ33):INDIRECT("Table!" &amp; $BV$88 &amp; $BJ33),0)))))/1024</f>
        <v>146.89980468749999</v>
      </c>
      <c r="F33" s="709">
        <f ca="1">IF(ISERROR(MATCH(F$1,INDIRECT("Table!A"&amp;$BJ33):INDIRECT("Table!" &amp; $BV$88 &amp; $BJ33),0)),"",INDIRECT(CONCATENATE("Table!",ADDRESS($BF33,MATCH(F$1,INDIRECT("Table!A" &amp; $BJ33):INDIRECT("Table!" &amp; $BV$88 &amp; $BJ33),0)))))/1024</f>
        <v>115.73427734374999</v>
      </c>
      <c r="G33" s="709">
        <f ca="1">IF(ISERROR(MATCH(G$1,INDIRECT("Table!A"&amp;$BJ33):INDIRECT("Table!" &amp; $BV$88 &amp; $BJ33),0)),"",INDIRECT(CONCATENATE("Table!",ADDRESS($BF33,MATCH(G$1,INDIRECT("Table!A" &amp; $BJ33):INDIRECT("Table!" &amp; $BV$88 &amp; $BJ33),0)))))/1024</f>
        <v>58.712207031250003</v>
      </c>
      <c r="H33" s="709">
        <f ca="1">IF(ISERROR(MATCH(H$1,INDIRECT("Table!A"&amp;$BJ33):INDIRECT("Table!" &amp; $BV$88 &amp; $BJ33),0)),"",INDIRECT(CONCATENATE("Table!",ADDRESS($BF33,MATCH(H$1,INDIRECT("Table!A" &amp; $BJ33):INDIRECT("Table!" &amp; $BV$88 &amp; $BJ33),0)))))/1024</f>
        <v>97.127246093750003</v>
      </c>
      <c r="I33" s="709">
        <f ca="1">IF(ISERROR(MATCH(I$1,INDIRECT("Table!A"&amp;$BJ33):INDIRECT("Table!" &amp; $BV$88 &amp; $BJ33),0)),"",INDIRECT(CONCATENATE("Table!",ADDRESS($BF33,MATCH(I$1,INDIRECT("Table!A" &amp; $BJ33):INDIRECT("Table!" &amp; $BV$88 &amp; $BJ33),0)))))/1024</f>
        <v>12.358105468750001</v>
      </c>
      <c r="J33" s="709">
        <f ca="1">IF(ISERROR(MATCH(J$1,INDIRECT("Table!A"&amp;$BJ33):INDIRECT("Table!" &amp; $BV$88 &amp; $BJ33),0)),"",INDIRECT(CONCATENATE("Table!",ADDRESS($BF33,MATCH(J$1,INDIRECT("Table!A" &amp; $BJ33):INDIRECT("Table!" &amp; $BV$88 &amp; $BJ33),0)))))/1024</f>
        <v>43.638085937500001</v>
      </c>
      <c r="K33" s="709">
        <f ca="1">IF(ISERROR(MATCH(K$1,INDIRECT("Table!A"&amp;$BJ33):INDIRECT("Table!" &amp; $BV$88 &amp; $BJ33),0)),"",INDIRECT(CONCATENATE("Table!",ADDRESS($BF33,MATCH(K$1,INDIRECT("Table!A" &amp; $BJ33):INDIRECT("Table!" &amp; $BV$88 &amp; $BJ33),0)))))/1024</f>
        <v>1.1950195312499998</v>
      </c>
      <c r="L33" s="709">
        <f ca="1">IF(ISERROR(MATCH(L$1,INDIRECT("Table!A"&amp;$BJ33):INDIRECT("Table!" &amp; $BV$88 &amp; $BJ33),0)),"",INDIRECT(CONCATENATE("Table!",ADDRESS($BF33,MATCH(L$1,INDIRECT("Table!A" &amp; $BJ33):INDIRECT("Table!" &amp; $BV$88 &amp; $BJ33),0)))))/1024</f>
        <v>156.63095703125001</v>
      </c>
      <c r="M33" s="709">
        <f ca="1">IF(ISERROR(MATCH(M$1,INDIRECT("Table!A"&amp;$BJ33):INDIRECT("Table!" &amp; $BV$88 &amp; $BJ33),0)),"",INDIRECT(CONCATENATE("Table!",ADDRESS($BF33,MATCH(M$1,INDIRECT("Table!A" &amp; $BJ33):INDIRECT("Table!" &amp; $BV$88 &amp; $BJ33),0)))))/1024</f>
        <v>152.234375</v>
      </c>
      <c r="N33" s="709">
        <f ca="1">IF(ISERROR(MATCH(N$1,INDIRECT("Table!A"&amp;$BJ33):INDIRECT("Table!" &amp; $BV$88 &amp; $BJ33),0)),"",INDIRECT(CONCATENATE("Table!",ADDRESS($BF33,MATCH(N$1,INDIRECT("Table!A" &amp; $BJ33):INDIRECT("Table!" &amp; $BV$88 &amp; $BJ33),0)))))/1024</f>
        <v>59.494921875000003</v>
      </c>
      <c r="O33" s="709">
        <f ca="1">IF(ISERROR(MATCH(O$1,INDIRECT("Table!A"&amp;$BJ33):INDIRECT("Table!" &amp; $BV$88 &amp; $BJ33),0)),"",INDIRECT(CONCATENATE("Table!",ADDRESS($BF33,MATCH(O$1,INDIRECT("Table!A" &amp; $BJ33):INDIRECT("Table!" &amp; $BV$88 &amp; $BJ33),0)))))/1024</f>
        <v>175.12919921874999</v>
      </c>
      <c r="P33" s="709">
        <f ca="1">IF(ISERROR(MATCH(P$1,INDIRECT("Table!A"&amp;$BJ33):INDIRECT("Table!" &amp; $BV$88 &amp; $BJ33),0)),"",INDIRECT(CONCATENATE("Table!",ADDRESS($BF33,MATCH(P$1,INDIRECT("Table!A" &amp; $BJ33):INDIRECT("Table!" &amp; $BV$88 &amp; $BJ33),0)))))/1024</f>
        <v>23.802050781249999</v>
      </c>
      <c r="Q33" s="709">
        <f ca="1">IF(ISERROR(MATCH(Q$1,INDIRECT("Table!A"&amp;$BJ33):INDIRECT("Table!" &amp; $BV$88 &amp; $BJ33),0)),"",INDIRECT(CONCATENATE("Table!",ADDRESS($BF33,MATCH(Q$1,INDIRECT("Table!A" &amp; $BJ33):INDIRECT("Table!" &amp; $BV$88 &amp; $BJ33),0)))))/1024</f>
        <v>68.473242187500006</v>
      </c>
      <c r="R33" s="709">
        <f ca="1">IF(ISERROR(MATCH(R$1,INDIRECT("Table!A"&amp;$BJ33):INDIRECT("Table!" &amp; $BV$88 &amp; $BJ33),0)),"",INDIRECT(CONCATENATE("Table!",ADDRESS($BF33,MATCH(R$1,INDIRECT("Table!A" &amp; $BJ33):INDIRECT("Table!" &amp; $BV$88 &amp; $BJ33),0)))))/1024</f>
        <v>34.902539062499997</v>
      </c>
      <c r="S33" s="709">
        <f ca="1">IF(ISERROR(MATCH(S$1,INDIRECT("Table!A"&amp;$BJ33):INDIRECT("Table!" &amp; $BV$43 &amp; $BJ33),0)),"",INDIRECT(CONCATENATE("Table!",ADDRESS($BF33,MATCH(S$1,INDIRECT("Table!A" &amp; $BJ33):INDIRECT("Table!" &amp; $BV$43 &amp; $BJ33),0)))))/1024</f>
        <v>11.912402343749999</v>
      </c>
      <c r="T33" s="709">
        <f ca="1">IF(ISERROR(MATCH(T$1,INDIRECT("Table!A"&amp;$BJ33):INDIRECT("Table!" &amp; $BV$43 &amp; $BJ33),0)),"",INDIRECT(CONCATENATE("Table!",ADDRESS($BF33,MATCH(T$1,INDIRECT("Table!A" &amp; $BJ33):INDIRECT("Table!" &amp; $BV$43 &amp; $BJ33),0)))))/1024</f>
        <v>5.9644531250000004</v>
      </c>
      <c r="U33" s="709"/>
      <c r="V33" s="909"/>
      <c r="W33" s="909"/>
      <c r="X33" s="909"/>
      <c r="Y33" s="909"/>
      <c r="Z33" s="909"/>
      <c r="AA33" s="909"/>
      <c r="AB33" s="909"/>
      <c r="AC33" s="709" t="str">
        <f ca="1">IF(ISERROR(MATCH(AC$1,INDIRECT("Table!A"&amp;$BJ33):INDIRECT("Table!" &amp; $BV$88 &amp; $BJ33),0)),"",INDIRECT(CONCATENATE("Table!",ADDRESS($BF33,MATCH(AC$1,INDIRECT("Table!A" &amp; $BJ33):INDIRECT("Table!" &amp; $BV$88 &amp; $BJ33),0)))))</f>
        <v/>
      </c>
      <c r="AD33" s="709">
        <f ca="1">IF(ISERROR(MATCH(AD$1,INDIRECT("Table!A"&amp;$BJ33):INDIRECT("Table!" &amp; $BV$88 &amp; $BJ33),0)),"",INDIRECT(CONCATENATE("Table!",ADDRESS($BN33,MATCH(AD$1,INDIRECT("Table!A" &amp; $BJ33):INDIRECT("Table!" &amp; $BV$88 &amp; $BJ33),0)))))/1024</f>
        <v>140.0322265625</v>
      </c>
      <c r="AE33" s="709">
        <f ca="1">IF(ISERROR(MATCH(AE$1,INDIRECT("Table!A"&amp;$BJ33):INDIRECT("Table!" &amp; $BV$88 &amp; $BJ33),0)),"",INDIRECT(CONCATENATE("Table!",ADDRESS($BN33,MATCH(AE$1,INDIRECT("Table!A" &amp; $BJ33):INDIRECT("Table!" &amp; $BV$88 &amp; $BJ33),0)))))/1024</f>
        <v>146.98896484375001</v>
      </c>
      <c r="AF33" s="709">
        <f ca="1">IF(ISERROR(MATCH(AF$1,INDIRECT("Table!A"&amp;$BJ33):INDIRECT("Table!" &amp; $BV$88 &amp; $BJ33),0)),"",INDIRECT(CONCATENATE("Table!",ADDRESS($BN33,MATCH(AF$1,INDIRECT("Table!A" &amp; $BJ33):INDIRECT("Table!" &amp; $BV$88 &amp; $BJ33),0)))))/1024</f>
        <v>146.98896484375001</v>
      </c>
      <c r="AG33" s="709">
        <f ca="1">IF(ISERROR(MATCH(AG$1,INDIRECT("Table!A"&amp;$BJ33):INDIRECT("Table!" &amp; $BV$88 &amp; $BJ33),0)),"",INDIRECT(CONCATENATE("Table!",ADDRESS($BN33,MATCH(AG$1,INDIRECT("Table!A" &amp; $BJ33):INDIRECT("Table!" &amp; $BV$88 &amp; $BJ33),0)))))/1024</f>
        <v>177.73320312499999</v>
      </c>
      <c r="AH33" s="709">
        <f ca="1">IF(ISERROR(MATCH(AH$1,INDIRECT("Table!A"&amp;$BJ33):INDIRECT("Table!" &amp; $BV$88 &amp; $BJ33),0)),"",INDIRECT(CONCATENATE("Table!",ADDRESS($BN33,MATCH(AH$1,INDIRECT("Table!A" &amp; $BJ33):INDIRECT("Table!" &amp; $BV$88 &amp; $BJ33),0)))))/1024</f>
        <v>161.57568359375</v>
      </c>
      <c r="AI33" s="709">
        <f ca="1">IF(ISERROR(MATCH(AI$1,INDIRECT("Table!A"&amp;$BJ33):INDIRECT("Table!" &amp; $BV$88 &amp; $BJ33),0)),"",INDIRECT(CONCATENATE("Table!",ADDRESS($BN33,MATCH(AI$1,INDIRECT("Table!A" &amp; $BJ33):INDIRECT("Table!" &amp; $BV$88 &amp; $BJ33),0)))))/1024</f>
        <v>129.03603515624999</v>
      </c>
      <c r="AJ33" s="709">
        <f ca="1">IF(ISERROR(MATCH(AJ$1,INDIRECT("Table!A"&amp;$BJ33):INDIRECT("Table!" &amp; $BV$88 &amp; $BJ33),0)),"",INDIRECT(CONCATENATE("Table!",ADDRESS($BN33,MATCH(AJ$1,INDIRECT("Table!A" &amp; $BJ33):INDIRECT("Table!" &amp; $BV$88 &amp; $BJ33),0)))))/1024</f>
        <v>166.96152343750001</v>
      </c>
      <c r="AK33" s="709">
        <f ca="1">IF(ISERROR(MATCH(AK$1,INDIRECT("Table!A"&amp;$BJ33):INDIRECT("Table!" &amp; $BV$88 &amp; $BJ33),0)),"",INDIRECT(CONCATENATE("Table!",ADDRESS($BN33,MATCH(AK$1,INDIRECT("Table!A" &amp; $BJ33):INDIRECT("Table!" &amp; $BV$88 &amp; $BJ33),0)))))/1024</f>
        <v>161.57568359375</v>
      </c>
      <c r="AL33" s="709">
        <f ca="1">IF(ISERROR(MATCH(AL$1,INDIRECT("Table!A"&amp;$BJ33):INDIRECT("Table!" &amp; $BV$88 &amp; $BJ33),0)),"",INDIRECT(CONCATENATE("Table!",ADDRESS($BN33,MATCH(AL$1,INDIRECT("Table!A" &amp; $BJ33):INDIRECT("Table!" &amp; $BV$88 &amp; $BJ33),0)))))/1024</f>
        <v>90.245703125000006</v>
      </c>
      <c r="AM33" s="709">
        <f ca="1">IF(ISERROR(MATCH(AM$1,INDIRECT("Table!A"&amp;$BJ33):INDIRECT("Table!" &amp; $BV$88 &amp; $BJ33),0)),"",INDIRECT(CONCATENATE("Table!",ADDRESS($BN33,MATCH(AM$1,INDIRECT("Table!A" &amp; $BJ33):INDIRECT("Table!" &amp; $BV$88 &amp; $BJ33),0)))))/1024</f>
        <v>210.22119140625</v>
      </c>
      <c r="AN33" s="709">
        <f ca="1">IF(ISERROR(MATCH(AN$1,INDIRECT("Table!A"&amp;$BJ33):INDIRECT("Table!" &amp; $BV$88 &amp; $BJ33),0)),"",INDIRECT(CONCATENATE("Table!",ADDRESS($BN33,MATCH(AN$1,INDIRECT("Table!A" &amp; $BJ33):INDIRECT("Table!" &amp; $BV$88 &amp; $BJ33),0)))))/1024</f>
        <v>188.50498046875001</v>
      </c>
      <c r="AO33" s="709">
        <f ca="1">IF(ISERROR(MATCH(AO$1,INDIRECT("Table!A"&amp;$BJ33):INDIRECT("Table!" &amp; $BV$88 &amp; $BJ33),0)),"",INDIRECT(CONCATENATE("Table!",ADDRESS($BN33,MATCH(AO$1,INDIRECT("Table!A" &amp; $BJ33):INDIRECT("Table!" &amp; $BV$88 &amp; $BJ33),0)))))/1024</f>
        <v>414.48457031249995</v>
      </c>
      <c r="AP33" s="709">
        <f ca="1">IF(ISERROR(MATCH(AP$1,INDIRECT("Table!A"&amp;$BJ33):INDIRECT("Table!" &amp; $BV$88 &amp; $BJ33),0)),"",INDIRECT(CONCATENATE("Table!",ADDRESS($BN33,MATCH(AP$1,INDIRECT("Table!A" &amp; $BJ33):INDIRECT("Table!" &amp; $BV$88 &amp; $BJ33),0)))))/1024</f>
        <v>80.787695312500006</v>
      </c>
      <c r="AQ33" s="709">
        <f ca="1">IF(ISERROR(MATCH(AQ$1,INDIRECT("Table!A"&amp;$BJ33):INDIRECT("Table!" &amp; $BV$88 &amp; $BJ33),0)),"",INDIRECT(CONCATENATE("Table!",ADDRESS($BN33,MATCH(AQ$1,INDIRECT("Table!A" &amp; $BJ33):INDIRECT("Table!" &amp; $BV$88 &amp; $BJ33),0)))))/1024</f>
        <v>269.2919921875</v>
      </c>
      <c r="AR33" s="709">
        <f ca="1">IF(ISERROR(MATCH(AR$1,INDIRECT("Table!A"&amp;$BJ33):INDIRECT("Table!" &amp; $BV$88 &amp; $BJ33),0)),"",INDIRECT(CONCATENATE("Table!",ADDRESS($BN33,MATCH(AR$1,INDIRECT("Table!A" &amp; $BJ33):INDIRECT("Table!" &amp; $BV$88 &amp; $BJ33),0)))))/1024</f>
        <v>80.787695312500006</v>
      </c>
      <c r="AS33" s="709">
        <f ca="1">IF(ISERROR(MATCH(AS$1,INDIRECT("Table!A"&amp;$BJ33):INDIRECT("Table!" &amp; $BV$88 &amp; $BJ33),0)),"",INDIRECT(CONCATENATE("Table!",ADDRESS($BN33,MATCH(AS$1,INDIRECT("Table!A" &amp; $BJ33):INDIRECT("Table!" &amp; $BV$88 &amp; $BJ33),0)))))/1024</f>
        <v>184.55234375000001</v>
      </c>
      <c r="AT33" s="709">
        <f ca="1">IF(ISERROR(MATCH(AT$1,INDIRECT("Table!A"&amp;$BJ33):INDIRECT("Table!" &amp; $BV$88 &amp; $BJ33),0)),"",INDIRECT(CONCATENATE("Table!",ADDRESS($BN33,MATCH(AT$1,INDIRECT("Table!A" &amp; $BJ33):INDIRECT("Table!" &amp; $BV$88 &amp; $BJ33),0)))))/1024</f>
        <v>210.22119140625</v>
      </c>
      <c r="AU33" s="709">
        <f ca="1">IF(ISERROR(MATCH(AU$1,INDIRECT("Table!A"&amp;$BJ33):INDIRECT("Table!" &amp; $BV$88 &amp; $BJ33),0)),"",INDIRECT(CONCATENATE("Table!",ADDRESS($BN33,MATCH(AU$1,INDIRECT("Table!A" &amp; $BJ33):INDIRECT("Table!" &amp; $BV$88 &amp; $BJ33),0)))))/1024</f>
        <v>53.8583984375</v>
      </c>
      <c r="AV33" s="709">
        <f ca="1">IF(ISERROR(MATCH(AV$1,INDIRECT("Table!A"&amp;$BJ33):INDIRECT("Table!" &amp; $BV$88 &amp; $BJ33),0)),"",INDIRECT(CONCATENATE("Table!",ADDRESS($BN33,MATCH(AV$1,INDIRECT("Table!A" &amp; $BJ33):INDIRECT("Table!" &amp; $BV$88 &amp; $BJ33),0)))))/1024</f>
        <v>32.31494140625</v>
      </c>
      <c r="AW33" s="709"/>
      <c r="AX33" s="909"/>
      <c r="AY33" s="909"/>
      <c r="AZ33" s="909"/>
      <c r="BA33" s="909"/>
      <c r="BB33" s="909"/>
      <c r="BC33" s="909"/>
      <c r="BD33" s="909"/>
      <c r="BE33" s="909"/>
      <c r="BF33" s="704">
        <f>MATCH($A33,Table!$A:$A,0)+$BH$2-1</f>
        <v>439</v>
      </c>
      <c r="BG33" s="705"/>
      <c r="BH33" s="705"/>
      <c r="BI33" s="705"/>
      <c r="BJ33" s="717">
        <f>MATCH($A33,Table!$A:$A,0)+$BL$2-1</f>
        <v>437</v>
      </c>
      <c r="BK33" s="705"/>
      <c r="BL33" s="705"/>
      <c r="BM33" s="705"/>
      <c r="BN33" s="704">
        <f>MATCH($A33,Table!$A:$A,0)+$BP$2-1</f>
        <v>438</v>
      </c>
      <c r="BO33" s="705"/>
      <c r="BP33" s="705"/>
      <c r="BQ33" s="705"/>
      <c r="BR33" s="717">
        <f>MATCH($A33,Table!$A:$A,0)+$BL$2-1</f>
        <v>437</v>
      </c>
      <c r="BS33" s="705"/>
      <c r="BT33" s="705"/>
      <c r="BU33" s="705"/>
      <c r="BV33" s="711" t="s">
        <v>284</v>
      </c>
      <c r="BW33" s="712">
        <f t="shared" ca="1" si="12"/>
        <v>3046.1629882812504</v>
      </c>
      <c r="BX33" s="712">
        <f t="shared" ca="1" si="45"/>
        <v>1369.8024414062502</v>
      </c>
      <c r="BY33" s="712">
        <f t="shared" ca="1" si="43"/>
        <v>1676.3605468750002</v>
      </c>
      <c r="BZ33" s="718">
        <f t="shared" ca="1" si="44"/>
        <v>0.44968127006859199</v>
      </c>
      <c r="CA33" s="712">
        <f ca="1">SUMIF('Alloc Feed'!A:A,A:A,'Alloc Feed'!I:I)</f>
        <v>2953.5631025390621</v>
      </c>
      <c r="CB33" s="718">
        <f t="shared" ca="1" si="42"/>
        <v>0.96960113884305443</v>
      </c>
    </row>
    <row r="34" spans="1:80" s="267" customFormat="1" x14ac:dyDescent="0.25">
      <c r="A34" s="703">
        <v>41541</v>
      </c>
      <c r="B34" s="709">
        <f ca="1">IF(ISERROR(MATCH(B$1,INDIRECT("Table!A"&amp;$BJ34):INDIRECT("Table!" &amp; $BV$88 &amp; $BJ34),0)),"",INDIRECT(CONCATENATE("Table!",ADDRESS($BF34,MATCH(B$1,INDIRECT("Table!A" &amp; $BJ34):INDIRECT("Table!" &amp; $BV$88 &amp; $BJ34),0)))))/1024</f>
        <v>46.930761718749999</v>
      </c>
      <c r="C34" s="709">
        <f ca="1">IF(ISERROR(MATCH(C$1,INDIRECT("Table!A"&amp;$BJ34):INDIRECT("Table!" &amp; $BV$88 &amp; $BJ34),0)),"",INDIRECT(CONCATENATE("Table!",ADDRESS($BF34,MATCH(C$1,INDIRECT("Table!A" &amp; $BJ34):INDIRECT("Table!" &amp; $BV$88 &amp; $BJ34),0)))))/1024</f>
        <v>78.530371093750006</v>
      </c>
      <c r="D34" s="709">
        <f ca="1">IF(ISERROR(MATCH(D$1,INDIRECT("Table!A"&amp;$BJ34):INDIRECT("Table!" &amp; $BV$88 &amp; $BJ34),0)),"",INDIRECT(CONCATENATE("Table!",ADDRESS($BF34,MATCH(D$1,INDIRECT("Table!A" &amp; $BJ34):INDIRECT("Table!" &amp; $BV$88 &amp; $BJ34),0)))))/1024</f>
        <v>79.977246093749997</v>
      </c>
      <c r="E34" s="709">
        <f ca="1">IF(ISERROR(MATCH(E$1,INDIRECT("Table!A"&amp;$BJ34):INDIRECT("Table!" &amp; $BV$88 &amp; $BJ34),0)),"",INDIRECT(CONCATENATE("Table!",ADDRESS($BF34,MATCH(E$1,INDIRECT("Table!A" &amp; $BJ34):INDIRECT("Table!" &amp; $BV$88 &amp; $BJ34),0)))))/1024</f>
        <v>146.72138671875001</v>
      </c>
      <c r="F34" s="709">
        <f ca="1">IF(ISERROR(MATCH(F$1,INDIRECT("Table!A"&amp;$BJ34):INDIRECT("Table!" &amp; $BV$88 &amp; $BJ34),0)),"",INDIRECT(CONCATENATE("Table!",ADDRESS($BF34,MATCH(F$1,INDIRECT("Table!A" &amp; $BJ34):INDIRECT("Table!" &amp; $BV$88 &amp; $BJ34),0)))))/1024</f>
        <v>115.4162109375</v>
      </c>
      <c r="G34" s="709">
        <f ca="1">IF(ISERROR(MATCH(G$1,INDIRECT("Table!A"&amp;$BJ34):INDIRECT("Table!" &amp; $BV$88 &amp; $BJ34),0)),"",INDIRECT(CONCATENATE("Table!",ADDRESS($BF34,MATCH(G$1,INDIRECT("Table!A" &amp; $BJ34):INDIRECT("Table!" &amp; $BV$88 &amp; $BJ34),0)))))/1024</f>
        <v>57.184667968749999</v>
      </c>
      <c r="H34" s="709">
        <f ca="1">IF(ISERROR(MATCH(H$1,INDIRECT("Table!A"&amp;$BJ34):INDIRECT("Table!" &amp; $BV$88 &amp; $BJ34),0)),"",INDIRECT(CONCATENATE("Table!",ADDRESS($BF34,MATCH(H$1,INDIRECT("Table!A" &amp; $BJ34):INDIRECT("Table!" &amp; $BV$88 &amp; $BJ34),0)))))/1024</f>
        <v>95.802636718749994</v>
      </c>
      <c r="I34" s="709">
        <f ca="1">IF(ISERROR(MATCH(I$1,INDIRECT("Table!A"&amp;$BJ34):INDIRECT("Table!" &amp; $BV$88 &amp; $BJ34),0)),"",INDIRECT(CONCATENATE("Table!",ADDRESS($BF34,MATCH(I$1,INDIRECT("Table!A" &amp; $BJ34):INDIRECT("Table!" &amp; $BV$88 &amp; $BJ34),0)))))/1024</f>
        <v>12.348828125000001</v>
      </c>
      <c r="J34" s="709">
        <f ca="1">IF(ISERROR(MATCH(J$1,INDIRECT("Table!A"&amp;$BJ34):INDIRECT("Table!" &amp; $BV$88 &amp; $BJ34),0)),"",INDIRECT(CONCATENATE("Table!",ADDRESS($BF34,MATCH(J$1,INDIRECT("Table!A" &amp; $BJ34):INDIRECT("Table!" &amp; $BV$88 &amp; $BJ34),0)))))/1024</f>
        <v>43.540136718749999</v>
      </c>
      <c r="K34" s="709">
        <f ca="1">IF(ISERROR(MATCH(K$1,INDIRECT("Table!A"&amp;$BJ34):INDIRECT("Table!" &amp; $BV$88 &amp; $BJ34),0)),"",INDIRECT(CONCATENATE("Table!",ADDRESS($BF34,MATCH(K$1,INDIRECT("Table!A" &amp; $BJ34):INDIRECT("Table!" &amp; $BV$88 &amp; $BJ34),0)))))/1024</f>
        <v>1.1131835937500001</v>
      </c>
      <c r="L34" s="709">
        <f ca="1">IF(ISERROR(MATCH(L$1,INDIRECT("Table!A"&amp;$BJ34):INDIRECT("Table!" &amp; $BV$88 &amp; $BJ34),0)),"",INDIRECT(CONCATENATE("Table!",ADDRESS($BF34,MATCH(L$1,INDIRECT("Table!A" &amp; $BJ34):INDIRECT("Table!" &amp; $BV$88 &amp; $BJ34),0)))))/1024</f>
        <v>156.47421875000001</v>
      </c>
      <c r="M34" s="709">
        <f ca="1">IF(ISERROR(MATCH(M$1,INDIRECT("Table!A"&amp;$BJ34):INDIRECT("Table!" &amp; $BV$88 &amp; $BJ34),0)),"",INDIRECT(CONCATENATE("Table!",ADDRESS($BF34,MATCH(M$1,INDIRECT("Table!A" &amp; $BJ34):INDIRECT("Table!" &amp; $BV$88 &amp; $BJ34),0)))))/1024</f>
        <v>57.405664062500001</v>
      </c>
      <c r="N34" s="709">
        <f ca="1">IF(ISERROR(MATCH(N$1,INDIRECT("Table!A"&amp;$BJ34):INDIRECT("Table!" &amp; $BV$88 &amp; $BJ34),0)),"",INDIRECT(CONCATENATE("Table!",ADDRESS($BF34,MATCH(N$1,INDIRECT("Table!A" &amp; $BJ34):INDIRECT("Table!" &amp; $BV$88 &amp; $BJ34),0)))))/1024</f>
        <v>59.338476562499999</v>
      </c>
      <c r="O34" s="709">
        <f ca="1">IF(ISERROR(MATCH(O$1,INDIRECT("Table!A"&amp;$BJ34):INDIRECT("Table!" &amp; $BV$88 &amp; $BJ34),0)),"",INDIRECT(CONCATENATE("Table!",ADDRESS($BF34,MATCH(O$1,INDIRECT("Table!A" &amp; $BJ34):INDIRECT("Table!" &amp; $BV$88 &amp; $BJ34),0)))))/1024</f>
        <v>175.36708984374999</v>
      </c>
      <c r="P34" s="709">
        <f ca="1">IF(ISERROR(MATCH(P$1,INDIRECT("Table!A"&amp;$BJ34):INDIRECT("Table!" &amp; $BV$88 &amp; $BJ34),0)),"",INDIRECT(CONCATENATE("Table!",ADDRESS($BF34,MATCH(P$1,INDIRECT("Table!A" &amp; $BJ34):INDIRECT("Table!" &amp; $BV$88 &amp; $BJ34),0)))))/1024</f>
        <v>23.783593750000001</v>
      </c>
      <c r="Q34" s="709">
        <f ca="1">IF(ISERROR(MATCH(Q$1,INDIRECT("Table!A"&amp;$BJ34):INDIRECT("Table!" &amp; $BV$88 &amp; $BJ34),0)),"",INDIRECT(CONCATENATE("Table!",ADDRESS($BF34,MATCH(Q$1,INDIRECT("Table!A" &amp; $BJ34):INDIRECT("Table!" &amp; $BV$88 &amp; $BJ34),0)))))/1024</f>
        <v>68.412499999999994</v>
      </c>
      <c r="R34" s="709">
        <f ca="1">IF(ISERROR(MATCH(R$1,INDIRECT("Table!A"&amp;$BJ34):INDIRECT("Table!" &amp; $BV$88 &amp; $BJ34),0)),"",INDIRECT(CONCATENATE("Table!",ADDRESS($BF34,MATCH(R$1,INDIRECT("Table!A" &amp; $BJ34):INDIRECT("Table!" &amp; $BV$88 &amp; $BJ34),0)))))/1024</f>
        <v>27.583886718750001</v>
      </c>
      <c r="S34" s="709">
        <f ca="1">IF(ISERROR(MATCH(S$1,INDIRECT("Table!A"&amp;$BJ34):INDIRECT("Table!" &amp; $BV$43 &amp; $BJ34),0)),"",INDIRECT(CONCATENATE("Table!",ADDRESS($BF34,MATCH(S$1,INDIRECT("Table!A" &amp; $BJ34):INDIRECT("Table!" &amp; $BV$43 &amp; $BJ34),0)))))/1024</f>
        <v>11.866406250000001</v>
      </c>
      <c r="T34" s="709">
        <f ca="1">IF(ISERROR(MATCH(T$1,INDIRECT("Table!A"&amp;$BJ34):INDIRECT("Table!" &amp; $BV$43 &amp; $BJ34),0)),"",INDIRECT(CONCATENATE("Table!",ADDRESS($BF34,MATCH(T$1,INDIRECT("Table!A" &amp; $BJ34):INDIRECT("Table!" &amp; $BV$43 &amp; $BJ34),0)))))/1024</f>
        <v>5.9144531249999996</v>
      </c>
      <c r="U34" s="709"/>
      <c r="V34" s="909"/>
      <c r="W34" s="909"/>
      <c r="X34" s="909"/>
      <c r="Y34" s="909"/>
      <c r="Z34" s="909"/>
      <c r="AA34" s="909"/>
      <c r="AB34" s="909"/>
      <c r="AC34" s="709" t="str">
        <f ca="1">IF(ISERROR(MATCH(AC$1,INDIRECT("Table!A"&amp;$BJ34):INDIRECT("Table!" &amp; $BV$88 &amp; $BJ34),0)),"",INDIRECT(CONCATENATE("Table!",ADDRESS($BF34,MATCH(AC$1,INDIRECT("Table!A" &amp; $BJ34):INDIRECT("Table!" &amp; $BV$88 &amp; $BJ34),0)))))</f>
        <v/>
      </c>
      <c r="AD34" s="709">
        <f ca="1">IF(ISERROR(MATCH(AD$1,INDIRECT("Table!A"&amp;$BJ34):INDIRECT("Table!" &amp; $BV$88 &amp; $BJ34),0)),"",INDIRECT(CONCATENATE("Table!",ADDRESS($BN34,MATCH(AD$1,INDIRECT("Table!A" &amp; $BJ34):INDIRECT("Table!" &amp; $BV$88 &amp; $BJ34),0)))))/1024</f>
        <v>140.0322265625</v>
      </c>
      <c r="AE34" s="709">
        <f ca="1">IF(ISERROR(MATCH(AE$1,INDIRECT("Table!A"&amp;$BJ34):INDIRECT("Table!" &amp; $BV$88 &amp; $BJ34),0)),"",INDIRECT(CONCATENATE("Table!",ADDRESS($BN34,MATCH(AE$1,INDIRECT("Table!A" &amp; $BJ34):INDIRECT("Table!" &amp; $BV$88 &amp; $BJ34),0)))))/1024</f>
        <v>146.98896484375001</v>
      </c>
      <c r="AF34" s="709">
        <f ca="1">IF(ISERROR(MATCH(AF$1,INDIRECT("Table!A"&amp;$BJ34):INDIRECT("Table!" &amp; $BV$88 &amp; $BJ34),0)),"",INDIRECT(CONCATENATE("Table!",ADDRESS($BN34,MATCH(AF$1,INDIRECT("Table!A" &amp; $BJ34):INDIRECT("Table!" &amp; $BV$88 &amp; $BJ34),0)))))/1024</f>
        <v>146.98896484375001</v>
      </c>
      <c r="AG34" s="709">
        <f ca="1">IF(ISERROR(MATCH(AG$1,INDIRECT("Table!A"&amp;$BJ34):INDIRECT("Table!" &amp; $BV$88 &amp; $BJ34),0)),"",INDIRECT(CONCATENATE("Table!",ADDRESS($BN34,MATCH(AG$1,INDIRECT("Table!A" &amp; $BJ34):INDIRECT("Table!" &amp; $BV$88 &amp; $BJ34),0)))))/1024</f>
        <v>177.73320312499999</v>
      </c>
      <c r="AH34" s="709">
        <f ca="1">IF(ISERROR(MATCH(AH$1,INDIRECT("Table!A"&amp;$BJ34):INDIRECT("Table!" &amp; $BV$88 &amp; $BJ34),0)),"",INDIRECT(CONCATENATE("Table!",ADDRESS($BN34,MATCH(AH$1,INDIRECT("Table!A" &amp; $BJ34):INDIRECT("Table!" &amp; $BV$88 &amp; $BJ34),0)))))/1024</f>
        <v>161.57568359375</v>
      </c>
      <c r="AI34" s="709">
        <f ca="1">IF(ISERROR(MATCH(AI$1,INDIRECT("Table!A"&amp;$BJ34):INDIRECT("Table!" &amp; $BV$88 &amp; $BJ34),0)),"",INDIRECT(CONCATENATE("Table!",ADDRESS($BN34,MATCH(AI$1,INDIRECT("Table!A" &amp; $BJ34):INDIRECT("Table!" &amp; $BV$88 &amp; $BJ34),0)))))/1024</f>
        <v>129.03603515624999</v>
      </c>
      <c r="AJ34" s="709">
        <f ca="1">IF(ISERROR(MATCH(AJ$1,INDIRECT("Table!A"&amp;$BJ34):INDIRECT("Table!" &amp; $BV$88 &amp; $BJ34),0)),"",INDIRECT(CONCATENATE("Table!",ADDRESS($BN34,MATCH(AJ$1,INDIRECT("Table!A" &amp; $BJ34):INDIRECT("Table!" &amp; $BV$88 &amp; $BJ34),0)))))/1024</f>
        <v>166.96152343750001</v>
      </c>
      <c r="AK34" s="709">
        <f ca="1">IF(ISERROR(MATCH(AK$1,INDIRECT("Table!A"&amp;$BJ34):INDIRECT("Table!" &amp; $BV$88 &amp; $BJ34),0)),"",INDIRECT(CONCATENATE("Table!",ADDRESS($BN34,MATCH(AK$1,INDIRECT("Table!A" &amp; $BJ34):INDIRECT("Table!" &amp; $BV$88 &amp; $BJ34),0)))))/1024</f>
        <v>161.57568359375</v>
      </c>
      <c r="AL34" s="709">
        <f ca="1">IF(ISERROR(MATCH(AL$1,INDIRECT("Table!A"&amp;$BJ34):INDIRECT("Table!" &amp; $BV$88 &amp; $BJ34),0)),"",INDIRECT(CONCATENATE("Table!",ADDRESS($BN34,MATCH(AL$1,INDIRECT("Table!A" &amp; $BJ34):INDIRECT("Table!" &amp; $BV$88 &amp; $BJ34),0)))))/1024</f>
        <v>90.245703125000006</v>
      </c>
      <c r="AM34" s="709">
        <f ca="1">IF(ISERROR(MATCH(AM$1,INDIRECT("Table!A"&amp;$BJ34):INDIRECT("Table!" &amp; $BV$88 &amp; $BJ34),0)),"",INDIRECT(CONCATENATE("Table!",ADDRESS($BN34,MATCH(AM$1,INDIRECT("Table!A" &amp; $BJ34):INDIRECT("Table!" &amp; $BV$88 &amp; $BJ34),0)))))/1024</f>
        <v>80.150488281250006</v>
      </c>
      <c r="AN34" s="709">
        <f ca="1">IF(ISERROR(MATCH(AN$1,INDIRECT("Table!A"&amp;$BJ34):INDIRECT("Table!" &amp; $BV$88 &amp; $BJ34),0)),"",INDIRECT(CONCATENATE("Table!",ADDRESS($BN34,MATCH(AN$1,INDIRECT("Table!A" &amp; $BJ34):INDIRECT("Table!" &amp; $BV$88 &amp; $BJ34),0)))))/1024</f>
        <v>188.50498046875001</v>
      </c>
      <c r="AO34" s="709">
        <f ca="1">IF(ISERROR(MATCH(AO$1,INDIRECT("Table!A"&amp;$BJ34):INDIRECT("Table!" &amp; $BV$88 &amp; $BJ34),0)),"",INDIRECT(CONCATENATE("Table!",ADDRESS($BN34,MATCH(AO$1,INDIRECT("Table!A" &amp; $BJ34):INDIRECT("Table!" &amp; $BV$88 &amp; $BJ34),0)))))/1024</f>
        <v>129.03603515624999</v>
      </c>
      <c r="AP34" s="709">
        <f ca="1">IF(ISERROR(MATCH(AP$1,INDIRECT("Table!A"&amp;$BJ34):INDIRECT("Table!" &amp; $BV$88 &amp; $BJ34),0)),"",INDIRECT(CONCATENATE("Table!",ADDRESS($BN34,MATCH(AP$1,INDIRECT("Table!A" &amp; $BJ34):INDIRECT("Table!" &amp; $BV$88 &amp; $BJ34),0)))))/1024</f>
        <v>80.787695312500006</v>
      </c>
      <c r="AQ34" s="709">
        <f ca="1">IF(ISERROR(MATCH(AQ$1,INDIRECT("Table!A"&amp;$BJ34):INDIRECT("Table!" &amp; $BV$88 &amp; $BJ34),0)),"",INDIRECT(CONCATENATE("Table!",ADDRESS($BN34,MATCH(AQ$1,INDIRECT("Table!A" &amp; $BJ34):INDIRECT("Table!" &amp; $BV$88 &amp; $BJ34),0)))))/1024</f>
        <v>269.2919921875</v>
      </c>
      <c r="AR34" s="709">
        <f ca="1">IF(ISERROR(MATCH(AR$1,INDIRECT("Table!A"&amp;$BJ34):INDIRECT("Table!" &amp; $BV$88 &amp; $BJ34),0)),"",INDIRECT(CONCATENATE("Table!",ADDRESS($BN34,MATCH(AR$1,INDIRECT("Table!A" &amp; $BJ34):INDIRECT("Table!" &amp; $BV$88 &amp; $BJ34),0)))))/1024</f>
        <v>80.787695312500006</v>
      </c>
      <c r="AS34" s="709">
        <f ca="1">IF(ISERROR(MATCH(AS$1,INDIRECT("Table!A"&amp;$BJ34):INDIRECT("Table!" &amp; $BV$88 &amp; $BJ34),0)),"",INDIRECT(CONCATENATE("Table!",ADDRESS($BN34,MATCH(AS$1,INDIRECT("Table!A" &amp; $BJ34):INDIRECT("Table!" &amp; $BV$88 &amp; $BJ34),0)))))/1024</f>
        <v>184.55234375000001</v>
      </c>
      <c r="AT34" s="709">
        <f ca="1">IF(ISERROR(MATCH(AT$1,INDIRECT("Table!A"&amp;$BJ34):INDIRECT("Table!" &amp; $BV$88 &amp; $BJ34),0)),"",INDIRECT(CONCATENATE("Table!",ADDRESS($BN34,MATCH(AT$1,INDIRECT("Table!A" &amp; $BJ34):INDIRECT("Table!" &amp; $BV$88 &amp; $BJ34),0)))))/1024</f>
        <v>81.246191406250006</v>
      </c>
      <c r="AU34" s="709">
        <f ca="1">IF(ISERROR(MATCH(AU$1,INDIRECT("Table!A"&amp;$BJ34):INDIRECT("Table!" &amp; $BV$88 &amp; $BJ34),0)),"",INDIRECT(CONCATENATE("Table!",ADDRESS($BN34,MATCH(AU$1,INDIRECT("Table!A" &amp; $BJ34):INDIRECT("Table!" &amp; $BV$88 &amp; $BJ34),0)))))/1024</f>
        <v>53.8583984375</v>
      </c>
      <c r="AV34" s="709">
        <f ca="1">IF(ISERROR(MATCH(AV$1,INDIRECT("Table!A"&amp;$BJ34):INDIRECT("Table!" &amp; $BV$88 &amp; $BJ34),0)),"",INDIRECT(CONCATENATE("Table!",ADDRESS($BN34,MATCH(AV$1,INDIRECT("Table!A" &amp; $BJ34):INDIRECT("Table!" &amp; $BV$88 &amp; $BJ34),0)))))/1024</f>
        <v>32.31494140625</v>
      </c>
      <c r="AW34" s="709"/>
      <c r="AX34" s="909"/>
      <c r="AY34" s="909"/>
      <c r="AZ34" s="909"/>
      <c r="BA34" s="909"/>
      <c r="BB34" s="909"/>
      <c r="BC34" s="909"/>
      <c r="BD34" s="909"/>
      <c r="BE34" s="909"/>
      <c r="BF34" s="704">
        <f>MATCH($A34,Table!$A:$A,0)+$BH$2-1</f>
        <v>451</v>
      </c>
      <c r="BG34" s="705"/>
      <c r="BH34" s="705"/>
      <c r="BI34" s="705"/>
      <c r="BJ34" s="717">
        <f>MATCH($A34,Table!$A:$A,0)+$BL$2-1</f>
        <v>449</v>
      </c>
      <c r="BK34" s="705"/>
      <c r="BL34" s="705"/>
      <c r="BM34" s="705"/>
      <c r="BN34" s="704">
        <f>MATCH($A34,Table!$A:$A,0)+$BP$2-1</f>
        <v>450</v>
      </c>
      <c r="BO34" s="705"/>
      <c r="BP34" s="705"/>
      <c r="BQ34" s="705"/>
      <c r="BR34" s="717">
        <f>MATCH($A34,Table!$A:$A,0)+$BL$2-1</f>
        <v>449</v>
      </c>
      <c r="BS34" s="705"/>
      <c r="BT34" s="705"/>
      <c r="BU34" s="705"/>
      <c r="BV34" s="711" t="s">
        <v>284</v>
      </c>
      <c r="BW34" s="712">
        <f t="shared" ca="1" si="12"/>
        <v>2501.6687500000003</v>
      </c>
      <c r="BX34" s="712">
        <f t="shared" ca="1" si="45"/>
        <v>1263.7117187499996</v>
      </c>
      <c r="BY34" s="712">
        <f t="shared" ca="1" si="43"/>
        <v>1237.9570312500007</v>
      </c>
      <c r="BZ34" s="718">
        <f t="shared" ca="1" si="44"/>
        <v>0.50514750154272003</v>
      </c>
      <c r="CA34" s="712">
        <f ca="1">SUMIF('Alloc Feed'!A:A,A:A,'Alloc Feed'!I:I)</f>
        <v>2946.4179960937495</v>
      </c>
      <c r="CB34" s="718">
        <f t="shared" ca="1" si="42"/>
        <v>1.1777810296002416</v>
      </c>
    </row>
    <row r="35" spans="1:80" s="267" customFormat="1" x14ac:dyDescent="0.25">
      <c r="A35" s="703">
        <v>41534</v>
      </c>
      <c r="B35" s="709">
        <f ca="1">IF(ISERROR(MATCH(B$1,INDIRECT("Table!A"&amp;$BJ35):INDIRECT("Table!" &amp; $BV$88 &amp; $BJ35),0)),"",INDIRECT(CONCATENATE("Table!",ADDRESS($BF35,MATCH(B$1,INDIRECT("Table!A" &amp; $BJ35):INDIRECT("Table!" &amp; $BV$88 &amp; $BJ35),0)))))/1024</f>
        <v>46.769921875000001</v>
      </c>
      <c r="C35" s="709">
        <f ca="1">IF(ISERROR(MATCH(C$1,INDIRECT("Table!A"&amp;$BJ35):INDIRECT("Table!" &amp; $BV$88 &amp; $BJ35),0)),"",INDIRECT(CONCATENATE("Table!",ADDRESS($BF35,MATCH(C$1,INDIRECT("Table!A" &amp; $BJ35):INDIRECT("Table!" &amp; $BV$88 &amp; $BJ35),0)))))/1024</f>
        <v>78.435156250000006</v>
      </c>
      <c r="D35" s="709">
        <f ca="1">IF(ISERROR(MATCH(D$1,INDIRECT("Table!A"&amp;$BJ35):INDIRECT("Table!" &amp; $BV$88 &amp; $BJ35),0)),"",INDIRECT(CONCATENATE("Table!",ADDRESS($BF35,MATCH(D$1,INDIRECT("Table!A" &amp; $BJ35):INDIRECT("Table!" &amp; $BV$88 &amp; $BJ35),0)))))/1024</f>
        <v>79.881445312500006</v>
      </c>
      <c r="E35" s="709">
        <f ca="1">IF(ISERROR(MATCH(E$1,INDIRECT("Table!A"&amp;$BJ35):INDIRECT("Table!" &amp; $BV$88 &amp; $BJ35),0)),"",INDIRECT(CONCATENATE("Table!",ADDRESS($BF35,MATCH(E$1,INDIRECT("Table!A" &amp; $BJ35):INDIRECT("Table!" &amp; $BV$88 &amp; $BJ35),0)))))/1024</f>
        <v>146.01513671875</v>
      </c>
      <c r="F35" s="709">
        <f ca="1">IF(ISERROR(MATCH(F$1,INDIRECT("Table!A"&amp;$BJ35):INDIRECT("Table!" &amp; $BV$88 &amp; $BJ35),0)),"",INDIRECT(CONCATENATE("Table!",ADDRESS($BF35,MATCH(F$1,INDIRECT("Table!A" &amp; $BJ35):INDIRECT("Table!" &amp; $BV$88 &amp; $BJ35),0)))))/1024</f>
        <v>115.00058593750001</v>
      </c>
      <c r="G35" s="709">
        <f ca="1">IF(ISERROR(MATCH(G$1,INDIRECT("Table!A"&amp;$BJ35):INDIRECT("Table!" &amp; $BV$88 &amp; $BJ35),0)),"",INDIRECT(CONCATENATE("Table!",ADDRESS($BF35,MATCH(G$1,INDIRECT("Table!A" &amp; $BJ35):INDIRECT("Table!" &amp; $BV$88 &amp; $BJ35),0)))))/1024</f>
        <v>57.410058593750001</v>
      </c>
      <c r="H35" s="709">
        <f ca="1">IF(ISERROR(MATCH(H$1,INDIRECT("Table!A"&amp;$BJ35):INDIRECT("Table!" &amp; $BV$88 &amp; $BJ35),0)),"",INDIRECT(CONCATENATE("Table!",ADDRESS($BF35,MATCH(H$1,INDIRECT("Table!A" &amp; $BJ35):INDIRECT("Table!" &amp; $BV$88 &amp; $BJ35),0)))))/1024</f>
        <v>95.131054687499997</v>
      </c>
      <c r="I35" s="709">
        <f ca="1">IF(ISERROR(MATCH(I$1,INDIRECT("Table!A"&amp;$BJ35):INDIRECT("Table!" &amp; $BV$88 &amp; $BJ35),0)),"",INDIRECT(CONCATENATE("Table!",ADDRESS($BF35,MATCH(I$1,INDIRECT("Table!A" &amp; $BJ35):INDIRECT("Table!" &amp; $BV$88 &amp; $BJ35),0)))))/1024</f>
        <v>12.32412109375</v>
      </c>
      <c r="J35" s="709">
        <f ca="1">IF(ISERROR(MATCH(J$1,INDIRECT("Table!A"&amp;$BJ35):INDIRECT("Table!" &amp; $BV$88 &amp; $BJ35),0)),"",INDIRECT(CONCATENATE("Table!",ADDRESS($BF35,MATCH(J$1,INDIRECT("Table!A" &amp; $BJ35):INDIRECT("Table!" &amp; $BV$88 &amp; $BJ35),0)))))/1024</f>
        <v>42.82568359375</v>
      </c>
      <c r="K35" s="709">
        <f ca="1">IF(ISERROR(MATCH(K$1,INDIRECT("Table!A"&amp;$BJ35):INDIRECT("Table!" &amp; $BV$88 &amp; $BJ35),0)),"",INDIRECT(CONCATENATE("Table!",ADDRESS($BF35,MATCH(K$1,INDIRECT("Table!A" &amp; $BJ35):INDIRECT("Table!" &amp; $BV$88 &amp; $BJ35),0)))))/1024</f>
        <v>1.09453125</v>
      </c>
      <c r="L35" s="709">
        <f ca="1">IF(ISERROR(MATCH(L$1,INDIRECT("Table!A"&amp;$BJ35):INDIRECT("Table!" &amp; $BV$88 &amp; $BJ35),0)),"",INDIRECT(CONCATENATE("Table!",ADDRESS($BF35,MATCH(L$1,INDIRECT("Table!A" &amp; $BJ35):INDIRECT("Table!" &amp; $BV$88 &amp; $BJ35),0)))))/1024</f>
        <v>156.33847656250001</v>
      </c>
      <c r="M35" s="709">
        <f ca="1">IF(ISERROR(MATCH(M$1,INDIRECT("Table!A"&amp;$BJ35):INDIRECT("Table!" &amp; $BV$88 &amp; $BJ35),0)),"",INDIRECT(CONCATENATE("Table!",ADDRESS($BF35,MATCH(M$1,INDIRECT("Table!A" &amp; $BJ35):INDIRECT("Table!" &amp; $BV$88 &amp; $BJ35),0)))))/1024</f>
        <v>56.493359374999997</v>
      </c>
      <c r="N35" s="709">
        <f ca="1">IF(ISERROR(MATCH(N$1,INDIRECT("Table!A"&amp;$BJ35):INDIRECT("Table!" &amp; $BV$88 &amp; $BJ35),0)),"",INDIRECT(CONCATENATE("Table!",ADDRESS($BF35,MATCH(N$1,INDIRECT("Table!A" &amp; $BJ35):INDIRECT("Table!" &amp; $BV$88 &amp; $BJ35),0)))))/1024</f>
        <v>59.131542968749997</v>
      </c>
      <c r="O35" s="709">
        <f ca="1">IF(ISERROR(MATCH(O$1,INDIRECT("Table!A"&amp;$BJ35):INDIRECT("Table!" &amp; $BV$88 &amp; $BJ35),0)),"",INDIRECT(CONCATENATE("Table!",ADDRESS($BF35,MATCH(O$1,INDIRECT("Table!A" &amp; $BJ35):INDIRECT("Table!" &amp; $BV$88 &amp; $BJ35),0)))))/1024</f>
        <v>173.86884765625001</v>
      </c>
      <c r="P35" s="709">
        <f ca="1">IF(ISERROR(MATCH(P$1,INDIRECT("Table!A"&amp;$BJ35):INDIRECT("Table!" &amp; $BV$88 &amp; $BJ35),0)),"",INDIRECT(CONCATENATE("Table!",ADDRESS($BF35,MATCH(P$1,INDIRECT("Table!A" &amp; $BJ35):INDIRECT("Table!" &amp; $BV$88 &amp; $BJ35),0)))))/1024</f>
        <v>23.736718750000001</v>
      </c>
      <c r="Q35" s="709">
        <f ca="1">IF(ISERROR(MATCH(Q$1,INDIRECT("Table!A"&amp;$BJ35):INDIRECT("Table!" &amp; $BV$88 &amp; $BJ35),0)),"",INDIRECT(CONCATENATE("Table!",ADDRESS($BF35,MATCH(Q$1,INDIRECT("Table!A" &amp; $BJ35):INDIRECT("Table!" &amp; $BV$88 &amp; $BJ35),0)))))/1024</f>
        <v>67.033300781250006</v>
      </c>
      <c r="R35" s="709">
        <f ca="1">IF(ISERROR(MATCH(R$1,INDIRECT("Table!A"&amp;$BJ35):INDIRECT("Table!" &amp; $BV$88 &amp; $BJ35),0)),"",INDIRECT(CONCATENATE("Table!",ADDRESS($BF35,MATCH(R$1,INDIRECT("Table!A" &amp; $BJ35):INDIRECT("Table!" &amp; $BV$88 &amp; $BJ35),0)))))/1024</f>
        <v>23.227636718749999</v>
      </c>
      <c r="S35" s="709">
        <f ca="1">IF(ISERROR(MATCH(S$1,INDIRECT("Table!A"&amp;$BJ35):INDIRECT("Table!" &amp; $BV$43 &amp; $BJ35),0)),"",INDIRECT(CONCATENATE("Table!",ADDRESS($BF35,MATCH(S$1,INDIRECT("Table!A" &amp; $BJ35):INDIRECT("Table!" &amp; $BV$43 &amp; $BJ35),0)))))/1024</f>
        <v>11.797070312500001</v>
      </c>
      <c r="T35" s="709">
        <f ca="1">IF(ISERROR(MATCH(T$1,INDIRECT("Table!A"&amp;$BJ35):INDIRECT("Table!" &amp; $BV$43 &amp; $BJ35),0)),"",INDIRECT(CONCATENATE("Table!",ADDRESS($BF35,MATCH(T$1,INDIRECT("Table!A" &amp; $BJ35):INDIRECT("Table!" &amp; $BV$43 &amp; $BJ35),0)))))/1024</f>
        <v>5.8257812500000004</v>
      </c>
      <c r="U35" s="709"/>
      <c r="V35" s="909"/>
      <c r="W35" s="909"/>
      <c r="X35" s="909"/>
      <c r="Y35" s="909"/>
      <c r="Z35" s="909"/>
      <c r="AA35" s="909"/>
      <c r="AB35" s="909"/>
      <c r="AC35" s="709" t="str">
        <f ca="1">IF(ISERROR(MATCH(AC$1,INDIRECT("Table!A"&amp;$BJ35):INDIRECT("Table!" &amp; $BV$88 &amp; $BJ35),0)),"",INDIRECT(CONCATENATE("Table!",ADDRESS($BF35,MATCH(AC$1,INDIRECT("Table!A" &amp; $BJ35):INDIRECT("Table!" &amp; $BV$88 &amp; $BJ35),0)))))</f>
        <v/>
      </c>
      <c r="AD35" s="709">
        <f ca="1">IF(ISERROR(MATCH(AD$1,INDIRECT("Table!A"&amp;$BJ35):INDIRECT("Table!" &amp; $BV$88 &amp; $BJ35),0)),"",INDIRECT(CONCATENATE("Table!",ADDRESS($BN35,MATCH(AD$1,INDIRECT("Table!A" &amp; $BJ35):INDIRECT("Table!" &amp; $BV$88 &amp; $BJ35),0)))))/1024</f>
        <v>140.0322265625</v>
      </c>
      <c r="AE35" s="709">
        <f ca="1">IF(ISERROR(MATCH(AE$1,INDIRECT("Table!A"&amp;$BJ35):INDIRECT("Table!" &amp; $BV$88 &amp; $BJ35),0)),"",INDIRECT(CONCATENATE("Table!",ADDRESS($BN35,MATCH(AE$1,INDIRECT("Table!A" &amp; $BJ35):INDIRECT("Table!" &amp; $BV$88 &amp; $BJ35),0)))))/1024</f>
        <v>146.98896484375001</v>
      </c>
      <c r="AF35" s="709">
        <f ca="1">IF(ISERROR(MATCH(AF$1,INDIRECT("Table!A"&amp;$BJ35):INDIRECT("Table!" &amp; $BV$88 &amp; $BJ35),0)),"",INDIRECT(CONCATENATE("Table!",ADDRESS($BN35,MATCH(AF$1,INDIRECT("Table!A" &amp; $BJ35):INDIRECT("Table!" &amp; $BV$88 &amp; $BJ35),0)))))/1024</f>
        <v>146.98896484375001</v>
      </c>
      <c r="AG35" s="709">
        <f ca="1">IF(ISERROR(MATCH(AG$1,INDIRECT("Table!A"&amp;$BJ35):INDIRECT("Table!" &amp; $BV$88 &amp; $BJ35),0)),"",INDIRECT(CONCATENATE("Table!",ADDRESS($BN35,MATCH(AG$1,INDIRECT("Table!A" &amp; $BJ35):INDIRECT("Table!" &amp; $BV$88 &amp; $BJ35),0)))))/1024</f>
        <v>177.73320312499999</v>
      </c>
      <c r="AH35" s="709">
        <f ca="1">IF(ISERROR(MATCH(AH$1,INDIRECT("Table!A"&amp;$BJ35):INDIRECT("Table!" &amp; $BV$88 &amp; $BJ35),0)),"",INDIRECT(CONCATENATE("Table!",ADDRESS($BN35,MATCH(AH$1,INDIRECT("Table!A" &amp; $BJ35):INDIRECT("Table!" &amp; $BV$88 &amp; $BJ35),0)))))/1024</f>
        <v>161.57568359375</v>
      </c>
      <c r="AI35" s="709">
        <f ca="1">IF(ISERROR(MATCH(AI$1,INDIRECT("Table!A"&amp;$BJ35):INDIRECT("Table!" &amp; $BV$88 &amp; $BJ35),0)),"",INDIRECT(CONCATENATE("Table!",ADDRESS($BN35,MATCH(AI$1,INDIRECT("Table!A" &amp; $BJ35):INDIRECT("Table!" &amp; $BV$88 &amp; $BJ35),0)))))/1024</f>
        <v>129.03603515624999</v>
      </c>
      <c r="AJ35" s="709">
        <f ca="1">IF(ISERROR(MATCH(AJ$1,INDIRECT("Table!A"&amp;$BJ35):INDIRECT("Table!" &amp; $BV$88 &amp; $BJ35),0)),"",INDIRECT(CONCATENATE("Table!",ADDRESS($BN35,MATCH(AJ$1,INDIRECT("Table!A" &amp; $BJ35):INDIRECT("Table!" &amp; $BV$88 &amp; $BJ35),0)))))/1024</f>
        <v>166.96152343750001</v>
      </c>
      <c r="AK35" s="709">
        <f ca="1">IF(ISERROR(MATCH(AK$1,INDIRECT("Table!A"&amp;$BJ35):INDIRECT("Table!" &amp; $BV$88 &amp; $BJ35),0)),"",INDIRECT(CONCATENATE("Table!",ADDRESS($BN35,MATCH(AK$1,INDIRECT("Table!A" &amp; $BJ35):INDIRECT("Table!" &amp; $BV$88 &amp; $BJ35),0)))))/1024</f>
        <v>161.57568359375</v>
      </c>
      <c r="AL35" s="709">
        <f ca="1">IF(ISERROR(MATCH(AL$1,INDIRECT("Table!A"&amp;$BJ35):INDIRECT("Table!" &amp; $BV$88 &amp; $BJ35),0)),"",INDIRECT(CONCATENATE("Table!",ADDRESS($BN35,MATCH(AL$1,INDIRECT("Table!A" &amp; $BJ35):INDIRECT("Table!" &amp; $BV$88 &amp; $BJ35),0)))))/1024</f>
        <v>90.245703125000006</v>
      </c>
      <c r="AM35" s="709">
        <f ca="1">IF(ISERROR(MATCH(AM$1,INDIRECT("Table!A"&amp;$BJ35):INDIRECT("Table!" &amp; $BV$88 &amp; $BJ35),0)),"",INDIRECT(CONCATENATE("Table!",ADDRESS($BN35,MATCH(AM$1,INDIRECT("Table!A" &amp; $BJ35):INDIRECT("Table!" &amp; $BV$88 &amp; $BJ35),0)))))/1024</f>
        <v>80.150488281250006</v>
      </c>
      <c r="AN35" s="709">
        <f ca="1">IF(ISERROR(MATCH(AN$1,INDIRECT("Table!A"&amp;$BJ35):INDIRECT("Table!" &amp; $BV$88 &amp; $BJ35),0)),"",INDIRECT(CONCATENATE("Table!",ADDRESS($BN35,MATCH(AN$1,INDIRECT("Table!A" &amp; $BJ35):INDIRECT("Table!" &amp; $BV$88 &amp; $BJ35),0)))))/1024</f>
        <v>188.50498046875001</v>
      </c>
      <c r="AO35" s="709">
        <f ca="1">IF(ISERROR(MATCH(AO$1,INDIRECT("Table!A"&amp;$BJ35):INDIRECT("Table!" &amp; $BV$88 &amp; $BJ35),0)),"",INDIRECT(CONCATENATE("Table!",ADDRESS($BN35,MATCH(AO$1,INDIRECT("Table!A" &amp; $BJ35):INDIRECT("Table!" &amp; $BV$88 &amp; $BJ35),0)))))/1024</f>
        <v>129.03603515624999</v>
      </c>
      <c r="AP35" s="709">
        <f ca="1">IF(ISERROR(MATCH(AP$1,INDIRECT("Table!A"&amp;$BJ35):INDIRECT("Table!" &amp; $BV$88 &amp; $BJ35),0)),"",INDIRECT(CONCATENATE("Table!",ADDRESS($BN35,MATCH(AP$1,INDIRECT("Table!A" &amp; $BJ35):INDIRECT("Table!" &amp; $BV$88 &amp; $BJ35),0)))))/1024</f>
        <v>80.787695312500006</v>
      </c>
      <c r="AQ35" s="709">
        <f ca="1">IF(ISERROR(MATCH(AQ$1,INDIRECT("Table!A"&amp;$BJ35):INDIRECT("Table!" &amp; $BV$88 &amp; $BJ35),0)),"",INDIRECT(CONCATENATE("Table!",ADDRESS($BN35,MATCH(AQ$1,INDIRECT("Table!A" &amp; $BJ35):INDIRECT("Table!" &amp; $BV$88 &amp; $BJ35),0)))))/1024</f>
        <v>269.2919921875</v>
      </c>
      <c r="AR35" s="709">
        <f ca="1">IF(ISERROR(MATCH(AR$1,INDIRECT("Table!A"&amp;$BJ35):INDIRECT("Table!" &amp; $BV$88 &amp; $BJ35),0)),"",INDIRECT(CONCATENATE("Table!",ADDRESS($BN35,MATCH(AR$1,INDIRECT("Table!A" &amp; $BJ35):INDIRECT("Table!" &amp; $BV$88 &amp; $BJ35),0)))))/1024</f>
        <v>80.787695312500006</v>
      </c>
      <c r="AS35" s="709">
        <f ca="1">IF(ISERROR(MATCH(AS$1,INDIRECT("Table!A"&amp;$BJ35):INDIRECT("Table!" &amp; $BV$88 &amp; $BJ35),0)),"",INDIRECT(CONCATENATE("Table!",ADDRESS($BN35,MATCH(AS$1,INDIRECT("Table!A" &amp; $BJ35):INDIRECT("Table!" &amp; $BV$88 &amp; $BJ35),0)))))/1024</f>
        <v>184.55234375000001</v>
      </c>
      <c r="AT35" s="709">
        <f ca="1">IF(ISERROR(MATCH(AT$1,INDIRECT("Table!A"&amp;$BJ35):INDIRECT("Table!" &amp; $BV$88 &amp; $BJ35),0)),"",INDIRECT(CONCATENATE("Table!",ADDRESS($BN35,MATCH(AT$1,INDIRECT("Table!A" &amp; $BJ35):INDIRECT("Table!" &amp; $BV$88 &amp; $BJ35),0)))))/1024</f>
        <v>81.246191406250006</v>
      </c>
      <c r="AU35" s="709">
        <f ca="1">IF(ISERROR(MATCH(AU$1,INDIRECT("Table!A"&amp;$BJ35):INDIRECT("Table!" &amp; $BV$88 &amp; $BJ35),0)),"",INDIRECT(CONCATENATE("Table!",ADDRESS($BN35,MATCH(AU$1,INDIRECT("Table!A" &amp; $BJ35):INDIRECT("Table!" &amp; $BV$88 &amp; $BJ35),0)))))/1024</f>
        <v>53.8583984375</v>
      </c>
      <c r="AV35" s="709">
        <f ca="1">IF(ISERROR(MATCH(AV$1,INDIRECT("Table!A"&amp;$BJ35):INDIRECT("Table!" &amp; $BV$88 &amp; $BJ35),0)),"",INDIRECT(CONCATENATE("Table!",ADDRESS($BN35,MATCH(AV$1,INDIRECT("Table!A" &amp; $BJ35):INDIRECT("Table!" &amp; $BV$88 &amp; $BJ35),0)))))/1024</f>
        <v>32.31494140625</v>
      </c>
      <c r="AW35" s="709"/>
      <c r="AX35" s="909"/>
      <c r="AY35" s="909"/>
      <c r="AZ35" s="909"/>
      <c r="BA35" s="909"/>
      <c r="BB35" s="909"/>
      <c r="BC35" s="909"/>
      <c r="BD35" s="909"/>
      <c r="BE35" s="909"/>
      <c r="BF35" s="704">
        <f>MATCH($A35,Table!$A:$A,0)+$BH$2-1</f>
        <v>463</v>
      </c>
      <c r="BG35" s="705"/>
      <c r="BH35" s="705"/>
      <c r="BI35" s="705"/>
      <c r="BJ35" s="717">
        <f>MATCH($A35,Table!$A:$A,0)+$BL$2-1</f>
        <v>461</v>
      </c>
      <c r="BK35" s="705"/>
      <c r="BL35" s="705"/>
      <c r="BM35" s="705"/>
      <c r="BN35" s="704">
        <f>MATCH($A35,Table!$A:$A,0)+$BP$2-1</f>
        <v>462</v>
      </c>
      <c r="BO35" s="705"/>
      <c r="BP35" s="705"/>
      <c r="BQ35" s="705"/>
      <c r="BR35" s="717">
        <f>MATCH($A35,Table!$A:$A,0)+$BL$2-1</f>
        <v>461</v>
      </c>
      <c r="BS35" s="705"/>
      <c r="BT35" s="705"/>
      <c r="BU35" s="705"/>
      <c r="BV35" s="711" t="s">
        <v>284</v>
      </c>
      <c r="BW35" s="712">
        <f t="shared" ca="1" si="12"/>
        <v>2501.6687500000003</v>
      </c>
      <c r="BX35" s="712">
        <f t="shared" ca="1" si="45"/>
        <v>1252.3404296875001</v>
      </c>
      <c r="BY35" s="712">
        <f t="shared" ca="1" si="43"/>
        <v>1249.3283203125002</v>
      </c>
      <c r="BZ35" s="718">
        <f t="shared" ca="1" si="44"/>
        <v>0.50060202002663223</v>
      </c>
      <c r="CA35" s="712">
        <f ca="1">SUMIF('Alloc Feed'!A:A,A:A,'Alloc Feed'!I:I)</f>
        <v>2932.3582705078124</v>
      </c>
      <c r="CB35" s="718">
        <f t="shared" ca="1" si="42"/>
        <v>1.1721608908085102</v>
      </c>
    </row>
    <row r="36" spans="1:80" s="267" customFormat="1" x14ac:dyDescent="0.25">
      <c r="A36" s="703">
        <v>41519</v>
      </c>
      <c r="B36" s="709">
        <f ca="1">IF(ISERROR(MATCH(B$1,INDIRECT("Table!A"&amp;$BJ36):INDIRECT("Table!" &amp; $BV$88 &amp; $BJ36),0)),"",INDIRECT(CONCATENATE("Table!",ADDRESS($BF36,MATCH(B$1,INDIRECT("Table!A" &amp; $BJ36):INDIRECT("Table!" &amp; $BV$88 &amp; $BJ36),0)))))/1024</f>
        <v>45.914257812499997</v>
      </c>
      <c r="C36" s="709">
        <f ca="1">IF(ISERROR(MATCH(C$1,INDIRECT("Table!A"&amp;$BJ36):INDIRECT("Table!" &amp; $BV$88 &amp; $BJ36),0)),"",INDIRECT(CONCATENATE("Table!",ADDRESS($BF36,MATCH(C$1,INDIRECT("Table!A" &amp; $BJ36):INDIRECT("Table!" &amp; $BV$88 &amp; $BJ36),0)))))/1024</f>
        <v>77.705273437499997</v>
      </c>
      <c r="D36" s="709">
        <f ca="1">IF(ISERROR(MATCH(D$1,INDIRECT("Table!A"&amp;$BJ36):INDIRECT("Table!" &amp; $BV$88 &amp; $BJ36),0)),"",INDIRECT(CONCATENATE("Table!",ADDRESS($BF36,MATCH(D$1,INDIRECT("Table!A" &amp; $BJ36):INDIRECT("Table!" &amp; $BV$88 &amp; $BJ36),0)))))/1024</f>
        <v>79.151464843750006</v>
      </c>
      <c r="E36" s="709">
        <f ca="1">IF(ISERROR(MATCH(E$1,INDIRECT("Table!A"&amp;$BJ36):INDIRECT("Table!" &amp; $BV$88 &amp; $BJ36),0)),"",INDIRECT(CONCATENATE("Table!",ADDRESS($BF36,MATCH(E$1,INDIRECT("Table!A" &amp; $BJ36):INDIRECT("Table!" &amp; $BV$88 &amp; $BJ36),0)))))/1024</f>
        <v>144.45039062500001</v>
      </c>
      <c r="F36" s="709">
        <f ca="1">IF(ISERROR(MATCH(F$1,INDIRECT("Table!A"&amp;$BJ36):INDIRECT("Table!" &amp; $BV$88 &amp; $BJ36),0)),"",INDIRECT(CONCATENATE("Table!",ADDRESS($BF36,MATCH(F$1,INDIRECT("Table!A" &amp; $BJ36):INDIRECT("Table!" &amp; $BV$88 &amp; $BJ36),0)))))/1024</f>
        <v>114.32822265625001</v>
      </c>
      <c r="G36" s="709">
        <f ca="1">IF(ISERROR(MATCH(G$1,INDIRECT("Table!A"&amp;$BJ36):INDIRECT("Table!" &amp; $BV$88 &amp; $BJ36),0)),"",INDIRECT(CONCATENATE("Table!",ADDRESS($BF36,MATCH(G$1,INDIRECT("Table!A" &amp; $BJ36):INDIRECT("Table!" &amp; $BV$88 &amp; $BJ36),0)))))/1024</f>
        <v>58.553906249999997</v>
      </c>
      <c r="H36" s="709">
        <f ca="1">IF(ISERROR(MATCH(H$1,INDIRECT("Table!A"&amp;$BJ36):INDIRECT("Table!" &amp; $BV$88 &amp; $BJ36),0)),"",INDIRECT(CONCATENATE("Table!",ADDRESS($BF36,MATCH(H$1,INDIRECT("Table!A" &amp; $BJ36):INDIRECT("Table!" &amp; $BV$88 &amp; $BJ36),0)))))/1024</f>
        <v>91.377343749999994</v>
      </c>
      <c r="I36" s="709">
        <f ca="1">IF(ISERROR(MATCH(I$1,INDIRECT("Table!A"&amp;$BJ36):INDIRECT("Table!" &amp; $BV$88 &amp; $BJ36),0)),"",INDIRECT(CONCATENATE("Table!",ADDRESS($BF36,MATCH(I$1,INDIRECT("Table!A" &amp; $BJ36):INDIRECT("Table!" &amp; $BV$88 &amp; $BJ36),0)))))/1024</f>
        <v>12.29482421875</v>
      </c>
      <c r="J36" s="709">
        <f ca="1">IF(ISERROR(MATCH(J$1,INDIRECT("Table!A"&amp;$BJ36):INDIRECT("Table!" &amp; $BV$88 &amp; $BJ36),0)),"",INDIRECT(CONCATENATE("Table!",ADDRESS($BF36,MATCH(J$1,INDIRECT("Table!A" &amp; $BJ36):INDIRECT("Table!" &amp; $BV$88 &amp; $BJ36),0)))))/1024</f>
        <v>32.430273437499999</v>
      </c>
      <c r="K36" s="709">
        <f ca="1">IF(ISERROR(MATCH(K$1,INDIRECT("Table!A"&amp;$BJ36):INDIRECT("Table!" &amp; $BV$88 &amp; $BJ36),0)),"",INDIRECT(CONCATENATE("Table!",ADDRESS($BF36,MATCH(K$1,INDIRECT("Table!A" &amp; $BJ36):INDIRECT("Table!" &amp; $BV$88 &amp; $BJ36),0)))))/1024</f>
        <v>0.99482421874999993</v>
      </c>
      <c r="L36" s="709">
        <f ca="1">IF(ISERROR(MATCH(L$1,INDIRECT("Table!A"&amp;$BJ36):INDIRECT("Table!" &amp; $BV$88 &amp; $BJ36),0)),"",INDIRECT(CONCATENATE("Table!",ADDRESS($BF36,MATCH(L$1,INDIRECT("Table!A" &amp; $BJ36):INDIRECT("Table!" &amp; $BV$88 &amp; $BJ36),0)))))/1024</f>
        <v>155.74931640624999</v>
      </c>
      <c r="M36" s="709">
        <f ca="1">IF(ISERROR(MATCH(M$1,INDIRECT("Table!A"&amp;$BJ36):INDIRECT("Table!" &amp; $BV$88 &amp; $BJ36),0)),"",INDIRECT(CONCATENATE("Table!",ADDRESS($BF36,MATCH(M$1,INDIRECT("Table!A" &amp; $BJ36):INDIRECT("Table!" &amp; $BV$88 &amp; $BJ36),0)))))/1024</f>
        <v>52.941601562499997</v>
      </c>
      <c r="N36" s="709">
        <f ca="1">IF(ISERROR(MATCH(N$1,INDIRECT("Table!A"&amp;$BJ36):INDIRECT("Table!" &amp; $BV$88 &amp; $BJ36),0)),"",INDIRECT(CONCATENATE("Table!",ADDRESS($BF36,MATCH(N$1,INDIRECT("Table!A" &amp; $BJ36):INDIRECT("Table!" &amp; $BV$88 &amp; $BJ36),0)))))/1024</f>
        <v>59.131054687499997</v>
      </c>
      <c r="O36" s="709">
        <f ca="1">IF(ISERROR(MATCH(O$1,INDIRECT("Table!A"&amp;$BJ36):INDIRECT("Table!" &amp; $BV$88 &amp; $BJ36),0)),"",INDIRECT(CONCATENATE("Table!",ADDRESS($BF36,MATCH(O$1,INDIRECT("Table!A" &amp; $BJ36):INDIRECT("Table!" &amp; $BV$88 &amp; $BJ36),0)))))/1024</f>
        <v>165.17324218749999</v>
      </c>
      <c r="P36" s="709">
        <f ca="1">IF(ISERROR(MATCH(P$1,INDIRECT("Table!A"&amp;$BJ36):INDIRECT("Table!" &amp; $BV$88 &amp; $BJ36),0)),"",INDIRECT(CONCATENATE("Table!",ADDRESS($BF36,MATCH(P$1,INDIRECT("Table!A" &amp; $BJ36):INDIRECT("Table!" &amp; $BV$88 &amp; $BJ36),0)))))/1024</f>
        <v>23.681835937500001</v>
      </c>
      <c r="Q36" s="709">
        <f ca="1">IF(ISERROR(MATCH(Q$1,INDIRECT("Table!A"&amp;$BJ36):INDIRECT("Table!" &amp; $BV$88 &amp; $BJ36),0)),"",INDIRECT(CONCATENATE("Table!",ADDRESS($BF36,MATCH(Q$1,INDIRECT("Table!A" &amp; $BJ36):INDIRECT("Table!" &amp; $BV$88 &amp; $BJ36),0)))))/1024</f>
        <v>57.55029296875</v>
      </c>
      <c r="R36" s="709">
        <f ca="1">IF(ISERROR(MATCH(R$1,INDIRECT("Table!A"&amp;$BJ36):INDIRECT("Table!" &amp; $BV$88 &amp; $BJ36),0)),"",INDIRECT(CONCATENATE("Table!",ADDRESS($BF36,MATCH(R$1,INDIRECT("Table!A" &amp; $BJ36):INDIRECT("Table!" &amp; $BV$88 &amp; $BJ36),0)))))/1024</f>
        <v>33.60400390625</v>
      </c>
      <c r="S36" s="709">
        <f ca="1">IF(ISERROR(MATCH(S$1,INDIRECT("Table!A"&amp;$BJ36):INDIRECT("Table!" &amp; $BV$43 &amp; $BJ36),0)),"",INDIRECT(CONCATENATE("Table!",ADDRESS($BF36,MATCH(S$1,INDIRECT("Table!A" &amp; $BJ36):INDIRECT("Table!" &amp; $BV$43 &amp; $BJ36),0)))))/1024</f>
        <v>11.7431640625</v>
      </c>
      <c r="T36" s="709">
        <f ca="1">IF(ISERROR(MATCH(T$1,INDIRECT("Table!A"&amp;$BJ36):INDIRECT("Table!" &amp; $BV$43 &amp; $BJ36),0)),"",INDIRECT(CONCATENATE("Table!",ADDRESS($BF36,MATCH(T$1,INDIRECT("Table!A" &amp; $BJ36):INDIRECT("Table!" &amp; $BV$43 &amp; $BJ36),0)))))/1024</f>
        <v>5.7355468749999998</v>
      </c>
      <c r="U36" s="709"/>
      <c r="V36" s="909"/>
      <c r="W36" s="909"/>
      <c r="X36" s="909"/>
      <c r="Y36" s="909"/>
      <c r="Z36" s="909"/>
      <c r="AA36" s="909"/>
      <c r="AB36" s="909"/>
      <c r="AC36" s="709" t="str">
        <f ca="1">IF(ISERROR(MATCH(AC$1,INDIRECT("Table!A"&amp;$BJ36):INDIRECT("Table!" &amp; $BV$88 &amp; $BJ36),0)),"",INDIRECT(CONCATENATE("Table!",ADDRESS($BF36,MATCH(AC$1,INDIRECT("Table!A" &amp; $BJ36):INDIRECT("Table!" &amp; $BV$88 &amp; $BJ36),0)))))</f>
        <v/>
      </c>
      <c r="AD36" s="709">
        <f ca="1">IF(ISERROR(MATCH(AD$1,INDIRECT("Table!A"&amp;$BJ36):INDIRECT("Table!" &amp; $BV$88 &amp; $BJ36),0)),"",INDIRECT(CONCATENATE("Table!",ADDRESS($BN36,MATCH(AD$1,INDIRECT("Table!A" &amp; $BJ36):INDIRECT("Table!" &amp; $BV$88 &amp; $BJ36),0)))))/1024</f>
        <v>140.0322265625</v>
      </c>
      <c r="AE36" s="709">
        <f ca="1">IF(ISERROR(MATCH(AE$1,INDIRECT("Table!A"&amp;$BJ36):INDIRECT("Table!" &amp; $BV$88 &amp; $BJ36),0)),"",INDIRECT(CONCATENATE("Table!",ADDRESS($BN36,MATCH(AE$1,INDIRECT("Table!A" &amp; $BJ36):INDIRECT("Table!" &amp; $BV$88 &amp; $BJ36),0)))))/1024</f>
        <v>146.98896484375001</v>
      </c>
      <c r="AF36" s="709">
        <f ca="1">IF(ISERROR(MATCH(AF$1,INDIRECT("Table!A"&amp;$BJ36):INDIRECT("Table!" &amp; $BV$88 &amp; $BJ36),0)),"",INDIRECT(CONCATENATE("Table!",ADDRESS($BN36,MATCH(AF$1,INDIRECT("Table!A" &amp; $BJ36):INDIRECT("Table!" &amp; $BV$88 &amp; $BJ36),0)))))/1024</f>
        <v>146.98896484375001</v>
      </c>
      <c r="AG36" s="709">
        <f ca="1">IF(ISERROR(MATCH(AG$1,INDIRECT("Table!A"&amp;$BJ36):INDIRECT("Table!" &amp; $BV$88 &amp; $BJ36),0)),"",INDIRECT(CONCATENATE("Table!",ADDRESS($BN36,MATCH(AG$1,INDIRECT("Table!A" &amp; $BJ36):INDIRECT("Table!" &amp; $BV$88 &amp; $BJ36),0)))))/1024</f>
        <v>177.73320312499999</v>
      </c>
      <c r="AH36" s="709">
        <f ca="1">IF(ISERROR(MATCH(AH$1,INDIRECT("Table!A"&amp;$BJ36):INDIRECT("Table!" &amp; $BV$88 &amp; $BJ36),0)),"",INDIRECT(CONCATENATE("Table!",ADDRESS($BN36,MATCH(AH$1,INDIRECT("Table!A" &amp; $BJ36):INDIRECT("Table!" &amp; $BV$88 &amp; $BJ36),0)))))/1024</f>
        <v>161.57568359375</v>
      </c>
      <c r="AI36" s="709">
        <f ca="1">IF(ISERROR(MATCH(AI$1,INDIRECT("Table!A"&amp;$BJ36):INDIRECT("Table!" &amp; $BV$88 &amp; $BJ36),0)),"",INDIRECT(CONCATENATE("Table!",ADDRESS($BN36,MATCH(AI$1,INDIRECT("Table!A" &amp; $BJ36):INDIRECT("Table!" &amp; $BV$88 &amp; $BJ36),0)))))/1024</f>
        <v>129.03603515624999</v>
      </c>
      <c r="AJ36" s="709">
        <f ca="1">IF(ISERROR(MATCH(AJ$1,INDIRECT("Table!A"&amp;$BJ36):INDIRECT("Table!" &amp; $BV$88 &amp; $BJ36),0)),"",INDIRECT(CONCATENATE("Table!",ADDRESS($BN36,MATCH(AJ$1,INDIRECT("Table!A" &amp; $BJ36):INDIRECT("Table!" &amp; $BV$88 &amp; $BJ36),0)))))/1024</f>
        <v>166.96152343750001</v>
      </c>
      <c r="AK36" s="709">
        <f ca="1">IF(ISERROR(MATCH(AK$1,INDIRECT("Table!A"&amp;$BJ36):INDIRECT("Table!" &amp; $BV$88 &amp; $BJ36),0)),"",INDIRECT(CONCATENATE("Table!",ADDRESS($BN36,MATCH(AK$1,INDIRECT("Table!A" &amp; $BJ36):INDIRECT("Table!" &amp; $BV$88 &amp; $BJ36),0)))))/1024</f>
        <v>161.57568359375</v>
      </c>
      <c r="AL36" s="709">
        <f ca="1">IF(ISERROR(MATCH(AL$1,INDIRECT("Table!A"&amp;$BJ36):INDIRECT("Table!" &amp; $BV$88 &amp; $BJ36),0)),"",INDIRECT(CONCATENATE("Table!",ADDRESS($BN36,MATCH(AL$1,INDIRECT("Table!A" &amp; $BJ36):INDIRECT("Table!" &amp; $BV$88 &amp; $BJ36),0)))))/1024</f>
        <v>90.245703125000006</v>
      </c>
      <c r="AM36" s="709">
        <f ca="1">IF(ISERROR(MATCH(AM$1,INDIRECT("Table!A"&amp;$BJ36):INDIRECT("Table!" &amp; $BV$88 &amp; $BJ36),0)),"",INDIRECT(CONCATENATE("Table!",ADDRESS($BN36,MATCH(AM$1,INDIRECT("Table!A" &amp; $BJ36):INDIRECT("Table!" &amp; $BV$88 &amp; $BJ36),0)))))/1024</f>
        <v>210.22119140625</v>
      </c>
      <c r="AN36" s="709">
        <f ca="1">IF(ISERROR(MATCH(AN$1,INDIRECT("Table!A"&amp;$BJ36):INDIRECT("Table!" &amp; $BV$88 &amp; $BJ36),0)),"",INDIRECT(CONCATENATE("Table!",ADDRESS($BN36,MATCH(AN$1,INDIRECT("Table!A" &amp; $BJ36):INDIRECT("Table!" &amp; $BV$88 &amp; $BJ36),0)))))/1024</f>
        <v>188.50498046875001</v>
      </c>
      <c r="AO36" s="709">
        <f ca="1">IF(ISERROR(MATCH(AO$1,INDIRECT("Table!A"&amp;$BJ36):INDIRECT("Table!" &amp; $BV$88 &amp; $BJ36),0)),"",INDIRECT(CONCATENATE("Table!",ADDRESS($BN36,MATCH(AO$1,INDIRECT("Table!A" &amp; $BJ36):INDIRECT("Table!" &amp; $BV$88 &amp; $BJ36),0)))))/1024</f>
        <v>129.03603515624999</v>
      </c>
      <c r="AP36" s="709">
        <f ca="1">IF(ISERROR(MATCH(AP$1,INDIRECT("Table!A"&amp;$BJ36):INDIRECT("Table!" &amp; $BV$88 &amp; $BJ36),0)),"",INDIRECT(CONCATENATE("Table!",ADDRESS($BN36,MATCH(AP$1,INDIRECT("Table!A" &amp; $BJ36):INDIRECT("Table!" &amp; $BV$88 &amp; $BJ36),0)))))/1024</f>
        <v>80.787695312500006</v>
      </c>
      <c r="AQ36" s="709">
        <f ca="1">IF(ISERROR(MATCH(AQ$1,INDIRECT("Table!A"&amp;$BJ36):INDIRECT("Table!" &amp; $BV$88 &amp; $BJ36),0)),"",INDIRECT(CONCATENATE("Table!",ADDRESS($BN36,MATCH(AQ$1,INDIRECT("Table!A" &amp; $BJ36):INDIRECT("Table!" &amp; $BV$88 &amp; $BJ36),0)))))/1024</f>
        <v>269.2919921875</v>
      </c>
      <c r="AR36" s="709">
        <f ca="1">IF(ISERROR(MATCH(AR$1,INDIRECT("Table!A"&amp;$BJ36):INDIRECT("Table!" &amp; $BV$88 &amp; $BJ36),0)),"",INDIRECT(CONCATENATE("Table!",ADDRESS($BN36,MATCH(AR$1,INDIRECT("Table!A" &amp; $BJ36):INDIRECT("Table!" &amp; $BV$88 &amp; $BJ36),0)))))/1024</f>
        <v>80.787695312500006</v>
      </c>
      <c r="AS36" s="709">
        <f ca="1">IF(ISERROR(MATCH(AS$1,INDIRECT("Table!A"&amp;$BJ36):INDIRECT("Table!" &amp; $BV$88 &amp; $BJ36),0)),"",INDIRECT(CONCATENATE("Table!",ADDRESS($BN36,MATCH(AS$1,INDIRECT("Table!A" &amp; $BJ36):INDIRECT("Table!" &amp; $BV$88 &amp; $BJ36),0)))))/1024</f>
        <v>184.55234375000001</v>
      </c>
      <c r="AT36" s="709">
        <f ca="1">IF(ISERROR(MATCH(AT$1,INDIRECT("Table!A"&amp;$BJ36):INDIRECT("Table!" &amp; $BV$88 &amp; $BJ36),0)),"",INDIRECT(CONCATENATE("Table!",ADDRESS($BN36,MATCH(AT$1,INDIRECT("Table!A" &amp; $BJ36):INDIRECT("Table!" &amp; $BV$88 &amp; $BJ36),0)))))/1024</f>
        <v>210.22119140625</v>
      </c>
      <c r="AU36" s="709">
        <f ca="1">IF(ISERROR(MATCH(AU$1,INDIRECT("Table!A"&amp;$BJ36):INDIRECT("Table!" &amp; $BV$88 &amp; $BJ36),0)),"",INDIRECT(CONCATENATE("Table!",ADDRESS($BN36,MATCH(AU$1,INDIRECT("Table!A" &amp; $BJ36):INDIRECT("Table!" &amp; $BV$88 &amp; $BJ36),0)))))/1024</f>
        <v>53.8583984375</v>
      </c>
      <c r="AV36" s="709">
        <f ca="1">IF(ISERROR(MATCH(AV$1,INDIRECT("Table!A"&amp;$BJ36):INDIRECT("Table!" &amp; $BV$88 &amp; $BJ36),0)),"",INDIRECT(CONCATENATE("Table!",ADDRESS($BN36,MATCH(AV$1,INDIRECT("Table!A" &amp; $BJ36):INDIRECT("Table!" &amp; $BV$88 &amp; $BJ36),0)))))/1024</f>
        <v>32.31494140625</v>
      </c>
      <c r="AW36" s="709"/>
      <c r="AX36" s="909"/>
      <c r="AY36" s="909"/>
      <c r="AZ36" s="909"/>
      <c r="BA36" s="909"/>
      <c r="BB36" s="909"/>
      <c r="BC36" s="909"/>
      <c r="BD36" s="909"/>
      <c r="BE36" s="909"/>
      <c r="BF36" s="704">
        <f>MATCH($A36,Table!$A:$A,0)+$BH$2-1</f>
        <v>475</v>
      </c>
      <c r="BG36" s="705"/>
      <c r="BH36" s="705"/>
      <c r="BI36" s="705"/>
      <c r="BJ36" s="717">
        <f>MATCH($A36,Table!$A:$A,0)+$BL$2-1</f>
        <v>473</v>
      </c>
      <c r="BK36" s="705"/>
      <c r="BL36" s="705"/>
      <c r="BM36" s="705"/>
      <c r="BN36" s="704">
        <f>MATCH($A36,Table!$A:$A,0)+$BP$2-1</f>
        <v>474</v>
      </c>
      <c r="BO36" s="705"/>
      <c r="BP36" s="705"/>
      <c r="BQ36" s="705"/>
      <c r="BR36" s="717">
        <f>MATCH($A36,Table!$A:$A,0)+$BL$2-1</f>
        <v>473</v>
      </c>
      <c r="BS36" s="705"/>
      <c r="BT36" s="705"/>
      <c r="BU36" s="705"/>
      <c r="BV36" s="711" t="s">
        <v>284</v>
      </c>
      <c r="BW36" s="712">
        <f t="shared" ca="1" si="12"/>
        <v>2760.7144531250005</v>
      </c>
      <c r="BX36" s="712">
        <f t="shared" ca="1" si="45"/>
        <v>1222.5108398437496</v>
      </c>
      <c r="BY36" s="712">
        <f t="shared" ca="1" si="43"/>
        <v>1538.2036132812509</v>
      </c>
      <c r="BZ36" s="718">
        <f t="shared" ca="1" si="44"/>
        <v>0.44282408072298973</v>
      </c>
      <c r="CA36" s="712">
        <f ca="1">SUMIF('Alloc Feed'!A:A,A:A,'Alloc Feed'!I:I)</f>
        <v>2903.0863828124998</v>
      </c>
      <c r="CB36" s="718">
        <f t="shared" ca="1" si="42"/>
        <v>1.0515706829173661</v>
      </c>
    </row>
    <row r="37" spans="1:80" s="267" customFormat="1" x14ac:dyDescent="0.25">
      <c r="A37" s="703">
        <v>41513</v>
      </c>
      <c r="B37" s="709">
        <f ca="1">IF(ISERROR(MATCH(B$1,INDIRECT("Table!A"&amp;$BJ37):INDIRECT("Table!" &amp; $BV$88 &amp; $BJ37),0)),"",INDIRECT(CONCATENATE("Table!",ADDRESS($BF37,MATCH(B$1,INDIRECT("Table!A" &amp; $BJ37):INDIRECT("Table!" &amp; $BV$88 &amp; $BJ37),0)))))/1024</f>
        <v>45.476269531249997</v>
      </c>
      <c r="C37" s="709">
        <f ca="1">IF(ISERROR(MATCH(C$1,INDIRECT("Table!A"&amp;$BJ37):INDIRECT("Table!" &amp; $BV$88 &amp; $BJ37),0)),"",INDIRECT(CONCATENATE("Table!",ADDRESS($BF37,MATCH(C$1,INDIRECT("Table!A" &amp; $BJ37):INDIRECT("Table!" &amp; $BV$88 &amp; $BJ37),0)))))/1024</f>
        <v>77.598730468750006</v>
      </c>
      <c r="D37" s="709">
        <f ca="1">IF(ISERROR(MATCH(D$1,INDIRECT("Table!A"&amp;$BJ37):INDIRECT("Table!" &amp; $BV$88 &amp; $BJ37),0)),"",INDIRECT(CONCATENATE("Table!",ADDRESS($BF37,MATCH(D$1,INDIRECT("Table!A" &amp; $BJ37):INDIRECT("Table!" &amp; $BV$88 &amp; $BJ37),0)))))/1024</f>
        <v>78.793847656249994</v>
      </c>
      <c r="E37" s="709">
        <f ca="1">IF(ISERROR(MATCH(E$1,INDIRECT("Table!A"&amp;$BJ37):INDIRECT("Table!" &amp; $BV$88 &amp; $BJ37),0)),"",INDIRECT(CONCATENATE("Table!",ADDRESS($BF37,MATCH(E$1,INDIRECT("Table!A" &amp; $BJ37):INDIRECT("Table!" &amp; $BV$88 &amp; $BJ37),0)))))/1024</f>
        <v>144.16904296875001</v>
      </c>
      <c r="F37" s="709">
        <f ca="1">IF(ISERROR(MATCH(F$1,INDIRECT("Table!A"&amp;$BJ37):INDIRECT("Table!" &amp; $BV$88 &amp; $BJ37),0)),"",INDIRECT(CONCATENATE("Table!",ADDRESS($BF37,MATCH(F$1,INDIRECT("Table!A" &amp; $BJ37):INDIRECT("Table!" &amp; $BV$88 &amp; $BJ37),0)))))/1024</f>
        <v>114.14931640624999</v>
      </c>
      <c r="G37" s="709">
        <f ca="1">IF(ISERROR(MATCH(G$1,INDIRECT("Table!A"&amp;$BJ37):INDIRECT("Table!" &amp; $BV$88 &amp; $BJ37),0)),"",INDIRECT(CONCATENATE("Table!",ADDRESS($BF37,MATCH(G$1,INDIRECT("Table!A" &amp; $BJ37):INDIRECT("Table!" &amp; $BV$88 &amp; $BJ37),0)))))/1024</f>
        <v>57.424218750000001</v>
      </c>
      <c r="H37" s="709">
        <f ca="1">IF(ISERROR(MATCH(H$1,INDIRECT("Table!A"&amp;$BJ37):INDIRECT("Table!" &amp; $BV$88 &amp; $BJ37),0)),"",INDIRECT(CONCATENATE("Table!",ADDRESS($BF37,MATCH(H$1,INDIRECT("Table!A" &amp; $BJ37):INDIRECT("Table!" &amp; $BV$88 &amp; $BJ37),0)))))/1024</f>
        <v>91.129589843749997</v>
      </c>
      <c r="I37" s="709">
        <f ca="1">IF(ISERROR(MATCH(I$1,INDIRECT("Table!A"&amp;$BJ37):INDIRECT("Table!" &amp; $BV$88 &amp; $BJ37),0)),"",INDIRECT(CONCATENATE("Table!",ADDRESS($BF37,MATCH(I$1,INDIRECT("Table!A" &amp; $BJ37):INDIRECT("Table!" &amp; $BV$88 &amp; $BJ37),0)))))/1024</f>
        <v>11.929492187499999</v>
      </c>
      <c r="J37" s="709">
        <f ca="1">IF(ISERROR(MATCH(J$1,INDIRECT("Table!A"&amp;$BJ37):INDIRECT("Table!" &amp; $BV$88 &amp; $BJ37),0)),"",INDIRECT(CONCATENATE("Table!",ADDRESS($BF37,MATCH(J$1,INDIRECT("Table!A" &amp; $BJ37):INDIRECT("Table!" &amp; $BV$88 &amp; $BJ37),0)))))/1024</f>
        <v>32.32275390625</v>
      </c>
      <c r="K37" s="709">
        <f ca="1">IF(ISERROR(MATCH(K$1,INDIRECT("Table!A"&amp;$BJ37):INDIRECT("Table!" &amp; $BV$88 &amp; $BJ37),0)),"",INDIRECT(CONCATENATE("Table!",ADDRESS($BF37,MATCH(K$1,INDIRECT("Table!A" &amp; $BJ37):INDIRECT("Table!" &amp; $BV$88 &amp; $BJ37),0)))))/1024</f>
        <v>0.73701171875000004</v>
      </c>
      <c r="L37" s="709">
        <f ca="1">IF(ISERROR(MATCH(L$1,INDIRECT("Table!A"&amp;$BJ37):INDIRECT("Table!" &amp; $BV$88 &amp; $BJ37),0)),"",INDIRECT(CONCATENATE("Table!",ADDRESS($BF37,MATCH(L$1,INDIRECT("Table!A" &amp; $BJ37):INDIRECT("Table!" &amp; $BV$88 &amp; $BJ37),0)))))/1024</f>
        <v>155.45693359374999</v>
      </c>
      <c r="M37" s="709">
        <f ca="1">IF(ISERROR(MATCH(M$1,INDIRECT("Table!A"&amp;$BJ37):INDIRECT("Table!" &amp; $BV$88 &amp; $BJ37),0)),"",INDIRECT(CONCATENATE("Table!",ADDRESS($BF37,MATCH(M$1,INDIRECT("Table!A" &amp; $BJ37):INDIRECT("Table!" &amp; $BV$88 &amp; $BJ37),0)))))/1024</f>
        <v>51.327734374999999</v>
      </c>
      <c r="N37" s="709">
        <f ca="1">IF(ISERROR(MATCH(N$1,INDIRECT("Table!A"&amp;$BJ37):INDIRECT("Table!" &amp; $BV$88 &amp; $BJ37),0)),"",INDIRECT(CONCATENATE("Table!",ADDRESS($BF37,MATCH(N$1,INDIRECT("Table!A" &amp; $BJ37):INDIRECT("Table!" &amp; $BV$88 &amp; $BJ37),0)))))/1024</f>
        <v>58.677734375</v>
      </c>
      <c r="O37" s="709">
        <f ca="1">IF(ISERROR(MATCH(O$1,INDIRECT("Table!A"&amp;$BJ37):INDIRECT("Table!" &amp; $BV$88 &amp; $BJ37),0)),"",INDIRECT(CONCATENATE("Table!",ADDRESS($BF37,MATCH(O$1,INDIRECT("Table!A" &amp; $BJ37):INDIRECT("Table!" &amp; $BV$88 &amp; $BJ37),0)))))/1024</f>
        <v>164.68144531249999</v>
      </c>
      <c r="P37" s="709">
        <f ca="1">IF(ISERROR(MATCH(P$1,INDIRECT("Table!A"&amp;$BJ37):INDIRECT("Table!" &amp; $BV$88 &amp; $BJ37),0)),"",INDIRECT(CONCATENATE("Table!",ADDRESS($BF37,MATCH(P$1,INDIRECT("Table!A" &amp; $BJ37):INDIRECT("Table!" &amp; $BV$88 &amp; $BJ37),0)))))/1024</f>
        <v>22.952929687499999</v>
      </c>
      <c r="Q37" s="709">
        <f ca="1">IF(ISERROR(MATCH(Q$1,INDIRECT("Table!A"&amp;$BJ37):INDIRECT("Table!" &amp; $BV$88 &amp; $BJ37),0)),"",INDIRECT(CONCATENATE("Table!",ADDRESS($BF37,MATCH(Q$1,INDIRECT("Table!A" &amp; $BJ37):INDIRECT("Table!" &amp; $BV$88 &amp; $BJ37),0)))))/1024</f>
        <v>57.251562499999999</v>
      </c>
      <c r="R37" s="709">
        <f ca="1">IF(ISERROR(MATCH(R$1,INDIRECT("Table!A"&amp;$BJ37):INDIRECT("Table!" &amp; $BV$88 &amp; $BJ37),0)),"",INDIRECT(CONCATENATE("Table!",ADDRESS($BF37,MATCH(R$1,INDIRECT("Table!A" &amp; $BJ37):INDIRECT("Table!" &amp; $BV$88 &amp; $BJ37),0)))))/1024</f>
        <v>32.619042968749994</v>
      </c>
      <c r="S37" s="709">
        <f ca="1">IF(ISERROR(MATCH(S$1,INDIRECT("Table!A"&amp;$BJ37):INDIRECT("Table!" &amp; $BV$43 &amp; $BJ37),0)),"",INDIRECT(CONCATENATE("Table!",ADDRESS($BF37,MATCH(S$1,INDIRECT("Table!A" &amp; $BJ37):INDIRECT("Table!" &amp; $BV$43 &amp; $BJ37),0)))))/1024</f>
        <v>11.7</v>
      </c>
      <c r="T37" s="709">
        <f ca="1">IF(ISERROR(MATCH(T$1,INDIRECT("Table!A"&amp;$BJ37):INDIRECT("Table!" &amp; $BV$43 &amp; $BJ37),0)),"",INDIRECT(CONCATENATE("Table!",ADDRESS($BF37,MATCH(T$1,INDIRECT("Table!A" &amp; $BJ37):INDIRECT("Table!" &amp; $BV$43 &amp; $BJ37),0)))))/1024</f>
        <v>5.7286132812500004</v>
      </c>
      <c r="U37" s="709"/>
      <c r="V37" s="909"/>
      <c r="W37" s="909"/>
      <c r="X37" s="909"/>
      <c r="Y37" s="909"/>
      <c r="Z37" s="909"/>
      <c r="AA37" s="909"/>
      <c r="AB37" s="909"/>
      <c r="AC37" s="709" t="str">
        <f ca="1">IF(ISERROR(MATCH(AC$1,INDIRECT("Table!A"&amp;$BJ37):INDIRECT("Table!" &amp; $BV$88 &amp; $BJ37),0)),"",INDIRECT(CONCATENATE("Table!",ADDRESS($BF37,MATCH(AC$1,INDIRECT("Table!A" &amp; $BJ37):INDIRECT("Table!" &amp; $BV$88 &amp; $BJ37),0)))))</f>
        <v/>
      </c>
      <c r="AD37" s="709">
        <f ca="1">IF(ISERROR(MATCH(AD$1,INDIRECT("Table!A"&amp;$BJ37):INDIRECT("Table!" &amp; $BV$88 &amp; $BJ37),0)),"",INDIRECT(CONCATENATE("Table!",ADDRESS($BN37,MATCH(AD$1,INDIRECT("Table!A" &amp; $BJ37):INDIRECT("Table!" &amp; $BV$88 &amp; $BJ37),0)))))/1024</f>
        <v>140.0322265625</v>
      </c>
      <c r="AE37" s="709">
        <f ca="1">IF(ISERROR(MATCH(AE$1,INDIRECT("Table!A"&amp;$BJ37):INDIRECT("Table!" &amp; $BV$88 &amp; $BJ37),0)),"",INDIRECT(CONCATENATE("Table!",ADDRESS($BN37,MATCH(AE$1,INDIRECT("Table!A" &amp; $BJ37):INDIRECT("Table!" &amp; $BV$88 &amp; $BJ37),0)))))/1024</f>
        <v>146.98896484375001</v>
      </c>
      <c r="AF37" s="709">
        <f ca="1">IF(ISERROR(MATCH(AF$1,INDIRECT("Table!A"&amp;$BJ37):INDIRECT("Table!" &amp; $BV$88 &amp; $BJ37),0)),"",INDIRECT(CONCATENATE("Table!",ADDRESS($BN37,MATCH(AF$1,INDIRECT("Table!A" &amp; $BJ37):INDIRECT("Table!" &amp; $BV$88 &amp; $BJ37),0)))))/1024</f>
        <v>146.98896484375001</v>
      </c>
      <c r="AG37" s="709">
        <f ca="1">IF(ISERROR(MATCH(AG$1,INDIRECT("Table!A"&amp;$BJ37):INDIRECT("Table!" &amp; $BV$88 &amp; $BJ37),0)),"",INDIRECT(CONCATENATE("Table!",ADDRESS($BN37,MATCH(AG$1,INDIRECT("Table!A" &amp; $BJ37):INDIRECT("Table!" &amp; $BV$88 &amp; $BJ37),0)))))/1024</f>
        <v>177.73320312499999</v>
      </c>
      <c r="AH37" s="709">
        <f ca="1">IF(ISERROR(MATCH(AH$1,INDIRECT("Table!A"&amp;$BJ37):INDIRECT("Table!" &amp; $BV$88 &amp; $BJ37),0)),"",INDIRECT(CONCATENATE("Table!",ADDRESS($BN37,MATCH(AH$1,INDIRECT("Table!A" &amp; $BJ37):INDIRECT("Table!" &amp; $BV$88 &amp; $BJ37),0)))))/1024</f>
        <v>161.57568359375</v>
      </c>
      <c r="AI37" s="709">
        <f ca="1">IF(ISERROR(MATCH(AI$1,INDIRECT("Table!A"&amp;$BJ37):INDIRECT("Table!" &amp; $BV$88 &amp; $BJ37),0)),"",INDIRECT(CONCATENATE("Table!",ADDRESS($BN37,MATCH(AI$1,INDIRECT("Table!A" &amp; $BJ37):INDIRECT("Table!" &amp; $BV$88 &amp; $BJ37),0)))))/1024</f>
        <v>129.03603515624999</v>
      </c>
      <c r="AJ37" s="709">
        <f ca="1">IF(ISERROR(MATCH(AJ$1,INDIRECT("Table!A"&amp;$BJ37):INDIRECT("Table!" &amp; $BV$88 &amp; $BJ37),0)),"",INDIRECT(CONCATENATE("Table!",ADDRESS($BN37,MATCH(AJ$1,INDIRECT("Table!A" &amp; $BJ37):INDIRECT("Table!" &amp; $BV$88 &amp; $BJ37),0)))))/1024</f>
        <v>166.96152343750001</v>
      </c>
      <c r="AK37" s="709">
        <f ca="1">IF(ISERROR(MATCH(AK$1,INDIRECT("Table!A"&amp;$BJ37):INDIRECT("Table!" &amp; $BV$88 &amp; $BJ37),0)),"",INDIRECT(CONCATENATE("Table!",ADDRESS($BN37,MATCH(AK$1,INDIRECT("Table!A" &amp; $BJ37):INDIRECT("Table!" &amp; $BV$88 &amp; $BJ37),0)))))/1024</f>
        <v>161.57568359375</v>
      </c>
      <c r="AL37" s="709">
        <f ca="1">IF(ISERROR(MATCH(AL$1,INDIRECT("Table!A"&amp;$BJ37):INDIRECT("Table!" &amp; $BV$88 &amp; $BJ37),0)),"",INDIRECT(CONCATENATE("Table!",ADDRESS($BN37,MATCH(AL$1,INDIRECT("Table!A" &amp; $BJ37):INDIRECT("Table!" &amp; $BV$88 &amp; $BJ37),0)))))/1024</f>
        <v>90.245703125000006</v>
      </c>
      <c r="AM37" s="709">
        <f ca="1">IF(ISERROR(MATCH(AM$1,INDIRECT("Table!A"&amp;$BJ37):INDIRECT("Table!" &amp; $BV$88 &amp; $BJ37),0)),"",INDIRECT(CONCATENATE("Table!",ADDRESS($BN37,MATCH(AM$1,INDIRECT("Table!A" &amp; $BJ37):INDIRECT("Table!" &amp; $BV$88 &amp; $BJ37),0)))))/1024</f>
        <v>210.22119140625</v>
      </c>
      <c r="AN37" s="709">
        <f ca="1">IF(ISERROR(MATCH(AN$1,INDIRECT("Table!A"&amp;$BJ37):INDIRECT("Table!" &amp; $BV$88 &amp; $BJ37),0)),"",INDIRECT(CONCATENATE("Table!",ADDRESS($BN37,MATCH(AN$1,INDIRECT("Table!A" &amp; $BJ37):INDIRECT("Table!" &amp; $BV$88 &amp; $BJ37),0)))))/1024</f>
        <v>188.50498046875001</v>
      </c>
      <c r="AO37" s="709">
        <f ca="1">IF(ISERROR(MATCH(AO$1,INDIRECT("Table!A"&amp;$BJ37):INDIRECT("Table!" &amp; $BV$88 &amp; $BJ37),0)),"",INDIRECT(CONCATENATE("Table!",ADDRESS($BN37,MATCH(AO$1,INDIRECT("Table!A" &amp; $BJ37):INDIRECT("Table!" &amp; $BV$88 &amp; $BJ37),0)))))/1024</f>
        <v>129.03603515624999</v>
      </c>
      <c r="AP37" s="709">
        <f ca="1">IF(ISERROR(MATCH(AP$1,INDIRECT("Table!A"&amp;$BJ37):INDIRECT("Table!" &amp; $BV$88 &amp; $BJ37),0)),"",INDIRECT(CONCATENATE("Table!",ADDRESS($BN37,MATCH(AP$1,INDIRECT("Table!A" &amp; $BJ37):INDIRECT("Table!" &amp; $BV$88 &amp; $BJ37),0)))))/1024</f>
        <v>80.787695312500006</v>
      </c>
      <c r="AQ37" s="709">
        <f ca="1">IF(ISERROR(MATCH(AQ$1,INDIRECT("Table!A"&amp;$BJ37):INDIRECT("Table!" &amp; $BV$88 &amp; $BJ37),0)),"",INDIRECT(CONCATENATE("Table!",ADDRESS($BN37,MATCH(AQ$1,INDIRECT("Table!A" &amp; $BJ37):INDIRECT("Table!" &amp; $BV$88 &amp; $BJ37),0)))))/1024</f>
        <v>269.2919921875</v>
      </c>
      <c r="AR37" s="709">
        <f ca="1">IF(ISERROR(MATCH(AR$1,INDIRECT("Table!A"&amp;$BJ37):INDIRECT("Table!" &amp; $BV$88 &amp; $BJ37),0)),"",INDIRECT(CONCATENATE("Table!",ADDRESS($BN37,MATCH(AR$1,INDIRECT("Table!A" &amp; $BJ37):INDIRECT("Table!" &amp; $BV$88 &amp; $BJ37),0)))))/1024</f>
        <v>80.787695312500006</v>
      </c>
      <c r="AS37" s="709">
        <f ca="1">IF(ISERROR(MATCH(AS$1,INDIRECT("Table!A"&amp;$BJ37):INDIRECT("Table!" &amp; $BV$88 &amp; $BJ37),0)),"",INDIRECT(CONCATENATE("Table!",ADDRESS($BN37,MATCH(AS$1,INDIRECT("Table!A" &amp; $BJ37):INDIRECT("Table!" &amp; $BV$88 &amp; $BJ37),0)))))/1024</f>
        <v>184.55234375000001</v>
      </c>
      <c r="AT37" s="709">
        <f ca="1">IF(ISERROR(MATCH(AT$1,INDIRECT("Table!A"&amp;$BJ37):INDIRECT("Table!" &amp; $BV$88 &amp; $BJ37),0)),"",INDIRECT(CONCATENATE("Table!",ADDRESS($BN37,MATCH(AT$1,INDIRECT("Table!A" &amp; $BJ37):INDIRECT("Table!" &amp; $BV$88 &amp; $BJ37),0)))))/1024</f>
        <v>210.22119140625</v>
      </c>
      <c r="AU37" s="709">
        <f ca="1">IF(ISERROR(MATCH(AU$1,INDIRECT("Table!A"&amp;$BJ37):INDIRECT("Table!" &amp; $BV$88 &amp; $BJ37),0)),"",INDIRECT(CONCATENATE("Table!",ADDRESS($BN37,MATCH(AU$1,INDIRECT("Table!A" &amp; $BJ37):INDIRECT("Table!" &amp; $BV$88 &amp; $BJ37),0)))))/1024</f>
        <v>53.8583984375</v>
      </c>
      <c r="AV37" s="709">
        <f ca="1">IF(ISERROR(MATCH(AV$1,INDIRECT("Table!A"&amp;$BJ37):INDIRECT("Table!" &amp; $BV$88 &amp; $BJ37),0)),"",INDIRECT(CONCATENATE("Table!",ADDRESS($BN37,MATCH(AV$1,INDIRECT("Table!A" &amp; $BJ37):INDIRECT("Table!" &amp; $BV$88 &amp; $BJ37),0)))))/1024</f>
        <v>32.31494140625</v>
      </c>
      <c r="AW37" s="709"/>
      <c r="AX37" s="909"/>
      <c r="AY37" s="909"/>
      <c r="AZ37" s="909"/>
      <c r="BA37" s="909"/>
      <c r="BB37" s="909"/>
      <c r="BC37" s="909"/>
      <c r="BD37" s="909"/>
      <c r="BE37" s="909"/>
      <c r="BF37" s="704">
        <f>MATCH($A37,Table!$A:$A,0)+$BH$2-1</f>
        <v>487</v>
      </c>
      <c r="BG37" s="705"/>
      <c r="BH37" s="705"/>
      <c r="BI37" s="705"/>
      <c r="BJ37" s="717">
        <f>MATCH($A37,Table!$A:$A,0)+$BL$2-1</f>
        <v>485</v>
      </c>
      <c r="BK37" s="705"/>
      <c r="BL37" s="705"/>
      <c r="BM37" s="705"/>
      <c r="BN37" s="704">
        <f>MATCH($A37,Table!$A:$A,0)+$BP$2-1</f>
        <v>486</v>
      </c>
      <c r="BO37" s="705"/>
      <c r="BP37" s="705"/>
      <c r="BQ37" s="705"/>
      <c r="BR37" s="717">
        <f>MATCH($A37,Table!$A:$A,0)+$BL$2-1</f>
        <v>485</v>
      </c>
      <c r="BS37" s="705"/>
      <c r="BT37" s="705"/>
      <c r="BU37" s="705"/>
      <c r="BV37" s="711" t="s">
        <v>284</v>
      </c>
      <c r="BW37" s="712">
        <f t="shared" ca="1" si="12"/>
        <v>2760.7144531250005</v>
      </c>
      <c r="BX37" s="712">
        <f t="shared" ca="1" si="45"/>
        <v>1214.1262695312503</v>
      </c>
      <c r="BY37" s="712">
        <f t="shared" ca="1" si="43"/>
        <v>1546.5881835937503</v>
      </c>
      <c r="BZ37" s="718">
        <f t="shared" ca="1" si="44"/>
        <v>0.43978697911220616</v>
      </c>
      <c r="CA37" s="712">
        <f ca="1">SUMIF('Alloc Feed'!A:A,A:A,'Alloc Feed'!I:I)</f>
        <v>2897.9827353515625</v>
      </c>
      <c r="CB37" s="718">
        <f t="shared" ca="1" si="42"/>
        <v>1.0497220138327528</v>
      </c>
    </row>
    <row r="38" spans="1:80" s="267" customFormat="1" x14ac:dyDescent="0.25">
      <c r="A38" s="703">
        <v>41498</v>
      </c>
      <c r="B38" s="709">
        <f ca="1">IF(ISERROR(MATCH(B$1,INDIRECT("Table!A"&amp;$BJ38):INDIRECT("Table!" &amp; $BV$88 &amp; $BJ38),0)),"",INDIRECT(CONCATENATE("Table!",ADDRESS($BF38,MATCH(B$1,INDIRECT("Table!A" &amp; $BJ38):INDIRECT("Table!" &amp; $BV$88 &amp; $BJ38),0)))))/1024</f>
        <v>44.67431640625</v>
      </c>
      <c r="C38" s="709">
        <f ca="1">IF(ISERROR(MATCH(C$1,INDIRECT("Table!A"&amp;$BJ38):INDIRECT("Table!" &amp; $BV$88 &amp; $BJ38),0)),"",INDIRECT(CONCATENATE("Table!",ADDRESS($BF38,MATCH(C$1,INDIRECT("Table!A" &amp; $BJ38):INDIRECT("Table!" &amp; $BV$88 &amp; $BJ38),0)))))/1024</f>
        <v>77.346972656250003</v>
      </c>
      <c r="D38" s="709">
        <f ca="1">IF(ISERROR(MATCH(D$1,INDIRECT("Table!A"&amp;$BJ38):INDIRECT("Table!" &amp; $BV$88 &amp; $BJ38),0)),"",INDIRECT(CONCATENATE("Table!",ADDRESS($BF38,MATCH(D$1,INDIRECT("Table!A" &amp; $BJ38):INDIRECT("Table!" &amp; $BV$88 &amp; $BJ38),0)))))/1024</f>
        <v>78.793847656249994</v>
      </c>
      <c r="E38" s="709">
        <f ca="1">IF(ISERROR(MATCH(E$1,INDIRECT("Table!A"&amp;$BJ38):INDIRECT("Table!" &amp; $BV$88 &amp; $BJ38),0)),"",INDIRECT(CONCATENATE("Table!",ADDRESS($BF38,MATCH(E$1,INDIRECT("Table!A" &amp; $BJ38):INDIRECT("Table!" &amp; $BV$88 &amp; $BJ38),0)))))/1024</f>
        <v>142.84521484375</v>
      </c>
      <c r="F38" s="709">
        <f ca="1">IF(ISERROR(MATCH(F$1,INDIRECT("Table!A"&amp;$BJ38):INDIRECT("Table!" &amp; $BV$88 &amp; $BJ38),0)),"",INDIRECT(CONCATENATE("Table!",ADDRESS($BF38,MATCH(F$1,INDIRECT("Table!A" &amp; $BJ38):INDIRECT("Table!" &amp; $BV$88 &amp; $BJ38),0)))))/1024</f>
        <v>113.12197265624999</v>
      </c>
      <c r="G38" s="709">
        <f ca="1">IF(ISERROR(MATCH(G$1,INDIRECT("Table!A"&amp;$BJ38):INDIRECT("Table!" &amp; $BV$88 &amp; $BJ38),0)),"",INDIRECT(CONCATENATE("Table!",ADDRESS($BF38,MATCH(G$1,INDIRECT("Table!A" &amp; $BJ38):INDIRECT("Table!" &amp; $BV$88 &amp; $BJ38),0)))))/1024</f>
        <v>55.428808593749999</v>
      </c>
      <c r="H38" s="709">
        <f ca="1">IF(ISERROR(MATCH(H$1,INDIRECT("Table!A"&amp;$BJ38):INDIRECT("Table!" &amp; $BV$88 &amp; $BJ38),0)),"",INDIRECT(CONCATENATE("Table!",ADDRESS($BF38,MATCH(H$1,INDIRECT("Table!A" &amp; $BJ38):INDIRECT("Table!" &amp; $BV$88 &amp; $BJ38),0)))))/1024</f>
        <v>90.486621093750003</v>
      </c>
      <c r="I38" s="709">
        <f ca="1">IF(ISERROR(MATCH(I$1,INDIRECT("Table!A"&amp;$BJ38):INDIRECT("Table!" &amp; $BV$88 &amp; $BJ38),0)),"",INDIRECT(CONCATENATE("Table!",ADDRESS($BF38,MATCH(I$1,INDIRECT("Table!A" &amp; $BJ38):INDIRECT("Table!" &amp; $BV$88 &amp; $BJ38),0)))))/1024</f>
        <v>11.63525390625</v>
      </c>
      <c r="J38" s="709">
        <f ca="1">IF(ISERROR(MATCH(J$1,INDIRECT("Table!A"&amp;$BJ38):INDIRECT("Table!" &amp; $BV$88 &amp; $BJ38),0)),"",INDIRECT(CONCATENATE("Table!",ADDRESS($BF38,MATCH(J$1,INDIRECT("Table!A" &amp; $BJ38):INDIRECT("Table!" &amp; $BV$88 &amp; $BJ38),0)))))/1024</f>
        <v>23.085351562500001</v>
      </c>
      <c r="K38" s="709">
        <f ca="1">IF(ISERROR(MATCH(K$1,INDIRECT("Table!A"&amp;$BJ38):INDIRECT("Table!" &amp; $BV$88 &amp; $BJ38),0)),"",INDIRECT(CONCATENATE("Table!",ADDRESS($BF38,MATCH(K$1,INDIRECT("Table!A" &amp; $BJ38):INDIRECT("Table!" &amp; $BV$88 &amp; $BJ38),0)))))/1024</f>
        <v>0.57138671875000002</v>
      </c>
      <c r="L38" s="709">
        <f ca="1">IF(ISERROR(MATCH(L$1,INDIRECT("Table!A"&amp;$BJ38):INDIRECT("Table!" &amp; $BV$88 &amp; $BJ38),0)),"",INDIRECT(CONCATENATE("Table!",ADDRESS($BF38,MATCH(L$1,INDIRECT("Table!A" &amp; $BJ38):INDIRECT("Table!" &amp; $BV$88 &amp; $BJ38),0)))))/1024</f>
        <v>154.93017578125</v>
      </c>
      <c r="M38" s="709">
        <f ca="1">IF(ISERROR(MATCH(M$1,INDIRECT("Table!A"&amp;$BJ38):INDIRECT("Table!" &amp; $BV$88 &amp; $BJ38),0)),"",INDIRECT(CONCATENATE("Table!",ADDRESS($BF38,MATCH(M$1,INDIRECT("Table!A" &amp; $BJ38):INDIRECT("Table!" &amp; $BV$88 &amp; $BJ38),0)))))/1024</f>
        <v>58.279589843750003</v>
      </c>
      <c r="N38" s="709">
        <f ca="1">IF(ISERROR(MATCH(N$1,INDIRECT("Table!A"&amp;$BJ38):INDIRECT("Table!" &amp; $BV$88 &amp; $BJ38),0)),"",INDIRECT(CONCATENATE("Table!",ADDRESS($BF38,MATCH(N$1,INDIRECT("Table!A" &amp; $BJ38):INDIRECT("Table!" &amp; $BV$88 &amp; $BJ38),0)))))/1024</f>
        <v>58.071386718749999</v>
      </c>
      <c r="O38" s="709">
        <f ca="1">IF(ISERROR(MATCH(O$1,INDIRECT("Table!A"&amp;$BJ38):INDIRECT("Table!" &amp; $BV$88 &amp; $BJ38),0)),"",INDIRECT(CONCATENATE("Table!",ADDRESS($BF38,MATCH(O$1,INDIRECT("Table!A" &amp; $BJ38):INDIRECT("Table!" &amp; $BV$88 &amp; $BJ38),0)))))/1024</f>
        <v>163.94853515624999</v>
      </c>
      <c r="P38" s="709">
        <f ca="1">IF(ISERROR(MATCH(P$1,INDIRECT("Table!A"&amp;$BJ38):INDIRECT("Table!" &amp; $BV$88 &amp; $BJ38),0)),"",INDIRECT(CONCATENATE("Table!",ADDRESS($BF38,MATCH(P$1,INDIRECT("Table!A" &amp; $BJ38):INDIRECT("Table!" &amp; $BV$88 &amp; $BJ38),0)))))/1024</f>
        <v>22.363574218749999</v>
      </c>
      <c r="Q38" s="709">
        <f ca="1">IF(ISERROR(MATCH(Q$1,INDIRECT("Table!A"&amp;$BJ38):INDIRECT("Table!" &amp; $BV$88 &amp; $BJ38),0)),"",INDIRECT(CONCATENATE("Table!",ADDRESS($BF38,MATCH(Q$1,INDIRECT("Table!A" &amp; $BJ38):INDIRECT("Table!" &amp; $BV$88 &amp; $BJ38),0)))))/1024</f>
        <v>39.4345703125</v>
      </c>
      <c r="R38" s="709">
        <f ca="1">IF(ISERROR(MATCH(R$1,INDIRECT("Table!A"&amp;$BJ38):INDIRECT("Table!" &amp; $BV$88 &amp; $BJ38),0)),"",INDIRECT(CONCATENATE("Table!",ADDRESS($BF38,MATCH(R$1,INDIRECT("Table!A" &amp; $BJ38):INDIRECT("Table!" &amp; $BV$88 &amp; $BJ38),0)))))/1024</f>
        <v>33.181542968750001</v>
      </c>
      <c r="S38" s="709">
        <f ca="1">IF(ISERROR(MATCH(S$1,INDIRECT("Table!A"&amp;$BJ38):INDIRECT("Table!" &amp; $BV$43 &amp; $BJ38),0)),"",INDIRECT(CONCATENATE("Table!",ADDRESS($BF38,MATCH(S$1,INDIRECT("Table!A" &amp; $BJ38):INDIRECT("Table!" &amp; $BV$43 &amp; $BJ38),0)))))/1024</f>
        <v>11.602832031249999</v>
      </c>
      <c r="T38" s="709">
        <f ca="1">IF(ISERROR(MATCH(T$1,INDIRECT("Table!A"&amp;$BJ38):INDIRECT("Table!" &amp; $BV$43 &amp; $BJ38),0)),"",INDIRECT(CONCATENATE("Table!",ADDRESS($BF38,MATCH(T$1,INDIRECT("Table!A" &amp; $BJ38):INDIRECT("Table!" &amp; $BV$43 &amp; $BJ38),0)))))/1024</f>
        <v>5.6422851562499998</v>
      </c>
      <c r="U38" s="709"/>
      <c r="V38" s="909"/>
      <c r="W38" s="909"/>
      <c r="X38" s="909"/>
      <c r="Y38" s="909"/>
      <c r="Z38" s="909"/>
      <c r="AA38" s="909"/>
      <c r="AB38" s="909"/>
      <c r="AC38" s="709" t="str">
        <f ca="1">IF(ISERROR(MATCH(AC$1,INDIRECT("Table!A"&amp;$BJ38):INDIRECT("Table!" &amp; $BV$88 &amp; $BJ38),0)),"",INDIRECT(CONCATENATE("Table!",ADDRESS($BF38,MATCH(AC$1,INDIRECT("Table!A" &amp; $BJ38):INDIRECT("Table!" &amp; $BV$88 &amp; $BJ38),0)))))</f>
        <v/>
      </c>
      <c r="AD38" s="709">
        <f ca="1">IF(ISERROR(MATCH(AD$1,INDIRECT("Table!A"&amp;$BJ38):INDIRECT("Table!" &amp; $BV$88 &amp; $BJ38),0)),"",INDIRECT(CONCATENATE("Table!",ADDRESS($BN38,MATCH(AD$1,INDIRECT("Table!A" &amp; $BJ38):INDIRECT("Table!" &amp; $BV$88 &amp; $BJ38),0)))))/1024</f>
        <v>140.0322265625</v>
      </c>
      <c r="AE38" s="709">
        <f ca="1">IF(ISERROR(MATCH(AE$1,INDIRECT("Table!A"&amp;$BJ38):INDIRECT("Table!" &amp; $BV$88 &amp; $BJ38),0)),"",INDIRECT(CONCATENATE("Table!",ADDRESS($BN38,MATCH(AE$1,INDIRECT("Table!A" &amp; $BJ38):INDIRECT("Table!" &amp; $BV$88 &amp; $BJ38),0)))))/1024</f>
        <v>146.98896484375001</v>
      </c>
      <c r="AF38" s="709">
        <f ca="1">IF(ISERROR(MATCH(AF$1,INDIRECT("Table!A"&amp;$BJ38):INDIRECT("Table!" &amp; $BV$88 &amp; $BJ38),0)),"",INDIRECT(CONCATENATE("Table!",ADDRESS($BN38,MATCH(AF$1,INDIRECT("Table!A" &amp; $BJ38):INDIRECT("Table!" &amp; $BV$88 &amp; $BJ38),0)))))/1024</f>
        <v>146.98896484375001</v>
      </c>
      <c r="AG38" s="709">
        <f ca="1">IF(ISERROR(MATCH(AG$1,INDIRECT("Table!A"&amp;$BJ38):INDIRECT("Table!" &amp; $BV$88 &amp; $BJ38),0)),"",INDIRECT(CONCATENATE("Table!",ADDRESS($BN38,MATCH(AG$1,INDIRECT("Table!A" &amp; $BJ38):INDIRECT("Table!" &amp; $BV$88 &amp; $BJ38),0)))))/1024</f>
        <v>177.73320312499999</v>
      </c>
      <c r="AH38" s="709">
        <f ca="1">IF(ISERROR(MATCH(AH$1,INDIRECT("Table!A"&amp;$BJ38):INDIRECT("Table!" &amp; $BV$88 &amp; $BJ38),0)),"",INDIRECT(CONCATENATE("Table!",ADDRESS($BN38,MATCH(AH$1,INDIRECT("Table!A" &amp; $BJ38):INDIRECT("Table!" &amp; $BV$88 &amp; $BJ38),0)))))/1024</f>
        <v>161.57568359375</v>
      </c>
      <c r="AI38" s="709">
        <f ca="1">IF(ISERROR(MATCH(AI$1,INDIRECT("Table!A"&amp;$BJ38):INDIRECT("Table!" &amp; $BV$88 &amp; $BJ38),0)),"",INDIRECT(CONCATENATE("Table!",ADDRESS($BN38,MATCH(AI$1,INDIRECT("Table!A" &amp; $BJ38):INDIRECT("Table!" &amp; $BV$88 &amp; $BJ38),0)))))/1024</f>
        <v>129.03603515624999</v>
      </c>
      <c r="AJ38" s="709">
        <f ca="1">IF(ISERROR(MATCH(AJ$1,INDIRECT("Table!A"&amp;$BJ38):INDIRECT("Table!" &amp; $BV$88 &amp; $BJ38),0)),"",INDIRECT(CONCATENATE("Table!",ADDRESS($BN38,MATCH(AJ$1,INDIRECT("Table!A" &amp; $BJ38):INDIRECT("Table!" &amp; $BV$88 &amp; $BJ38),0)))))/1024</f>
        <v>166.96152343750001</v>
      </c>
      <c r="AK38" s="709">
        <f ca="1">IF(ISERROR(MATCH(AK$1,INDIRECT("Table!A"&amp;$BJ38):INDIRECT("Table!" &amp; $BV$88 &amp; $BJ38),0)),"",INDIRECT(CONCATENATE("Table!",ADDRESS($BN38,MATCH(AK$1,INDIRECT("Table!A" &amp; $BJ38):INDIRECT("Table!" &amp; $BV$88 &amp; $BJ38),0)))))/1024</f>
        <v>161.57568359375</v>
      </c>
      <c r="AL38" s="709">
        <f ca="1">IF(ISERROR(MATCH(AL$1,INDIRECT("Table!A"&amp;$BJ38):INDIRECT("Table!" &amp; $BV$88 &amp; $BJ38),0)),"",INDIRECT(CONCATENATE("Table!",ADDRESS($BN38,MATCH(AL$1,INDIRECT("Table!A" &amp; $BJ38):INDIRECT("Table!" &amp; $BV$88 &amp; $BJ38),0)))))/1024</f>
        <v>90.245703125000006</v>
      </c>
      <c r="AM38" s="709">
        <f ca="1">IF(ISERROR(MATCH(AM$1,INDIRECT("Table!A"&amp;$BJ38):INDIRECT("Table!" &amp; $BV$88 &amp; $BJ38),0)),"",INDIRECT(CONCATENATE("Table!",ADDRESS($BN38,MATCH(AM$1,INDIRECT("Table!A" &amp; $BJ38):INDIRECT("Table!" &amp; $BV$88 &amp; $BJ38),0)))))/1024</f>
        <v>210.22119140625</v>
      </c>
      <c r="AN38" s="709">
        <f ca="1">IF(ISERROR(MATCH(AN$1,INDIRECT("Table!A"&amp;$BJ38):INDIRECT("Table!" &amp; $BV$88 &amp; $BJ38),0)),"",INDIRECT(CONCATENATE("Table!",ADDRESS($BN38,MATCH(AN$1,INDIRECT("Table!A" &amp; $BJ38):INDIRECT("Table!" &amp; $BV$88 &amp; $BJ38),0)))))/1024</f>
        <v>188.50498046875001</v>
      </c>
      <c r="AO38" s="709">
        <f ca="1">IF(ISERROR(MATCH(AO$1,INDIRECT("Table!A"&amp;$BJ38):INDIRECT("Table!" &amp; $BV$88 &amp; $BJ38),0)),"",INDIRECT(CONCATENATE("Table!",ADDRESS($BN38,MATCH(AO$1,INDIRECT("Table!A" &amp; $BJ38):INDIRECT("Table!" &amp; $BV$88 &amp; $BJ38),0)))))/1024</f>
        <v>129.03603515624999</v>
      </c>
      <c r="AP38" s="709">
        <f ca="1">IF(ISERROR(MATCH(AP$1,INDIRECT("Table!A"&amp;$BJ38):INDIRECT("Table!" &amp; $BV$88 &amp; $BJ38),0)),"",INDIRECT(CONCATENATE("Table!",ADDRESS($BN38,MATCH(AP$1,INDIRECT("Table!A" &amp; $BJ38):INDIRECT("Table!" &amp; $BV$88 &amp; $BJ38),0)))))/1024</f>
        <v>80.787695312500006</v>
      </c>
      <c r="AQ38" s="709">
        <f ca="1">IF(ISERROR(MATCH(AQ$1,INDIRECT("Table!A"&amp;$BJ38):INDIRECT("Table!" &amp; $BV$88 &amp; $BJ38),0)),"",INDIRECT(CONCATENATE("Table!",ADDRESS($BN38,MATCH(AQ$1,INDIRECT("Table!A" &amp; $BJ38):INDIRECT("Table!" &amp; $BV$88 &amp; $BJ38),0)))))/1024</f>
        <v>269.2919921875</v>
      </c>
      <c r="AR38" s="709">
        <f ca="1">IF(ISERROR(MATCH(AR$1,INDIRECT("Table!A"&amp;$BJ38):INDIRECT("Table!" &amp; $BV$88 &amp; $BJ38),0)),"",INDIRECT(CONCATENATE("Table!",ADDRESS($BN38,MATCH(AR$1,INDIRECT("Table!A" &amp; $BJ38):INDIRECT("Table!" &amp; $BV$88 &amp; $BJ38),0)))))/1024</f>
        <v>80.787695312500006</v>
      </c>
      <c r="AS38" s="709">
        <f ca="1">IF(ISERROR(MATCH(AS$1,INDIRECT("Table!A"&amp;$BJ38):INDIRECT("Table!" &amp; $BV$88 &amp; $BJ38),0)),"",INDIRECT(CONCATENATE("Table!",ADDRESS($BN38,MATCH(AS$1,INDIRECT("Table!A" &amp; $BJ38):INDIRECT("Table!" &amp; $BV$88 &amp; $BJ38),0)))))/1024</f>
        <v>184.55234375000001</v>
      </c>
      <c r="AT38" s="709">
        <f ca="1">IF(ISERROR(MATCH(AT$1,INDIRECT("Table!A"&amp;$BJ38):INDIRECT("Table!" &amp; $BV$88 &amp; $BJ38),0)),"",INDIRECT(CONCATENATE("Table!",ADDRESS($BN38,MATCH(AT$1,INDIRECT("Table!A" &amp; $BJ38):INDIRECT("Table!" &amp; $BV$88 &amp; $BJ38),0)))))/1024</f>
        <v>210.22119140625</v>
      </c>
      <c r="AU38" s="709">
        <f ca="1">IF(ISERROR(MATCH(AU$1,INDIRECT("Table!A"&amp;$BJ38):INDIRECT("Table!" &amp; $BV$88 &amp; $BJ38),0)),"",INDIRECT(CONCATENATE("Table!",ADDRESS($BN38,MATCH(AU$1,INDIRECT("Table!A" &amp; $BJ38):INDIRECT("Table!" &amp; $BV$88 &amp; $BJ38),0)))))/1024</f>
        <v>53.8583984375</v>
      </c>
      <c r="AV38" s="709">
        <f ca="1">IF(ISERROR(MATCH(AV$1,INDIRECT("Table!A"&amp;$BJ38):INDIRECT("Table!" &amp; $BV$88 &amp; $BJ38),0)),"",INDIRECT(CONCATENATE("Table!",ADDRESS($BN38,MATCH(AV$1,INDIRECT("Table!A" &amp; $BJ38):INDIRECT("Table!" &amp; $BV$88 &amp; $BJ38),0)))))/1024</f>
        <v>32.31494140625</v>
      </c>
      <c r="AW38" s="709"/>
      <c r="AX38" s="909"/>
      <c r="AY38" s="909"/>
      <c r="AZ38" s="909"/>
      <c r="BA38" s="909"/>
      <c r="BB38" s="909"/>
      <c r="BC38" s="909"/>
      <c r="BD38" s="909"/>
      <c r="BE38" s="909"/>
      <c r="BF38" s="704">
        <f>MATCH($A38,Table!$A:$A,0)+$BH$2-1</f>
        <v>499</v>
      </c>
      <c r="BG38" s="705"/>
      <c r="BH38" s="705"/>
      <c r="BI38" s="705"/>
      <c r="BJ38" s="717">
        <f>MATCH($A38,Table!$A:$A,0)+$BL$2-1</f>
        <v>497</v>
      </c>
      <c r="BK38" s="705"/>
      <c r="BL38" s="705"/>
      <c r="BM38" s="705"/>
      <c r="BN38" s="704">
        <f>MATCH($A38,Table!$A:$A,0)+$BP$2-1</f>
        <v>498</v>
      </c>
      <c r="BO38" s="705"/>
      <c r="BP38" s="705"/>
      <c r="BQ38" s="705"/>
      <c r="BR38" s="717">
        <f>MATCH($A38,Table!$A:$A,0)+$BL$2-1</f>
        <v>497</v>
      </c>
      <c r="BS38" s="705"/>
      <c r="BT38" s="705"/>
      <c r="BU38" s="705"/>
      <c r="BV38" s="711" t="s">
        <v>284</v>
      </c>
      <c r="BW38" s="712">
        <f t="shared" ca="1" si="12"/>
        <v>2760.7144531250005</v>
      </c>
      <c r="BX38" s="712">
        <f t="shared" ca="1" si="45"/>
        <v>1185.4442382812499</v>
      </c>
      <c r="BY38" s="712">
        <f t="shared" ca="1" si="43"/>
        <v>1575.2702148437506</v>
      </c>
      <c r="BZ38" s="718">
        <f t="shared" ca="1" si="44"/>
        <v>0.42939762818982674</v>
      </c>
      <c r="CA38" s="712">
        <f ca="1">SUMIF('Alloc Feed'!A:A,A:A,'Alloc Feed'!I:I)</f>
        <v>2816.1268154296872</v>
      </c>
      <c r="CB38" s="718">
        <f t="shared" ca="1" si="42"/>
        <v>1.0200717470950182</v>
      </c>
    </row>
    <row r="39" spans="1:80" s="267" customFormat="1" x14ac:dyDescent="0.25">
      <c r="A39" s="703">
        <v>41491</v>
      </c>
      <c r="B39" s="709">
        <f ca="1">IF(ISERROR(MATCH(B$1,INDIRECT("Table!A"&amp;$BJ39):INDIRECT("Table!" &amp; $BV$88 &amp; $BJ39),0)),"",INDIRECT(CONCATENATE("Table!",ADDRESS($BF39,MATCH(B$1,INDIRECT("Table!A" &amp; $BJ39):INDIRECT("Table!" &amp; $BV$88 &amp; $BJ39),0)))))/1024</f>
        <v>44.549023437499997</v>
      </c>
      <c r="C39" s="709">
        <f ca="1">IF(ISERROR(MATCH(C$1,INDIRECT("Table!A"&amp;$BJ39):INDIRECT("Table!" &amp; $BV$88 &amp; $BJ39),0)),"",INDIRECT(CONCATENATE("Table!",ADDRESS($BF39,MATCH(C$1,INDIRECT("Table!A" &amp; $BJ39):INDIRECT("Table!" &amp; $BV$88 &amp; $BJ39),0)))))/1024</f>
        <v>77.274707031250003</v>
      </c>
      <c r="D39" s="709">
        <f ca="1">IF(ISERROR(MATCH(D$1,INDIRECT("Table!A"&amp;$BJ39):INDIRECT("Table!" &amp; $BV$88 &amp; $BJ39),0)),"",INDIRECT(CONCATENATE("Table!",ADDRESS($BF39,MATCH(D$1,INDIRECT("Table!A" &amp; $BJ39):INDIRECT("Table!" &amp; $BV$88 &amp; $BJ39),0)))))/1024</f>
        <v>78.720996093750003</v>
      </c>
      <c r="E39" s="709">
        <f ca="1">IF(ISERROR(MATCH(E$1,INDIRECT("Table!A"&amp;$BJ39):INDIRECT("Table!" &amp; $BV$88 &amp; $BJ39),0)),"",INDIRECT(CONCATENATE("Table!",ADDRESS($BF39,MATCH(E$1,INDIRECT("Table!A" &amp; $BJ39):INDIRECT("Table!" &amp; $BV$88 &amp; $BJ39),0)))))/1024</f>
        <v>142.15351562500001</v>
      </c>
      <c r="F39" s="709">
        <f ca="1">IF(ISERROR(MATCH(F$1,INDIRECT("Table!A"&amp;$BJ39):INDIRECT("Table!" &amp; $BV$88 &amp; $BJ39),0)),"",INDIRECT(CONCATENATE("Table!",ADDRESS($BF39,MATCH(F$1,INDIRECT("Table!A" &amp; $BJ39):INDIRECT("Table!" &amp; $BV$88 &amp; $BJ39),0)))))/1024</f>
        <v>112.0251953125</v>
      </c>
      <c r="G39" s="709">
        <f ca="1">IF(ISERROR(MATCH(G$1,INDIRECT("Table!A"&amp;$BJ39):INDIRECT("Table!" &amp; $BV$88 &amp; $BJ39),0)),"",INDIRECT(CONCATENATE("Table!",ADDRESS($BF39,MATCH(G$1,INDIRECT("Table!A" &amp; $BJ39):INDIRECT("Table!" &amp; $BV$88 &amp; $BJ39),0)))))/1024</f>
        <v>55.574609375000001</v>
      </c>
      <c r="H39" s="709">
        <f ca="1">IF(ISERROR(MATCH(H$1,INDIRECT("Table!A"&amp;$BJ39):INDIRECT("Table!" &amp; $BV$88 &amp; $BJ39),0)),"",INDIRECT(CONCATENATE("Table!",ADDRESS($BF39,MATCH(H$1,INDIRECT("Table!A" &amp; $BJ39):INDIRECT("Table!" &amp; $BV$88 &amp; $BJ39),0)))))/1024</f>
        <v>90.100292968749997</v>
      </c>
      <c r="I39" s="709">
        <f ca="1">IF(ISERROR(MATCH(I$1,INDIRECT("Table!A"&amp;$BJ39):INDIRECT("Table!" &amp; $BV$88 &amp; $BJ39),0)),"",INDIRECT(CONCATENATE("Table!",ADDRESS($BF39,MATCH(I$1,INDIRECT("Table!A" &amp; $BJ39):INDIRECT("Table!" &amp; $BV$88 &amp; $BJ39),0)))))/1024</f>
        <v>11.540625</v>
      </c>
      <c r="J39" s="709">
        <f ca="1">IF(ISERROR(MATCH(J$1,INDIRECT("Table!A"&amp;$BJ39):INDIRECT("Table!" &amp; $BV$88 &amp; $BJ39),0)),"",INDIRECT(CONCATENATE("Table!",ADDRESS($BF39,MATCH(J$1,INDIRECT("Table!A" &amp; $BJ39):INDIRECT("Table!" &amp; $BV$88 &amp; $BJ39),0)))))/1024</f>
        <v>22.906054687499999</v>
      </c>
      <c r="K39" s="709">
        <f ca="1">IF(ISERROR(MATCH(K$1,INDIRECT("Table!A"&amp;$BJ39):INDIRECT("Table!" &amp; $BV$88 &amp; $BJ39),0)),"",INDIRECT(CONCATENATE("Table!",ADDRESS($BF39,MATCH(K$1,INDIRECT("Table!A" &amp; $BJ39):INDIRECT("Table!" &amp; $BV$88 &amp; $BJ39),0)))))/1024</f>
        <v>0.56953124999999993</v>
      </c>
      <c r="L39" s="709">
        <f ca="1">IF(ISERROR(MATCH(L$1,INDIRECT("Table!A"&amp;$BJ39):INDIRECT("Table!" &amp; $BV$88 &amp; $BJ39),0)),"",INDIRECT(CONCATENATE("Table!",ADDRESS($BF39,MATCH(L$1,INDIRECT("Table!A" &amp; $BJ39):INDIRECT("Table!" &amp; $BV$88 &amp; $BJ39),0)))))/1024</f>
        <v>154.64414062500001</v>
      </c>
      <c r="M39" s="709">
        <f ca="1">IF(ISERROR(MATCH(M$1,INDIRECT("Table!A"&amp;$BJ39):INDIRECT("Table!" &amp; $BV$88 &amp; $BJ39),0)),"",INDIRECT(CONCATENATE("Table!",ADDRESS($BF39,MATCH(M$1,INDIRECT("Table!A" &amp; $BJ39):INDIRECT("Table!" &amp; $BV$88 &amp; $BJ39),0)))))/1024</f>
        <v>61.516796874999997</v>
      </c>
      <c r="N39" s="709">
        <f ca="1">IF(ISERROR(MATCH(N$1,INDIRECT("Table!A"&amp;$BJ39):INDIRECT("Table!" &amp; $BV$88 &amp; $BJ39),0)),"",INDIRECT(CONCATENATE("Table!",ADDRESS($BF39,MATCH(N$1,INDIRECT("Table!A" &amp; $BJ39):INDIRECT("Table!" &amp; $BV$88 &amp; $BJ39),0)))))/1024</f>
        <v>57.522363281250001</v>
      </c>
      <c r="O39" s="709">
        <f ca="1">IF(ISERROR(MATCH(O$1,INDIRECT("Table!A"&amp;$BJ39):INDIRECT("Table!" &amp; $BV$88 &amp; $BJ39),0)),"",INDIRECT(CONCATENATE("Table!",ADDRESS($BF39,MATCH(O$1,INDIRECT("Table!A" &amp; $BJ39):INDIRECT("Table!" &amp; $BV$88 &amp; $BJ39),0)))))/1024</f>
        <v>163.24140625000001</v>
      </c>
      <c r="P39" s="709">
        <f ca="1">IF(ISERROR(MATCH(P$1,INDIRECT("Table!A"&amp;$BJ39):INDIRECT("Table!" &amp; $BV$88 &amp; $BJ39),0)),"",INDIRECT(CONCATENATE("Table!",ADDRESS($BF39,MATCH(P$1,INDIRECT("Table!A" &amp; $BJ39):INDIRECT("Table!" &amp; $BV$88 &amp; $BJ39),0)))))/1024</f>
        <v>22.179785156249999</v>
      </c>
      <c r="Q39" s="709">
        <f ca="1">IF(ISERROR(MATCH(Q$1,INDIRECT("Table!A"&amp;$BJ39):INDIRECT("Table!" &amp; $BV$88 &amp; $BJ39),0)),"",INDIRECT(CONCATENATE("Table!",ADDRESS($BF39,MATCH(Q$1,INDIRECT("Table!A" &amp; $BJ39):INDIRECT("Table!" &amp; $BV$88 &amp; $BJ39),0)))))/1024</f>
        <v>39.181640625</v>
      </c>
      <c r="R39" s="709">
        <f ca="1">IF(ISERROR(MATCH(R$1,INDIRECT("Table!A"&amp;$BJ39):INDIRECT("Table!" &amp; $BV$88 &amp; $BJ39),0)),"",INDIRECT(CONCATENATE("Table!",ADDRESS($BF39,MATCH(R$1,INDIRECT("Table!A" &amp; $BJ39):INDIRECT("Table!" &amp; $BV$88 &amp; $BJ39),0)))))/1024</f>
        <v>34.258886718749999</v>
      </c>
      <c r="S39" s="709">
        <f ca="1">IF(ISERROR(MATCH(S$1,INDIRECT("Table!A"&amp;$BJ39):INDIRECT("Table!" &amp; $BV$43 &amp; $BJ39),0)),"",INDIRECT(CONCATENATE("Table!",ADDRESS($BF39,MATCH(S$1,INDIRECT("Table!A" &amp; $BJ39):INDIRECT("Table!" &amp; $BV$43 &amp; $BJ39),0)))))/1024</f>
        <v>11.542773437499999</v>
      </c>
      <c r="T39" s="709">
        <f ca="1">IF(ISERROR(MATCH(T$1,INDIRECT("Table!A"&amp;$BJ39):INDIRECT("Table!" &amp; $BV$43 &amp; $BJ39),0)),"",INDIRECT(CONCATENATE("Table!",ADDRESS($BF39,MATCH(T$1,INDIRECT("Table!A" &amp; $BJ39):INDIRECT("Table!" &amp; $BV$43 &amp; $BJ39),0)))))/1024</f>
        <v>5.5880859374999998</v>
      </c>
      <c r="U39" s="709"/>
      <c r="V39" s="909"/>
      <c r="W39" s="909"/>
      <c r="X39" s="909"/>
      <c r="Y39" s="909"/>
      <c r="Z39" s="909"/>
      <c r="AA39" s="909"/>
      <c r="AB39" s="909"/>
      <c r="AC39" s="709" t="str">
        <f ca="1">IF(ISERROR(MATCH(AC$1,INDIRECT("Table!A"&amp;$BJ39):INDIRECT("Table!" &amp; $BV$88 &amp; $BJ39),0)),"",INDIRECT(CONCATENATE("Table!",ADDRESS($BF39,MATCH(AC$1,INDIRECT("Table!A" &amp; $BJ39):INDIRECT("Table!" &amp; $BV$88 &amp; $BJ39),0)))))</f>
        <v/>
      </c>
      <c r="AD39" s="709">
        <f ca="1">IF(ISERROR(MATCH(AD$1,INDIRECT("Table!A"&amp;$BJ39):INDIRECT("Table!" &amp; $BV$88 &amp; $BJ39),0)),"",INDIRECT(CONCATENATE("Table!",ADDRESS($BN39,MATCH(AD$1,INDIRECT("Table!A" &amp; $BJ39):INDIRECT("Table!" &amp; $BV$88 &amp; $BJ39),0)))))/1024</f>
        <v>140.0322265625</v>
      </c>
      <c r="AE39" s="709">
        <f ca="1">IF(ISERROR(MATCH(AE$1,INDIRECT("Table!A"&amp;$BJ39):INDIRECT("Table!" &amp; $BV$88 &amp; $BJ39),0)),"",INDIRECT(CONCATENATE("Table!",ADDRESS($BN39,MATCH(AE$1,INDIRECT("Table!A" &amp; $BJ39):INDIRECT("Table!" &amp; $BV$88 &amp; $BJ39),0)))))/1024</f>
        <v>146.98896484375001</v>
      </c>
      <c r="AF39" s="709">
        <f ca="1">IF(ISERROR(MATCH(AF$1,INDIRECT("Table!A"&amp;$BJ39):INDIRECT("Table!" &amp; $BV$88 &amp; $BJ39),0)),"",INDIRECT(CONCATENATE("Table!",ADDRESS($BN39,MATCH(AF$1,INDIRECT("Table!A" &amp; $BJ39):INDIRECT("Table!" &amp; $BV$88 &amp; $BJ39),0)))))/1024</f>
        <v>146.98896484375001</v>
      </c>
      <c r="AG39" s="709">
        <f ca="1">IF(ISERROR(MATCH(AG$1,INDIRECT("Table!A"&amp;$BJ39):INDIRECT("Table!" &amp; $BV$88 &amp; $BJ39),0)),"",INDIRECT(CONCATENATE("Table!",ADDRESS($BN39,MATCH(AG$1,INDIRECT("Table!A" &amp; $BJ39):INDIRECT("Table!" &amp; $BV$88 &amp; $BJ39),0)))))/1024</f>
        <v>177.73320312499999</v>
      </c>
      <c r="AH39" s="709">
        <f ca="1">IF(ISERROR(MATCH(AH$1,INDIRECT("Table!A"&amp;$BJ39):INDIRECT("Table!" &amp; $BV$88 &amp; $BJ39),0)),"",INDIRECT(CONCATENATE("Table!",ADDRESS($BN39,MATCH(AH$1,INDIRECT("Table!A" &amp; $BJ39):INDIRECT("Table!" &amp; $BV$88 &amp; $BJ39),0)))))/1024</f>
        <v>161.57568359375</v>
      </c>
      <c r="AI39" s="709">
        <f ca="1">IF(ISERROR(MATCH(AI$1,INDIRECT("Table!A"&amp;$BJ39):INDIRECT("Table!" &amp; $BV$88 &amp; $BJ39),0)),"",INDIRECT(CONCATENATE("Table!",ADDRESS($BN39,MATCH(AI$1,INDIRECT("Table!A" &amp; $BJ39):INDIRECT("Table!" &amp; $BV$88 &amp; $BJ39),0)))))/1024</f>
        <v>129.03603515624999</v>
      </c>
      <c r="AJ39" s="709">
        <f ca="1">IF(ISERROR(MATCH(AJ$1,INDIRECT("Table!A"&amp;$BJ39):INDIRECT("Table!" &amp; $BV$88 &amp; $BJ39),0)),"",INDIRECT(CONCATENATE("Table!",ADDRESS($BN39,MATCH(AJ$1,INDIRECT("Table!A" &amp; $BJ39):INDIRECT("Table!" &amp; $BV$88 &amp; $BJ39),0)))))/1024</f>
        <v>166.96152343750001</v>
      </c>
      <c r="AK39" s="709">
        <f ca="1">IF(ISERROR(MATCH(AK$1,INDIRECT("Table!A"&amp;$BJ39):INDIRECT("Table!" &amp; $BV$88 &amp; $BJ39),0)),"",INDIRECT(CONCATENATE("Table!",ADDRESS($BN39,MATCH(AK$1,INDIRECT("Table!A" &amp; $BJ39):INDIRECT("Table!" &amp; $BV$88 &amp; $BJ39),0)))))/1024</f>
        <v>161.57568359375</v>
      </c>
      <c r="AL39" s="709">
        <f ca="1">IF(ISERROR(MATCH(AL$1,INDIRECT("Table!A"&amp;$BJ39):INDIRECT("Table!" &amp; $BV$88 &amp; $BJ39),0)),"",INDIRECT(CONCATENATE("Table!",ADDRESS($BN39,MATCH(AL$1,INDIRECT("Table!A" &amp; $BJ39):INDIRECT("Table!" &amp; $BV$88 &amp; $BJ39),0)))))/1024</f>
        <v>90.245703125000006</v>
      </c>
      <c r="AM39" s="709">
        <f ca="1">IF(ISERROR(MATCH(AM$1,INDIRECT("Table!A"&amp;$BJ39):INDIRECT("Table!" &amp; $BV$88 &amp; $BJ39),0)),"",INDIRECT(CONCATENATE("Table!",ADDRESS($BN39,MATCH(AM$1,INDIRECT("Table!A" &amp; $BJ39):INDIRECT("Table!" &amp; $BV$88 &amp; $BJ39),0)))))/1024</f>
        <v>210.22119140625</v>
      </c>
      <c r="AN39" s="709">
        <f ca="1">IF(ISERROR(MATCH(AN$1,INDIRECT("Table!A"&amp;$BJ39):INDIRECT("Table!" &amp; $BV$88 &amp; $BJ39),0)),"",INDIRECT(CONCATENATE("Table!",ADDRESS($BN39,MATCH(AN$1,INDIRECT("Table!A" &amp; $BJ39):INDIRECT("Table!" &amp; $BV$88 &amp; $BJ39),0)))))/1024</f>
        <v>188.50498046875001</v>
      </c>
      <c r="AO39" s="709">
        <f ca="1">IF(ISERROR(MATCH(AO$1,INDIRECT("Table!A"&amp;$BJ39):INDIRECT("Table!" &amp; $BV$88 &amp; $BJ39),0)),"",INDIRECT(CONCATENATE("Table!",ADDRESS($BN39,MATCH(AO$1,INDIRECT("Table!A" &amp; $BJ39):INDIRECT("Table!" &amp; $BV$88 &amp; $BJ39),0)))))/1024</f>
        <v>129.03603515624999</v>
      </c>
      <c r="AP39" s="709">
        <f ca="1">IF(ISERROR(MATCH(AP$1,INDIRECT("Table!A"&amp;$BJ39):INDIRECT("Table!" &amp; $BV$88 &amp; $BJ39),0)),"",INDIRECT(CONCATENATE("Table!",ADDRESS($BN39,MATCH(AP$1,INDIRECT("Table!A" &amp; $BJ39):INDIRECT("Table!" &amp; $BV$88 &amp; $BJ39),0)))))/1024</f>
        <v>80.787695312500006</v>
      </c>
      <c r="AQ39" s="709">
        <f ca="1">IF(ISERROR(MATCH(AQ$1,INDIRECT("Table!A"&amp;$BJ39):INDIRECT("Table!" &amp; $BV$88 &amp; $BJ39),0)),"",INDIRECT(CONCATENATE("Table!",ADDRESS($BN39,MATCH(AQ$1,INDIRECT("Table!A" &amp; $BJ39):INDIRECT("Table!" &amp; $BV$88 &amp; $BJ39),0)))))/1024</f>
        <v>269.2919921875</v>
      </c>
      <c r="AR39" s="709">
        <f ca="1">IF(ISERROR(MATCH(AR$1,INDIRECT("Table!A"&amp;$BJ39):INDIRECT("Table!" &amp; $BV$88 &amp; $BJ39),0)),"",INDIRECT(CONCATENATE("Table!",ADDRESS($BN39,MATCH(AR$1,INDIRECT("Table!A" &amp; $BJ39):INDIRECT("Table!" &amp; $BV$88 &amp; $BJ39),0)))))/1024</f>
        <v>80.787695312500006</v>
      </c>
      <c r="AS39" s="709">
        <f ca="1">IF(ISERROR(MATCH(AS$1,INDIRECT("Table!A"&amp;$BJ39):INDIRECT("Table!" &amp; $BV$88 &amp; $BJ39),0)),"",INDIRECT(CONCATENATE("Table!",ADDRESS($BN39,MATCH(AS$1,INDIRECT("Table!A" &amp; $BJ39):INDIRECT("Table!" &amp; $BV$88 &amp; $BJ39),0)))))/1024</f>
        <v>184.55234375000001</v>
      </c>
      <c r="AT39" s="709">
        <f ca="1">IF(ISERROR(MATCH(AT$1,INDIRECT("Table!A"&amp;$BJ39):INDIRECT("Table!" &amp; $BV$88 &amp; $BJ39),0)),"",INDIRECT(CONCATENATE("Table!",ADDRESS($BN39,MATCH(AT$1,INDIRECT("Table!A" &amp; $BJ39):INDIRECT("Table!" &amp; $BV$88 &amp; $BJ39),0)))))/1024</f>
        <v>210.22119140625</v>
      </c>
      <c r="AU39" s="709">
        <f ca="1">IF(ISERROR(MATCH(AU$1,INDIRECT("Table!A"&amp;$BJ39):INDIRECT("Table!" &amp; $BV$88 &amp; $BJ39),0)),"",INDIRECT(CONCATENATE("Table!",ADDRESS($BN39,MATCH(AU$1,INDIRECT("Table!A" &amp; $BJ39):INDIRECT("Table!" &amp; $BV$88 &amp; $BJ39),0)))))/1024</f>
        <v>53.8583984375</v>
      </c>
      <c r="AV39" s="709">
        <f ca="1">IF(ISERROR(MATCH(AV$1,INDIRECT("Table!A"&amp;$BJ39):INDIRECT("Table!" &amp; $BV$88 &amp; $BJ39),0)),"",INDIRECT(CONCATENATE("Table!",ADDRESS($BN39,MATCH(AV$1,INDIRECT("Table!A" &amp; $BJ39):INDIRECT("Table!" &amp; $BV$88 &amp; $BJ39),0)))))/1024</f>
        <v>32.31494140625</v>
      </c>
      <c r="AW39" s="709"/>
      <c r="AX39" s="909"/>
      <c r="AY39" s="909"/>
      <c r="AZ39" s="909"/>
      <c r="BA39" s="909"/>
      <c r="BB39" s="909"/>
      <c r="BC39" s="909"/>
      <c r="BD39" s="909"/>
      <c r="BE39" s="909"/>
      <c r="BF39" s="704">
        <f>MATCH($A39,Table!$A:$A,0)+$BH$2-1</f>
        <v>511</v>
      </c>
      <c r="BG39" s="705"/>
      <c r="BH39" s="705"/>
      <c r="BI39" s="705"/>
      <c r="BJ39" s="717">
        <f>MATCH($A39,Table!$A:$A,0)+$BL$2-1</f>
        <v>509</v>
      </c>
      <c r="BK39" s="705"/>
      <c r="BL39" s="705"/>
      <c r="BM39" s="705"/>
      <c r="BN39" s="704">
        <f>MATCH($A39,Table!$A:$A,0)+$BP$2-1</f>
        <v>510</v>
      </c>
      <c r="BO39" s="705"/>
      <c r="BP39" s="705"/>
      <c r="BQ39" s="705"/>
      <c r="BR39" s="717">
        <f>MATCH($A39,Table!$A:$A,0)+$BL$2-1</f>
        <v>509</v>
      </c>
      <c r="BS39" s="705"/>
      <c r="BT39" s="705"/>
      <c r="BU39" s="705"/>
      <c r="BV39" s="711" t="s">
        <v>284</v>
      </c>
      <c r="BW39" s="712">
        <f t="shared" ca="1" si="12"/>
        <v>2760.7144531250005</v>
      </c>
      <c r="BX39" s="712">
        <f t="shared" ca="1" si="45"/>
        <v>1185.0904296875001</v>
      </c>
      <c r="BY39" s="712">
        <f t="shared" ca="1" si="43"/>
        <v>1575.6240234375005</v>
      </c>
      <c r="BZ39" s="718">
        <f t="shared" ca="1" si="44"/>
        <v>0.42926946984539915</v>
      </c>
      <c r="CA39" s="712">
        <f ca="1">SUMIF('Alloc Feed'!A:A,A:A,'Alloc Feed'!I:I)</f>
        <v>5569.0342558593748</v>
      </c>
      <c r="CB39" s="718">
        <f t="shared" ca="1" si="42"/>
        <v>2.0172438513354711</v>
      </c>
    </row>
    <row r="40" spans="1:80" s="267" customFormat="1" x14ac:dyDescent="0.25">
      <c r="A40" s="703">
        <v>41485</v>
      </c>
      <c r="B40" s="709">
        <f ca="1">IF(ISERROR(MATCH(B$1,INDIRECT("Table!A"&amp;$BJ40):INDIRECT("Table!" &amp; $BV$88 &amp; $BJ40),0)),"",INDIRECT(CONCATENATE("Table!",ADDRESS($BF40,MATCH(B$1,INDIRECT("Table!A" &amp; $BJ40):INDIRECT("Table!" &amp; $BV$88 &amp; $BJ40),0)))))/1024</f>
        <v>44.630761718750001</v>
      </c>
      <c r="C40" s="709">
        <f ca="1">IF(ISERROR(MATCH(C$1,INDIRECT("Table!A"&amp;$BJ40):INDIRECT("Table!" &amp; $BV$88 &amp; $BJ40),0)),"",INDIRECT(CONCATENATE("Table!",ADDRESS($BF40,MATCH(C$1,INDIRECT("Table!A" &amp; $BJ40):INDIRECT("Table!" &amp; $BV$88 &amp; $BJ40),0)))))/1024</f>
        <v>77.111328125</v>
      </c>
      <c r="D40" s="709">
        <f ca="1">IF(ISERROR(MATCH(D$1,INDIRECT("Table!A"&amp;$BJ40):INDIRECT("Table!" &amp; $BV$88 &amp; $BJ40),0)),"",INDIRECT(CONCATENATE("Table!",ADDRESS($BF40,MATCH(D$1,INDIRECT("Table!A" &amp; $BJ40):INDIRECT("Table!" &amp; $BV$88 &amp; $BJ40),0)))))/1024</f>
        <v>78.5576171875</v>
      </c>
      <c r="E40" s="709">
        <f ca="1">IF(ISERROR(MATCH(E$1,INDIRECT("Table!A"&amp;$BJ40):INDIRECT("Table!" &amp; $BV$88 &amp; $BJ40),0)),"",INDIRECT(CONCATENATE("Table!",ADDRESS($BF40,MATCH(E$1,INDIRECT("Table!A" &amp; $BJ40):INDIRECT("Table!" &amp; $BV$88 &amp; $BJ40),0)))))/1024</f>
        <v>141.76035156250001</v>
      </c>
      <c r="F40" s="709">
        <f ca="1">IF(ISERROR(MATCH(F$1,INDIRECT("Table!A"&amp;$BJ40):INDIRECT("Table!" &amp; $BV$88 &amp; $BJ40),0)),"",INDIRECT(CONCATENATE("Table!",ADDRESS($BF40,MATCH(F$1,INDIRECT("Table!A" &amp; $BJ40):INDIRECT("Table!" &amp; $BV$88 &amp; $BJ40),0)))))/1024</f>
        <v>111.63046875000001</v>
      </c>
      <c r="G40" s="709">
        <f ca="1">IF(ISERROR(MATCH(G$1,INDIRECT("Table!A"&amp;$BJ40):INDIRECT("Table!" &amp; $BV$88 &amp; $BJ40),0)),"",INDIRECT(CONCATENATE("Table!",ADDRESS($BF40,MATCH(G$1,INDIRECT("Table!A" &amp; $BJ40):INDIRECT("Table!" &amp; $BV$88 &amp; $BJ40),0)))))/1024</f>
        <v>55.363183593750001</v>
      </c>
      <c r="H40" s="709">
        <f ca="1">IF(ISERROR(MATCH(H$1,INDIRECT("Table!A"&amp;$BJ40):INDIRECT("Table!" &amp; $BV$88 &amp; $BJ40),0)),"",INDIRECT(CONCATENATE("Table!",ADDRESS($BF40,MATCH(H$1,INDIRECT("Table!A" &amp; $BJ40):INDIRECT("Table!" &amp; $BV$88 &amp; $BJ40),0)))))/1024</f>
        <v>89.719921874999997</v>
      </c>
      <c r="I40" s="709">
        <f ca="1">IF(ISERROR(MATCH(I$1,INDIRECT("Table!A"&amp;$BJ40):INDIRECT("Table!" &amp; $BV$88 &amp; $BJ40),0)),"",INDIRECT(CONCATENATE("Table!",ADDRESS($BF40,MATCH(I$1,INDIRECT("Table!A" &amp; $BJ40):INDIRECT("Table!" &amp; $BV$88 &amp; $BJ40),0)))))/1024</f>
        <v>11.537792968750001</v>
      </c>
      <c r="J40" s="709">
        <f ca="1">IF(ISERROR(MATCH(J$1,INDIRECT("Table!A"&amp;$BJ40):INDIRECT("Table!" &amp; $BV$88 &amp; $BJ40),0)),"",INDIRECT(CONCATENATE("Table!",ADDRESS($BF40,MATCH(J$1,INDIRECT("Table!A" &amp; $BJ40):INDIRECT("Table!" &amp; $BV$88 &amp; $BJ40),0)))))/1024</f>
        <v>20.37939453125</v>
      </c>
      <c r="K40" s="709">
        <f ca="1">IF(ISERROR(MATCH(K$1,INDIRECT("Table!A"&amp;$BJ40):INDIRECT("Table!" &amp; $BV$88 &amp; $BJ40),0)),"",INDIRECT(CONCATENATE("Table!",ADDRESS($BF40,MATCH(K$1,INDIRECT("Table!A" &amp; $BJ40):INDIRECT("Table!" &amp; $BV$88 &amp; $BJ40),0)))))/1024</f>
        <v>0.55849609375000009</v>
      </c>
      <c r="L40" s="709">
        <f ca="1">IF(ISERROR(MATCH(L$1,INDIRECT("Table!A"&amp;$BJ40):INDIRECT("Table!" &amp; $BV$88 &amp; $BJ40),0)),"",INDIRECT(CONCATENATE("Table!",ADDRESS($BF40,MATCH(L$1,INDIRECT("Table!A" &amp; $BJ40):INDIRECT("Table!" &amp; $BV$88 &amp; $BJ40),0)))))/1024</f>
        <v>154.15878906250001</v>
      </c>
      <c r="M40" s="709">
        <f ca="1">IF(ISERROR(MATCH(M$1,INDIRECT("Table!A"&amp;$BJ40):INDIRECT("Table!" &amp; $BV$88 &amp; $BJ40),0)),"",INDIRECT(CONCATENATE("Table!",ADDRESS($BF40,MATCH(M$1,INDIRECT("Table!A" &amp; $BJ40):INDIRECT("Table!" &amp; $BV$88 &amp; $BJ40),0)))))/1024</f>
        <v>63.450585937500001</v>
      </c>
      <c r="N40" s="709">
        <f ca="1">IF(ISERROR(MATCH(N$1,INDIRECT("Table!A"&amp;$BJ40):INDIRECT("Table!" &amp; $BV$88 &amp; $BJ40),0)),"",INDIRECT(CONCATENATE("Table!",ADDRESS($BF40,MATCH(N$1,INDIRECT("Table!A" &amp; $BJ40):INDIRECT("Table!" &amp; $BV$88 &amp; $BJ40),0)))))/1024</f>
        <v>57.315039062499999</v>
      </c>
      <c r="O40" s="709">
        <f ca="1">IF(ISERROR(MATCH(O$1,INDIRECT("Table!A"&amp;$BJ40):INDIRECT("Table!" &amp; $BV$88 &amp; $BJ40),0)),"",INDIRECT(CONCATENATE("Table!",ADDRESS($BF40,MATCH(O$1,INDIRECT("Table!A" &amp; $BJ40):INDIRECT("Table!" &amp; $BV$88 &amp; $BJ40),0)))))/1024</f>
        <v>162.57626953125001</v>
      </c>
      <c r="P40" s="709">
        <f ca="1">IF(ISERROR(MATCH(P$1,INDIRECT("Table!A"&amp;$BJ40):INDIRECT("Table!" &amp; $BV$88 &amp; $BJ40),0)),"",INDIRECT(CONCATENATE("Table!",ADDRESS($BF40,MATCH(P$1,INDIRECT("Table!A" &amp; $BJ40):INDIRECT("Table!" &amp; $BV$88 &amp; $BJ40),0)))))/1024</f>
        <v>22.176171875000001</v>
      </c>
      <c r="Q40" s="709">
        <f ca="1">IF(ISERROR(MATCH(Q$1,INDIRECT("Table!A"&amp;$BJ40):INDIRECT("Table!" &amp; $BV$88 &amp; $BJ40),0)),"",INDIRECT(CONCATENATE("Table!",ADDRESS($BF40,MATCH(Q$1,INDIRECT("Table!A" &amp; $BJ40):INDIRECT("Table!" &amp; $BV$88 &amp; $BJ40),0)))))/1024</f>
        <v>34.027636718750003</v>
      </c>
      <c r="R40" s="709">
        <f ca="1">IF(ISERROR(MATCH(R$1,INDIRECT("Table!A"&amp;$BJ40):INDIRECT("Table!" &amp; $BV$88 &amp; $BJ40),0)),"",INDIRECT(CONCATENATE("Table!",ADDRESS($BF40,MATCH(R$1,INDIRECT("Table!A" &amp; $BJ40):INDIRECT("Table!" &amp; $BV$88 &amp; $BJ40),0)))))/1024</f>
        <v>34.198339843749999</v>
      </c>
      <c r="S40" s="709">
        <f ca="1">IF(ISERROR(MATCH(S$1,INDIRECT("Table!A"&amp;$BJ40):INDIRECT("Table!" &amp; $BV$43 &amp; $BJ40),0)),"",INDIRECT(CONCATENATE("Table!",ADDRESS($BF40,MATCH(S$1,INDIRECT("Table!A" &amp; $BJ40):INDIRECT("Table!" &amp; $BV$43 &amp; $BJ40),0)))))/1024</f>
        <v>11.47158203125</v>
      </c>
      <c r="T40" s="709">
        <f ca="1">IF(ISERROR(MATCH(T$1,INDIRECT("Table!A"&amp;$BJ40):INDIRECT("Table!" &amp; $BV$43 &amp; $BJ40),0)),"",INDIRECT(CONCATENATE("Table!",ADDRESS($BF40,MATCH(T$1,INDIRECT("Table!A" &amp; $BJ40):INDIRECT("Table!" &amp; $BV$43 &amp; $BJ40),0)))))/1024</f>
        <v>5.5256835937500002</v>
      </c>
      <c r="U40" s="709"/>
      <c r="V40" s="909"/>
      <c r="W40" s="909"/>
      <c r="X40" s="909"/>
      <c r="Y40" s="909"/>
      <c r="Z40" s="909"/>
      <c r="AA40" s="909"/>
      <c r="AB40" s="909"/>
      <c r="AC40" s="709" t="str">
        <f ca="1">IF(ISERROR(MATCH(AC$1,INDIRECT("Table!A"&amp;$BJ40):INDIRECT("Table!" &amp; $BV$88 &amp; $BJ40),0)),"",INDIRECT(CONCATENATE("Table!",ADDRESS($BF40,MATCH(AC$1,INDIRECT("Table!A" &amp; $BJ40):INDIRECT("Table!" &amp; $BV$88 &amp; $BJ40),0)))))</f>
        <v/>
      </c>
      <c r="AD40" s="709">
        <f ca="1">IF(ISERROR(MATCH(AD$1,INDIRECT("Table!A"&amp;$BJ40):INDIRECT("Table!" &amp; $BV$88 &amp; $BJ40),0)),"",INDIRECT(CONCATENATE("Table!",ADDRESS($BN40,MATCH(AD$1,INDIRECT("Table!A" &amp; $BJ40):INDIRECT("Table!" &amp; $BV$88 &amp; $BJ40),0)))))/1024</f>
        <v>140.0322265625</v>
      </c>
      <c r="AE40" s="709">
        <f ca="1">IF(ISERROR(MATCH(AE$1,INDIRECT("Table!A"&amp;$BJ40):INDIRECT("Table!" &amp; $BV$88 &amp; $BJ40),0)),"",INDIRECT(CONCATENATE("Table!",ADDRESS($BN40,MATCH(AE$1,INDIRECT("Table!A" &amp; $BJ40):INDIRECT("Table!" &amp; $BV$88 &amp; $BJ40),0)))))/1024</f>
        <v>146.98896484375001</v>
      </c>
      <c r="AF40" s="709">
        <f ca="1">IF(ISERROR(MATCH(AF$1,INDIRECT("Table!A"&amp;$BJ40):INDIRECT("Table!" &amp; $BV$88 &amp; $BJ40),0)),"",INDIRECT(CONCATENATE("Table!",ADDRESS($BN40,MATCH(AF$1,INDIRECT("Table!A" &amp; $BJ40):INDIRECT("Table!" &amp; $BV$88 &amp; $BJ40),0)))))/1024</f>
        <v>146.98896484375001</v>
      </c>
      <c r="AG40" s="709">
        <f ca="1">IF(ISERROR(MATCH(AG$1,INDIRECT("Table!A"&amp;$BJ40):INDIRECT("Table!" &amp; $BV$88 &amp; $BJ40),0)),"",INDIRECT(CONCATENATE("Table!",ADDRESS($BN40,MATCH(AG$1,INDIRECT("Table!A" &amp; $BJ40):INDIRECT("Table!" &amp; $BV$88 &amp; $BJ40),0)))))/1024</f>
        <v>177.73320312499999</v>
      </c>
      <c r="AH40" s="709">
        <f ca="1">IF(ISERROR(MATCH(AH$1,INDIRECT("Table!A"&amp;$BJ40):INDIRECT("Table!" &amp; $BV$88 &amp; $BJ40),0)),"",INDIRECT(CONCATENATE("Table!",ADDRESS($BN40,MATCH(AH$1,INDIRECT("Table!A" &amp; $BJ40):INDIRECT("Table!" &amp; $BV$88 &amp; $BJ40),0)))))/1024</f>
        <v>161.57568359375</v>
      </c>
      <c r="AI40" s="709">
        <f ca="1">IF(ISERROR(MATCH(AI$1,INDIRECT("Table!A"&amp;$BJ40):INDIRECT("Table!" &amp; $BV$88 &amp; $BJ40),0)),"",INDIRECT(CONCATENATE("Table!",ADDRESS($BN40,MATCH(AI$1,INDIRECT("Table!A" &amp; $BJ40):INDIRECT("Table!" &amp; $BV$88 &amp; $BJ40),0)))))/1024</f>
        <v>129.03603515624999</v>
      </c>
      <c r="AJ40" s="709">
        <f ca="1">IF(ISERROR(MATCH(AJ$1,INDIRECT("Table!A"&amp;$BJ40):INDIRECT("Table!" &amp; $BV$88 &amp; $BJ40),0)),"",INDIRECT(CONCATENATE("Table!",ADDRESS($BN40,MATCH(AJ$1,INDIRECT("Table!A" &amp; $BJ40):INDIRECT("Table!" &amp; $BV$88 &amp; $BJ40),0)))))/1024</f>
        <v>166.96152343750001</v>
      </c>
      <c r="AK40" s="709">
        <f ca="1">IF(ISERROR(MATCH(AK$1,INDIRECT("Table!A"&amp;$BJ40):INDIRECT("Table!" &amp; $BV$88 &amp; $BJ40),0)),"",INDIRECT(CONCATENATE("Table!",ADDRESS($BN40,MATCH(AK$1,INDIRECT("Table!A" &amp; $BJ40):INDIRECT("Table!" &amp; $BV$88 &amp; $BJ40),0)))))/1024</f>
        <v>161.57568359375</v>
      </c>
      <c r="AL40" s="709">
        <f ca="1">IF(ISERROR(MATCH(AL$1,INDIRECT("Table!A"&amp;$BJ40):INDIRECT("Table!" &amp; $BV$88 &amp; $BJ40),0)),"",INDIRECT(CONCATENATE("Table!",ADDRESS($BN40,MATCH(AL$1,INDIRECT("Table!A" &amp; $BJ40):INDIRECT("Table!" &amp; $BV$88 &amp; $BJ40),0)))))/1024</f>
        <v>90.245703125000006</v>
      </c>
      <c r="AM40" s="709">
        <f ca="1">IF(ISERROR(MATCH(AM$1,INDIRECT("Table!A"&amp;$BJ40):INDIRECT("Table!" &amp; $BV$88 &amp; $BJ40),0)),"",INDIRECT(CONCATENATE("Table!",ADDRESS($BN40,MATCH(AM$1,INDIRECT("Table!A" &amp; $BJ40):INDIRECT("Table!" &amp; $BV$88 &amp; $BJ40),0)))))/1024</f>
        <v>210.22119140625</v>
      </c>
      <c r="AN40" s="709">
        <f ca="1">IF(ISERROR(MATCH(AN$1,INDIRECT("Table!A"&amp;$BJ40):INDIRECT("Table!" &amp; $BV$88 &amp; $BJ40),0)),"",INDIRECT(CONCATENATE("Table!",ADDRESS($BN40,MATCH(AN$1,INDIRECT("Table!A" &amp; $BJ40):INDIRECT("Table!" &amp; $BV$88 &amp; $BJ40),0)))))/1024</f>
        <v>188.50498046875001</v>
      </c>
      <c r="AO40" s="709">
        <f ca="1">IF(ISERROR(MATCH(AO$1,INDIRECT("Table!A"&amp;$BJ40):INDIRECT("Table!" &amp; $BV$88 &amp; $BJ40),0)),"",INDIRECT(CONCATENATE("Table!",ADDRESS($BN40,MATCH(AO$1,INDIRECT("Table!A" &amp; $BJ40):INDIRECT("Table!" &amp; $BV$88 &amp; $BJ40),0)))))/1024</f>
        <v>129.03603515624999</v>
      </c>
      <c r="AP40" s="709">
        <f ca="1">IF(ISERROR(MATCH(AP$1,INDIRECT("Table!A"&amp;$BJ40):INDIRECT("Table!" &amp; $BV$88 &amp; $BJ40),0)),"",INDIRECT(CONCATENATE("Table!",ADDRESS($BN40,MATCH(AP$1,INDIRECT("Table!A" &amp; $BJ40):INDIRECT("Table!" &amp; $BV$88 &amp; $BJ40),0)))))/1024</f>
        <v>80.787695312500006</v>
      </c>
      <c r="AQ40" s="709">
        <f ca="1">IF(ISERROR(MATCH(AQ$1,INDIRECT("Table!A"&amp;$BJ40):INDIRECT("Table!" &amp; $BV$88 &amp; $BJ40),0)),"",INDIRECT(CONCATENATE("Table!",ADDRESS($BN40,MATCH(AQ$1,INDIRECT("Table!A" &amp; $BJ40):INDIRECT("Table!" &amp; $BV$88 &amp; $BJ40),0)))))/1024</f>
        <v>269.2919921875</v>
      </c>
      <c r="AR40" s="709">
        <f ca="1">IF(ISERROR(MATCH(AR$1,INDIRECT("Table!A"&amp;$BJ40):INDIRECT("Table!" &amp; $BV$88 &amp; $BJ40),0)),"",INDIRECT(CONCATENATE("Table!",ADDRESS($BN40,MATCH(AR$1,INDIRECT("Table!A" &amp; $BJ40):INDIRECT("Table!" &amp; $BV$88 &amp; $BJ40),0)))))/1024</f>
        <v>80.787695312500006</v>
      </c>
      <c r="AS40" s="709">
        <f ca="1">IF(ISERROR(MATCH(AS$1,INDIRECT("Table!A"&amp;$BJ40):INDIRECT("Table!" &amp; $BV$88 &amp; $BJ40),0)),"",INDIRECT(CONCATENATE("Table!",ADDRESS($BN40,MATCH(AS$1,INDIRECT("Table!A" &amp; $BJ40):INDIRECT("Table!" &amp; $BV$88 &amp; $BJ40),0)))))/1024</f>
        <v>184.55234375000001</v>
      </c>
      <c r="AT40" s="709">
        <f ca="1">IF(ISERROR(MATCH(AT$1,INDIRECT("Table!A"&amp;$BJ40):INDIRECT("Table!" &amp; $BV$88 &amp; $BJ40),0)),"",INDIRECT(CONCATENATE("Table!",ADDRESS($BN40,MATCH(AT$1,INDIRECT("Table!A" &amp; $BJ40):INDIRECT("Table!" &amp; $BV$88 &amp; $BJ40),0)))))/1024</f>
        <v>210.22119140625</v>
      </c>
      <c r="AU40" s="709">
        <f ca="1">IF(ISERROR(MATCH(AU$1,INDIRECT("Table!A"&amp;$BJ40):INDIRECT("Table!" &amp; $BV$88 &amp; $BJ40),0)),"",INDIRECT(CONCATENATE("Table!",ADDRESS($BN40,MATCH(AU$1,INDIRECT("Table!A" &amp; $BJ40):INDIRECT("Table!" &amp; $BV$88 &amp; $BJ40),0)))))/1024</f>
        <v>53.8583984375</v>
      </c>
      <c r="AV40" s="709">
        <f ca="1">IF(ISERROR(MATCH(AV$1,INDIRECT("Table!A"&amp;$BJ40):INDIRECT("Table!" &amp; $BV$88 &amp; $BJ40),0)),"",INDIRECT(CONCATENATE("Table!",ADDRESS($BN40,MATCH(AV$1,INDIRECT("Table!A" &amp; $BJ40):INDIRECT("Table!" &amp; $BV$88 &amp; $BJ40),0)))))/1024</f>
        <v>32.31494140625</v>
      </c>
      <c r="AW40" s="709"/>
      <c r="AX40" s="909"/>
      <c r="AY40" s="909"/>
      <c r="AZ40" s="909"/>
      <c r="BA40" s="909"/>
      <c r="BB40" s="909"/>
      <c r="BC40" s="909"/>
      <c r="BD40" s="909"/>
      <c r="BE40" s="909"/>
      <c r="BF40" s="704">
        <f>MATCH($A40,Table!$A:$A,0)+$BH$2-1</f>
        <v>523</v>
      </c>
      <c r="BG40" s="705"/>
      <c r="BH40" s="705"/>
      <c r="BI40" s="705"/>
      <c r="BJ40" s="717">
        <f>MATCH($A40,Table!$A:$A,0)+$BL$2-1</f>
        <v>521</v>
      </c>
      <c r="BK40" s="705"/>
      <c r="BL40" s="705"/>
      <c r="BM40" s="705"/>
      <c r="BN40" s="704">
        <f>MATCH($A40,Table!$A:$A,0)+$BP$2-1</f>
        <v>522</v>
      </c>
      <c r="BO40" s="705"/>
      <c r="BP40" s="705"/>
      <c r="BQ40" s="705"/>
      <c r="BR40" s="717">
        <f>MATCH($A40,Table!$A:$A,0)+$BL$2-1</f>
        <v>521</v>
      </c>
      <c r="BS40" s="705"/>
      <c r="BT40" s="705"/>
      <c r="BU40" s="705"/>
      <c r="BV40" s="711" t="s">
        <v>284</v>
      </c>
      <c r="BW40" s="712">
        <f t="shared" ca="1" si="12"/>
        <v>2760.7144531250005</v>
      </c>
      <c r="BX40" s="712">
        <f t="shared" ca="1" si="45"/>
        <v>1176.1494140625</v>
      </c>
      <c r="BY40" s="712">
        <f t="shared" ca="1" si="43"/>
        <v>1584.5650390625005</v>
      </c>
      <c r="BZ40" s="718">
        <f t="shared" ca="1" si="44"/>
        <v>0.42603080978952873</v>
      </c>
      <c r="CA40" s="712">
        <f ca="1">SUMIF('Alloc Feed'!A:A,A:A,'Alloc Feed'!I:I)</f>
        <v>5547.105035156249</v>
      </c>
      <c r="CB40" s="718">
        <f t="shared" ca="1" si="42"/>
        <v>2.0093005377202933</v>
      </c>
    </row>
    <row r="41" spans="1:80" s="267" customFormat="1" x14ac:dyDescent="0.25">
      <c r="A41" s="703">
        <v>41478</v>
      </c>
      <c r="B41" s="709">
        <f ca="1">IF(ISERROR(MATCH(B$1,INDIRECT("Table!A"&amp;$BJ41):INDIRECT("Table!" &amp; $BV$88 &amp; $BJ41),0)),"",INDIRECT(CONCATENATE("Table!",ADDRESS($BF41,MATCH(B$1,INDIRECT("Table!A" &amp; $BJ41):INDIRECT("Table!" &amp; $BV$88 &amp; $BJ41),0)))))/1024</f>
        <v>44.386328124999999</v>
      </c>
      <c r="C41" s="709">
        <f ca="1">IF(ISERROR(MATCH(C$1,INDIRECT("Table!A"&amp;$BJ41):INDIRECT("Table!" &amp; $BV$88 &amp; $BJ41),0)),"",INDIRECT(CONCATENATE("Table!",ADDRESS($BF41,MATCH(C$1,INDIRECT("Table!A" &amp; $BJ41):INDIRECT("Table!" &amp; $BV$88 &amp; $BJ41),0)))))/1024</f>
        <v>77.057324218749997</v>
      </c>
      <c r="D41" s="709">
        <f ca="1">IF(ISERROR(MATCH(D$1,INDIRECT("Table!A"&amp;$BJ41):INDIRECT("Table!" &amp; $BV$88 &amp; $BJ41),0)),"",INDIRECT(CONCATENATE("Table!",ADDRESS($BF41,MATCH(D$1,INDIRECT("Table!A" &amp; $BJ41):INDIRECT("Table!" &amp; $BV$88 &amp; $BJ41),0)))))/1024</f>
        <v>78.504199218750003</v>
      </c>
      <c r="E41" s="709">
        <f ca="1">IF(ISERROR(MATCH(E$1,INDIRECT("Table!A"&amp;$BJ41):INDIRECT("Table!" &amp; $BV$88 &amp; $BJ41),0)),"",INDIRECT(CONCATENATE("Table!",ADDRESS($BF41,MATCH(E$1,INDIRECT("Table!A" &amp; $BJ41):INDIRECT("Table!" &amp; $BV$88 &amp; $BJ41),0)))))/1024</f>
        <v>141.66181640625001</v>
      </c>
      <c r="F41" s="709">
        <f ca="1">IF(ISERROR(MATCH(F$1,INDIRECT("Table!A"&amp;$BJ41):INDIRECT("Table!" &amp; $BV$88 &amp; $BJ41),0)),"",INDIRECT(CONCATENATE("Table!",ADDRESS($BF41,MATCH(F$1,INDIRECT("Table!A" &amp; $BJ41):INDIRECT("Table!" &amp; $BV$88 &amp; $BJ41),0)))))/1024</f>
        <v>110.77705078125</v>
      </c>
      <c r="G41" s="709">
        <f ca="1">IF(ISERROR(MATCH(G$1,INDIRECT("Table!A"&amp;$BJ41):INDIRECT("Table!" &amp; $BV$88 &amp; $BJ41),0)),"",INDIRECT(CONCATENATE("Table!",ADDRESS($BF41,MATCH(G$1,INDIRECT("Table!A" &amp; $BJ41):INDIRECT("Table!" &amp; $BV$88 &amp; $BJ41),0)))))/1024</f>
        <v>58.025488281249999</v>
      </c>
      <c r="H41" s="709">
        <f ca="1">IF(ISERROR(MATCH(H$1,INDIRECT("Table!A"&amp;$BJ41):INDIRECT("Table!" &amp; $BV$88 &amp; $BJ41),0)),"",INDIRECT(CONCATENATE("Table!",ADDRESS($BF41,MATCH(H$1,INDIRECT("Table!A" &amp; $BJ41):INDIRECT("Table!" &amp; $BV$88 &amp; $BJ41),0)))))/1024</f>
        <v>88.982324218749994</v>
      </c>
      <c r="I41" s="709">
        <f ca="1">IF(ISERROR(MATCH(I$1,INDIRECT("Table!A"&amp;$BJ41):INDIRECT("Table!" &amp; $BV$88 &amp; $BJ41),0)),"",INDIRECT(CONCATENATE("Table!",ADDRESS($BF41,MATCH(I$1,INDIRECT("Table!A" &amp; $BJ41):INDIRECT("Table!" &amp; $BV$88 &amp; $BJ41),0)))))/1024</f>
        <v>11.52587890625</v>
      </c>
      <c r="J41" s="709">
        <f ca="1">IF(ISERROR(MATCH(J$1,INDIRECT("Table!A"&amp;$BJ41):INDIRECT("Table!" &amp; $BV$88 &amp; $BJ41),0)),"",INDIRECT(CONCATENATE("Table!",ADDRESS($BF41,MATCH(J$1,INDIRECT("Table!A" &amp; $BJ41):INDIRECT("Table!" &amp; $BV$88 &amp; $BJ41),0)))))/1024</f>
        <v>18.98876953125</v>
      </c>
      <c r="K41" s="709">
        <f ca="1">IF(ISERROR(MATCH(K$1,INDIRECT("Table!A"&amp;$BJ41):INDIRECT("Table!" &amp; $BV$88 &amp; $BJ41),0)),"",INDIRECT(CONCATENATE("Table!",ADDRESS($BF41,MATCH(K$1,INDIRECT("Table!A" &amp; $BJ41):INDIRECT("Table!" &amp; $BV$88 &amp; $BJ41),0)))))/1024</f>
        <v>0.36943359374999996</v>
      </c>
      <c r="L41" s="709">
        <f ca="1">IF(ISERROR(MATCH(L$1,INDIRECT("Table!A"&amp;$BJ41):INDIRECT("Table!" &amp; $BV$88 &amp; $BJ41),0)),"",INDIRECT(CONCATENATE("Table!",ADDRESS($BF41,MATCH(L$1,INDIRECT("Table!A" &amp; $BJ41):INDIRECT("Table!" &amp; $BV$88 &amp; $BJ41),0)))))/1024</f>
        <v>153.97255859374999</v>
      </c>
      <c r="M41" s="709">
        <f ca="1">IF(ISERROR(MATCH(M$1,INDIRECT("Table!A"&amp;$BJ41):INDIRECT("Table!" &amp; $BV$88 &amp; $BJ41),0)),"",INDIRECT(CONCATENATE("Table!",ADDRESS($BF41,MATCH(M$1,INDIRECT("Table!A" &amp; $BJ41):INDIRECT("Table!" &amp; $BV$88 &amp; $BJ41),0)))))/1024</f>
        <v>54.655468749999997</v>
      </c>
      <c r="N41" s="709">
        <f ca="1">IF(ISERROR(MATCH(N$1,INDIRECT("Table!A"&amp;$BJ41):INDIRECT("Table!" &amp; $BV$88 &amp; $BJ41),0)),"",INDIRECT(CONCATENATE("Table!",ADDRESS($BF41,MATCH(N$1,INDIRECT("Table!A" &amp; $BJ41):INDIRECT("Table!" &amp; $BV$88 &amp; $BJ41),0)))))/1024</f>
        <v>56.879980468749999</v>
      </c>
      <c r="O41" s="709">
        <f ca="1">IF(ISERROR(MATCH(O$1,INDIRECT("Table!A"&amp;$BJ41):INDIRECT("Table!" &amp; $BV$88 &amp; $BJ41),0)),"",INDIRECT(CONCATENATE("Table!",ADDRESS($BF41,MATCH(O$1,INDIRECT("Table!A" &amp; $BJ41):INDIRECT("Table!" &amp; $BV$88 &amp; $BJ41),0)))))/1024</f>
        <v>161.09375</v>
      </c>
      <c r="P41" s="709">
        <f ca="1">IF(ISERROR(MATCH(P$1,INDIRECT("Table!A"&amp;$BJ41):INDIRECT("Table!" &amp; $BV$88 &amp; $BJ41),0)),"",INDIRECT(CONCATENATE("Table!",ADDRESS($BF41,MATCH(P$1,INDIRECT("Table!A" &amp; $BJ41):INDIRECT("Table!" &amp; $BV$88 &amp; $BJ41),0)))))/1024</f>
        <v>22.153906249999999</v>
      </c>
      <c r="Q41" s="709">
        <f ca="1">IF(ISERROR(MATCH(Q$1,INDIRECT("Table!A"&amp;$BJ41):INDIRECT("Table!" &amp; $BV$88 &amp; $BJ41),0)),"",INDIRECT(CONCATENATE("Table!",ADDRESS($BF41,MATCH(Q$1,INDIRECT("Table!A" &amp; $BJ41):INDIRECT("Table!" &amp; $BV$88 &amp; $BJ41),0)))))/1024</f>
        <v>31.175195312500001</v>
      </c>
      <c r="R41" s="709">
        <f ca="1">IF(ISERROR(MATCH(R$1,INDIRECT("Table!A"&amp;$BJ41):INDIRECT("Table!" &amp; $BV$88 &amp; $BJ41),0)),"",INDIRECT(CONCATENATE("Table!",ADDRESS($BF41,MATCH(R$1,INDIRECT("Table!A" &amp; $BJ41):INDIRECT("Table!" &amp; $BV$88 &amp; $BJ41),0)))))/1024</f>
        <v>30.605371093750001</v>
      </c>
      <c r="S41" s="709">
        <f ca="1">IF(ISERROR(MATCH(S$1,INDIRECT("Table!A"&amp;$BJ41):INDIRECT("Table!" &amp; $BV$43 &amp; $BJ41),0)),"",INDIRECT(CONCATENATE("Table!",ADDRESS($BF41,MATCH(S$1,INDIRECT("Table!A" &amp; $BJ41):INDIRECT("Table!" &amp; $BV$43 &amp; $BJ41),0)))))/1024</f>
        <v>11.3736328125</v>
      </c>
      <c r="T41" s="709">
        <f ca="1">IF(ISERROR(MATCH(T$1,INDIRECT("Table!A"&amp;$BJ41):INDIRECT("Table!" &amp; $BV$43 &amp; $BJ41),0)),"",INDIRECT(CONCATENATE("Table!",ADDRESS($BF41,MATCH(T$1,INDIRECT("Table!A" &amp; $BJ41):INDIRECT("Table!" &amp; $BV$43 &amp; $BJ41),0)))))/1024</f>
        <v>5.4617187500000002</v>
      </c>
      <c r="U41" s="709"/>
      <c r="V41" s="909"/>
      <c r="W41" s="909"/>
      <c r="X41" s="909"/>
      <c r="Y41" s="909"/>
      <c r="Z41" s="909"/>
      <c r="AA41" s="909"/>
      <c r="AB41" s="909"/>
      <c r="AC41" s="709" t="str">
        <f ca="1">IF(ISERROR(MATCH(AC$1,INDIRECT("Table!A"&amp;$BJ41):INDIRECT("Table!" &amp; $BV$88 &amp; $BJ41),0)),"",INDIRECT(CONCATENATE("Table!",ADDRESS($BF41,MATCH(AC$1,INDIRECT("Table!A" &amp; $BJ41):INDIRECT("Table!" &amp; $BV$88 &amp; $BJ41),0)))))</f>
        <v/>
      </c>
      <c r="AD41" s="709">
        <f ca="1">IF(ISERROR(MATCH(AD$1,INDIRECT("Table!A"&amp;$BJ41):INDIRECT("Table!" &amp; $BV$88 &amp; $BJ41),0)),"",INDIRECT(CONCATENATE("Table!",ADDRESS($BN41,MATCH(AD$1,INDIRECT("Table!A" &amp; $BJ41):INDIRECT("Table!" &amp; $BV$88 &amp; $BJ41),0)))))/1024</f>
        <v>140.0322265625</v>
      </c>
      <c r="AE41" s="709">
        <f ca="1">IF(ISERROR(MATCH(AE$1,INDIRECT("Table!A"&amp;$BJ41):INDIRECT("Table!" &amp; $BV$88 &amp; $BJ41),0)),"",INDIRECT(CONCATENATE("Table!",ADDRESS($BN41,MATCH(AE$1,INDIRECT("Table!A" &amp; $BJ41):INDIRECT("Table!" &amp; $BV$88 &amp; $BJ41),0)))))/1024</f>
        <v>146.98896484375001</v>
      </c>
      <c r="AF41" s="709">
        <f ca="1">IF(ISERROR(MATCH(AF$1,INDIRECT("Table!A"&amp;$BJ41):INDIRECT("Table!" &amp; $BV$88 &amp; $BJ41),0)),"",INDIRECT(CONCATENATE("Table!",ADDRESS($BN41,MATCH(AF$1,INDIRECT("Table!A" &amp; $BJ41):INDIRECT("Table!" &amp; $BV$88 &amp; $BJ41),0)))))/1024</f>
        <v>146.98896484375001</v>
      </c>
      <c r="AG41" s="709">
        <f ca="1">IF(ISERROR(MATCH(AG$1,INDIRECT("Table!A"&amp;$BJ41):INDIRECT("Table!" &amp; $BV$88 &amp; $BJ41),0)),"",INDIRECT(CONCATENATE("Table!",ADDRESS($BN41,MATCH(AG$1,INDIRECT("Table!A" &amp; $BJ41):INDIRECT("Table!" &amp; $BV$88 &amp; $BJ41),0)))))/1024</f>
        <v>177.73320312499999</v>
      </c>
      <c r="AH41" s="709">
        <f ca="1">IF(ISERROR(MATCH(AH$1,INDIRECT("Table!A"&amp;$BJ41):INDIRECT("Table!" &amp; $BV$88 &amp; $BJ41),0)),"",INDIRECT(CONCATENATE("Table!",ADDRESS($BN41,MATCH(AH$1,INDIRECT("Table!A" &amp; $BJ41):INDIRECT("Table!" &amp; $BV$88 &amp; $BJ41),0)))))/1024</f>
        <v>161.57568359375</v>
      </c>
      <c r="AI41" s="709">
        <f ca="1">IF(ISERROR(MATCH(AI$1,INDIRECT("Table!A"&amp;$BJ41):INDIRECT("Table!" &amp; $BV$88 &amp; $BJ41),0)),"",INDIRECT(CONCATENATE("Table!",ADDRESS($BN41,MATCH(AI$1,INDIRECT("Table!A" &amp; $BJ41):INDIRECT("Table!" &amp; $BV$88 &amp; $BJ41),0)))))/1024</f>
        <v>129.03603515624999</v>
      </c>
      <c r="AJ41" s="709">
        <f ca="1">IF(ISERROR(MATCH(AJ$1,INDIRECT("Table!A"&amp;$BJ41):INDIRECT("Table!" &amp; $BV$88 &amp; $BJ41),0)),"",INDIRECT(CONCATENATE("Table!",ADDRESS($BN41,MATCH(AJ$1,INDIRECT("Table!A" &amp; $BJ41):INDIRECT("Table!" &amp; $BV$88 &amp; $BJ41),0)))))/1024</f>
        <v>166.96152343750001</v>
      </c>
      <c r="AK41" s="709">
        <f ca="1">IF(ISERROR(MATCH(AK$1,INDIRECT("Table!A"&amp;$BJ41):INDIRECT("Table!" &amp; $BV$88 &amp; $BJ41),0)),"",INDIRECT(CONCATENATE("Table!",ADDRESS($BN41,MATCH(AK$1,INDIRECT("Table!A" &amp; $BJ41):INDIRECT("Table!" &amp; $BV$88 &amp; $BJ41),0)))))/1024</f>
        <v>161.57568359375</v>
      </c>
      <c r="AL41" s="709">
        <f ca="1">IF(ISERROR(MATCH(AL$1,INDIRECT("Table!A"&amp;$BJ41):INDIRECT("Table!" &amp; $BV$88 &amp; $BJ41),0)),"",INDIRECT(CONCATENATE("Table!",ADDRESS($BN41,MATCH(AL$1,INDIRECT("Table!A" &amp; $BJ41):INDIRECT("Table!" &amp; $BV$88 &amp; $BJ41),0)))))/1024</f>
        <v>90.245703125000006</v>
      </c>
      <c r="AM41" s="709">
        <f ca="1">IF(ISERROR(MATCH(AM$1,INDIRECT("Table!A"&amp;$BJ41):INDIRECT("Table!" &amp; $BV$88 &amp; $BJ41),0)),"",INDIRECT(CONCATENATE("Table!",ADDRESS($BN41,MATCH(AM$1,INDIRECT("Table!A" &amp; $BJ41):INDIRECT("Table!" &amp; $BV$88 &amp; $BJ41),0)))))/1024</f>
        <v>210.22119140625</v>
      </c>
      <c r="AN41" s="709">
        <f ca="1">IF(ISERROR(MATCH(AN$1,INDIRECT("Table!A"&amp;$BJ41):INDIRECT("Table!" &amp; $BV$88 &amp; $BJ41),0)),"",INDIRECT(CONCATENATE("Table!",ADDRESS($BN41,MATCH(AN$1,INDIRECT("Table!A" &amp; $BJ41):INDIRECT("Table!" &amp; $BV$88 &amp; $BJ41),0)))))/1024</f>
        <v>188.50498046875001</v>
      </c>
      <c r="AO41" s="709">
        <f ca="1">IF(ISERROR(MATCH(AO$1,INDIRECT("Table!A"&amp;$BJ41):INDIRECT("Table!" &amp; $BV$88 &amp; $BJ41),0)),"",INDIRECT(CONCATENATE("Table!",ADDRESS($BN41,MATCH(AO$1,INDIRECT("Table!A" &amp; $BJ41):INDIRECT("Table!" &amp; $BV$88 &amp; $BJ41),0)))))/1024</f>
        <v>129.03603515624999</v>
      </c>
      <c r="AP41" s="709">
        <f ca="1">IF(ISERROR(MATCH(AP$1,INDIRECT("Table!A"&amp;$BJ41):INDIRECT("Table!" &amp; $BV$88 &amp; $BJ41),0)),"",INDIRECT(CONCATENATE("Table!",ADDRESS($BN41,MATCH(AP$1,INDIRECT("Table!A" &amp; $BJ41):INDIRECT("Table!" &amp; $BV$88 &amp; $BJ41),0)))))/1024</f>
        <v>80.787695312500006</v>
      </c>
      <c r="AQ41" s="709">
        <f ca="1">IF(ISERROR(MATCH(AQ$1,INDIRECT("Table!A"&amp;$BJ41):INDIRECT("Table!" &amp; $BV$88 &amp; $BJ41),0)),"",INDIRECT(CONCATENATE("Table!",ADDRESS($BN41,MATCH(AQ$1,INDIRECT("Table!A" &amp; $BJ41):INDIRECT("Table!" &amp; $BV$88 &amp; $BJ41),0)))))/1024</f>
        <v>269.2919921875</v>
      </c>
      <c r="AR41" s="709">
        <f ca="1">IF(ISERROR(MATCH(AR$1,INDIRECT("Table!A"&amp;$BJ41):INDIRECT("Table!" &amp; $BV$88 &amp; $BJ41),0)),"",INDIRECT(CONCATENATE("Table!",ADDRESS($BN41,MATCH(AR$1,INDIRECT("Table!A" &amp; $BJ41):INDIRECT("Table!" &amp; $BV$88 &amp; $BJ41),0)))))/1024</f>
        <v>80.787695312500006</v>
      </c>
      <c r="AS41" s="709">
        <f ca="1">IF(ISERROR(MATCH(AS$1,INDIRECT("Table!A"&amp;$BJ41):INDIRECT("Table!" &amp; $BV$88 &amp; $BJ41),0)),"",INDIRECT(CONCATENATE("Table!",ADDRESS($BN41,MATCH(AS$1,INDIRECT("Table!A" &amp; $BJ41):INDIRECT("Table!" &amp; $BV$88 &amp; $BJ41),0)))))/1024</f>
        <v>184.55234375000001</v>
      </c>
      <c r="AT41" s="709">
        <f ca="1">IF(ISERROR(MATCH(AT$1,INDIRECT("Table!A"&amp;$BJ41):INDIRECT("Table!" &amp; $BV$88 &amp; $BJ41),0)),"",INDIRECT(CONCATENATE("Table!",ADDRESS($BN41,MATCH(AT$1,INDIRECT("Table!A" &amp; $BJ41):INDIRECT("Table!" &amp; $BV$88 &amp; $BJ41),0)))))/1024</f>
        <v>210.22119140625</v>
      </c>
      <c r="AU41" s="709">
        <f ca="1">IF(ISERROR(MATCH(AU$1,INDIRECT("Table!A"&amp;$BJ41):INDIRECT("Table!" &amp; $BV$88 &amp; $BJ41),0)),"",INDIRECT(CONCATENATE("Table!",ADDRESS($BN41,MATCH(AU$1,INDIRECT("Table!A" &amp; $BJ41):INDIRECT("Table!" &amp; $BV$88 &amp; $BJ41),0)))))/1024</f>
        <v>53.8583984375</v>
      </c>
      <c r="AV41" s="709">
        <f ca="1">IF(ISERROR(MATCH(AV$1,INDIRECT("Table!A"&amp;$BJ41):INDIRECT("Table!" &amp; $BV$88 &amp; $BJ41),0)),"",INDIRECT(CONCATENATE("Table!",ADDRESS($BN41,MATCH(AV$1,INDIRECT("Table!A" &amp; $BJ41):INDIRECT("Table!" &amp; $BV$88 &amp; $BJ41),0)))))/1024</f>
        <v>32.31494140625</v>
      </c>
      <c r="AW41" s="709"/>
      <c r="AX41" s="909"/>
      <c r="AY41" s="909"/>
      <c r="AZ41" s="909"/>
      <c r="BA41" s="909"/>
      <c r="BB41" s="909"/>
      <c r="BC41" s="909"/>
      <c r="BD41" s="909"/>
      <c r="BE41" s="909"/>
      <c r="BF41" s="704">
        <f>MATCH($A41,Table!$A:$A,0)+$BH$2-1</f>
        <v>535</v>
      </c>
      <c r="BG41" s="705"/>
      <c r="BH41" s="705"/>
      <c r="BI41" s="705"/>
      <c r="BJ41" s="717">
        <f>MATCH($A41,Table!$A:$A,0)+$BL$2-1</f>
        <v>533</v>
      </c>
      <c r="BK41" s="705"/>
      <c r="BL41" s="705"/>
      <c r="BM41" s="705"/>
      <c r="BN41" s="704">
        <f>MATCH($A41,Table!$A:$A,0)+$BP$2-1</f>
        <v>534</v>
      </c>
      <c r="BO41" s="705"/>
      <c r="BP41" s="705"/>
      <c r="BQ41" s="705"/>
      <c r="BR41" s="717">
        <f>MATCH($A41,Table!$A:$A,0)+$BL$2-1</f>
        <v>533</v>
      </c>
      <c r="BS41" s="705"/>
      <c r="BT41" s="705"/>
      <c r="BU41" s="705"/>
      <c r="BV41" s="711" t="s">
        <v>284</v>
      </c>
      <c r="BW41" s="712">
        <f t="shared" ca="1" si="12"/>
        <v>2760.7144531250005</v>
      </c>
      <c r="BX41" s="712">
        <f t="shared" ca="1" si="45"/>
        <v>1157.6501953125</v>
      </c>
      <c r="BY41" s="712">
        <f t="shared" ca="1" si="43"/>
        <v>1603.0642578125005</v>
      </c>
      <c r="BZ41" s="718">
        <f t="shared" ca="1" si="44"/>
        <v>0.41932992888927495</v>
      </c>
      <c r="CA41" s="712">
        <f ca="1">SUMIF('Alloc Feed'!A:A,A:A,'Alloc Feed'!I:I)</f>
        <v>5516.0221757812496</v>
      </c>
      <c r="CB41" s="718">
        <f t="shared" ca="1" si="42"/>
        <v>1.998041546650132</v>
      </c>
    </row>
    <row r="42" spans="1:80" s="267" customFormat="1" x14ac:dyDescent="0.25">
      <c r="A42" s="703">
        <v>41470</v>
      </c>
      <c r="B42" s="709">
        <f ca="1">IF(ISERROR(MATCH(B$1,INDIRECT("Table!A"&amp;$BJ42):INDIRECT("Table!" &amp; $BV$88 &amp; $BJ42),0)),"",INDIRECT(CONCATENATE("Table!",ADDRESS($BF42,MATCH(B$1,INDIRECT("Table!A" &amp; $BJ42):INDIRECT("Table!" &amp; $BV$88 &amp; $BJ42),0)))))/1024</f>
        <v>43.751074218749999</v>
      </c>
      <c r="C42" s="709">
        <f ca="1">IF(ISERROR(MATCH(C$1,INDIRECT("Table!A"&amp;$BJ42):INDIRECT("Table!" &amp; $BV$88 &amp; $BJ42),0)),"",INDIRECT(CONCATENATE("Table!",ADDRESS($BF42,MATCH(C$1,INDIRECT("Table!A" &amp; $BJ42):INDIRECT("Table!" &amp; $BV$88 &amp; $BJ42),0)))))/1024</f>
        <v>76.949804687500006</v>
      </c>
      <c r="D42" s="709">
        <f ca="1">IF(ISERROR(MATCH(D$1,INDIRECT("Table!A"&amp;$BJ42):INDIRECT("Table!" &amp; $BV$88 &amp; $BJ42),0)),"",INDIRECT(CONCATENATE("Table!",ADDRESS($BF42,MATCH(D$1,INDIRECT("Table!A" &amp; $BJ42):INDIRECT("Table!" &amp; $BV$88 &amp; $BJ42),0)))))/1024</f>
        <v>78.396679687499997</v>
      </c>
      <c r="E42" s="709">
        <f ca="1">IF(ISERROR(MATCH(E$1,INDIRECT("Table!A"&amp;$BJ42):INDIRECT("Table!" &amp; $BV$88 &amp; $BJ42),0)),"",INDIRECT(CONCATENATE("Table!",ADDRESS($BF42,MATCH(E$1,INDIRECT("Table!A" &amp; $BJ42):INDIRECT("Table!" &amp; $BV$88 &amp; $BJ42),0)))))/1024</f>
        <v>141.10488281249999</v>
      </c>
      <c r="F42" s="709">
        <f ca="1">IF(ISERROR(MATCH(F$1,INDIRECT("Table!A"&amp;$BJ42):INDIRECT("Table!" &amp; $BV$88 &amp; $BJ42),0)),"",INDIRECT(CONCATENATE("Table!",ADDRESS($BF42,MATCH(F$1,INDIRECT("Table!A" &amp; $BJ42):INDIRECT("Table!" &amp; $BV$88 &amp; $BJ42),0)))))/1024</f>
        <v>109.53271484375</v>
      </c>
      <c r="G42" s="709">
        <f ca="1">IF(ISERROR(MATCH(G$1,INDIRECT("Table!A"&amp;$BJ42):INDIRECT("Table!" &amp; $BV$88 &amp; $BJ42),0)),"",INDIRECT(CONCATENATE("Table!",ADDRESS($BF42,MATCH(G$1,INDIRECT("Table!A" &amp; $BJ42):INDIRECT("Table!" &amp; $BV$88 &amp; $BJ42),0)))))/1024</f>
        <v>58.476757812499997</v>
      </c>
      <c r="H42" s="709">
        <f ca="1">IF(ISERROR(MATCH(H$1,INDIRECT("Table!A"&amp;$BJ42):INDIRECT("Table!" &amp; $BV$88 &amp; $BJ42),0)),"",INDIRECT(CONCATENATE("Table!",ADDRESS($BF42,MATCH(H$1,INDIRECT("Table!A" &amp; $BJ42):INDIRECT("Table!" &amp; $BV$88 &amp; $BJ42),0)))))/1024</f>
        <v>88.043359374999994</v>
      </c>
      <c r="I42" s="709">
        <f ca="1">IF(ISERROR(MATCH(I$1,INDIRECT("Table!A"&amp;$BJ42):INDIRECT("Table!" &amp; $BV$88 &amp; $BJ42),0)),"",INDIRECT(CONCATENATE("Table!",ADDRESS($BF42,MATCH(I$1,INDIRECT("Table!A" &amp; $BJ42):INDIRECT("Table!" &amp; $BV$88 &amp; $BJ42),0)))))/1024</f>
        <v>69.513378906249997</v>
      </c>
      <c r="J42" s="709">
        <f ca="1">IF(ISERROR(MATCH(J$1,INDIRECT("Table!A"&amp;$BJ42):INDIRECT("Table!" &amp; $BV$88 &amp; $BJ42),0)),"",INDIRECT(CONCATENATE("Table!",ADDRESS($BF42,MATCH(J$1,INDIRECT("Table!A" &amp; $BJ42):INDIRECT("Table!" &amp; $BV$88 &amp; $BJ42),0)))))/1024</f>
        <v>10.853515625</v>
      </c>
      <c r="K42" s="709">
        <f ca="1">IF(ISERROR(MATCH(K$1,INDIRECT("Table!A"&amp;$BJ42):INDIRECT("Table!" &amp; $BV$88 &amp; $BJ42),0)),"",INDIRECT(CONCATENATE("Table!",ADDRESS($BF42,MATCH(K$1,INDIRECT("Table!A" &amp; $BJ42):INDIRECT("Table!" &amp; $BV$88 &amp; $BJ42),0)))))/1024</f>
        <v>6.0937499999999999E-2</v>
      </c>
      <c r="L42" s="709">
        <f ca="1">IF(ISERROR(MATCH(L$1,INDIRECT("Table!A"&amp;$BJ42):INDIRECT("Table!" &amp; $BV$88 &amp; $BJ42),0)),"",INDIRECT(CONCATENATE("Table!",ADDRESS($BF42,MATCH(L$1,INDIRECT("Table!A" &amp; $BJ42):INDIRECT("Table!" &amp; $BV$88 &amp; $BJ42),0)))))/1024</f>
        <v>153.28876953125001</v>
      </c>
      <c r="M42" s="709">
        <f ca="1">IF(ISERROR(MATCH(M$1,INDIRECT("Table!A"&amp;$BJ42):INDIRECT("Table!" &amp; $BV$88 &amp; $BJ42),0)),"",INDIRECT(CONCATENATE("Table!",ADDRESS($BF42,MATCH(M$1,INDIRECT("Table!A" &amp; $BJ42):INDIRECT("Table!" &amp; $BV$88 &amp; $BJ42),0)))))/1024</f>
        <v>54.05078125</v>
      </c>
      <c r="N42" s="709">
        <f ca="1">IF(ISERROR(MATCH(N$1,INDIRECT("Table!A"&amp;$BJ42):INDIRECT("Table!" &amp; $BV$88 &amp; $BJ42),0)),"",INDIRECT(CONCATENATE("Table!",ADDRESS($BF42,MATCH(N$1,INDIRECT("Table!A" &amp; $BJ42):INDIRECT("Table!" &amp; $BV$88 &amp; $BJ42),0)))))/1024</f>
        <v>56.203125</v>
      </c>
      <c r="O42" s="709">
        <f ca="1">IF(ISERROR(MATCH(O$1,INDIRECT("Table!A"&amp;$BJ42):INDIRECT("Table!" &amp; $BV$88 &amp; $BJ42),0)),"",INDIRECT(CONCATENATE("Table!",ADDRESS($BF42,MATCH(O$1,INDIRECT("Table!A" &amp; $BJ42):INDIRECT("Table!" &amp; $BV$88 &amp; $BJ42),0)))))/1024</f>
        <v>160.26904296875</v>
      </c>
      <c r="P42" s="709">
        <f ca="1">IF(ISERROR(MATCH(P$1,INDIRECT("Table!A"&amp;$BJ42):INDIRECT("Table!" &amp; $BV$88 &amp; $BJ42),0)),"",INDIRECT(CONCATENATE("Table!",ADDRESS($BF42,MATCH(P$1,INDIRECT("Table!A" &amp; $BJ42):INDIRECT("Table!" &amp; $BV$88 &amp; $BJ42),0)))))/1024</f>
        <v>21.664355468749999</v>
      </c>
      <c r="Q42" s="709">
        <f ca="1">IF(ISERROR(MATCH(Q$1,INDIRECT("Table!A"&amp;$BJ42):INDIRECT("Table!" &amp; $BV$88 &amp; $BJ42),0)),"",INDIRECT(CONCATENATE("Table!",ADDRESS($BF42,MATCH(Q$1,INDIRECT("Table!A" &amp; $BJ42):INDIRECT("Table!" &amp; $BV$88 &amp; $BJ42),0)))))/1024</f>
        <v>17.597949218749999</v>
      </c>
      <c r="R42" s="709">
        <f ca="1">IF(ISERROR(MATCH(R$1,INDIRECT("Table!A"&amp;$BJ42):INDIRECT("Table!" &amp; $BV$88 &amp; $BJ42),0)),"",INDIRECT(CONCATENATE("Table!",ADDRESS($BF42,MATCH(R$1,INDIRECT("Table!A" &amp; $BJ42):INDIRECT("Table!" &amp; $BV$88 &amp; $BJ42),0)))))/1024</f>
        <v>19.283105468750001</v>
      </c>
      <c r="S42" s="709">
        <f ca="1">IF(ISERROR(MATCH(S$1,INDIRECT("Table!A"&amp;$BJ42):INDIRECT("Table!" &amp; $BV$43 &amp; $BJ42),0)),"",INDIRECT(CONCATENATE("Table!",ADDRESS($BF42,MATCH(S$1,INDIRECT("Table!A" &amp; $BJ42):INDIRECT("Table!" &amp; $BV$43 &amp; $BJ42),0)))))/1024</f>
        <v>11.181640625</v>
      </c>
      <c r="T42" s="709">
        <f ca="1">IF(ISERROR(MATCH(T$1,INDIRECT("Table!A"&amp;$BJ42):INDIRECT("Table!" &amp; $BV$43 &amp; $BJ42),0)),"",INDIRECT(CONCATENATE("Table!",ADDRESS($BF42,MATCH(T$1,INDIRECT("Table!A" &amp; $BJ42):INDIRECT("Table!" &amp; $BV$43 &amp; $BJ42),0)))))/1024</f>
        <v>5.4215820312499998</v>
      </c>
      <c r="U42" s="709"/>
      <c r="V42" s="909"/>
      <c r="W42" s="909"/>
      <c r="X42" s="909"/>
      <c r="Y42" s="909"/>
      <c r="Z42" s="909"/>
      <c r="AA42" s="909"/>
      <c r="AB42" s="909"/>
      <c r="AC42" s="709" t="str">
        <f ca="1">IF(ISERROR(MATCH(AC$1,INDIRECT("Table!A"&amp;$BJ42):INDIRECT("Table!" &amp; $BV$88 &amp; $BJ42),0)),"",INDIRECT(CONCATENATE("Table!",ADDRESS($BF42,MATCH(AC$1,INDIRECT("Table!A" &amp; $BJ42):INDIRECT("Table!" &amp; $BV$88 &amp; $BJ42),0)))))</f>
        <v/>
      </c>
      <c r="AD42" s="709">
        <f ca="1">IF(ISERROR(MATCH(AD$1,INDIRECT("Table!A"&amp;$BJ42):INDIRECT("Table!" &amp; $BV$88 &amp; $BJ42),0)),"",INDIRECT(CONCATENATE("Table!",ADDRESS($BN42,MATCH(AD$1,INDIRECT("Table!A" &amp; $BJ42):INDIRECT("Table!" &amp; $BV$88 &amp; $BJ42),0)))))/1024</f>
        <v>140.0322265625</v>
      </c>
      <c r="AE42" s="709">
        <f ca="1">IF(ISERROR(MATCH(AE$1,INDIRECT("Table!A"&amp;$BJ42):INDIRECT("Table!" &amp; $BV$88 &amp; $BJ42),0)),"",INDIRECT(CONCATENATE("Table!",ADDRESS($BN42,MATCH(AE$1,INDIRECT("Table!A" &amp; $BJ42):INDIRECT("Table!" &amp; $BV$88 &amp; $BJ42),0)))))/1024</f>
        <v>146.98896484375001</v>
      </c>
      <c r="AF42" s="709">
        <f ca="1">IF(ISERROR(MATCH(AF$1,INDIRECT("Table!A"&amp;$BJ42):INDIRECT("Table!" &amp; $BV$88 &amp; $BJ42),0)),"",INDIRECT(CONCATENATE("Table!",ADDRESS($BN42,MATCH(AF$1,INDIRECT("Table!A" &amp; $BJ42):INDIRECT("Table!" &amp; $BV$88 &amp; $BJ42),0)))))/1024</f>
        <v>146.98896484375001</v>
      </c>
      <c r="AG42" s="709">
        <f ca="1">IF(ISERROR(MATCH(AG$1,INDIRECT("Table!A"&amp;$BJ42):INDIRECT("Table!" &amp; $BV$88 &amp; $BJ42),0)),"",INDIRECT(CONCATENATE("Table!",ADDRESS($BN42,MATCH(AG$1,INDIRECT("Table!A" &amp; $BJ42):INDIRECT("Table!" &amp; $BV$88 &amp; $BJ42),0)))))/1024</f>
        <v>177.73320312499999</v>
      </c>
      <c r="AH42" s="709">
        <f ca="1">IF(ISERROR(MATCH(AH$1,INDIRECT("Table!A"&amp;$BJ42):INDIRECT("Table!" &amp; $BV$88 &amp; $BJ42),0)),"",INDIRECT(CONCATENATE("Table!",ADDRESS($BN42,MATCH(AH$1,INDIRECT("Table!A" &amp; $BJ42):INDIRECT("Table!" &amp; $BV$88 &amp; $BJ42),0)))))/1024</f>
        <v>161.57568359375</v>
      </c>
      <c r="AI42" s="709">
        <f ca="1">IF(ISERROR(MATCH(AI$1,INDIRECT("Table!A"&amp;$BJ42):INDIRECT("Table!" &amp; $BV$88 &amp; $BJ42),0)),"",INDIRECT(CONCATENATE("Table!",ADDRESS($BN42,MATCH(AI$1,INDIRECT("Table!A" &amp; $BJ42):INDIRECT("Table!" &amp; $BV$88 &amp; $BJ42),0)))))/1024</f>
        <v>129.03603515624999</v>
      </c>
      <c r="AJ42" s="709">
        <f ca="1">IF(ISERROR(MATCH(AJ$1,INDIRECT("Table!A"&amp;$BJ42):INDIRECT("Table!" &amp; $BV$88 &amp; $BJ42),0)),"",INDIRECT(CONCATENATE("Table!",ADDRESS($BN42,MATCH(AJ$1,INDIRECT("Table!A" &amp; $BJ42):INDIRECT("Table!" &amp; $BV$88 &amp; $BJ42),0)))))/1024</f>
        <v>166.96152343750001</v>
      </c>
      <c r="AK42" s="709">
        <f ca="1">IF(ISERROR(MATCH(AK$1,INDIRECT("Table!A"&amp;$BJ42):INDIRECT("Table!" &amp; $BV$88 &amp; $BJ42),0)),"",INDIRECT(CONCATENATE("Table!",ADDRESS($BN42,MATCH(AK$1,INDIRECT("Table!A" &amp; $BJ42):INDIRECT("Table!" &amp; $BV$88 &amp; $BJ42),0)))))/1024</f>
        <v>161.57568359375</v>
      </c>
      <c r="AL42" s="709">
        <f ca="1">IF(ISERROR(MATCH(AL$1,INDIRECT("Table!A"&amp;$BJ42):INDIRECT("Table!" &amp; $BV$88 &amp; $BJ42),0)),"",INDIRECT(CONCATENATE("Table!",ADDRESS($BN42,MATCH(AL$1,INDIRECT("Table!A" &amp; $BJ42):INDIRECT("Table!" &amp; $BV$88 &amp; $BJ42),0)))))/1024</f>
        <v>90.245703125000006</v>
      </c>
      <c r="AM42" s="709">
        <f ca="1">IF(ISERROR(MATCH(AM$1,INDIRECT("Table!A"&amp;$BJ42):INDIRECT("Table!" &amp; $BV$88 &amp; $BJ42),0)),"",INDIRECT(CONCATENATE("Table!",ADDRESS($BN42,MATCH(AM$1,INDIRECT("Table!A" &amp; $BJ42):INDIRECT("Table!" &amp; $BV$88 &amp; $BJ42),0)))))/1024</f>
        <v>210.22119140625</v>
      </c>
      <c r="AN42" s="709">
        <f ca="1">IF(ISERROR(MATCH(AN$1,INDIRECT("Table!A"&amp;$BJ42):INDIRECT("Table!" &amp; $BV$88 &amp; $BJ42),0)),"",INDIRECT(CONCATENATE("Table!",ADDRESS($BN42,MATCH(AN$1,INDIRECT("Table!A" &amp; $BJ42):INDIRECT("Table!" &amp; $BV$88 &amp; $BJ42),0)))))/1024</f>
        <v>188.50498046875001</v>
      </c>
      <c r="AO42" s="709">
        <f ca="1">IF(ISERROR(MATCH(AO$1,INDIRECT("Table!A"&amp;$BJ42):INDIRECT("Table!" &amp; $BV$88 &amp; $BJ42),0)),"",INDIRECT(CONCATENATE("Table!",ADDRESS($BN42,MATCH(AO$1,INDIRECT("Table!A" &amp; $BJ42):INDIRECT("Table!" &amp; $BV$88 &amp; $BJ42),0)))))/1024</f>
        <v>129.03603515624999</v>
      </c>
      <c r="AP42" s="709">
        <f ca="1">IF(ISERROR(MATCH(AP$1,INDIRECT("Table!A"&amp;$BJ42):INDIRECT("Table!" &amp; $BV$88 &amp; $BJ42),0)),"",INDIRECT(CONCATENATE("Table!",ADDRESS($BN42,MATCH(AP$1,INDIRECT("Table!A" &amp; $BJ42):INDIRECT("Table!" &amp; $BV$88 &amp; $BJ42),0)))))/1024</f>
        <v>80.787695312500006</v>
      </c>
      <c r="AQ42" s="709">
        <f ca="1">IF(ISERROR(MATCH(AQ$1,INDIRECT("Table!A"&amp;$BJ42):INDIRECT("Table!" &amp; $BV$88 &amp; $BJ42),0)),"",INDIRECT(CONCATENATE("Table!",ADDRESS($BN42,MATCH(AQ$1,INDIRECT("Table!A" &amp; $BJ42):INDIRECT("Table!" &amp; $BV$88 &amp; $BJ42),0)))))/1024</f>
        <v>269.2919921875</v>
      </c>
      <c r="AR42" s="709">
        <f ca="1">IF(ISERROR(MATCH(AR$1,INDIRECT("Table!A"&amp;$BJ42):INDIRECT("Table!" &amp; $BV$88 &amp; $BJ42),0)),"",INDIRECT(CONCATENATE("Table!",ADDRESS($BN42,MATCH(AR$1,INDIRECT("Table!A" &amp; $BJ42):INDIRECT("Table!" &amp; $BV$88 &amp; $BJ42),0)))))/1024</f>
        <v>80.787695312500006</v>
      </c>
      <c r="AS42" s="709">
        <f ca="1">IF(ISERROR(MATCH(AS$1,INDIRECT("Table!A"&amp;$BJ42):INDIRECT("Table!" &amp; $BV$88 &amp; $BJ42),0)),"",INDIRECT(CONCATENATE("Table!",ADDRESS($BN42,MATCH(AS$1,INDIRECT("Table!A" &amp; $BJ42):INDIRECT("Table!" &amp; $BV$88 &amp; $BJ42),0)))))/1024</f>
        <v>184.55234375000001</v>
      </c>
      <c r="AT42" s="709">
        <f ca="1">IF(ISERROR(MATCH(AT$1,INDIRECT("Table!A"&amp;$BJ42):INDIRECT("Table!" &amp; $BV$88 &amp; $BJ42),0)),"",INDIRECT(CONCATENATE("Table!",ADDRESS($BN42,MATCH(AT$1,INDIRECT("Table!A" &amp; $BJ42):INDIRECT("Table!" &amp; $BV$88 &amp; $BJ42),0)))))/1024</f>
        <v>210.22119140625</v>
      </c>
      <c r="AU42" s="709">
        <f ca="1">IF(ISERROR(MATCH(AU$1,INDIRECT("Table!A"&amp;$BJ42):INDIRECT("Table!" &amp; $BV$88 &amp; $BJ42),0)),"",INDIRECT(CONCATENATE("Table!",ADDRESS($BN42,MATCH(AU$1,INDIRECT("Table!A" &amp; $BJ42):INDIRECT("Table!" &amp; $BV$88 &amp; $BJ42),0)))))/1024</f>
        <v>53.8583984375</v>
      </c>
      <c r="AV42" s="709">
        <f ca="1">IF(ISERROR(MATCH(AV$1,INDIRECT("Table!A"&amp;$BJ42):INDIRECT("Table!" &amp; $BV$88 &amp; $BJ42),0)),"",INDIRECT(CONCATENATE("Table!",ADDRESS($BN42,MATCH(AV$1,INDIRECT("Table!A" &amp; $BJ42):INDIRECT("Table!" &amp; $BV$88 &amp; $BJ42),0)))))/1024</f>
        <v>32.31494140625</v>
      </c>
      <c r="AW42" s="709"/>
      <c r="AX42" s="909"/>
      <c r="AY42" s="909"/>
      <c r="AZ42" s="909"/>
      <c r="BA42" s="909"/>
      <c r="BB42" s="909"/>
      <c r="BC42" s="909"/>
      <c r="BD42" s="909"/>
      <c r="BE42" s="909"/>
      <c r="BF42" s="704">
        <f>MATCH($A42,Table!$A:$A,0)+$BH$2-1</f>
        <v>547</v>
      </c>
      <c r="BG42" s="705"/>
      <c r="BH42" s="705"/>
      <c r="BI42" s="705"/>
      <c r="BJ42" s="717">
        <f>MATCH($A42,Table!$A:$A,0)+$BL$2-1</f>
        <v>545</v>
      </c>
      <c r="BK42" s="705"/>
      <c r="BL42" s="705"/>
      <c r="BM42" s="705"/>
      <c r="BN42" s="704">
        <f>MATCH($A42,Table!$A:$A,0)+$BP$2-1</f>
        <v>546</v>
      </c>
      <c r="BO42" s="705"/>
      <c r="BP42" s="705"/>
      <c r="BQ42" s="705"/>
      <c r="BR42" s="717">
        <f>MATCH($A42,Table!$A:$A,0)+$BL$2-1</f>
        <v>545</v>
      </c>
      <c r="BS42" s="705"/>
      <c r="BT42" s="705"/>
      <c r="BU42" s="705"/>
      <c r="BV42" s="711" t="s">
        <v>284</v>
      </c>
      <c r="BW42" s="712">
        <f t="shared" ca="1" si="12"/>
        <v>2760.7144531250005</v>
      </c>
      <c r="BX42" s="712">
        <f t="shared" ca="1" si="45"/>
        <v>1175.6434570312499</v>
      </c>
      <c r="BY42" s="712">
        <f t="shared" ca="1" si="43"/>
        <v>1585.0709960937506</v>
      </c>
      <c r="BZ42" s="718">
        <f t="shared" ca="1" si="44"/>
        <v>0.42584753946590748</v>
      </c>
      <c r="CA42" s="712">
        <f ca="1">SUMIF('Alloc Feed'!A:A,A:A,'Alloc Feed'!I:I)</f>
        <v>5385.5005078124996</v>
      </c>
      <c r="CB42" s="718">
        <f t="shared" ca="1" si="42"/>
        <v>1.9507633256733101</v>
      </c>
    </row>
    <row r="43" spans="1:80" s="267" customFormat="1" x14ac:dyDescent="0.25">
      <c r="A43" s="703">
        <v>41464</v>
      </c>
      <c r="B43" s="709">
        <f ca="1">IF(ISERROR(MATCH(B$1,INDIRECT("Table!A"&amp;$BJ43):INDIRECT("Table!" &amp; $BV$88 &amp; $BJ43),0)),"",INDIRECT(CONCATENATE("Table!",ADDRESS($BF43,MATCH(B$1,INDIRECT("Table!A" &amp; $BJ43):INDIRECT("Table!" &amp; $BV$88 &amp; $BJ43),0)))))/1024</f>
        <v>42.384570312500003</v>
      </c>
      <c r="C43" s="709">
        <f ca="1">IF(ISERROR(MATCH(C$1,INDIRECT("Table!A"&amp;$BJ43):INDIRECT("Table!" &amp; $BV$88 &amp; $BJ43),0)),"",INDIRECT(CONCATENATE("Table!",ADDRESS($BF43,MATCH(C$1,INDIRECT("Table!A" &amp; $BJ43):INDIRECT("Table!" &amp; $BV$88 &amp; $BJ43),0)))))/1024</f>
        <v>76.84765625</v>
      </c>
      <c r="D43" s="709">
        <f ca="1">IF(ISERROR(MATCH(D$1,INDIRECT("Table!A"&amp;$BJ43):INDIRECT("Table!" &amp; $BV$88 &amp; $BJ43),0)),"",INDIRECT(CONCATENATE("Table!",ADDRESS($BF43,MATCH(D$1,INDIRECT("Table!A" &amp; $BJ43):INDIRECT("Table!" &amp; $BV$88 &amp; $BJ43),0)))))/1024</f>
        <v>78.296093749999997</v>
      </c>
      <c r="E43" s="709">
        <f ca="1">IF(ISERROR(MATCH(E$1,INDIRECT("Table!A"&amp;$BJ43):INDIRECT("Table!" &amp; $BV$88 &amp; $BJ43),0)),"",INDIRECT(CONCATENATE("Table!",ADDRESS($BF43,MATCH(E$1,INDIRECT("Table!A" &amp; $BJ43):INDIRECT("Table!" &amp; $BV$88 &amp; $BJ43),0)))))/1024</f>
        <v>140.40888671875001</v>
      </c>
      <c r="F43" s="709">
        <f ca="1">IF(ISERROR(MATCH(F$1,INDIRECT("Table!A"&amp;$BJ43):INDIRECT("Table!" &amp; $BV$88 &amp; $BJ43),0)),"",INDIRECT(CONCATENATE("Table!",ADDRESS($BF43,MATCH(F$1,INDIRECT("Table!A" &amp; $BJ43):INDIRECT("Table!" &amp; $BV$88 &amp; $BJ43),0)))))/1024</f>
        <v>103.073046875</v>
      </c>
      <c r="G43" s="709">
        <f ca="1">IF(ISERROR(MATCH(G$1,INDIRECT("Table!A"&amp;$BJ43):INDIRECT("Table!" &amp; $BV$88 &amp; $BJ43),0)),"",INDIRECT(CONCATENATE("Table!",ADDRESS($BF43,MATCH(G$1,INDIRECT("Table!A" &amp; $BJ43):INDIRECT("Table!" &amp; $BV$88 &amp; $BJ43),0)))))/1024</f>
        <v>57.319628906250003</v>
      </c>
      <c r="H43" s="709">
        <f ca="1">IF(ISERROR(MATCH(H$1,INDIRECT("Table!A"&amp;$BJ43):INDIRECT("Table!" &amp; $BV$88 &amp; $BJ43),0)),"",INDIRECT(CONCATENATE("Table!",ADDRESS($BF43,MATCH(H$1,INDIRECT("Table!A" &amp; $BJ43):INDIRECT("Table!" &amp; $BV$88 &amp; $BJ43),0)))))/1024</f>
        <v>86.491992187500003</v>
      </c>
      <c r="I43" s="709">
        <f ca="1">IF(ISERROR(MATCH(I$1,INDIRECT("Table!A"&amp;$BJ43):INDIRECT("Table!" &amp; $BV$88 &amp; $BJ43),0)),"",INDIRECT(CONCATENATE("Table!",ADDRESS($BF43,MATCH(I$1,INDIRECT("Table!A" &amp; $BJ43):INDIRECT("Table!" &amp; $BV$88 &amp; $BJ43),0)))))/1024</f>
        <v>8.5005859375000004</v>
      </c>
      <c r="J43" s="709">
        <f ca="1">IF(ISERROR(MATCH(J$1,INDIRECT("Table!A"&amp;$BJ43):INDIRECT("Table!" &amp; $BV$88 &amp; $BJ43),0)),"",INDIRECT(CONCATENATE("Table!",ADDRESS($BF43,MATCH(J$1,INDIRECT("Table!A" &amp; $BJ43):INDIRECT("Table!" &amp; $BV$88 &amp; $BJ43),0)))))/1024</f>
        <v>8.12451171875</v>
      </c>
      <c r="K43" s="709">
        <f ca="1">IF(ISERROR(MATCH(K$1,INDIRECT("Table!A"&amp;$BJ43):INDIRECT("Table!" &amp; $BV$88 &amp; $BJ43),0)),"",INDIRECT(CONCATENATE("Table!",ADDRESS($BF43,MATCH(K$1,INDIRECT("Table!A" &amp; $BJ43):INDIRECT("Table!" &amp; $BV$88 &amp; $BJ43),0)))))/1024</f>
        <v>4.5898437500000002E-3</v>
      </c>
      <c r="L43" s="709">
        <f ca="1">IF(ISERROR(MATCH(L$1,INDIRECT("Table!A"&amp;$BJ43):INDIRECT("Table!" &amp; $BV$88 &amp; $BJ43),0)),"",INDIRECT(CONCATENATE("Table!",ADDRESS($BF43,MATCH(L$1,INDIRECT("Table!A" &amp; $BJ43):INDIRECT("Table!" &amp; $BV$88 &amp; $BJ43),0)))))/1024</f>
        <v>158.25</v>
      </c>
      <c r="M43" s="709">
        <f ca="1">IF(ISERROR(MATCH(M$1,INDIRECT("Table!A"&amp;$BJ43):INDIRECT("Table!" &amp; $BV$88 &amp; $BJ43),0)),"",INDIRECT(CONCATENATE("Table!",ADDRESS($BF43,MATCH(M$1,INDIRECT("Table!A" &amp; $BJ43):INDIRECT("Table!" &amp; $BV$88 &amp; $BJ43),0)))))/1024</f>
        <v>53.827050781250001</v>
      </c>
      <c r="N43" s="709">
        <f ca="1">IF(ISERROR(MATCH(N$1,INDIRECT("Table!A"&amp;$BJ43):INDIRECT("Table!" &amp; $BV$88 &amp; $BJ43),0)),"",INDIRECT(CONCATENATE("Table!",ADDRESS($BF43,MATCH(N$1,INDIRECT("Table!A" &amp; $BJ43):INDIRECT("Table!" &amp; $BV$88 &amp; $BJ43),0)))))/1024</f>
        <v>52.95263671875</v>
      </c>
      <c r="O43" s="709">
        <f ca="1">IF(ISERROR(MATCH(O$1,INDIRECT("Table!A"&amp;$BJ43):INDIRECT("Table!" &amp; $BV$88 &amp; $BJ43),0)),"",INDIRECT(CONCATENATE("Table!",ADDRESS($BF43,MATCH(O$1,INDIRECT("Table!A" &amp; $BJ43):INDIRECT("Table!" &amp; $BV$88 &amp; $BJ43),0)))))/1024</f>
        <v>157.5712890625</v>
      </c>
      <c r="P43" s="709">
        <f ca="1">IF(ISERROR(MATCH(P$1,INDIRECT("Table!A"&amp;$BJ43):INDIRECT("Table!" &amp; $BV$88 &amp; $BJ43),0)),"",INDIRECT(CONCATENATE("Table!",ADDRESS($BF43,MATCH(P$1,INDIRECT("Table!A" &amp; $BJ43):INDIRECT("Table!" &amp; $BV$88 &amp; $BJ43),0)))))/1024</f>
        <v>16.544238281249999</v>
      </c>
      <c r="Q43" s="709">
        <f ca="1">IF(ISERROR(MATCH(Q$1,INDIRECT("Table!A"&amp;$BJ43):INDIRECT("Table!" &amp; $BV$88 &amp; $BJ43),0)),"",INDIRECT(CONCATENATE("Table!",ADDRESS($BF43,MATCH(Q$1,INDIRECT("Table!A" &amp; $BJ43):INDIRECT("Table!" &amp; $BV$88 &amp; $BJ43),0)))))/1024</f>
        <v>13.765625</v>
      </c>
      <c r="R43" s="709">
        <f ca="1">IF(ISERROR(MATCH(R$1,INDIRECT("Table!A"&amp;$BJ43):INDIRECT("Table!" &amp; $BV$88 &amp; $BJ43),0)),"",INDIRECT(CONCATENATE("Table!",ADDRESS($BF43,MATCH(R$1,INDIRECT("Table!A" &amp; $BJ43):INDIRECT("Table!" &amp; $BV$88 &amp; $BJ43),0)))))/1024</f>
        <v>4.39453125E-3</v>
      </c>
      <c r="S43" s="709">
        <f ca="1">IF(ISERROR(MATCH(S$1,INDIRECT("Table!A"&amp;$BJ43):INDIRECT("Table!" &amp; $BV$43 &amp; $BJ43),0)),"",INDIRECT(CONCATENATE("Table!",ADDRESS($BF43,MATCH(S$1,INDIRECT("Table!A" &amp; $BJ43):INDIRECT("Table!" &amp; $BV$43 &amp; $BJ43),0)))))/1024</f>
        <v>8.52880859375</v>
      </c>
      <c r="T43" s="709">
        <f ca="1">IF(ISERROR(MATCH(T$1,INDIRECT("Table!A"&amp;$BJ43):INDIRECT("Table!" &amp; $BV$43 &amp; $BJ43),0)),"",INDIRECT(CONCATENATE("Table!",ADDRESS($BF43,MATCH(T$1,INDIRECT("Table!A" &amp; $BJ43):INDIRECT("Table!" &amp; $BV$43 &amp; $BJ43),0)))))/1024</f>
        <v>4.935546875</v>
      </c>
      <c r="U43" s="709"/>
      <c r="V43" s="909"/>
      <c r="W43" s="909"/>
      <c r="X43" s="909"/>
      <c r="Y43" s="909"/>
      <c r="Z43" s="909"/>
      <c r="AA43" s="909"/>
      <c r="AB43" s="909"/>
      <c r="AC43" s="709" t="str">
        <f ca="1">IF(ISERROR(MATCH(AC$1,INDIRECT("Table!A"&amp;$BJ43):INDIRECT("Table!" &amp; $BV$88 &amp; $BJ43),0)),"",INDIRECT(CONCATENATE("Table!",ADDRESS($BF43,MATCH(AC$1,INDIRECT("Table!A" &amp; $BJ43):INDIRECT("Table!" &amp; $BV$88 &amp; $BJ43),0)))))</f>
        <v/>
      </c>
      <c r="AD43" s="709">
        <f ca="1">IF(ISERROR(MATCH(AD$1,INDIRECT("Table!A"&amp;$BJ43):INDIRECT("Table!" &amp; $BV$88 &amp; $BJ43),0)),"",INDIRECT(CONCATENATE("Table!",ADDRESS($BN43,MATCH(AD$1,INDIRECT("Table!A" &amp; $BJ43):INDIRECT("Table!" &amp; $BV$88 &amp; $BJ43),0)))))/1024</f>
        <v>140.0322265625</v>
      </c>
      <c r="AE43" s="709">
        <f ca="1">IF(ISERROR(MATCH(AE$1,INDIRECT("Table!A"&amp;$BJ43):INDIRECT("Table!" &amp; $BV$88 &amp; $BJ43),0)),"",INDIRECT(CONCATENATE("Table!",ADDRESS($BN43,MATCH(AE$1,INDIRECT("Table!A" &amp; $BJ43):INDIRECT("Table!" &amp; $BV$88 &amp; $BJ43),0)))))/1024</f>
        <v>146.98896484375001</v>
      </c>
      <c r="AF43" s="709">
        <f ca="1">IF(ISERROR(MATCH(AF$1,INDIRECT("Table!A"&amp;$BJ43):INDIRECT("Table!" &amp; $BV$88 &amp; $BJ43),0)),"",INDIRECT(CONCATENATE("Table!",ADDRESS($BN43,MATCH(AF$1,INDIRECT("Table!A" &amp; $BJ43):INDIRECT("Table!" &amp; $BV$88 &amp; $BJ43),0)))))/1024</f>
        <v>146.98896484375001</v>
      </c>
      <c r="AG43" s="709">
        <f ca="1">IF(ISERROR(MATCH(AG$1,INDIRECT("Table!A"&amp;$BJ43):INDIRECT("Table!" &amp; $BV$88 &amp; $BJ43),0)),"",INDIRECT(CONCATENATE("Table!",ADDRESS($BN43,MATCH(AG$1,INDIRECT("Table!A" &amp; $BJ43):INDIRECT("Table!" &amp; $BV$88 &amp; $BJ43),0)))))/1024</f>
        <v>177.73222656249999</v>
      </c>
      <c r="AH43" s="709">
        <f ca="1">IF(ISERROR(MATCH(AH$1,INDIRECT("Table!A"&amp;$BJ43):INDIRECT("Table!" &amp; $BV$88 &amp; $BJ43),0)),"",INDIRECT(CONCATENATE("Table!",ADDRESS($BN43,MATCH(AH$1,INDIRECT("Table!A" &amp; $BJ43):INDIRECT("Table!" &amp; $BV$88 &amp; $BJ43),0)))))/1024</f>
        <v>161.57470703125</v>
      </c>
      <c r="AI43" s="709">
        <f ca="1">IF(ISERROR(MATCH(AI$1,INDIRECT("Table!A"&amp;$BJ43):INDIRECT("Table!" &amp; $BV$88 &amp; $BJ43),0)),"",INDIRECT(CONCATENATE("Table!",ADDRESS($BN43,MATCH(AI$1,INDIRECT("Table!A" &amp; $BJ43):INDIRECT("Table!" &amp; $BV$88 &amp; $BJ43),0)))))/1024</f>
        <v>129.03603515624999</v>
      </c>
      <c r="AJ43" s="709">
        <f ca="1">IF(ISERROR(MATCH(AJ$1,INDIRECT("Table!A"&amp;$BJ43):INDIRECT("Table!" &amp; $BV$88 &amp; $BJ43),0)),"",INDIRECT(CONCATENATE("Table!",ADDRESS($BN43,MATCH(AJ$1,INDIRECT("Table!A" &amp; $BJ43):INDIRECT("Table!" &amp; $BV$88 &amp; $BJ43),0)))))/1024</f>
        <v>166.96152343750001</v>
      </c>
      <c r="AK43" s="709">
        <f ca="1">IF(ISERROR(MATCH(AK$1,INDIRECT("Table!A"&amp;$BJ43):INDIRECT("Table!" &amp; $BV$88 &amp; $BJ43),0)),"",INDIRECT(CONCATENATE("Table!",ADDRESS($BN43,MATCH(AK$1,INDIRECT("Table!A" &amp; $BJ43):INDIRECT("Table!" &amp; $BV$88 &amp; $BJ43),0)))))/1024</f>
        <v>161.57568359375</v>
      </c>
      <c r="AL43" s="709">
        <f ca="1">IF(ISERROR(MATCH(AL$1,INDIRECT("Table!A"&amp;$BJ43):INDIRECT("Table!" &amp; $BV$88 &amp; $BJ43),0)),"",INDIRECT(CONCATENATE("Table!",ADDRESS($BN43,MATCH(AL$1,INDIRECT("Table!A" &amp; $BJ43):INDIRECT("Table!" &amp; $BV$88 &amp; $BJ43),0)))))/1024</f>
        <v>90.245703125000006</v>
      </c>
      <c r="AM43" s="709">
        <f ca="1">IF(ISERROR(MATCH(AM$1,INDIRECT("Table!A"&amp;$BJ43):INDIRECT("Table!" &amp; $BV$88 &amp; $BJ43),0)),"",INDIRECT(CONCATENATE("Table!",ADDRESS($BN43,MATCH(AM$1,INDIRECT("Table!A" &amp; $BJ43):INDIRECT("Table!" &amp; $BV$88 &amp; $BJ43),0)))))/1024</f>
        <v>128.974609375</v>
      </c>
      <c r="AN43" s="709">
        <f ca="1">IF(ISERROR(MATCH(AN$1,INDIRECT("Table!A"&amp;$BJ43):INDIRECT("Table!" &amp; $BV$88 &amp; $BJ43),0)),"",INDIRECT(CONCATENATE("Table!",ADDRESS($BN43,MATCH(AN$1,INDIRECT("Table!A" &amp; $BJ43):INDIRECT("Table!" &amp; $BV$88 &amp; $BJ43),0)))))/1024</f>
        <v>188.50498046875001</v>
      </c>
      <c r="AO43" s="709">
        <f ca="1">IF(ISERROR(MATCH(AO$1,INDIRECT("Table!A"&amp;$BJ43):INDIRECT("Table!" &amp; $BV$88 &amp; $BJ43),0)),"",INDIRECT(CONCATENATE("Table!",ADDRESS($BN43,MATCH(AO$1,INDIRECT("Table!A" &amp; $BJ43):INDIRECT("Table!" &amp; $BV$88 &amp; $BJ43),0)))))/1024</f>
        <v>129.03603515624999</v>
      </c>
      <c r="AP43" s="709">
        <f ca="1">IF(ISERROR(MATCH(AP$1,INDIRECT("Table!A"&amp;$BJ43):INDIRECT("Table!" &amp; $BV$88 &amp; $BJ43),0)),"",INDIRECT(CONCATENATE("Table!",ADDRESS($BN43,MATCH(AP$1,INDIRECT("Table!A" &amp; $BJ43):INDIRECT("Table!" &amp; $BV$88 &amp; $BJ43),0)))))/1024</f>
        <v>80.787695312500006</v>
      </c>
      <c r="AQ43" s="709">
        <f ca="1">IF(ISERROR(MATCH(AQ$1,INDIRECT("Table!A"&amp;$BJ43):INDIRECT("Table!" &amp; $BV$88 &amp; $BJ43),0)),"",INDIRECT(CONCATENATE("Table!",ADDRESS($BN43,MATCH(AQ$1,INDIRECT("Table!A" &amp; $BJ43):INDIRECT("Table!" &amp; $BV$88 &amp; $BJ43),0)))))/1024</f>
        <v>269.2919921875</v>
      </c>
      <c r="AR43" s="709">
        <f ca="1">IF(ISERROR(MATCH(AR$1,INDIRECT("Table!A"&amp;$BJ43):INDIRECT("Table!" &amp; $BV$88 &amp; $BJ43),0)),"",INDIRECT(CONCATENATE("Table!",ADDRESS($BN43,MATCH(AR$1,INDIRECT("Table!A" &amp; $BJ43):INDIRECT("Table!" &amp; $BV$88 &amp; $BJ43),0)))))/1024</f>
        <v>80.787695312500006</v>
      </c>
      <c r="AS43" s="709">
        <f ca="1">IF(ISERROR(MATCH(AS$1,INDIRECT("Table!A"&amp;$BJ43):INDIRECT("Table!" &amp; $BV$88 &amp; $BJ43),0)),"",INDIRECT(CONCATENATE("Table!",ADDRESS($BN43,MATCH(AS$1,INDIRECT("Table!A" &amp; $BJ43):INDIRECT("Table!" &amp; $BV$88 &amp; $BJ43),0)))))/1024</f>
        <v>184.55234375000001</v>
      </c>
      <c r="AT43" s="709">
        <f ca="1">IF(ISERROR(MATCH(AT$1,INDIRECT("Table!A"&amp;$BJ43):INDIRECT("Table!" &amp; $BV$88 &amp; $BJ43),0)),"",INDIRECT(CONCATENATE("Table!",ADDRESS($BN43,MATCH(AT$1,INDIRECT("Table!A" &amp; $BJ43):INDIRECT("Table!" &amp; $BV$88 &amp; $BJ43),0)))))/1024</f>
        <v>128.974609375</v>
      </c>
      <c r="AU43" s="709">
        <f ca="1">IF(ISERROR(MATCH(AU$1,INDIRECT("Table!A"&amp;$BJ43):INDIRECT("Table!" &amp; $BV$88 &amp; $BJ43),0)),"",INDIRECT(CONCATENATE("Table!",ADDRESS($BN43,MATCH(AU$1,INDIRECT("Table!A" &amp; $BJ43):INDIRECT("Table!" &amp; $BV$88 &amp; $BJ43),0)))))/1024</f>
        <v>53.8583984375</v>
      </c>
      <c r="AV43" s="709">
        <f ca="1">IF(ISERROR(MATCH(AV$1,INDIRECT("Table!A"&amp;$BJ43):INDIRECT("Table!" &amp; $BV$88 &amp; $BJ43),0)),"",INDIRECT(CONCATENATE("Table!",ADDRESS($BN43,MATCH(AV$1,INDIRECT("Table!A" &amp; $BJ43):INDIRECT("Table!" &amp; $BV$88 &amp; $BJ43),0)))))/1024</f>
        <v>32.31494140625</v>
      </c>
      <c r="AW43" s="709"/>
      <c r="AX43" s="909"/>
      <c r="AY43" s="909"/>
      <c r="AZ43" s="909"/>
      <c r="BA43" s="909"/>
      <c r="BB43" s="909"/>
      <c r="BC43" s="909"/>
      <c r="BD43" s="909"/>
      <c r="BE43" s="909"/>
      <c r="BF43" s="704">
        <f>MATCH($A43,Table!$A:$A,0)+$BH$2-1</f>
        <v>559</v>
      </c>
      <c r="BG43" s="705"/>
      <c r="BH43" s="705"/>
      <c r="BI43" s="705"/>
      <c r="BJ43" s="717">
        <f>MATCH($A43,Table!$A:$A,0)+$BL$2-1</f>
        <v>557</v>
      </c>
      <c r="BK43" s="705"/>
      <c r="BL43" s="705"/>
      <c r="BM43" s="705"/>
      <c r="BN43" s="704">
        <f>MATCH($A43,Table!$A:$A,0)+$BP$2-1</f>
        <v>558</v>
      </c>
      <c r="BO43" s="705"/>
      <c r="BP43" s="705"/>
      <c r="BQ43" s="705"/>
      <c r="BR43" s="717">
        <f>MATCH($A43,Table!$A:$A,0)+$BL$2-1</f>
        <v>557</v>
      </c>
      <c r="BS43" s="705"/>
      <c r="BT43" s="705"/>
      <c r="BU43" s="705"/>
      <c r="BV43" s="711" t="s">
        <v>284</v>
      </c>
      <c r="BW43" s="712">
        <f t="shared" ca="1" si="12"/>
        <v>2598.2193359375005</v>
      </c>
      <c r="BX43" s="712">
        <f t="shared" ca="1" si="45"/>
        <v>1067.8311523437499</v>
      </c>
      <c r="BY43" s="712">
        <f t="shared" ca="1" si="43"/>
        <v>1530.3881835937507</v>
      </c>
      <c r="BZ43" s="718">
        <f t="shared" ca="1" si="44"/>
        <v>0.41098576150748661</v>
      </c>
      <c r="CA43" s="712">
        <f ca="1">SUMIF('Alloc Feed'!A:A,A:A,'Alloc Feed'!I:I)</f>
        <v>5289.0909609375003</v>
      </c>
      <c r="CB43" s="718">
        <f t="shared" ca="1" si="42"/>
        <v>2.0356599182297548</v>
      </c>
    </row>
    <row r="44" spans="1:80" s="267" customFormat="1" x14ac:dyDescent="0.25">
      <c r="A44" s="703">
        <v>41449</v>
      </c>
      <c r="B44" s="709">
        <f ca="1">IF(ISERROR(MATCH(B$1,INDIRECT("Table!A"&amp;$BJ44):INDIRECT("Table!" &amp; $BV$88 &amp; $BJ44),0)),"",INDIRECT(CONCATENATE("Table!",ADDRESS($BF44,MATCH(B$1,INDIRECT("Table!A" &amp; $BJ44):INDIRECT("Table!" &amp; $BV$88 &amp; $BJ44),0)))))/1024</f>
        <v>42.384570312500003</v>
      </c>
      <c r="C44" s="709">
        <f ca="1">IF(ISERROR(MATCH(C$1,INDIRECT("Table!A"&amp;$BJ44):INDIRECT("Table!" &amp; $BV$88 &amp; $BJ44),0)),"",INDIRECT(CONCATENATE("Table!",ADDRESS($BF44,MATCH(C$1,INDIRECT("Table!A" &amp; $BJ44):INDIRECT("Table!" &amp; $BV$88 &amp; $BJ44),0)))))/1024</f>
        <v>76.84765625</v>
      </c>
      <c r="D44" s="709">
        <f ca="1">IF(ISERROR(MATCH(D$1,INDIRECT("Table!A"&amp;$BJ44):INDIRECT("Table!" &amp; $BV$88 &amp; $BJ44),0)),"",INDIRECT(CONCATENATE("Table!",ADDRESS($BF44,MATCH(D$1,INDIRECT("Table!A" &amp; $BJ44):INDIRECT("Table!" &amp; $BV$88 &amp; $BJ44),0)))))/1024</f>
        <v>78.296093749999997</v>
      </c>
      <c r="E44" s="709">
        <f ca="1">IF(ISERROR(MATCH(E$1,INDIRECT("Table!A"&amp;$BJ44):INDIRECT("Table!" &amp; $BV$88 &amp; $BJ44),0)),"",INDIRECT(CONCATENATE("Table!",ADDRESS($BF44,MATCH(E$1,INDIRECT("Table!A" &amp; $BJ44):INDIRECT("Table!" &amp; $BV$88 &amp; $BJ44),0)))))/1024</f>
        <v>140.40888671875001</v>
      </c>
      <c r="F44" s="709">
        <f ca="1">IF(ISERROR(MATCH(F$1,INDIRECT("Table!A"&amp;$BJ44):INDIRECT("Table!" &amp; $BV$88 &amp; $BJ44),0)),"",INDIRECT(CONCATENATE("Table!",ADDRESS($BF44,MATCH(F$1,INDIRECT("Table!A" &amp; $BJ44):INDIRECT("Table!" &amp; $BV$88 &amp; $BJ44),0)))))/1024</f>
        <v>103.073046875</v>
      </c>
      <c r="G44" s="709">
        <f ca="1">IF(ISERROR(MATCH(G$1,INDIRECT("Table!A"&amp;$BJ44):INDIRECT("Table!" &amp; $BV$88 &amp; $BJ44),0)),"",INDIRECT(CONCATENATE("Table!",ADDRESS($BF44,MATCH(G$1,INDIRECT("Table!A" &amp; $BJ44):INDIRECT("Table!" &amp; $BV$88 &amp; $BJ44),0)))))/1024</f>
        <v>57.319628906250003</v>
      </c>
      <c r="H44" s="709">
        <f ca="1">IF(ISERROR(MATCH(H$1,INDIRECT("Table!A"&amp;$BJ44):INDIRECT("Table!" &amp; $BV$88 &amp; $BJ44),0)),"",INDIRECT(CONCATENATE("Table!",ADDRESS($BF44,MATCH(H$1,INDIRECT("Table!A" &amp; $BJ44):INDIRECT("Table!" &amp; $BV$88 &amp; $BJ44),0)))))/1024</f>
        <v>86.491992187500003</v>
      </c>
      <c r="I44" s="709">
        <f ca="1">IF(ISERROR(MATCH(I$1,INDIRECT("Table!A"&amp;$BJ44):INDIRECT("Table!" &amp; $BV$88 &amp; $BJ44),0)),"",INDIRECT(CONCATENATE("Table!",ADDRESS($BF44,MATCH(I$1,INDIRECT("Table!A" &amp; $BJ44):INDIRECT("Table!" &amp; $BV$88 &amp; $BJ44),0)))))/1024</f>
        <v>8.5005859375000004</v>
      </c>
      <c r="J44" s="709">
        <f ca="1">IF(ISERROR(MATCH(J$1,INDIRECT("Table!A"&amp;$BJ44):INDIRECT("Table!" &amp; $BV$88 &amp; $BJ44),0)),"",INDIRECT(CONCATENATE("Table!",ADDRESS($BF44,MATCH(J$1,INDIRECT("Table!A" &amp; $BJ44):INDIRECT("Table!" &amp; $BV$88 &amp; $BJ44),0)))))/1024</f>
        <v>8.12451171875</v>
      </c>
      <c r="K44" s="709">
        <f ca="1">IF(ISERROR(MATCH(K$1,INDIRECT("Table!A"&amp;$BJ44):INDIRECT("Table!" &amp; $BV$88 &amp; $BJ44),0)),"",INDIRECT(CONCATENATE("Table!",ADDRESS($BF44,MATCH(K$1,INDIRECT("Table!A" &amp; $BJ44):INDIRECT("Table!" &amp; $BV$88 &amp; $BJ44),0)))))/1024</f>
        <v>4.5898437500000002E-3</v>
      </c>
      <c r="L44" s="709">
        <f ca="1">IF(ISERROR(MATCH(L$1,INDIRECT("Table!A"&amp;$BJ44):INDIRECT("Table!" &amp; $BV$88 &amp; $BJ44),0)),"",INDIRECT(CONCATENATE("Table!",ADDRESS($BF44,MATCH(L$1,INDIRECT("Table!A" &amp; $BJ44):INDIRECT("Table!" &amp; $BV$88 &amp; $BJ44),0)))))/1024</f>
        <v>158.25</v>
      </c>
      <c r="M44" s="709">
        <f ca="1">IF(ISERROR(MATCH(M$1,INDIRECT("Table!A"&amp;$BJ44):INDIRECT("Table!" &amp; $BV$88 &amp; $BJ44),0)),"",INDIRECT(CONCATENATE("Table!",ADDRESS($BF44,MATCH(M$1,INDIRECT("Table!A" &amp; $BJ44):INDIRECT("Table!" &amp; $BV$88 &amp; $BJ44),0)))))/1024</f>
        <v>53.827050781250001</v>
      </c>
      <c r="N44" s="709">
        <f ca="1">IF(ISERROR(MATCH(N$1,INDIRECT("Table!A"&amp;$BJ44):INDIRECT("Table!" &amp; $BV$88 &amp; $BJ44),0)),"",INDIRECT(CONCATENATE("Table!",ADDRESS($BF44,MATCH(N$1,INDIRECT("Table!A" &amp; $BJ44):INDIRECT("Table!" &amp; $BV$88 &amp; $BJ44),0)))))/1024</f>
        <v>52.95263671875</v>
      </c>
      <c r="O44" s="709">
        <f ca="1">IF(ISERROR(MATCH(O$1,INDIRECT("Table!A"&amp;$BJ44):INDIRECT("Table!" &amp; $BV$88 &amp; $BJ44),0)),"",INDIRECT(CONCATENATE("Table!",ADDRESS($BF44,MATCH(O$1,INDIRECT("Table!A" &amp; $BJ44):INDIRECT("Table!" &amp; $BV$88 &amp; $BJ44),0)))))/1024</f>
        <v>157.5712890625</v>
      </c>
      <c r="P44" s="709">
        <f ca="1">IF(ISERROR(MATCH(P$1,INDIRECT("Table!A"&amp;$BJ44):INDIRECT("Table!" &amp; $BV$88 &amp; $BJ44),0)),"",INDIRECT(CONCATENATE("Table!",ADDRESS($BF44,MATCH(P$1,INDIRECT("Table!A" &amp; $BJ44):INDIRECT("Table!" &amp; $BV$88 &amp; $BJ44),0)))))/1024</f>
        <v>16.544238281249999</v>
      </c>
      <c r="Q44" s="709">
        <f ca="1">IF(ISERROR(MATCH(Q$1,INDIRECT("Table!A"&amp;$BJ44):INDIRECT("Table!" &amp; $BV$88 &amp; $BJ44),0)),"",INDIRECT(CONCATENATE("Table!",ADDRESS($BF44,MATCH(Q$1,INDIRECT("Table!A" &amp; $BJ44):INDIRECT("Table!" &amp; $BV$88 &amp; $BJ44),0)))))/1024</f>
        <v>13.765625</v>
      </c>
      <c r="R44" s="709">
        <f ca="1">IF(ISERROR(MATCH(R$1,INDIRECT("Table!A"&amp;$BJ44):INDIRECT("Table!" &amp; $BV$88 &amp; $BJ44),0)),"",INDIRECT(CONCATENATE("Table!",ADDRESS($BF44,MATCH(R$1,INDIRECT("Table!A" &amp; $BJ44):INDIRECT("Table!" &amp; $BV$88 &amp; $BJ44),0)))))/1024</f>
        <v>4.39453125E-3</v>
      </c>
      <c r="S44" s="709">
        <f ca="1">IF(ISERROR(MATCH(S$1,INDIRECT("Table!A"&amp;$BJ44):INDIRECT("Table!" &amp; $BV$43 &amp; $BJ44),0)),"",INDIRECT(CONCATENATE("Table!",ADDRESS($BF44,MATCH(S$1,INDIRECT("Table!A" &amp; $BJ44):INDIRECT("Table!" &amp; $BV$43 &amp; $BJ44),0)))))/1024</f>
        <v>8.52880859375</v>
      </c>
      <c r="T44" s="709">
        <f ca="1">IF(ISERROR(MATCH(T$1,INDIRECT("Table!A"&amp;$BJ44):INDIRECT("Table!" &amp; $BV$43 &amp; $BJ44),0)),"",INDIRECT(CONCATENATE("Table!",ADDRESS($BF44,MATCH(T$1,INDIRECT("Table!A" &amp; $BJ44):INDIRECT("Table!" &amp; $BV$43 &amp; $BJ44),0)))))/1024</f>
        <v>4.935546875</v>
      </c>
      <c r="U44" s="709"/>
      <c r="V44" s="909"/>
      <c r="W44" s="909"/>
      <c r="X44" s="909"/>
      <c r="Y44" s="909"/>
      <c r="Z44" s="909"/>
      <c r="AA44" s="909"/>
      <c r="AB44" s="909"/>
      <c r="AC44" s="709" t="str">
        <f ca="1">IF(ISERROR(MATCH(AC$1,INDIRECT("Table!A"&amp;$BJ44):INDIRECT("Table!" &amp; $BV$88 &amp; $BJ44),0)),"",INDIRECT(CONCATENATE("Table!",ADDRESS($BF44,MATCH(AC$1,INDIRECT("Table!A" &amp; $BJ44):INDIRECT("Table!" &amp; $BV$88 &amp; $BJ44),0)))))</f>
        <v/>
      </c>
      <c r="AD44" s="709">
        <f ca="1">IF(ISERROR(MATCH(AD$1,INDIRECT("Table!A"&amp;$BJ44):INDIRECT("Table!" &amp; $BV$88 &amp; $BJ44),0)),"",INDIRECT(CONCATENATE("Table!",ADDRESS($BN44,MATCH(AD$1,INDIRECT("Table!A" &amp; $BJ44):INDIRECT("Table!" &amp; $BV$88 &amp; $BJ44),0)))))/1024</f>
        <v>140.0322265625</v>
      </c>
      <c r="AE44" s="709">
        <f ca="1">IF(ISERROR(MATCH(AE$1,INDIRECT("Table!A"&amp;$BJ44):INDIRECT("Table!" &amp; $BV$88 &amp; $BJ44),0)),"",INDIRECT(CONCATENATE("Table!",ADDRESS($BN44,MATCH(AE$1,INDIRECT("Table!A" &amp; $BJ44):INDIRECT("Table!" &amp; $BV$88 &amp; $BJ44),0)))))/1024</f>
        <v>146.98896484375001</v>
      </c>
      <c r="AF44" s="709">
        <f ca="1">IF(ISERROR(MATCH(AF$1,INDIRECT("Table!A"&amp;$BJ44):INDIRECT("Table!" &amp; $BV$88 &amp; $BJ44),0)),"",INDIRECT(CONCATENATE("Table!",ADDRESS($BN44,MATCH(AF$1,INDIRECT("Table!A" &amp; $BJ44):INDIRECT("Table!" &amp; $BV$88 &amp; $BJ44),0)))))/1024</f>
        <v>146.98896484375001</v>
      </c>
      <c r="AG44" s="709">
        <f ca="1">IF(ISERROR(MATCH(AG$1,INDIRECT("Table!A"&amp;$BJ44):INDIRECT("Table!" &amp; $BV$88 &amp; $BJ44),0)),"",INDIRECT(CONCATENATE("Table!",ADDRESS($BN44,MATCH(AG$1,INDIRECT("Table!A" &amp; $BJ44):INDIRECT("Table!" &amp; $BV$88 &amp; $BJ44),0)))))/1024</f>
        <v>177.73222656249999</v>
      </c>
      <c r="AH44" s="709">
        <f ca="1">IF(ISERROR(MATCH(AH$1,INDIRECT("Table!A"&amp;$BJ44):INDIRECT("Table!" &amp; $BV$88 &amp; $BJ44),0)),"",INDIRECT(CONCATENATE("Table!",ADDRESS($BN44,MATCH(AH$1,INDIRECT("Table!A" &amp; $BJ44):INDIRECT("Table!" &amp; $BV$88 &amp; $BJ44),0)))))/1024</f>
        <v>161.57470703125</v>
      </c>
      <c r="AI44" s="709">
        <f ca="1">IF(ISERROR(MATCH(AI$1,INDIRECT("Table!A"&amp;$BJ44):INDIRECT("Table!" &amp; $BV$88 &amp; $BJ44),0)),"",INDIRECT(CONCATENATE("Table!",ADDRESS($BN44,MATCH(AI$1,INDIRECT("Table!A" &amp; $BJ44):INDIRECT("Table!" &amp; $BV$88 &amp; $BJ44),0)))))/1024</f>
        <v>129.03603515624999</v>
      </c>
      <c r="AJ44" s="709">
        <f ca="1">IF(ISERROR(MATCH(AJ$1,INDIRECT("Table!A"&amp;$BJ44):INDIRECT("Table!" &amp; $BV$88 &amp; $BJ44),0)),"",INDIRECT(CONCATENATE("Table!",ADDRESS($BN44,MATCH(AJ$1,INDIRECT("Table!A" &amp; $BJ44):INDIRECT("Table!" &amp; $BV$88 &amp; $BJ44),0)))))/1024</f>
        <v>166.96152343750001</v>
      </c>
      <c r="AK44" s="709">
        <f ca="1">IF(ISERROR(MATCH(AK$1,INDIRECT("Table!A"&amp;$BJ44):INDIRECT("Table!" &amp; $BV$88 &amp; $BJ44),0)),"",INDIRECT(CONCATENATE("Table!",ADDRESS($BN44,MATCH(AK$1,INDIRECT("Table!A" &amp; $BJ44):INDIRECT("Table!" &amp; $BV$88 &amp; $BJ44),0)))))/1024</f>
        <v>161.57568359375</v>
      </c>
      <c r="AL44" s="709">
        <f ca="1">IF(ISERROR(MATCH(AL$1,INDIRECT("Table!A"&amp;$BJ44):INDIRECT("Table!" &amp; $BV$88 &amp; $BJ44),0)),"",INDIRECT(CONCATENATE("Table!",ADDRESS($BN44,MATCH(AL$1,INDIRECT("Table!A" &amp; $BJ44):INDIRECT("Table!" &amp; $BV$88 &amp; $BJ44),0)))))/1024</f>
        <v>90.245703125000006</v>
      </c>
      <c r="AM44" s="709">
        <f ca="1">IF(ISERROR(MATCH(AM$1,INDIRECT("Table!A"&amp;$BJ44):INDIRECT("Table!" &amp; $BV$88 &amp; $BJ44),0)),"",INDIRECT(CONCATENATE("Table!",ADDRESS($BN44,MATCH(AM$1,INDIRECT("Table!A" &amp; $BJ44):INDIRECT("Table!" &amp; $BV$88 &amp; $BJ44),0)))))/1024</f>
        <v>128.974609375</v>
      </c>
      <c r="AN44" s="709">
        <f ca="1">IF(ISERROR(MATCH(AN$1,INDIRECT("Table!A"&amp;$BJ44):INDIRECT("Table!" &amp; $BV$88 &amp; $BJ44),0)),"",INDIRECT(CONCATENATE("Table!",ADDRESS($BN44,MATCH(AN$1,INDIRECT("Table!A" &amp; $BJ44):INDIRECT("Table!" &amp; $BV$88 &amp; $BJ44),0)))))/1024</f>
        <v>188.50498046875001</v>
      </c>
      <c r="AO44" s="709">
        <f ca="1">IF(ISERROR(MATCH(AO$1,INDIRECT("Table!A"&amp;$BJ44):INDIRECT("Table!" &amp; $BV$88 &amp; $BJ44),0)),"",INDIRECT(CONCATENATE("Table!",ADDRESS($BN44,MATCH(AO$1,INDIRECT("Table!A" &amp; $BJ44):INDIRECT("Table!" &amp; $BV$88 &amp; $BJ44),0)))))/1024</f>
        <v>129.03603515624999</v>
      </c>
      <c r="AP44" s="709">
        <f ca="1">IF(ISERROR(MATCH(AP$1,INDIRECT("Table!A"&amp;$BJ44):INDIRECT("Table!" &amp; $BV$88 &amp; $BJ44),0)),"",INDIRECT(CONCATENATE("Table!",ADDRESS($BN44,MATCH(AP$1,INDIRECT("Table!A" &amp; $BJ44):INDIRECT("Table!" &amp; $BV$88 &amp; $BJ44),0)))))/1024</f>
        <v>80.787695312500006</v>
      </c>
      <c r="AQ44" s="709">
        <f ca="1">IF(ISERROR(MATCH(AQ$1,INDIRECT("Table!A"&amp;$BJ44):INDIRECT("Table!" &amp; $BV$88 &amp; $BJ44),0)),"",INDIRECT(CONCATENATE("Table!",ADDRESS($BN44,MATCH(AQ$1,INDIRECT("Table!A" &amp; $BJ44):INDIRECT("Table!" &amp; $BV$88 &amp; $BJ44),0)))))/1024</f>
        <v>269.2919921875</v>
      </c>
      <c r="AR44" s="709">
        <f ca="1">IF(ISERROR(MATCH(AR$1,INDIRECT("Table!A"&amp;$BJ44):INDIRECT("Table!" &amp; $BV$88 &amp; $BJ44),0)),"",INDIRECT(CONCATENATE("Table!",ADDRESS($BN44,MATCH(AR$1,INDIRECT("Table!A" &amp; $BJ44):INDIRECT("Table!" &amp; $BV$88 &amp; $BJ44),0)))))/1024</f>
        <v>80.787695312500006</v>
      </c>
      <c r="AS44" s="709">
        <f ca="1">IF(ISERROR(MATCH(AS$1,INDIRECT("Table!A"&amp;$BJ44):INDIRECT("Table!" &amp; $BV$88 &amp; $BJ44),0)),"",INDIRECT(CONCATENATE("Table!",ADDRESS($BN44,MATCH(AS$1,INDIRECT("Table!A" &amp; $BJ44):INDIRECT("Table!" &amp; $BV$88 &amp; $BJ44),0)))))/1024</f>
        <v>184.55234375000001</v>
      </c>
      <c r="AT44" s="709">
        <f ca="1">IF(ISERROR(MATCH(AT$1,INDIRECT("Table!A"&amp;$BJ44):INDIRECT("Table!" &amp; $BV$88 &amp; $BJ44),0)),"",INDIRECT(CONCATENATE("Table!",ADDRESS($BN44,MATCH(AT$1,INDIRECT("Table!A" &amp; $BJ44):INDIRECT("Table!" &amp; $BV$88 &amp; $BJ44),0)))))/1024</f>
        <v>128.974609375</v>
      </c>
      <c r="AU44" s="709">
        <f ca="1">IF(ISERROR(MATCH(AU$1,INDIRECT("Table!A"&amp;$BJ44):INDIRECT("Table!" &amp; $BV$88 &amp; $BJ44),0)),"",INDIRECT(CONCATENATE("Table!",ADDRESS($BN44,MATCH(AU$1,INDIRECT("Table!A" &amp; $BJ44):INDIRECT("Table!" &amp; $BV$88 &amp; $BJ44),0)))))/1024</f>
        <v>53.8583984375</v>
      </c>
      <c r="AV44" s="709">
        <f ca="1">IF(ISERROR(MATCH(AV$1,INDIRECT("Table!A"&amp;$BJ44):INDIRECT("Table!" &amp; $BV$88 &amp; $BJ44),0)),"",INDIRECT(CONCATENATE("Table!",ADDRESS($BN44,MATCH(AV$1,INDIRECT("Table!A" &amp; $BJ44):INDIRECT("Table!" &amp; $BV$88 &amp; $BJ44),0)))))/1024</f>
        <v>32.31494140625</v>
      </c>
      <c r="AW44" s="709"/>
      <c r="AX44" s="909"/>
      <c r="AY44" s="909"/>
      <c r="AZ44" s="909"/>
      <c r="BA44" s="909"/>
      <c r="BB44" s="909"/>
      <c r="BC44" s="909"/>
      <c r="BD44" s="909"/>
      <c r="BE44" s="909"/>
      <c r="BF44" s="704">
        <f>MATCH($A44,Table!$A:$A,0)+$BH$2-1</f>
        <v>571</v>
      </c>
      <c r="BG44" s="705"/>
      <c r="BH44" s="705"/>
      <c r="BI44" s="705"/>
      <c r="BJ44" s="717">
        <f>MATCH($A44,Table!$A:$A,0)+$BL$2-1</f>
        <v>569</v>
      </c>
      <c r="BK44" s="705"/>
      <c r="BL44" s="705"/>
      <c r="BM44" s="705"/>
      <c r="BN44" s="704">
        <f>MATCH($A44,Table!$A:$A,0)+$BP$2-1</f>
        <v>570</v>
      </c>
      <c r="BO44" s="705"/>
      <c r="BP44" s="705"/>
      <c r="BQ44" s="705"/>
      <c r="BR44" s="717">
        <f>MATCH($A44,Table!$A:$A,0)+$BL$2-1</f>
        <v>569</v>
      </c>
      <c r="BS44" s="705"/>
      <c r="BT44" s="705"/>
      <c r="BU44" s="705"/>
      <c r="BV44" s="711" t="s">
        <v>284</v>
      </c>
      <c r="BW44" s="712">
        <f t="shared" ca="1" si="12"/>
        <v>2598.2193359375005</v>
      </c>
      <c r="BX44" s="712">
        <f t="shared" ca="1" si="45"/>
        <v>1067.8311523437499</v>
      </c>
      <c r="BY44" s="712">
        <f t="shared" ca="1" si="43"/>
        <v>1530.3881835937507</v>
      </c>
      <c r="BZ44" s="718">
        <f t="shared" ca="1" si="44"/>
        <v>0.41098576150748661</v>
      </c>
      <c r="CA44" s="712">
        <f ca="1">SUMIF('Alloc Feed'!A:A,A:A,'Alloc Feed'!I:I)</f>
        <v>2644.5454804687502</v>
      </c>
      <c r="CB44" s="718">
        <f t="shared" ca="1" si="42"/>
        <v>1.0178299591148774</v>
      </c>
    </row>
    <row r="45" spans="1:80" s="267" customFormat="1" x14ac:dyDescent="0.25">
      <c r="A45" s="703">
        <v>41445</v>
      </c>
      <c r="B45" s="709">
        <f ca="1">IF(ISERROR(MATCH(B$1,INDIRECT("Table!A"&amp;$BJ45):INDIRECT("Table!" &amp; $BV$88 &amp; $BJ45),0)),"",INDIRECT(CONCATENATE("Table!",ADDRESS($BF45,MATCH(B$1,INDIRECT("Table!A" &amp; $BJ45):INDIRECT("Table!" &amp; $BV$88 &amp; $BJ45),0)))))/1024</f>
        <v>42.542871093750001</v>
      </c>
      <c r="C45" s="709">
        <f ca="1">IF(ISERROR(MATCH(C$1,INDIRECT("Table!A"&amp;$BJ45):INDIRECT("Table!" &amp; $BV$88 &amp; $BJ45),0)),"",INDIRECT(CONCATENATE("Table!",ADDRESS($BF45,MATCH(C$1,INDIRECT("Table!A" &amp; $BJ45):INDIRECT("Table!" &amp; $BV$88 &amp; $BJ45),0)))))/1024</f>
        <v>76.749218749999997</v>
      </c>
      <c r="D45" s="709">
        <f ca="1">IF(ISERROR(MATCH(D$1,INDIRECT("Table!A"&amp;$BJ45):INDIRECT("Table!" &amp; $BV$88 &amp; $BJ45),0)),"",INDIRECT(CONCATENATE("Table!",ADDRESS($BF45,MATCH(D$1,INDIRECT("Table!A" &amp; $BJ45):INDIRECT("Table!" &amp; $BV$88 &amp; $BJ45),0)))))/1024</f>
        <v>78.196875000000006</v>
      </c>
      <c r="E45" s="709">
        <f ca="1">IF(ISERROR(MATCH(E$1,INDIRECT("Table!A"&amp;$BJ45):INDIRECT("Table!" &amp; $BV$88 &amp; $BJ45),0)),"",INDIRECT(CONCATENATE("Table!",ADDRESS($BF45,MATCH(E$1,INDIRECT("Table!A" &amp; $BJ45):INDIRECT("Table!" &amp; $BV$88 &amp; $BJ45),0)))))/1024</f>
        <v>140.28632812500001</v>
      </c>
      <c r="F45" s="709">
        <f ca="1">IF(ISERROR(MATCH(F$1,INDIRECT("Table!A"&amp;$BJ45):INDIRECT("Table!" &amp; $BV$88 &amp; $BJ45),0)),"",INDIRECT(CONCATENATE("Table!",ADDRESS($BF45,MATCH(F$1,INDIRECT("Table!A" &amp; $BJ45):INDIRECT("Table!" &amp; $BV$88 &amp; $BJ45),0)))))/1024</f>
        <v>102.76298828125</v>
      </c>
      <c r="G45" s="709">
        <f ca="1">IF(ISERROR(MATCH(G$1,INDIRECT("Table!A"&amp;$BJ45):INDIRECT("Table!" &amp; $BV$88 &amp; $BJ45),0)),"",INDIRECT(CONCATENATE("Table!",ADDRESS($BF45,MATCH(G$1,INDIRECT("Table!A" &amp; $BJ45):INDIRECT("Table!" &amp; $BV$88 &amp; $BJ45),0)))))/1024</f>
        <v>55.952441406250003</v>
      </c>
      <c r="H45" s="709">
        <f ca="1">IF(ISERROR(MATCH(H$1,INDIRECT("Table!A"&amp;$BJ45):INDIRECT("Table!" &amp; $BV$88 &amp; $BJ45),0)),"",INDIRECT(CONCATENATE("Table!",ADDRESS($BF45,MATCH(H$1,INDIRECT("Table!A" &amp; $BJ45):INDIRECT("Table!" &amp; $BV$88 &amp; $BJ45),0)))))/1024</f>
        <v>85.897167968749997</v>
      </c>
      <c r="I45" s="709">
        <f ca="1">IF(ISERROR(MATCH(I$1,INDIRECT("Table!A"&amp;$BJ45):INDIRECT("Table!" &amp; $BV$88 &amp; $BJ45),0)),"",INDIRECT(CONCATENATE("Table!",ADDRESS($BF45,MATCH(I$1,INDIRECT("Table!A" &amp; $BJ45):INDIRECT("Table!" &amp; $BV$88 &amp; $BJ45),0)))))/1024</f>
        <v>8.49951171875</v>
      </c>
      <c r="J45" s="709">
        <f ca="1">IF(ISERROR(MATCH(J$1,INDIRECT("Table!A"&amp;$BJ45):INDIRECT("Table!" &amp; $BV$88 &amp; $BJ45),0)),"",INDIRECT(CONCATENATE("Table!",ADDRESS($BF45,MATCH(J$1,INDIRECT("Table!A" &amp; $BJ45):INDIRECT("Table!" &amp; $BV$88 &amp; $BJ45),0)))))/1024</f>
        <v>0.81406250000000002</v>
      </c>
      <c r="K45" s="709">
        <f ca="1">IF(ISERROR(MATCH(K$1,INDIRECT("Table!A"&amp;$BJ45):INDIRECT("Table!" &amp; $BV$88 &amp; $BJ45),0)),"",INDIRECT(CONCATENATE("Table!",ADDRESS($BF45,MATCH(K$1,INDIRECT("Table!A" &amp; $BJ45):INDIRECT("Table!" &amp; $BV$88 &amp; $BJ45),0)))))/1024</f>
        <v>4.5898437500000002E-3</v>
      </c>
      <c r="L45" s="709">
        <f ca="1">IF(ISERROR(MATCH(L$1,INDIRECT("Table!A"&amp;$BJ45):INDIRECT("Table!" &amp; $BV$88 &amp; $BJ45),0)),"",INDIRECT(CONCATENATE("Table!",ADDRESS($BF45,MATCH(L$1,INDIRECT("Table!A" &amp; $BJ45):INDIRECT("Table!" &amp; $BV$88 &amp; $BJ45),0)))))/1024</f>
        <v>157.83281249999999</v>
      </c>
      <c r="M45" s="709">
        <f ca="1">IF(ISERROR(MATCH(M$1,INDIRECT("Table!A"&amp;$BJ45):INDIRECT("Table!" &amp; $BV$88 &amp; $BJ45),0)),"",INDIRECT(CONCATENATE("Table!",ADDRESS($BF45,MATCH(M$1,INDIRECT("Table!A" &amp; $BJ45):INDIRECT("Table!" &amp; $BV$88 &amp; $BJ45),0)))))/1024</f>
        <v>55.095312499999999</v>
      </c>
      <c r="N45" s="709">
        <f ca="1">IF(ISERROR(MATCH(N$1,INDIRECT("Table!A"&amp;$BJ45):INDIRECT("Table!" &amp; $BV$88 &amp; $BJ45),0)),"",INDIRECT(CONCATENATE("Table!",ADDRESS($BF45,MATCH(N$1,INDIRECT("Table!A" &amp; $BJ45):INDIRECT("Table!" &amp; $BV$88 &amp; $BJ45),0)))))/1024</f>
        <v>52.797656250000003</v>
      </c>
      <c r="O45" s="709">
        <f ca="1">IF(ISERROR(MATCH(O$1,INDIRECT("Table!A"&amp;$BJ45):INDIRECT("Table!" &amp; $BV$88 &amp; $BJ45),0)),"",INDIRECT(CONCATENATE("Table!",ADDRESS($BF45,MATCH(O$1,INDIRECT("Table!A" &amp; $BJ45):INDIRECT("Table!" &amp; $BV$88 &amp; $BJ45),0)))))/1024</f>
        <v>156.361328125</v>
      </c>
      <c r="P45" s="709">
        <f ca="1">IF(ISERROR(MATCH(P$1,INDIRECT("Table!A"&amp;$BJ45):INDIRECT("Table!" &amp; $BV$88 &amp; $BJ45),0)),"",INDIRECT(CONCATENATE("Table!",ADDRESS($BF45,MATCH(P$1,INDIRECT("Table!A" &amp; $BJ45):INDIRECT("Table!" &amp; $BV$88 &amp; $BJ45),0)))))/1024</f>
        <v>16.542187500000001</v>
      </c>
      <c r="Q45" s="709">
        <f ca="1">IF(ISERROR(MATCH(Q$1,INDIRECT("Table!A"&amp;$BJ45):INDIRECT("Table!" &amp; $BV$88 &amp; $BJ45),0)),"",INDIRECT(CONCATENATE("Table!",ADDRESS($BF45,MATCH(Q$1,INDIRECT("Table!A" &amp; $BJ45):INDIRECT("Table!" &amp; $BV$88 &amp; $BJ45),0)))))/1024</f>
        <v>1.8954101562500001</v>
      </c>
      <c r="R45" s="709">
        <f ca="1">IF(ISERROR(MATCH(R$1,INDIRECT("Table!A"&amp;$BJ45):INDIRECT("Table!" &amp; $BV$88 &amp; $BJ45),0)),"",INDIRECT(CONCATENATE("Table!",ADDRESS($BF45,MATCH(R$1,INDIRECT("Table!A" &amp; $BJ45):INDIRECT("Table!" &amp; $BV$88 &amp; $BJ45),0)))))/1024</f>
        <v>4.4921874999999997E-3</v>
      </c>
      <c r="S45" s="709">
        <f ca="1">IF(ISERROR(MATCH(S$1,INDIRECT("Table!A"&amp;$BJ45):INDIRECT("Table!" &amp; $BV$43 &amp; $BJ45),0)),"",INDIRECT(CONCATENATE("Table!",ADDRESS($BF45,MATCH(S$1,INDIRECT("Table!A" &amp; $BJ45):INDIRECT("Table!" &amp; $BV$43 &amp; $BJ45),0)))))/1024</f>
        <v>8.4708007812500004</v>
      </c>
      <c r="T45" s="709">
        <f ca="1">IF(ISERROR(MATCH(T$1,INDIRECT("Table!A"&amp;$BJ45):INDIRECT("Table!" &amp; $BV$43 &amp; $BJ45),0)),"",INDIRECT(CONCATENATE("Table!",ADDRESS($BF45,MATCH(T$1,INDIRECT("Table!A" &amp; $BJ45):INDIRECT("Table!" &amp; $BV$43 &amp; $BJ45),0)))))/1024</f>
        <v>4.9128906250000002</v>
      </c>
      <c r="U45" s="709"/>
      <c r="V45" s="909"/>
      <c r="W45" s="909"/>
      <c r="X45" s="909"/>
      <c r="Y45" s="909"/>
      <c r="Z45" s="909"/>
      <c r="AA45" s="909"/>
      <c r="AB45" s="909"/>
      <c r="AC45" s="709" t="str">
        <f ca="1">IF(ISERROR(MATCH(AC$1,INDIRECT("Table!A"&amp;$BJ45):INDIRECT("Table!" &amp; $BV$88 &amp; $BJ45),0)),"",INDIRECT(CONCATENATE("Table!",ADDRESS($BF45,MATCH(AC$1,INDIRECT("Table!A" &amp; $BJ45):INDIRECT("Table!" &amp; $BV$88 &amp; $BJ45),0)))))</f>
        <v/>
      </c>
      <c r="AD45" s="709">
        <f ca="1">IF(ISERROR(MATCH(AD$1,INDIRECT("Table!A"&amp;$BJ45):INDIRECT("Table!" &amp; $BV$88 &amp; $BJ45),0)),"",INDIRECT(CONCATENATE("Table!",ADDRESS($BN45,MATCH(AD$1,INDIRECT("Table!A" &amp; $BJ45):INDIRECT("Table!" &amp; $BV$88 &amp; $BJ45),0)))))/1024</f>
        <v>140.0322265625</v>
      </c>
      <c r="AE45" s="709">
        <f ca="1">IF(ISERROR(MATCH(AE$1,INDIRECT("Table!A"&amp;$BJ45):INDIRECT("Table!" &amp; $BV$88 &amp; $BJ45),0)),"",INDIRECT(CONCATENATE("Table!",ADDRESS($BN45,MATCH(AE$1,INDIRECT("Table!A" &amp; $BJ45):INDIRECT("Table!" &amp; $BV$88 &amp; $BJ45),0)))))/1024</f>
        <v>146.98896484375001</v>
      </c>
      <c r="AF45" s="709">
        <f ca="1">IF(ISERROR(MATCH(AF$1,INDIRECT("Table!A"&amp;$BJ45):INDIRECT("Table!" &amp; $BV$88 &amp; $BJ45),0)),"",INDIRECT(CONCATENATE("Table!",ADDRESS($BN45,MATCH(AF$1,INDIRECT("Table!A" &amp; $BJ45):INDIRECT("Table!" &amp; $BV$88 &amp; $BJ45),0)))))/1024</f>
        <v>146.98896484375001</v>
      </c>
      <c r="AG45" s="709">
        <f ca="1">IF(ISERROR(MATCH(AG$1,INDIRECT("Table!A"&amp;$BJ45):INDIRECT("Table!" &amp; $BV$88 &amp; $BJ45),0)),"",INDIRECT(CONCATENATE("Table!",ADDRESS($BN45,MATCH(AG$1,INDIRECT("Table!A" &amp; $BJ45):INDIRECT("Table!" &amp; $BV$88 &amp; $BJ45),0)))))/1024</f>
        <v>177.73222656249999</v>
      </c>
      <c r="AH45" s="709">
        <f ca="1">IF(ISERROR(MATCH(AH$1,INDIRECT("Table!A"&amp;$BJ45):INDIRECT("Table!" &amp; $BV$88 &amp; $BJ45),0)),"",INDIRECT(CONCATENATE("Table!",ADDRESS($BN45,MATCH(AH$1,INDIRECT("Table!A" &amp; $BJ45):INDIRECT("Table!" &amp; $BV$88 &amp; $BJ45),0)))))/1024</f>
        <v>161.57470703125</v>
      </c>
      <c r="AI45" s="709">
        <f ca="1">IF(ISERROR(MATCH(AI$1,INDIRECT("Table!A"&amp;$BJ45):INDIRECT("Table!" &amp; $BV$88 &amp; $BJ45),0)),"",INDIRECT(CONCATENATE("Table!",ADDRESS($BN45,MATCH(AI$1,INDIRECT("Table!A" &amp; $BJ45):INDIRECT("Table!" &amp; $BV$88 &amp; $BJ45),0)))))/1024</f>
        <v>129.03603515624999</v>
      </c>
      <c r="AJ45" s="709">
        <f ca="1">IF(ISERROR(MATCH(AJ$1,INDIRECT("Table!A"&amp;$BJ45):INDIRECT("Table!" &amp; $BV$88 &amp; $BJ45),0)),"",INDIRECT(CONCATENATE("Table!",ADDRESS($BN45,MATCH(AJ$1,INDIRECT("Table!A" &amp; $BJ45):INDIRECT("Table!" &amp; $BV$88 &amp; $BJ45),0)))))/1024</f>
        <v>166.96152343750001</v>
      </c>
      <c r="AK45" s="709">
        <f ca="1">IF(ISERROR(MATCH(AK$1,INDIRECT("Table!A"&amp;$BJ45):INDIRECT("Table!" &amp; $BV$88 &amp; $BJ45),0)),"",INDIRECT(CONCATENATE("Table!",ADDRESS($BN45,MATCH(AK$1,INDIRECT("Table!A" &amp; $BJ45):INDIRECT("Table!" &amp; $BV$88 &amp; $BJ45),0)))))/1024</f>
        <v>161.57568359375</v>
      </c>
      <c r="AL45" s="709">
        <f ca="1">IF(ISERROR(MATCH(AL$1,INDIRECT("Table!A"&amp;$BJ45):INDIRECT("Table!" &amp; $BV$88 &amp; $BJ45),0)),"",INDIRECT(CONCATENATE("Table!",ADDRESS($BN45,MATCH(AL$1,INDIRECT("Table!A" &amp; $BJ45):INDIRECT("Table!" &amp; $BV$88 &amp; $BJ45),0)))))/1024</f>
        <v>90.245703125000006</v>
      </c>
      <c r="AM45" s="709">
        <f ca="1">IF(ISERROR(MATCH(AM$1,INDIRECT("Table!A"&amp;$BJ45):INDIRECT("Table!" &amp; $BV$88 &amp; $BJ45),0)),"",INDIRECT(CONCATENATE("Table!",ADDRESS($BN45,MATCH(AM$1,INDIRECT("Table!A" &amp; $BJ45):INDIRECT("Table!" &amp; $BV$88 &amp; $BJ45),0)))))/1024</f>
        <v>128.974609375</v>
      </c>
      <c r="AN45" s="709">
        <f ca="1">IF(ISERROR(MATCH(AN$1,INDIRECT("Table!A"&amp;$BJ45):INDIRECT("Table!" &amp; $BV$88 &amp; $BJ45),0)),"",INDIRECT(CONCATENATE("Table!",ADDRESS($BN45,MATCH(AN$1,INDIRECT("Table!A" &amp; $BJ45):INDIRECT("Table!" &amp; $BV$88 &amp; $BJ45),0)))))/1024</f>
        <v>188.50498046875001</v>
      </c>
      <c r="AO45" s="709">
        <f ca="1">IF(ISERROR(MATCH(AO$1,INDIRECT("Table!A"&amp;$BJ45):INDIRECT("Table!" &amp; $BV$88 &amp; $BJ45),0)),"",INDIRECT(CONCATENATE("Table!",ADDRESS($BN45,MATCH(AO$1,INDIRECT("Table!A" &amp; $BJ45):INDIRECT("Table!" &amp; $BV$88 &amp; $BJ45),0)))))/1024</f>
        <v>129.03603515624999</v>
      </c>
      <c r="AP45" s="709">
        <f ca="1">IF(ISERROR(MATCH(AP$1,INDIRECT("Table!A"&amp;$BJ45):INDIRECT("Table!" &amp; $BV$88 &amp; $BJ45),0)),"",INDIRECT(CONCATENATE("Table!",ADDRESS($BN45,MATCH(AP$1,INDIRECT("Table!A" &amp; $BJ45):INDIRECT("Table!" &amp; $BV$88 &amp; $BJ45),0)))))/1024</f>
        <v>80.787695312500006</v>
      </c>
      <c r="AQ45" s="709">
        <f ca="1">IF(ISERROR(MATCH(AQ$1,INDIRECT("Table!A"&amp;$BJ45):INDIRECT("Table!" &amp; $BV$88 &amp; $BJ45),0)),"",INDIRECT(CONCATENATE("Table!",ADDRESS($BN45,MATCH(AQ$1,INDIRECT("Table!A" &amp; $BJ45):INDIRECT("Table!" &amp; $BV$88 &amp; $BJ45),0)))))/1024</f>
        <v>269.2919921875</v>
      </c>
      <c r="AR45" s="709">
        <f ca="1">IF(ISERROR(MATCH(AR$1,INDIRECT("Table!A"&amp;$BJ45):INDIRECT("Table!" &amp; $BV$88 &amp; $BJ45),0)),"",INDIRECT(CONCATENATE("Table!",ADDRESS($BN45,MATCH(AR$1,INDIRECT("Table!A" &amp; $BJ45):INDIRECT("Table!" &amp; $BV$88 &amp; $BJ45),0)))))/1024</f>
        <v>80.787695312500006</v>
      </c>
      <c r="AS45" s="709">
        <f ca="1">IF(ISERROR(MATCH(AS$1,INDIRECT("Table!A"&amp;$BJ45):INDIRECT("Table!" &amp; $BV$88 &amp; $BJ45),0)),"",INDIRECT(CONCATENATE("Table!",ADDRESS($BN45,MATCH(AS$1,INDIRECT("Table!A" &amp; $BJ45):INDIRECT("Table!" &amp; $BV$88 &amp; $BJ45),0)))))/1024</f>
        <v>184.55234375000001</v>
      </c>
      <c r="AT45" s="709">
        <f ca="1">IF(ISERROR(MATCH(AT$1,INDIRECT("Table!A"&amp;$BJ45):INDIRECT("Table!" &amp; $BV$88 &amp; $BJ45),0)),"",INDIRECT(CONCATENATE("Table!",ADDRESS($BN45,MATCH(AT$1,INDIRECT("Table!A" &amp; $BJ45):INDIRECT("Table!" &amp; $BV$88 &amp; $BJ45),0)))))/1024</f>
        <v>128.974609375</v>
      </c>
      <c r="AU45" s="709">
        <f ca="1">IF(ISERROR(MATCH(AU$1,INDIRECT("Table!A"&amp;$BJ45):INDIRECT("Table!" &amp; $BV$88 &amp; $BJ45),0)),"",INDIRECT(CONCATENATE("Table!",ADDRESS($BN45,MATCH(AU$1,INDIRECT("Table!A" &amp; $BJ45):INDIRECT("Table!" &amp; $BV$88 &amp; $BJ45),0)))))/1024</f>
        <v>53.8583984375</v>
      </c>
      <c r="AV45" s="709">
        <f ca="1">IF(ISERROR(MATCH(AV$1,INDIRECT("Table!A"&amp;$BJ45):INDIRECT("Table!" &amp; $BV$88 &amp; $BJ45),0)),"",INDIRECT(CONCATENATE("Table!",ADDRESS($BN45,MATCH(AV$1,INDIRECT("Table!A" &amp; $BJ45):INDIRECT("Table!" &amp; $BV$88 &amp; $BJ45),0)))))/1024</f>
        <v>32.31494140625</v>
      </c>
      <c r="AW45" s="709"/>
      <c r="AX45" s="909"/>
      <c r="AY45" s="909"/>
      <c r="AZ45" s="909"/>
      <c r="BA45" s="909"/>
      <c r="BB45" s="909"/>
      <c r="BC45" s="909"/>
      <c r="BD45" s="909"/>
      <c r="BE45" s="909"/>
      <c r="BF45" s="704">
        <f>MATCH($A45,Table!$A:$A,0)+$BH$2-1</f>
        <v>583</v>
      </c>
      <c r="BG45" s="705"/>
      <c r="BH45" s="705"/>
      <c r="BI45" s="705"/>
      <c r="BJ45" s="717">
        <f>MATCH($A45,Table!$A:$A,0)+$BL$2-1</f>
        <v>581</v>
      </c>
      <c r="BK45" s="705"/>
      <c r="BL45" s="705"/>
      <c r="BM45" s="705"/>
      <c r="BN45" s="704">
        <f>MATCH($A45,Table!$A:$A,0)+$BP$2-1</f>
        <v>582</v>
      </c>
      <c r="BO45" s="705"/>
      <c r="BP45" s="705"/>
      <c r="BQ45" s="705"/>
      <c r="BR45" s="717">
        <f>MATCH($A45,Table!$A:$A,0)+$BL$2-1</f>
        <v>581</v>
      </c>
      <c r="BS45" s="705"/>
      <c r="BT45" s="705"/>
      <c r="BU45" s="705"/>
      <c r="BV45" s="711" t="s">
        <v>284</v>
      </c>
      <c r="BW45" s="712">
        <f t="shared" ca="1" si="12"/>
        <v>2598.2193359375005</v>
      </c>
      <c r="BX45" s="712">
        <f t="shared" ca="1" si="45"/>
        <v>1045.6189453125</v>
      </c>
      <c r="BY45" s="712">
        <f t="shared" ca="1" si="43"/>
        <v>1552.6003906250005</v>
      </c>
      <c r="BZ45" s="718">
        <f t="shared" ca="1" si="44"/>
        <v>0.40243674998870538</v>
      </c>
      <c r="CA45" s="712">
        <f ca="1">SUMIF('Alloc Feed'!A:A,A:A,'Alloc Feed'!I:I)</f>
        <v>2625.645521484375</v>
      </c>
      <c r="CB45" s="718">
        <f t="shared" ca="1" si="42"/>
        <v>1.0105557622359</v>
      </c>
    </row>
    <row r="46" spans="1:80" s="267" customFormat="1" x14ac:dyDescent="0.25">
      <c r="A46" s="703">
        <v>41443</v>
      </c>
      <c r="B46" s="709">
        <f ca="1">IF(ISERROR(MATCH(B$1,INDIRECT("Table!A"&amp;$BJ46):INDIRECT("Table!" &amp; $BV$88 &amp; $BJ46),0)),"",INDIRECT(CONCATENATE("Table!",ADDRESS($BF46,MATCH(B$1,INDIRECT("Table!A" &amp; $BJ46):INDIRECT("Table!" &amp; $BV$88 &amp; $BJ46),0)))))/1024</f>
        <v>40.8876953125</v>
      </c>
      <c r="C46" s="709">
        <f ca="1">IF(ISERROR(MATCH(C$1,INDIRECT("Table!A"&amp;$BJ46):INDIRECT("Table!" &amp; $BV$88 &amp; $BJ46),0)),"",INDIRECT(CONCATENATE("Table!",ADDRESS($BF46,MATCH(C$1,INDIRECT("Table!A" &amp; $BJ46):INDIRECT("Table!" &amp; $BV$88 &amp; $BJ46),0)))))/1024</f>
        <v>76.744531249999994</v>
      </c>
      <c r="D46" s="709">
        <f ca="1">IF(ISERROR(MATCH(D$1,INDIRECT("Table!A"&amp;$BJ46):INDIRECT("Table!" &amp; $BV$88 &amp; $BJ46),0)),"",INDIRECT(CONCATENATE("Table!",ADDRESS($BF46,MATCH(D$1,INDIRECT("Table!A" &amp; $BJ46):INDIRECT("Table!" &amp; $BV$88 &amp; $BJ46),0)))))/1024</f>
        <v>78.192285156249994</v>
      </c>
      <c r="E46" s="709">
        <f ca="1">IF(ISERROR(MATCH(E$1,INDIRECT("Table!A"&amp;$BJ46):INDIRECT("Table!" &amp; $BV$88 &amp; $BJ46),0)),"",INDIRECT(CONCATENATE("Table!",ADDRESS($BF46,MATCH(E$1,INDIRECT("Table!A" &amp; $BJ46):INDIRECT("Table!" &amp; $BV$88 &amp; $BJ46),0)))))/1024</f>
        <v>140.13642578125001</v>
      </c>
      <c r="F46" s="709">
        <f ca="1">IF(ISERROR(MATCH(F$1,INDIRECT("Table!A"&amp;$BJ46):INDIRECT("Table!" &amp; $BV$88 &amp; $BJ46),0)),"",INDIRECT(CONCATENATE("Table!",ADDRESS($BF46,MATCH(F$1,INDIRECT("Table!A" &amp; $BJ46):INDIRECT("Table!" &amp; $BV$88 &amp; $BJ46),0)))))/1024</f>
        <v>102.4775390625</v>
      </c>
      <c r="G46" s="709">
        <f ca="1">IF(ISERROR(MATCH(G$1,INDIRECT("Table!A"&amp;$BJ46):INDIRECT("Table!" &amp; $BV$88 &amp; $BJ46),0)),"",INDIRECT(CONCATENATE("Table!",ADDRESS($BF46,MATCH(G$1,INDIRECT("Table!A" &amp; $BJ46):INDIRECT("Table!" &amp; $BV$88 &amp; $BJ46),0)))))/1024</f>
        <v>55.87451171875</v>
      </c>
      <c r="H46" s="709">
        <f ca="1">IF(ISERROR(MATCH(H$1,INDIRECT("Table!A"&amp;$BJ46):INDIRECT("Table!" &amp; $BV$88 &amp; $BJ46),0)),"",INDIRECT(CONCATENATE("Table!",ADDRESS($BF46,MATCH(H$1,INDIRECT("Table!A" &amp; $BJ46):INDIRECT("Table!" &amp; $BV$88 &amp; $BJ46),0)))))/1024</f>
        <v>85.740820312500006</v>
      </c>
      <c r="I46" s="709">
        <f ca="1">IF(ISERROR(MATCH(I$1,INDIRECT("Table!A"&amp;$BJ46):INDIRECT("Table!" &amp; $BV$88 &amp; $BJ46),0)),"",INDIRECT(CONCATENATE("Table!",ADDRESS($BF46,MATCH(I$1,INDIRECT("Table!A" &amp; $BJ46):INDIRECT("Table!" &amp; $BV$88 &amp; $BJ46),0)))))/1024</f>
        <v>8.4993164062499993</v>
      </c>
      <c r="J46" s="709">
        <f ca="1">IF(ISERROR(MATCH(J$1,INDIRECT("Table!A"&amp;$BJ46):INDIRECT("Table!" &amp; $BV$88 &amp; $BJ46),0)),"",INDIRECT(CONCATENATE("Table!",ADDRESS($BF46,MATCH(J$1,INDIRECT("Table!A" &amp; $BJ46):INDIRECT("Table!" &amp; $BV$88 &amp; $BJ46),0)))))/1024</f>
        <v>0.81162109375000002</v>
      </c>
      <c r="K46" s="709">
        <f ca="1">IF(ISERROR(MATCH(K$1,INDIRECT("Table!A"&amp;$BJ46):INDIRECT("Table!" &amp; $BV$88 &amp; $BJ46),0)),"",INDIRECT(CONCATENATE("Table!",ADDRESS($BF46,MATCH(K$1,INDIRECT("Table!A" &amp; $BJ46):INDIRECT("Table!" &amp; $BV$88 &amp; $BJ46),0)))))/1024</f>
        <v>4.5898437500000002E-3</v>
      </c>
      <c r="L46" s="709">
        <f ca="1">IF(ISERROR(MATCH(L$1,INDIRECT("Table!A"&amp;$BJ46):INDIRECT("Table!" &amp; $BV$88 &amp; $BJ46),0)),"",INDIRECT(CONCATENATE("Table!",ADDRESS($BF46,MATCH(L$1,INDIRECT("Table!A" &amp; $BJ46):INDIRECT("Table!" &amp; $BV$88 &amp; $BJ46),0)))))/1024</f>
        <v>157.79599609375001</v>
      </c>
      <c r="M46" s="709">
        <f ca="1">IF(ISERROR(MATCH(M$1,INDIRECT("Table!A"&amp;$BJ46):INDIRECT("Table!" &amp; $BV$88 &amp; $BJ46),0)),"",INDIRECT(CONCATENATE("Table!",ADDRESS($BF46,MATCH(M$1,INDIRECT("Table!A" &amp; $BJ46):INDIRECT("Table!" &amp; $BV$88 &amp; $BJ46),0)))))/1024</f>
        <v>56.543847656250001</v>
      </c>
      <c r="N46" s="709">
        <f ca="1">IF(ISERROR(MATCH(N$1,INDIRECT("Table!A"&amp;$BJ46):INDIRECT("Table!" &amp; $BV$88 &amp; $BJ46),0)),"",INDIRECT(CONCATENATE("Table!",ADDRESS($BF46,MATCH(N$1,INDIRECT("Table!A" &amp; $BJ46):INDIRECT("Table!" &amp; $BV$88 &amp; $BJ46),0)))))/1024</f>
        <v>52.565136718749997</v>
      </c>
      <c r="O46" s="709">
        <f ca="1">IF(ISERROR(MATCH(O$1,INDIRECT("Table!A"&amp;$BJ46):INDIRECT("Table!" &amp; $BV$88 &amp; $BJ46),0)),"",INDIRECT(CONCATENATE("Table!",ADDRESS($BF46,MATCH(O$1,INDIRECT("Table!A" &amp; $BJ46):INDIRECT("Table!" &amp; $BV$88 &amp; $BJ46),0)))))/1024</f>
        <v>156.06074218750001</v>
      </c>
      <c r="P46" s="709">
        <f ca="1">IF(ISERROR(MATCH(P$1,INDIRECT("Table!A"&amp;$BJ46):INDIRECT("Table!" &amp; $BV$88 &amp; $BJ46),0)),"",INDIRECT(CONCATENATE("Table!",ADDRESS($BF46,MATCH(P$1,INDIRECT("Table!A" &amp; $BJ46):INDIRECT("Table!" &amp; $BV$88 &amp; $BJ46),0)))))/1024</f>
        <v>16.541796874999999</v>
      </c>
      <c r="Q46" s="709">
        <f ca="1">IF(ISERROR(MATCH(Q$1,INDIRECT("Table!A"&amp;$BJ46):INDIRECT("Table!" &amp; $BV$88 &amp; $BJ46),0)),"",INDIRECT(CONCATENATE("Table!",ADDRESS($BF46,MATCH(Q$1,INDIRECT("Table!A" &amp; $BJ46):INDIRECT("Table!" &amp; $BV$88 &amp; $BJ46),0)))))/1024</f>
        <v>1.8953125</v>
      </c>
      <c r="R46" s="709">
        <f ca="1">IF(ISERROR(MATCH(R$1,INDIRECT("Table!A"&amp;$BJ46):INDIRECT("Table!" &amp; $BV$88 &amp; $BJ46),0)),"",INDIRECT(CONCATENATE("Table!",ADDRESS($BF46,MATCH(R$1,INDIRECT("Table!A" &amp; $BJ46):INDIRECT("Table!" &amp; $BV$88 &amp; $BJ46),0)))))/1024</f>
        <v>4.5898437500000002E-3</v>
      </c>
      <c r="S46" s="709">
        <f ca="1">IF(ISERROR(MATCH(S$1,INDIRECT("Table!A"&amp;$BJ46):INDIRECT("Table!" &amp; $BV$43 &amp; $BJ46),0)),"",INDIRECT(CONCATENATE("Table!",ADDRESS($BF46,MATCH(S$1,INDIRECT("Table!A" &amp; $BJ46):INDIRECT("Table!" &amp; $BV$43 &amp; $BJ46),0)))))/1024</f>
        <v>8.3463867187500007</v>
      </c>
      <c r="T46" s="709">
        <f ca="1">IF(ISERROR(MATCH(T$1,INDIRECT("Table!A"&amp;$BJ46):INDIRECT("Table!" &amp; $BV$43 &amp; $BJ46),0)),"",INDIRECT(CONCATENATE("Table!",ADDRESS($BF46,MATCH(T$1,INDIRECT("Table!A" &amp; $BJ46):INDIRECT("Table!" &amp; $BV$43 &amp; $BJ46),0)))))/1024</f>
        <v>4.8473632812499998</v>
      </c>
      <c r="U46" s="709"/>
      <c r="V46" s="909"/>
      <c r="W46" s="909"/>
      <c r="X46" s="909"/>
      <c r="Y46" s="909"/>
      <c r="Z46" s="909"/>
      <c r="AA46" s="909"/>
      <c r="AB46" s="909"/>
      <c r="AC46" s="709" t="str">
        <f ca="1">IF(ISERROR(MATCH(AC$1,INDIRECT("Table!A"&amp;$BJ46):INDIRECT("Table!" &amp; $BV$88 &amp; $BJ46),0)),"",INDIRECT(CONCATENATE("Table!",ADDRESS($BF46,MATCH(AC$1,INDIRECT("Table!A" &amp; $BJ46):INDIRECT("Table!" &amp; $BV$88 &amp; $BJ46),0)))))</f>
        <v/>
      </c>
      <c r="AD46" s="709">
        <f ca="1">IF(ISERROR(MATCH(AD$1,INDIRECT("Table!A"&amp;$BJ46):INDIRECT("Table!" &amp; $BV$88 &amp; $BJ46),0)),"",INDIRECT(CONCATENATE("Table!",ADDRESS($BN46,MATCH(AD$1,INDIRECT("Table!A" &amp; $BJ46):INDIRECT("Table!" &amp; $BV$88 &amp; $BJ46),0)))))/1024</f>
        <v>140.0322265625</v>
      </c>
      <c r="AE46" s="709">
        <f ca="1">IF(ISERROR(MATCH(AE$1,INDIRECT("Table!A"&amp;$BJ46):INDIRECT("Table!" &amp; $BV$88 &amp; $BJ46),0)),"",INDIRECT(CONCATENATE("Table!",ADDRESS($BN46,MATCH(AE$1,INDIRECT("Table!A" &amp; $BJ46):INDIRECT("Table!" &amp; $BV$88 &amp; $BJ46),0)))))/1024</f>
        <v>146.98896484375001</v>
      </c>
      <c r="AF46" s="709">
        <f ca="1">IF(ISERROR(MATCH(AF$1,INDIRECT("Table!A"&amp;$BJ46):INDIRECT("Table!" &amp; $BV$88 &amp; $BJ46),0)),"",INDIRECT(CONCATENATE("Table!",ADDRESS($BN46,MATCH(AF$1,INDIRECT("Table!A" &amp; $BJ46):INDIRECT("Table!" &amp; $BV$88 &amp; $BJ46),0)))))/1024</f>
        <v>146.98896484375001</v>
      </c>
      <c r="AG46" s="709">
        <f ca="1">IF(ISERROR(MATCH(AG$1,INDIRECT("Table!A"&amp;$BJ46):INDIRECT("Table!" &amp; $BV$88 &amp; $BJ46),0)),"",INDIRECT(CONCATENATE("Table!",ADDRESS($BN46,MATCH(AG$1,INDIRECT("Table!A" &amp; $BJ46):INDIRECT("Table!" &amp; $BV$88 &amp; $BJ46),0)))))/1024</f>
        <v>177.73222656249999</v>
      </c>
      <c r="AH46" s="709">
        <f ca="1">IF(ISERROR(MATCH(AH$1,INDIRECT("Table!A"&amp;$BJ46):INDIRECT("Table!" &amp; $BV$88 &amp; $BJ46),0)),"",INDIRECT(CONCATENATE("Table!",ADDRESS($BN46,MATCH(AH$1,INDIRECT("Table!A" &amp; $BJ46):INDIRECT("Table!" &amp; $BV$88 &amp; $BJ46),0)))))/1024</f>
        <v>161.57470703125</v>
      </c>
      <c r="AI46" s="709">
        <f ca="1">IF(ISERROR(MATCH(AI$1,INDIRECT("Table!A"&amp;$BJ46):INDIRECT("Table!" &amp; $BV$88 &amp; $BJ46),0)),"",INDIRECT(CONCATENATE("Table!",ADDRESS($BN46,MATCH(AI$1,INDIRECT("Table!A" &amp; $BJ46):INDIRECT("Table!" &amp; $BV$88 &amp; $BJ46),0)))))/1024</f>
        <v>129.03603515624999</v>
      </c>
      <c r="AJ46" s="709">
        <f ca="1">IF(ISERROR(MATCH(AJ$1,INDIRECT("Table!A"&amp;$BJ46):INDIRECT("Table!" &amp; $BV$88 &amp; $BJ46),0)),"",INDIRECT(CONCATENATE("Table!",ADDRESS($BN46,MATCH(AJ$1,INDIRECT("Table!A" &amp; $BJ46):INDIRECT("Table!" &amp; $BV$88 &amp; $BJ46),0)))))/1024</f>
        <v>166.96152343750001</v>
      </c>
      <c r="AK46" s="709">
        <f ca="1">IF(ISERROR(MATCH(AK$1,INDIRECT("Table!A"&amp;$BJ46):INDIRECT("Table!" &amp; $BV$88 &amp; $BJ46),0)),"",INDIRECT(CONCATENATE("Table!",ADDRESS($BN46,MATCH(AK$1,INDIRECT("Table!A" &amp; $BJ46):INDIRECT("Table!" &amp; $BV$88 &amp; $BJ46),0)))))/1024</f>
        <v>161.57568359375</v>
      </c>
      <c r="AL46" s="709">
        <f ca="1">IF(ISERROR(MATCH(AL$1,INDIRECT("Table!A"&amp;$BJ46):INDIRECT("Table!" &amp; $BV$88 &amp; $BJ46),0)),"",INDIRECT(CONCATENATE("Table!",ADDRESS($BN46,MATCH(AL$1,INDIRECT("Table!A" &amp; $BJ46):INDIRECT("Table!" &amp; $BV$88 &amp; $BJ46),0)))))/1024</f>
        <v>90.245703125000006</v>
      </c>
      <c r="AM46" s="709">
        <f ca="1">IF(ISERROR(MATCH(AM$1,INDIRECT("Table!A"&amp;$BJ46):INDIRECT("Table!" &amp; $BV$88 &amp; $BJ46),0)),"",INDIRECT(CONCATENATE("Table!",ADDRESS($BN46,MATCH(AM$1,INDIRECT("Table!A" &amp; $BJ46):INDIRECT("Table!" &amp; $BV$88 &amp; $BJ46),0)))))/1024</f>
        <v>128.974609375</v>
      </c>
      <c r="AN46" s="709">
        <f ca="1">IF(ISERROR(MATCH(AN$1,INDIRECT("Table!A"&amp;$BJ46):INDIRECT("Table!" &amp; $BV$88 &amp; $BJ46),0)),"",INDIRECT(CONCATENATE("Table!",ADDRESS($BN46,MATCH(AN$1,INDIRECT("Table!A" &amp; $BJ46):INDIRECT("Table!" &amp; $BV$88 &amp; $BJ46),0)))))/1024</f>
        <v>188.50498046875001</v>
      </c>
      <c r="AO46" s="709">
        <f ca="1">IF(ISERROR(MATCH(AO$1,INDIRECT("Table!A"&amp;$BJ46):INDIRECT("Table!" &amp; $BV$88 &amp; $BJ46),0)),"",INDIRECT(CONCATENATE("Table!",ADDRESS($BN46,MATCH(AO$1,INDIRECT("Table!A" &amp; $BJ46):INDIRECT("Table!" &amp; $BV$88 &amp; $BJ46),0)))))/1024</f>
        <v>129.03603515624999</v>
      </c>
      <c r="AP46" s="709">
        <f ca="1">IF(ISERROR(MATCH(AP$1,INDIRECT("Table!A"&amp;$BJ46):INDIRECT("Table!" &amp; $BV$88 &amp; $BJ46),0)),"",INDIRECT(CONCATENATE("Table!",ADDRESS($BN46,MATCH(AP$1,INDIRECT("Table!A" &amp; $BJ46):INDIRECT("Table!" &amp; $BV$88 &amp; $BJ46),0)))))/1024</f>
        <v>80.787695312500006</v>
      </c>
      <c r="AQ46" s="709">
        <f ca="1">IF(ISERROR(MATCH(AQ$1,INDIRECT("Table!A"&amp;$BJ46):INDIRECT("Table!" &amp; $BV$88 &amp; $BJ46),0)),"",INDIRECT(CONCATENATE("Table!",ADDRESS($BN46,MATCH(AQ$1,INDIRECT("Table!A" &amp; $BJ46):INDIRECT("Table!" &amp; $BV$88 &amp; $BJ46),0)))))/1024</f>
        <v>269.2919921875</v>
      </c>
      <c r="AR46" s="709">
        <f ca="1">IF(ISERROR(MATCH(AR$1,INDIRECT("Table!A"&amp;$BJ46):INDIRECT("Table!" &amp; $BV$88 &amp; $BJ46),0)),"",INDIRECT(CONCATENATE("Table!",ADDRESS($BN46,MATCH(AR$1,INDIRECT("Table!A" &amp; $BJ46):INDIRECT("Table!" &amp; $BV$88 &amp; $BJ46),0)))))/1024</f>
        <v>80.787695312500006</v>
      </c>
      <c r="AS46" s="709">
        <f ca="1">IF(ISERROR(MATCH(AS$1,INDIRECT("Table!A"&amp;$BJ46):INDIRECT("Table!" &amp; $BV$88 &amp; $BJ46),0)),"",INDIRECT(CONCATENATE("Table!",ADDRESS($BN46,MATCH(AS$1,INDIRECT("Table!A" &amp; $BJ46):INDIRECT("Table!" &amp; $BV$88 &amp; $BJ46),0)))))/1024</f>
        <v>184.55234375000001</v>
      </c>
      <c r="AT46" s="709">
        <f ca="1">IF(ISERROR(MATCH(AT$1,INDIRECT("Table!A"&amp;$BJ46):INDIRECT("Table!" &amp; $BV$88 &amp; $BJ46),0)),"",INDIRECT(CONCATENATE("Table!",ADDRESS($BN46,MATCH(AT$1,INDIRECT("Table!A" &amp; $BJ46):INDIRECT("Table!" &amp; $BV$88 &amp; $BJ46),0)))))/1024</f>
        <v>128.974609375</v>
      </c>
      <c r="AU46" s="709">
        <f ca="1">IF(ISERROR(MATCH(AU$1,INDIRECT("Table!A"&amp;$BJ46):INDIRECT("Table!" &amp; $BV$88 &amp; $BJ46),0)),"",INDIRECT(CONCATENATE("Table!",ADDRESS($BN46,MATCH(AU$1,INDIRECT("Table!A" &amp; $BJ46):INDIRECT("Table!" &amp; $BV$88 &amp; $BJ46),0)))))/1024</f>
        <v>53.8583984375</v>
      </c>
      <c r="AV46" s="709">
        <f ca="1">IF(ISERROR(MATCH(AV$1,INDIRECT("Table!A"&amp;$BJ46):INDIRECT("Table!" &amp; $BV$88 &amp; $BJ46),0)),"",INDIRECT(CONCATENATE("Table!",ADDRESS($BN46,MATCH(AV$1,INDIRECT("Table!A" &amp; $BJ46):INDIRECT("Table!" &amp; $BV$88 &amp; $BJ46),0)))))/1024</f>
        <v>32.31494140625</v>
      </c>
      <c r="AW46" s="709"/>
      <c r="AX46" s="909"/>
      <c r="AY46" s="909"/>
      <c r="AZ46" s="909"/>
      <c r="BA46" s="909"/>
      <c r="BB46" s="909"/>
      <c r="BC46" s="909"/>
      <c r="BD46" s="909"/>
      <c r="BE46" s="909"/>
      <c r="BF46" s="704">
        <f>MATCH($A46,Table!$A:$A,0)+$BH$2-1</f>
        <v>595</v>
      </c>
      <c r="BG46" s="705"/>
      <c r="BH46" s="705"/>
      <c r="BI46" s="705"/>
      <c r="BJ46" s="717">
        <f>MATCH($A46,Table!$A:$A,0)+$BL$2-1</f>
        <v>593</v>
      </c>
      <c r="BK46" s="705"/>
      <c r="BL46" s="705"/>
      <c r="BM46" s="705"/>
      <c r="BN46" s="704">
        <f>MATCH($A46,Table!$A:$A,0)+$BP$2-1</f>
        <v>594</v>
      </c>
      <c r="BO46" s="705"/>
      <c r="BP46" s="705"/>
      <c r="BQ46" s="705"/>
      <c r="BR46" s="717">
        <f>MATCH($A46,Table!$A:$A,0)+$BL$2-1</f>
        <v>593</v>
      </c>
      <c r="BS46" s="705"/>
      <c r="BT46" s="705"/>
      <c r="BU46" s="705"/>
      <c r="BV46" s="711" t="s">
        <v>284</v>
      </c>
      <c r="BW46" s="712">
        <f t="shared" ca="1" si="12"/>
        <v>2598.2193359375005</v>
      </c>
      <c r="BX46" s="712">
        <f t="shared" ca="1" si="45"/>
        <v>1043.9705078124998</v>
      </c>
      <c r="BY46" s="712">
        <f t="shared" ca="1" si="43"/>
        <v>1554.2488281250007</v>
      </c>
      <c r="BZ46" s="718">
        <f t="shared" ca="1" si="44"/>
        <v>0.40180230105008047</v>
      </c>
      <c r="CA46" s="712">
        <f ca="1">SUMIF('Alloc Feed'!A:A,A:A,'Alloc Feed'!I:I)</f>
        <v>2616.9199306640626</v>
      </c>
      <c r="CB46" s="718">
        <f t="shared" ca="1" si="42"/>
        <v>1.0071974657673828</v>
      </c>
    </row>
    <row r="47" spans="1:80" s="267" customFormat="1" x14ac:dyDescent="0.25">
      <c r="A47" s="703">
        <v>41437</v>
      </c>
      <c r="B47" s="709">
        <f ca="1">IF(ISERROR(MATCH(B$1,INDIRECT("Table!A"&amp;$BJ47):INDIRECT("Table!" &amp; $BV$88 &amp; $BJ47),0)),"",INDIRECT(CONCATENATE("Table!",ADDRESS($BF47,MATCH(B$1,INDIRECT("Table!A" &amp; $BJ47):INDIRECT("Table!" &amp; $BV$88 &amp; $BJ47),0)))))/1024</f>
        <v>40.69482421875</v>
      </c>
      <c r="C47" s="709">
        <f ca="1">IF(ISERROR(MATCH(C$1,INDIRECT("Table!A"&amp;$BJ47):INDIRECT("Table!" &amp; $BV$88 &amp; $BJ47),0)),"",INDIRECT(CONCATENATE("Table!",ADDRESS($BF47,MATCH(C$1,INDIRECT("Table!A" &amp; $BJ47):INDIRECT("Table!" &amp; $BV$88 &amp; $BJ47),0)))))/1024</f>
        <v>76.722363281249997</v>
      </c>
      <c r="D47" s="709">
        <f ca="1">IF(ISERROR(MATCH(D$1,INDIRECT("Table!A"&amp;$BJ47):INDIRECT("Table!" &amp; $BV$88 &amp; $BJ47),0)),"",INDIRECT(CONCATENATE("Table!",ADDRESS($BF47,MATCH(D$1,INDIRECT("Table!A" &amp; $BJ47):INDIRECT("Table!" &amp; $BV$88 &amp; $BJ47),0)))))/1024</f>
        <v>78.170507812500006</v>
      </c>
      <c r="E47" s="709">
        <f ca="1">IF(ISERROR(MATCH(E$1,INDIRECT("Table!A"&amp;$BJ47):INDIRECT("Table!" &amp; $BV$88 &amp; $BJ47),0)),"",INDIRECT(CONCATENATE("Table!",ADDRESS($BF47,MATCH(E$1,INDIRECT("Table!A" &amp; $BJ47):INDIRECT("Table!" &amp; $BV$88 &amp; $BJ47),0)))))/1024</f>
        <v>157.37714843750001</v>
      </c>
      <c r="F47" s="709">
        <f ca="1">IF(ISERROR(MATCH(F$1,INDIRECT("Table!A"&amp;$BJ47):INDIRECT("Table!" &amp; $BV$88 &amp; $BJ47),0)),"",INDIRECT(CONCATENATE("Table!",ADDRESS($BF47,MATCH(F$1,INDIRECT("Table!A" &amp; $BJ47):INDIRECT("Table!" &amp; $BV$88 &amp; $BJ47),0)))))/1024</f>
        <v>101.5216796875</v>
      </c>
      <c r="G47" s="709">
        <f ca="1">IF(ISERROR(MATCH(G$1,INDIRECT("Table!A"&amp;$BJ47):INDIRECT("Table!" &amp; $BV$88 &amp; $BJ47),0)),"",INDIRECT(CONCATENATE("Table!",ADDRESS($BF47,MATCH(G$1,INDIRECT("Table!A" &amp; $BJ47):INDIRECT("Table!" &amp; $BV$88 &amp; $BJ47),0)))))/1024</f>
        <v>53.730566406249999</v>
      </c>
      <c r="H47" s="709">
        <f ca="1">IF(ISERROR(MATCH(H$1,INDIRECT("Table!A"&amp;$BJ47):INDIRECT("Table!" &amp; $BV$88 &amp; $BJ47),0)),"",INDIRECT(CONCATENATE("Table!",ADDRESS($BF47,MATCH(H$1,INDIRECT("Table!A" &amp; $BJ47):INDIRECT("Table!" &amp; $BV$88 &amp; $BJ47),0)))))/1024</f>
        <v>85.509667968749994</v>
      </c>
      <c r="I47" s="709">
        <f ca="1">IF(ISERROR(MATCH(I$1,INDIRECT("Table!A"&amp;$BJ47):INDIRECT("Table!" &amp; $BV$88 &amp; $BJ47),0)),"",INDIRECT(CONCATENATE("Table!",ADDRESS($BF47,MATCH(I$1,INDIRECT("Table!A" &amp; $BJ47):INDIRECT("Table!" &amp; $BV$88 &amp; $BJ47),0)))))/1024</f>
        <v>8.2938476562499996</v>
      </c>
      <c r="J47" s="709">
        <f ca="1">IF(ISERROR(MATCH(J$1,INDIRECT("Table!A"&amp;$BJ47):INDIRECT("Table!" &amp; $BV$88 &amp; $BJ47),0)),"",INDIRECT(CONCATENATE("Table!",ADDRESS($BF47,MATCH(J$1,INDIRECT("Table!A" &amp; $BJ47):INDIRECT("Table!" &amp; $BV$88 &amp; $BJ47),0)))))/1024</f>
        <v>2.6367187500000002E-3</v>
      </c>
      <c r="K47" s="709">
        <f ca="1">IF(ISERROR(MATCH(K$1,INDIRECT("Table!A"&amp;$BJ47):INDIRECT("Table!" &amp; $BV$88 &amp; $BJ47),0)),"",INDIRECT(CONCATENATE("Table!",ADDRESS($BF47,MATCH(K$1,INDIRECT("Table!A" &amp; $BJ47):INDIRECT("Table!" &amp; $BV$88 &amp; $BJ47),0)))))/1024</f>
        <v>4.5898437500000002E-3</v>
      </c>
      <c r="L47" s="709">
        <f ca="1">IF(ISERROR(MATCH(L$1,INDIRECT("Table!A"&amp;$BJ47):INDIRECT("Table!" &amp; $BV$88 &amp; $BJ47),0)),"",INDIRECT(CONCATENATE("Table!",ADDRESS($BF47,MATCH(L$1,INDIRECT("Table!A" &amp; $BJ47):INDIRECT("Table!" &amp; $BV$88 &amp; $BJ47),0)))))/1024</f>
        <v>157.62285156249999</v>
      </c>
      <c r="M47" s="709">
        <f ca="1">IF(ISERROR(MATCH(M$1,INDIRECT("Table!A"&amp;$BJ47):INDIRECT("Table!" &amp; $BV$88 &amp; $BJ47),0)),"",INDIRECT(CONCATENATE("Table!",ADDRESS($BF47,MATCH(M$1,INDIRECT("Table!A" &amp; $BJ47):INDIRECT("Table!" &amp; $BV$88 &amp; $BJ47),0)))))/1024</f>
        <v>54.81689453125</v>
      </c>
      <c r="N47" s="709">
        <f ca="1">IF(ISERROR(MATCH(N$1,INDIRECT("Table!A"&amp;$BJ47):INDIRECT("Table!" &amp; $BV$88 &amp; $BJ47),0)),"",INDIRECT(CONCATENATE("Table!",ADDRESS($BF47,MATCH(N$1,INDIRECT("Table!A" &amp; $BJ47):INDIRECT("Table!" &amp; $BV$88 &amp; $BJ47),0)))))/1024</f>
        <v>52.129101562499997</v>
      </c>
      <c r="O47" s="709">
        <f ca="1">IF(ISERROR(MATCH(O$1,INDIRECT("Table!A"&amp;$BJ47):INDIRECT("Table!" &amp; $BV$88 &amp; $BJ47),0)),"",INDIRECT(CONCATENATE("Table!",ADDRESS($BF47,MATCH(O$1,INDIRECT("Table!A" &amp; $BJ47):INDIRECT("Table!" &amp; $BV$88 &amp; $BJ47),0)))))/1024</f>
        <v>156.30683593750001</v>
      </c>
      <c r="P47" s="709">
        <f ca="1">IF(ISERROR(MATCH(P$1,INDIRECT("Table!A"&amp;$BJ47):INDIRECT("Table!" &amp; $BV$88 &amp; $BJ47),0)),"",INDIRECT(CONCATENATE("Table!",ADDRESS($BF47,MATCH(P$1,INDIRECT("Table!A" &amp; $BJ47):INDIRECT("Table!" &amp; $BV$88 &amp; $BJ47),0)))))/1024</f>
        <v>16.130761718750001</v>
      </c>
      <c r="Q47" s="709">
        <f ca="1">IF(ISERROR(MATCH(Q$1,INDIRECT("Table!A"&amp;$BJ47):INDIRECT("Table!" &amp; $BV$88 &amp; $BJ47),0)),"",INDIRECT(CONCATENATE("Table!",ADDRESS($BF47,MATCH(Q$1,INDIRECT("Table!A" &amp; $BJ47):INDIRECT("Table!" &amp; $BV$88 &amp; $BJ47),0)))))/1024</f>
        <v>5.2734375000000003E-3</v>
      </c>
      <c r="R47" s="709">
        <f ca="1">IF(ISERROR(MATCH(R$1,INDIRECT("Table!A"&amp;$BJ47):INDIRECT("Table!" &amp; $BV$88 &amp; $BJ47),0)),"",INDIRECT(CONCATENATE("Table!",ADDRESS($BF47,MATCH(R$1,INDIRECT("Table!A" &amp; $BJ47):INDIRECT("Table!" &amp; $BV$88 &amp; $BJ47),0)))))/1024</f>
        <v>4.5898437500000002E-3</v>
      </c>
      <c r="S47" s="709">
        <f ca="1">IF(ISERROR(MATCH(S$1,INDIRECT("Table!A"&amp;$BJ47):INDIRECT("Table!" &amp; $BV$43 &amp; $BJ47),0)),"",INDIRECT(CONCATENATE("Table!",ADDRESS($BF47,MATCH(S$1,INDIRECT("Table!A" &amp; $BJ47):INDIRECT("Table!" &amp; $BV$43 &amp; $BJ47),0)))))/1024</f>
        <v>7.9916015624999996</v>
      </c>
      <c r="T47" s="709">
        <f ca="1">IF(ISERROR(MATCH(T$1,INDIRECT("Table!A"&amp;$BJ47):INDIRECT("Table!" &amp; $BV$43 &amp; $BJ47),0)),"",INDIRECT(CONCATENATE("Table!",ADDRESS($BF47,MATCH(T$1,INDIRECT("Table!A" &amp; $BJ47):INDIRECT("Table!" &amp; $BV$43 &amp; $BJ47),0)))))/1024</f>
        <v>4.5880859374999998</v>
      </c>
      <c r="U47" s="709"/>
      <c r="V47" s="909"/>
      <c r="W47" s="909"/>
      <c r="X47" s="909"/>
      <c r="Y47" s="909"/>
      <c r="Z47" s="909"/>
      <c r="AA47" s="909"/>
      <c r="AB47" s="909"/>
      <c r="AC47" s="709" t="str">
        <f ca="1">IF(ISERROR(MATCH(AC$1,INDIRECT("Table!A"&amp;$BJ47):INDIRECT("Table!" &amp; $BV$88 &amp; $BJ47),0)),"",INDIRECT(CONCATENATE("Table!",ADDRESS($BF47,MATCH(AC$1,INDIRECT("Table!A" &amp; $BJ47):INDIRECT("Table!" &amp; $BV$88 &amp; $BJ47),0)))))</f>
        <v/>
      </c>
      <c r="AD47" s="709">
        <f ca="1">IF(ISERROR(MATCH(AD$1,INDIRECT("Table!A"&amp;$BJ47):INDIRECT("Table!" &amp; $BV$88 &amp; $BJ47),0)),"",INDIRECT(CONCATENATE("Table!",ADDRESS($BN47,MATCH(AD$1,INDIRECT("Table!A" &amp; $BJ47):INDIRECT("Table!" &amp; $BV$88 &amp; $BJ47),0)))))/1024</f>
        <v>140.0322265625</v>
      </c>
      <c r="AE47" s="709">
        <f ca="1">IF(ISERROR(MATCH(AE$1,INDIRECT("Table!A"&amp;$BJ47):INDIRECT("Table!" &amp; $BV$88 &amp; $BJ47),0)),"",INDIRECT(CONCATENATE("Table!",ADDRESS($BN47,MATCH(AE$1,INDIRECT("Table!A" &amp; $BJ47):INDIRECT("Table!" &amp; $BV$88 &amp; $BJ47),0)))))/1024</f>
        <v>146.98896484375001</v>
      </c>
      <c r="AF47" s="709">
        <f ca="1">IF(ISERROR(MATCH(AF$1,INDIRECT("Table!A"&amp;$BJ47):INDIRECT("Table!" &amp; $BV$88 &amp; $BJ47),0)),"",INDIRECT(CONCATENATE("Table!",ADDRESS($BN47,MATCH(AF$1,INDIRECT("Table!A" &amp; $BJ47):INDIRECT("Table!" &amp; $BV$88 &amp; $BJ47),0)))))/1024</f>
        <v>146.98896484375001</v>
      </c>
      <c r="AG47" s="709">
        <f ca="1">IF(ISERROR(MATCH(AG$1,INDIRECT("Table!A"&amp;$BJ47):INDIRECT("Table!" &amp; $BV$88 &amp; $BJ47),0)),"",INDIRECT(CONCATENATE("Table!",ADDRESS($BN47,MATCH(AG$1,INDIRECT("Table!A" &amp; $BJ47):INDIRECT("Table!" &amp; $BV$88 &amp; $BJ47),0)))))/1024</f>
        <v>177.73222656249999</v>
      </c>
      <c r="AH47" s="709">
        <f ca="1">IF(ISERROR(MATCH(AH$1,INDIRECT("Table!A"&amp;$BJ47):INDIRECT("Table!" &amp; $BV$88 &amp; $BJ47),0)),"",INDIRECT(CONCATENATE("Table!",ADDRESS($BN47,MATCH(AH$1,INDIRECT("Table!A" &amp; $BJ47):INDIRECT("Table!" &amp; $BV$88 &amp; $BJ47),0)))))/1024</f>
        <v>161.57470703125</v>
      </c>
      <c r="AI47" s="709">
        <f ca="1">IF(ISERROR(MATCH(AI$1,INDIRECT("Table!A"&amp;$BJ47):INDIRECT("Table!" &amp; $BV$88 &amp; $BJ47),0)),"",INDIRECT(CONCATENATE("Table!",ADDRESS($BN47,MATCH(AI$1,INDIRECT("Table!A" &amp; $BJ47):INDIRECT("Table!" &amp; $BV$88 &amp; $BJ47),0)))))/1024</f>
        <v>129.03603515624999</v>
      </c>
      <c r="AJ47" s="709">
        <f ca="1">IF(ISERROR(MATCH(AJ$1,INDIRECT("Table!A"&amp;$BJ47):INDIRECT("Table!" &amp; $BV$88 &amp; $BJ47),0)),"",INDIRECT(CONCATENATE("Table!",ADDRESS($BN47,MATCH(AJ$1,INDIRECT("Table!A" &amp; $BJ47):INDIRECT("Table!" &amp; $BV$88 &amp; $BJ47),0)))))/1024</f>
        <v>166.96152343750001</v>
      </c>
      <c r="AK47" s="709">
        <f ca="1">IF(ISERROR(MATCH(AK$1,INDIRECT("Table!A"&amp;$BJ47):INDIRECT("Table!" &amp; $BV$88 &amp; $BJ47),0)),"",INDIRECT(CONCATENATE("Table!",ADDRESS($BN47,MATCH(AK$1,INDIRECT("Table!A" &amp; $BJ47):INDIRECT("Table!" &amp; $BV$88 &amp; $BJ47),0)))))/1024</f>
        <v>161.57568359375</v>
      </c>
      <c r="AL47" s="709">
        <f ca="1">IF(ISERROR(MATCH(AL$1,INDIRECT("Table!A"&amp;$BJ47):INDIRECT("Table!" &amp; $BV$88 &amp; $BJ47),0)),"",INDIRECT(CONCATENATE("Table!",ADDRESS($BN47,MATCH(AL$1,INDIRECT("Table!A" &amp; $BJ47):INDIRECT("Table!" &amp; $BV$88 &amp; $BJ47),0)))))/1024</f>
        <v>90.245703125000006</v>
      </c>
      <c r="AM47" s="709">
        <f ca="1">IF(ISERROR(MATCH(AM$1,INDIRECT("Table!A"&amp;$BJ47):INDIRECT("Table!" &amp; $BV$88 &amp; $BJ47),0)),"",INDIRECT(CONCATENATE("Table!",ADDRESS($BN47,MATCH(AM$1,INDIRECT("Table!A" &amp; $BJ47):INDIRECT("Table!" &amp; $BV$88 &amp; $BJ47),0)))))/1024</f>
        <v>128.974609375</v>
      </c>
      <c r="AN47" s="709">
        <f ca="1">IF(ISERROR(MATCH(AN$1,INDIRECT("Table!A"&amp;$BJ47):INDIRECT("Table!" &amp; $BV$88 &amp; $BJ47),0)),"",INDIRECT(CONCATENATE("Table!",ADDRESS($BN47,MATCH(AN$1,INDIRECT("Table!A" &amp; $BJ47):INDIRECT("Table!" &amp; $BV$88 &amp; $BJ47),0)))))/1024</f>
        <v>188.50498046875001</v>
      </c>
      <c r="AO47" s="709">
        <f ca="1">IF(ISERROR(MATCH(AO$1,INDIRECT("Table!A"&amp;$BJ47):INDIRECT("Table!" &amp; $BV$88 &amp; $BJ47),0)),"",INDIRECT(CONCATENATE("Table!",ADDRESS($BN47,MATCH(AO$1,INDIRECT("Table!A" &amp; $BJ47):INDIRECT("Table!" &amp; $BV$88 &amp; $BJ47),0)))))/1024</f>
        <v>129.03603515624999</v>
      </c>
      <c r="AP47" s="709">
        <f ca="1">IF(ISERROR(MATCH(AP$1,INDIRECT("Table!A"&amp;$BJ47):INDIRECT("Table!" &amp; $BV$88 &amp; $BJ47),0)),"",INDIRECT(CONCATENATE("Table!",ADDRESS($BN47,MATCH(AP$1,INDIRECT("Table!A" &amp; $BJ47):INDIRECT("Table!" &amp; $BV$88 &amp; $BJ47),0)))))/1024</f>
        <v>80.787695312500006</v>
      </c>
      <c r="AQ47" s="709">
        <f ca="1">IF(ISERROR(MATCH(AQ$1,INDIRECT("Table!A"&amp;$BJ47):INDIRECT("Table!" &amp; $BV$88 &amp; $BJ47),0)),"",INDIRECT(CONCATENATE("Table!",ADDRESS($BN47,MATCH(AQ$1,INDIRECT("Table!A" &amp; $BJ47):INDIRECT("Table!" &amp; $BV$88 &amp; $BJ47),0)))))/1024</f>
        <v>269.2919921875</v>
      </c>
      <c r="AR47" s="709">
        <f ca="1">IF(ISERROR(MATCH(AR$1,INDIRECT("Table!A"&amp;$BJ47):INDIRECT("Table!" &amp; $BV$88 &amp; $BJ47),0)),"",INDIRECT(CONCATENATE("Table!",ADDRESS($BN47,MATCH(AR$1,INDIRECT("Table!A" &amp; $BJ47):INDIRECT("Table!" &amp; $BV$88 &amp; $BJ47),0)))))/1024</f>
        <v>80.787695312500006</v>
      </c>
      <c r="AS47" s="709">
        <f ca="1">IF(ISERROR(MATCH(AS$1,INDIRECT("Table!A"&amp;$BJ47):INDIRECT("Table!" &amp; $BV$88 &amp; $BJ47),0)),"",INDIRECT(CONCATENATE("Table!",ADDRESS($BN47,MATCH(AS$1,INDIRECT("Table!A" &amp; $BJ47):INDIRECT("Table!" &amp; $BV$88 &amp; $BJ47),0)))))/1024</f>
        <v>184.55234375000001</v>
      </c>
      <c r="AT47" s="709">
        <f ca="1">IF(ISERROR(MATCH(AT$1,INDIRECT("Table!A"&amp;$BJ47):INDIRECT("Table!" &amp; $BV$88 &amp; $BJ47),0)),"",INDIRECT(CONCATENATE("Table!",ADDRESS($BN47,MATCH(AT$1,INDIRECT("Table!A" &amp; $BJ47):INDIRECT("Table!" &amp; $BV$88 &amp; $BJ47),0)))))/1024</f>
        <v>128.974609375</v>
      </c>
      <c r="AU47" s="709">
        <f ca="1">IF(ISERROR(MATCH(AU$1,INDIRECT("Table!A"&amp;$BJ47):INDIRECT("Table!" &amp; $BV$88 &amp; $BJ47),0)),"",INDIRECT(CONCATENATE("Table!",ADDRESS($BN47,MATCH(AU$1,INDIRECT("Table!A" &amp; $BJ47):INDIRECT("Table!" &amp; $BV$88 &amp; $BJ47),0)))))/1024</f>
        <v>53.8583984375</v>
      </c>
      <c r="AV47" s="709">
        <f ca="1">IF(ISERROR(MATCH(AV$1,INDIRECT("Table!A"&amp;$BJ47):INDIRECT("Table!" &amp; $BV$88 &amp; $BJ47),0)),"",INDIRECT(CONCATENATE("Table!",ADDRESS($BN47,MATCH(AV$1,INDIRECT("Table!A" &amp; $BJ47):INDIRECT("Table!" &amp; $BV$88 &amp; $BJ47),0)))))/1024</f>
        <v>32.31494140625</v>
      </c>
      <c r="AW47" s="709"/>
      <c r="AX47" s="909"/>
      <c r="AY47" s="909"/>
      <c r="AZ47" s="909"/>
      <c r="BA47" s="909"/>
      <c r="BB47" s="909"/>
      <c r="BC47" s="909"/>
      <c r="BD47" s="909"/>
      <c r="BE47" s="909"/>
      <c r="BF47" s="704">
        <f>MATCH($A47,Table!$A:$A,0)+$BH$2-1</f>
        <v>607</v>
      </c>
      <c r="BG47" s="705"/>
      <c r="BH47" s="705"/>
      <c r="BI47" s="705"/>
      <c r="BJ47" s="717">
        <f>MATCH($A47,Table!$A:$A,0)+$BL$2-1</f>
        <v>605</v>
      </c>
      <c r="BK47" s="705"/>
      <c r="BL47" s="705"/>
      <c r="BM47" s="705"/>
      <c r="BN47" s="704">
        <f>MATCH($A47,Table!$A:$A,0)+$BP$2-1</f>
        <v>606</v>
      </c>
      <c r="BO47" s="705"/>
      <c r="BP47" s="705"/>
      <c r="BQ47" s="705"/>
      <c r="BR47" s="717">
        <f>MATCH($A47,Table!$A:$A,0)+$BL$2-1</f>
        <v>605</v>
      </c>
      <c r="BS47" s="705"/>
      <c r="BT47" s="705"/>
      <c r="BU47" s="705"/>
      <c r="BV47" s="711" t="s">
        <v>284</v>
      </c>
      <c r="BW47" s="712">
        <f t="shared" ca="1" si="12"/>
        <v>2598.2193359375005</v>
      </c>
      <c r="BX47" s="712">
        <f t="shared" ca="1" si="45"/>
        <v>1051.6238281249994</v>
      </c>
      <c r="BY47" s="712">
        <f t="shared" ca="1" si="43"/>
        <v>1546.5955078125012</v>
      </c>
      <c r="BZ47" s="718">
        <f t="shared" ca="1" si="44"/>
        <v>0.40474790314249892</v>
      </c>
      <c r="CA47" s="712">
        <f ca="1">SUMIF('Alloc Feed'!A:A,A:A,'Alloc Feed'!I:I)</f>
        <v>2589.030966796875</v>
      </c>
      <c r="CB47" s="718">
        <f t="shared" ca="1" si="42"/>
        <v>0.9964635898849894</v>
      </c>
    </row>
    <row r="48" spans="1:80" s="267" customFormat="1" x14ac:dyDescent="0.25">
      <c r="A48" s="703">
        <v>41430</v>
      </c>
      <c r="B48" s="709">
        <f ca="1">IF(ISERROR(MATCH(B$1,INDIRECT("Table!A"&amp;$BJ48):INDIRECT("Table!" &amp; $BV$88 &amp; $BJ48),0)),"",INDIRECT(CONCATENATE("Table!",ADDRESS($BF48,MATCH(B$1,INDIRECT("Table!A" &amp; $BJ48):INDIRECT("Table!" &amp; $BV$88 &amp; $BJ48),0)))))/1024</f>
        <v>40.835546874999999</v>
      </c>
      <c r="C48" s="709">
        <f ca="1">IF(ISERROR(MATCH(C$1,INDIRECT("Table!A"&amp;$BJ48):INDIRECT("Table!" &amp; $BV$88 &amp; $BJ48),0)),"",INDIRECT(CONCATENATE("Table!",ADDRESS($BF48,MATCH(C$1,INDIRECT("Table!A" &amp; $BJ48):INDIRECT("Table!" &amp; $BV$88 &amp; $BJ48),0)))))/1024</f>
        <v>76.683691406250006</v>
      </c>
      <c r="D48" s="709">
        <f ca="1">IF(ISERROR(MATCH(D$1,INDIRECT("Table!A"&amp;$BJ48):INDIRECT("Table!" &amp; $BV$88 &amp; $BJ48),0)),"",INDIRECT(CONCATENATE("Table!",ADDRESS($BF48,MATCH(D$1,INDIRECT("Table!A" &amp; $BJ48):INDIRECT("Table!" &amp; $BV$88 &amp; $BJ48),0)))))/1024</f>
        <v>78.151660156250003</v>
      </c>
      <c r="E48" s="709">
        <f ca="1">IF(ISERROR(MATCH(E$1,INDIRECT("Table!A"&amp;$BJ48):INDIRECT("Table!" &amp; $BV$88 &amp; $BJ48),0)),"",INDIRECT(CONCATENATE("Table!",ADDRESS($BF48,MATCH(E$1,INDIRECT("Table!A" &amp; $BJ48):INDIRECT("Table!" &amp; $BV$88 &amp; $BJ48),0)))))/1024</f>
        <v>157.17050781250001</v>
      </c>
      <c r="F48" s="709">
        <f ca="1">IF(ISERROR(MATCH(F$1,INDIRECT("Table!A"&amp;$BJ48):INDIRECT("Table!" &amp; $BV$88 &amp; $BJ48),0)),"",INDIRECT(CONCATENATE("Table!",ADDRESS($BF48,MATCH(F$1,INDIRECT("Table!A" &amp; $BJ48):INDIRECT("Table!" &amp; $BV$88 &amp; $BJ48),0)))))/1024</f>
        <v>100.80048828125</v>
      </c>
      <c r="G48" s="709">
        <f ca="1">IF(ISERROR(MATCH(G$1,INDIRECT("Table!A"&amp;$BJ48):INDIRECT("Table!" &amp; $BV$88 &amp; $BJ48),0)),"",INDIRECT(CONCATENATE("Table!",ADDRESS($BF48,MATCH(G$1,INDIRECT("Table!A" &amp; $BJ48):INDIRECT("Table!" &amp; $BV$88 &amp; $BJ48),0)))))/1024</f>
        <v>50.92333984375</v>
      </c>
      <c r="H48" s="709">
        <f ca="1">IF(ISERROR(MATCH(H$1,INDIRECT("Table!A"&amp;$BJ48):INDIRECT("Table!" &amp; $BV$88 &amp; $BJ48),0)),"",INDIRECT(CONCATENATE("Table!",ADDRESS($BF48,MATCH(H$1,INDIRECT("Table!A" &amp; $BJ48):INDIRECT("Table!" &amp; $BV$88 &amp; $BJ48),0)))))/1024</f>
        <v>85.3095703125</v>
      </c>
      <c r="I48" s="709">
        <f ca="1">IF(ISERROR(MATCH(I$1,INDIRECT("Table!A"&amp;$BJ48):INDIRECT("Table!" &amp; $BV$88 &amp; $BJ48),0)),"",INDIRECT(CONCATENATE("Table!",ADDRESS($BF48,MATCH(I$1,INDIRECT("Table!A" &amp; $BJ48):INDIRECT("Table!" &amp; $BV$88 &amp; $BJ48),0)))))/1024</f>
        <v>7.8649414062499998</v>
      </c>
      <c r="J48" s="709">
        <f ca="1">IF(ISERROR(MATCH(J$1,INDIRECT("Table!A"&amp;$BJ48):INDIRECT("Table!" &amp; $BV$88 &amp; $BJ48),0)),"",INDIRECT(CONCATENATE("Table!",ADDRESS($BF48,MATCH(J$1,INDIRECT("Table!A" &amp; $BJ48):INDIRECT("Table!" &amp; $BV$88 &amp; $BJ48),0)))))/1024</f>
        <v>2.6367187500000002E-3</v>
      </c>
      <c r="K48" s="709"/>
      <c r="L48" s="709">
        <f ca="1">IF(ISERROR(MATCH(L$1,INDIRECT("Table!A"&amp;$BJ48):INDIRECT("Table!" &amp; $BV$88 &amp; $BJ48),0)),"",INDIRECT(CONCATENATE("Table!",ADDRESS($BF48,MATCH(L$1,INDIRECT("Table!A" &amp; $BJ48):INDIRECT("Table!" &amp; $BV$88 &amp; $BJ48),0)))))/1024</f>
        <v>157.09716796875</v>
      </c>
      <c r="M48" s="709">
        <f ca="1">IF(ISERROR(MATCH(M$1,INDIRECT("Table!A"&amp;$BJ48):INDIRECT("Table!" &amp; $BV$88 &amp; $BJ48),0)),"",INDIRECT(CONCATENATE("Table!",ADDRESS($BF48,MATCH(M$1,INDIRECT("Table!A" &amp; $BJ48):INDIRECT("Table!" &amp; $BV$88 &amp; $BJ48),0)))))/1024</f>
        <v>59.258984374999997</v>
      </c>
      <c r="N48" s="709">
        <f ca="1">IF(ISERROR(MATCH(N$1,INDIRECT("Table!A"&amp;$BJ48):INDIRECT("Table!" &amp; $BV$88 &amp; $BJ48),0)),"",INDIRECT(CONCATENATE("Table!",ADDRESS($BF48,MATCH(N$1,INDIRECT("Table!A" &amp; $BJ48):INDIRECT("Table!" &amp; $BV$88 &amp; $BJ48),0)))))/1024</f>
        <v>51.715136718750003</v>
      </c>
      <c r="O48" s="709">
        <f ca="1">IF(ISERROR(MATCH(O$1,INDIRECT("Table!A"&amp;$BJ48):INDIRECT("Table!" &amp; $BV$88 &amp; $BJ48),0)),"",INDIRECT(CONCATENATE("Table!",ADDRESS($BF48,MATCH(O$1,INDIRECT("Table!A" &amp; $BJ48):INDIRECT("Table!" &amp; $BV$88 &amp; $BJ48),0)))))/1024</f>
        <v>155.99833984374999</v>
      </c>
      <c r="P48" s="709">
        <f ca="1">IF(ISERROR(MATCH(P$1,INDIRECT("Table!A"&amp;$BJ48):INDIRECT("Table!" &amp; $BV$88 &amp; $BJ48),0)),"",INDIRECT(CONCATENATE("Table!",ADDRESS($BF48,MATCH(P$1,INDIRECT("Table!A" &amp; $BJ48):INDIRECT("Table!" &amp; $BV$88 &amp; $BJ48),0)))))/1024</f>
        <v>15.53076171875</v>
      </c>
      <c r="Q48" s="709">
        <f ca="1">IF(ISERROR(MATCH(Q$1,INDIRECT("Table!A"&amp;$BJ48):INDIRECT("Table!" &amp; $BV$88 &amp; $BJ48),0)),"",INDIRECT(CONCATENATE("Table!",ADDRESS($BF48,MATCH(Q$1,INDIRECT("Table!A" &amp; $BJ48):INDIRECT("Table!" &amp; $BV$88 &amp; $BJ48),0)))))/1024</f>
        <v>5.2734375000000003E-3</v>
      </c>
      <c r="R48" s="709"/>
      <c r="S48" s="709">
        <f ca="1">IF(ISERROR(MATCH(S$1,INDIRECT("Table!A"&amp;$BJ48):INDIRECT("Table!" &amp; $BV$43 &amp; $BJ48),0)),"",INDIRECT(CONCATENATE("Table!",ADDRESS($BF48,MATCH(S$1,INDIRECT("Table!A" &amp; $BJ48):INDIRECT("Table!" &amp; $BV$43 &amp; $BJ48),0)))))/1024</f>
        <v>7.9265625000000002</v>
      </c>
      <c r="T48" s="709">
        <f ca="1">IF(ISERROR(MATCH(T$1,INDIRECT("Table!A"&amp;$BJ48):INDIRECT("Table!" &amp; $BV$43 &amp; $BJ48),0)),"",INDIRECT(CONCATENATE("Table!",ADDRESS($BF48,MATCH(T$1,INDIRECT("Table!A" &amp; $BJ48):INDIRECT("Table!" &amp; $BV$43 &amp; $BJ48),0)))))/1024</f>
        <v>4.5611328125000004</v>
      </c>
      <c r="U48" s="709"/>
      <c r="V48" s="909"/>
      <c r="W48" s="909"/>
      <c r="X48" s="909"/>
      <c r="Y48" s="909"/>
      <c r="Z48" s="909"/>
      <c r="AA48" s="909"/>
      <c r="AB48" s="909"/>
      <c r="AC48" s="709" t="str">
        <f ca="1">IF(ISERROR(MATCH(AC$1,INDIRECT("Table!A"&amp;$BJ48):INDIRECT("Table!" &amp; $BV$88 &amp; $BJ48),0)),"",INDIRECT(CONCATENATE("Table!",ADDRESS($BF48,MATCH(AC$1,INDIRECT("Table!A" &amp; $BJ48):INDIRECT("Table!" &amp; $BV$88 &amp; $BJ48),0)))))</f>
        <v/>
      </c>
      <c r="AD48" s="709">
        <f ca="1">IF(ISERROR(MATCH(AD$1,INDIRECT("Table!A"&amp;$BJ48):INDIRECT("Table!" &amp; $BV$88 &amp; $BJ48),0)),"",INDIRECT(CONCATENATE("Table!",ADDRESS($BN48,MATCH(AD$1,INDIRECT("Table!A" &amp; $BJ48):INDIRECT("Table!" &amp; $BV$88 &amp; $BJ48),0)))))/1024</f>
        <v>140.03144531250001</v>
      </c>
      <c r="AE48" s="709">
        <f ca="1">IF(ISERROR(MATCH(AE$1,INDIRECT("Table!A"&amp;$BJ48):INDIRECT("Table!" &amp; $BV$88 &amp; $BJ48),0)),"",INDIRECT(CONCATENATE("Table!",ADDRESS($BN48,MATCH(AE$1,INDIRECT("Table!A" &amp; $BJ48):INDIRECT("Table!" &amp; $BV$88 &amp; $BJ48),0)))))/1024</f>
        <v>146.98808593749999</v>
      </c>
      <c r="AF48" s="709">
        <f ca="1">IF(ISERROR(MATCH(AF$1,INDIRECT("Table!A"&amp;$BJ48):INDIRECT("Table!" &amp; $BV$88 &amp; $BJ48),0)),"",INDIRECT(CONCATENATE("Table!",ADDRESS($BN48,MATCH(AF$1,INDIRECT("Table!A" &amp; $BJ48):INDIRECT("Table!" &amp; $BV$88 &amp; $BJ48),0)))))/1024</f>
        <v>146.98808593749999</v>
      </c>
      <c r="AG48" s="709">
        <f ca="1">IF(ISERROR(MATCH(AG$1,INDIRECT("Table!A"&amp;$BJ48):INDIRECT("Table!" &amp; $BV$88 &amp; $BJ48),0)),"",INDIRECT(CONCATENATE("Table!",ADDRESS($BN48,MATCH(AG$1,INDIRECT("Table!A" &amp; $BJ48):INDIRECT("Table!" &amp; $BV$88 &amp; $BJ48),0)))))/1024</f>
        <v>177.73222656249999</v>
      </c>
      <c r="AH48" s="709">
        <f ca="1">IF(ISERROR(MATCH(AH$1,INDIRECT("Table!A"&amp;$BJ48):INDIRECT("Table!" &amp; $BV$88 &amp; $BJ48),0)),"",INDIRECT(CONCATENATE("Table!",ADDRESS($BN48,MATCH(AH$1,INDIRECT("Table!A" &amp; $BJ48):INDIRECT("Table!" &amp; $BV$88 &amp; $BJ48),0)))))/1024</f>
        <v>161.57470703125</v>
      </c>
      <c r="AI48" s="709">
        <f ca="1">IF(ISERROR(MATCH(AI$1,INDIRECT("Table!A"&amp;$BJ48):INDIRECT("Table!" &amp; $BV$88 &amp; $BJ48),0)),"",INDIRECT(CONCATENATE("Table!",ADDRESS($BN48,MATCH(AI$1,INDIRECT("Table!A" &amp; $BJ48):INDIRECT("Table!" &amp; $BV$88 &amp; $BJ48),0)))))/1024</f>
        <v>129.03515625</v>
      </c>
      <c r="AJ48" s="709">
        <f ca="1">IF(ISERROR(MATCH(AJ$1,INDIRECT("Table!A"&amp;$BJ48):INDIRECT("Table!" &amp; $BV$88 &amp; $BJ48),0)),"",INDIRECT(CONCATENATE("Table!",ADDRESS($BN48,MATCH(AJ$1,INDIRECT("Table!A" &amp; $BJ48):INDIRECT("Table!" &amp; $BV$88 &amp; $BJ48),0)))))/1024</f>
        <v>166.96152343750001</v>
      </c>
      <c r="AK48" s="709">
        <f ca="1">IF(ISERROR(MATCH(AK$1,INDIRECT("Table!A"&amp;$BJ48):INDIRECT("Table!" &amp; $BV$88 &amp; $BJ48),0)),"",INDIRECT(CONCATENATE("Table!",ADDRESS($BN48,MATCH(AK$1,INDIRECT("Table!A" &amp; $BJ48):INDIRECT("Table!" &amp; $BV$88 &amp; $BJ48),0)))))/1024</f>
        <v>162.18544921874999</v>
      </c>
      <c r="AL48" s="709">
        <f ca="1">IF(ISERROR(MATCH(AL$1,INDIRECT("Table!A"&amp;$BJ48):INDIRECT("Table!" &amp; $BV$88 &amp; $BJ48),0)),"",INDIRECT(CONCATENATE("Table!",ADDRESS($BN48,MATCH(AL$1,INDIRECT("Table!A" &amp; $BJ48):INDIRECT("Table!" &amp; $BV$88 &amp; $BJ48),0)))))/1024</f>
        <v>92.816601562499997</v>
      </c>
      <c r="AM48" s="709"/>
      <c r="AN48" s="709">
        <f ca="1">IF(ISERROR(MATCH(AN$1,INDIRECT("Table!A"&amp;$BJ48):INDIRECT("Table!" &amp; $BV$88 &amp; $BJ48),0)),"",INDIRECT(CONCATENATE("Table!",ADDRESS($BN48,MATCH(AN$1,INDIRECT("Table!A" &amp; $BJ48):INDIRECT("Table!" &amp; $BV$88 &amp; $BJ48),0)))))/1024</f>
        <v>188.5029296875</v>
      </c>
      <c r="AO48" s="709">
        <f ca="1">IF(ISERROR(MATCH(AO$1,INDIRECT("Table!A"&amp;$BJ48):INDIRECT("Table!" &amp; $BV$88 &amp; $BJ48),0)),"",INDIRECT(CONCATENATE("Table!",ADDRESS($BN48,MATCH(AO$1,INDIRECT("Table!A" &amp; $BJ48):INDIRECT("Table!" &amp; $BV$88 &amp; $BJ48),0)))))/1024</f>
        <v>129.03535156250001</v>
      </c>
      <c r="AP48" s="709">
        <f ca="1">IF(ISERROR(MATCH(AP$1,INDIRECT("Table!A"&amp;$BJ48):INDIRECT("Table!" &amp; $BV$88 &amp; $BJ48),0)),"",INDIRECT(CONCATENATE("Table!",ADDRESS($BN48,MATCH(AP$1,INDIRECT("Table!A" &amp; $BJ48):INDIRECT("Table!" &amp; $BV$88 &amp; $BJ48),0)))))/1024</f>
        <v>80.787402343750003</v>
      </c>
      <c r="AQ48" s="709">
        <f ca="1">IF(ISERROR(MATCH(AQ$1,INDIRECT("Table!A"&amp;$BJ48):INDIRECT("Table!" &amp; $BV$88 &amp; $BJ48),0)),"",INDIRECT(CONCATENATE("Table!",ADDRESS($BN48,MATCH(AQ$1,INDIRECT("Table!A" &amp; $BJ48):INDIRECT("Table!" &amp; $BV$88 &amp; $BJ48),0)))))/1024</f>
        <v>269.2919921875</v>
      </c>
      <c r="AR48" s="709">
        <f ca="1">IF(ISERROR(MATCH(AR$1,INDIRECT("Table!A"&amp;$BJ48):INDIRECT("Table!" &amp; $BV$88 &amp; $BJ48),0)),"",INDIRECT(CONCATENATE("Table!",ADDRESS($BN48,MATCH(AR$1,INDIRECT("Table!A" &amp; $BJ48):INDIRECT("Table!" &amp; $BV$88 &amp; $BJ48),0)))))/1024</f>
        <v>81.0927734375</v>
      </c>
      <c r="AS48" s="709">
        <f ca="1">IF(ISERROR(MATCH(AS$1,INDIRECT("Table!A"&amp;$BJ48):INDIRECT("Table!" &amp; $BV$88 &amp; $BJ48),0)),"",INDIRECT(CONCATENATE("Table!",ADDRESS($BN48,MATCH(AS$1,INDIRECT("Table!A" &amp; $BJ48):INDIRECT("Table!" &amp; $BV$88 &amp; $BJ48),0)))))/1024</f>
        <v>184.55234375000001</v>
      </c>
      <c r="AT48" s="709"/>
      <c r="AU48" s="709">
        <f ca="1">IF(ISERROR(MATCH(AU$1,INDIRECT("Table!A"&amp;$BJ48):INDIRECT("Table!" &amp; $BV$88 &amp; $BJ48),0)),"",INDIRECT(CONCATENATE("Table!",ADDRESS($BN48,MATCH(AU$1,INDIRECT("Table!A" &amp; $BJ48):INDIRECT("Table!" &amp; $BV$88 &amp; $BJ48),0)))))/1024</f>
        <v>53.8583984375</v>
      </c>
      <c r="AV48" s="709">
        <f ca="1">IF(ISERROR(MATCH(AV$1,INDIRECT("Table!A"&amp;$BJ48):INDIRECT("Table!" &amp; $BV$88 &amp; $BJ48),0)),"",INDIRECT(CONCATENATE("Table!",ADDRESS($BN48,MATCH(AV$1,INDIRECT("Table!A" &amp; $BJ48):INDIRECT("Table!" &amp; $BV$88 &amp; $BJ48),0)))))/1024</f>
        <v>32.31494140625</v>
      </c>
      <c r="AW48" s="709"/>
      <c r="AX48" s="909"/>
      <c r="AY48" s="909"/>
      <c r="AZ48" s="909"/>
      <c r="BA48" s="909"/>
      <c r="BB48" s="909"/>
      <c r="BC48" s="909"/>
      <c r="BD48" s="909"/>
      <c r="BE48" s="909"/>
      <c r="BF48" s="704">
        <f>MATCH($A48,Table!$A:$A,0)+$BH$2-1</f>
        <v>619</v>
      </c>
      <c r="BG48" s="705"/>
      <c r="BH48" s="705"/>
      <c r="BI48" s="705"/>
      <c r="BJ48" s="717">
        <f>MATCH($A48,Table!$A:$A,0)+$BL$2-1</f>
        <v>617</v>
      </c>
      <c r="BK48" s="705"/>
      <c r="BL48" s="705"/>
      <c r="BM48" s="705"/>
      <c r="BN48" s="704">
        <f>MATCH($A48,Table!$A:$A,0)+$BP$2-1</f>
        <v>618</v>
      </c>
      <c r="BO48" s="705"/>
      <c r="BP48" s="705"/>
      <c r="BQ48" s="705"/>
      <c r="BR48" s="717">
        <f>MATCH($A48,Table!$A:$A,0)+$BL$2-1</f>
        <v>617</v>
      </c>
      <c r="BS48" s="705"/>
      <c r="BT48" s="705"/>
      <c r="BU48" s="705"/>
      <c r="BV48" s="711" t="s">
        <v>284</v>
      </c>
      <c r="BW48" s="712">
        <f t="shared" ca="1" si="12"/>
        <v>2343.7494140624999</v>
      </c>
      <c r="BX48" s="712">
        <f t="shared" ca="1" si="45"/>
        <v>1049.8357421875</v>
      </c>
      <c r="BY48" s="712">
        <f t="shared" ca="1" si="43"/>
        <v>1293.9136718749999</v>
      </c>
      <c r="BZ48" s="718">
        <f t="shared" ca="1" si="44"/>
        <v>0.44793002864917386</v>
      </c>
      <c r="CA48" s="712">
        <f>SUMIF('Alloc Feed'!A:A,A:A,'Alloc Feed'!I:I)</f>
        <v>0</v>
      </c>
      <c r="CB48" s="718">
        <f t="shared" ca="1" si="42"/>
        <v>0</v>
      </c>
    </row>
    <row r="49" spans="1:80" s="267" customFormat="1" x14ac:dyDescent="0.25">
      <c r="A49" s="703">
        <v>41430</v>
      </c>
      <c r="B49" s="709">
        <f ca="1">IF(ISERROR(MATCH(B$1,INDIRECT("Table!A"&amp;$BJ49):INDIRECT("Table!" &amp; $BV$88 &amp; $BJ49),0)),"",INDIRECT(CONCATENATE("Table!",ADDRESS($BF49,MATCH(B$1,INDIRECT("Table!A" &amp; $BJ49):INDIRECT("Table!" &amp; $BV$88 &amp; $BJ49),0)))))/1024</f>
        <v>40.835546874999999</v>
      </c>
      <c r="C49" s="709">
        <f ca="1">IF(ISERROR(MATCH(C$1,INDIRECT("Table!A"&amp;$BJ49):INDIRECT("Table!" &amp; $BV$88 &amp; $BJ49),0)),"",INDIRECT(CONCATENATE("Table!",ADDRESS($BF49,MATCH(C$1,INDIRECT("Table!A" &amp; $BJ49):INDIRECT("Table!" &amp; $BV$88 &amp; $BJ49),0)))))/1024</f>
        <v>76.683691406250006</v>
      </c>
      <c r="D49" s="709">
        <f ca="1">IF(ISERROR(MATCH(D$1,INDIRECT("Table!A"&amp;$BJ49):INDIRECT("Table!" &amp; $BV$88 &amp; $BJ49),0)),"",INDIRECT(CONCATENATE("Table!",ADDRESS($BF49,MATCH(D$1,INDIRECT("Table!A" &amp; $BJ49):INDIRECT("Table!" &amp; $BV$88 &amp; $BJ49),0)))))/1024</f>
        <v>78.151660156250003</v>
      </c>
      <c r="E49" s="709">
        <f ca="1">IF(ISERROR(MATCH(E$1,INDIRECT("Table!A"&amp;$BJ49):INDIRECT("Table!" &amp; $BV$88 &amp; $BJ49),0)),"",INDIRECT(CONCATENATE("Table!",ADDRESS($BF49,MATCH(E$1,INDIRECT("Table!A" &amp; $BJ49):INDIRECT("Table!" &amp; $BV$88 &amp; $BJ49),0)))))/1024</f>
        <v>157.17050781250001</v>
      </c>
      <c r="F49" s="709">
        <f ca="1">IF(ISERROR(MATCH(F$1,INDIRECT("Table!A"&amp;$BJ49):INDIRECT("Table!" &amp; $BV$88 &amp; $BJ49),0)),"",INDIRECT(CONCATENATE("Table!",ADDRESS($BF49,MATCH(F$1,INDIRECT("Table!A" &amp; $BJ49):INDIRECT("Table!" &amp; $BV$88 &amp; $BJ49),0)))))/1024</f>
        <v>100.80048828125</v>
      </c>
      <c r="G49" s="709">
        <f ca="1">IF(ISERROR(MATCH(G$1,INDIRECT("Table!A"&amp;$BJ49):INDIRECT("Table!" &amp; $BV$88 &amp; $BJ49),0)),"",INDIRECT(CONCATENATE("Table!",ADDRESS($BF49,MATCH(G$1,INDIRECT("Table!A" &amp; $BJ49):INDIRECT("Table!" &amp; $BV$88 &amp; $BJ49),0)))))/1024</f>
        <v>50.92333984375</v>
      </c>
      <c r="H49" s="709">
        <f ca="1">IF(ISERROR(MATCH(H$1,INDIRECT("Table!A"&amp;$BJ49):INDIRECT("Table!" &amp; $BV$88 &amp; $BJ49),0)),"",INDIRECT(CONCATENATE("Table!",ADDRESS($BF49,MATCH(H$1,INDIRECT("Table!A" &amp; $BJ49):INDIRECT("Table!" &amp; $BV$88 &amp; $BJ49),0)))))/1024</f>
        <v>85.3095703125</v>
      </c>
      <c r="I49" s="709">
        <f ca="1">IF(ISERROR(MATCH(I$1,INDIRECT("Table!A"&amp;$BJ49):INDIRECT("Table!" &amp; $BV$88 &amp; $BJ49),0)),"",INDIRECT(CONCATENATE("Table!",ADDRESS($BF49,MATCH(I$1,INDIRECT("Table!A" &amp; $BJ49):INDIRECT("Table!" &amp; $BV$88 &amp; $BJ49),0)))))/1024</f>
        <v>7.8649414062499998</v>
      </c>
      <c r="J49" s="709">
        <f ca="1">IF(ISERROR(MATCH(J$1,INDIRECT("Table!A"&amp;$BJ49):INDIRECT("Table!" &amp; $BV$88 &amp; $BJ49),0)),"",INDIRECT(CONCATENATE("Table!",ADDRESS($BF49,MATCH(J$1,INDIRECT("Table!A" &amp; $BJ49):INDIRECT("Table!" &amp; $BV$88 &amp; $BJ49),0)))))/1024</f>
        <v>2.6367187500000002E-3</v>
      </c>
      <c r="K49" s="709"/>
      <c r="L49" s="709">
        <f ca="1">IF(ISERROR(MATCH(L$1,INDIRECT("Table!A"&amp;$BJ49):INDIRECT("Table!" &amp; $BV$88 &amp; $BJ49),0)),"",INDIRECT(CONCATENATE("Table!",ADDRESS($BF49,MATCH(L$1,INDIRECT("Table!A" &amp; $BJ49):INDIRECT("Table!" &amp; $BV$88 &amp; $BJ49),0)))))/1024</f>
        <v>157.09716796875</v>
      </c>
      <c r="M49" s="709">
        <f ca="1">IF(ISERROR(MATCH(M$1,INDIRECT("Table!A"&amp;$BJ49):INDIRECT("Table!" &amp; $BV$88 &amp; $BJ49),0)),"",INDIRECT(CONCATENATE("Table!",ADDRESS($BF49,MATCH(M$1,INDIRECT("Table!A" &amp; $BJ49):INDIRECT("Table!" &amp; $BV$88 &amp; $BJ49),0)))))/1024</f>
        <v>59.258984374999997</v>
      </c>
      <c r="N49" s="709">
        <f ca="1">IF(ISERROR(MATCH(N$1,INDIRECT("Table!A"&amp;$BJ49):INDIRECT("Table!" &amp; $BV$88 &amp; $BJ49),0)),"",INDIRECT(CONCATENATE("Table!",ADDRESS($BF49,MATCH(N$1,INDIRECT("Table!A" &amp; $BJ49):INDIRECT("Table!" &amp; $BV$88 &amp; $BJ49),0)))))/1024</f>
        <v>51.715136718750003</v>
      </c>
      <c r="O49" s="709">
        <f ca="1">IF(ISERROR(MATCH(O$1,INDIRECT("Table!A"&amp;$BJ49):INDIRECT("Table!" &amp; $BV$88 &amp; $BJ49),0)),"",INDIRECT(CONCATENATE("Table!",ADDRESS($BF49,MATCH(O$1,INDIRECT("Table!A" &amp; $BJ49):INDIRECT("Table!" &amp; $BV$88 &amp; $BJ49),0)))))/1024</f>
        <v>155.99833984374999</v>
      </c>
      <c r="P49" s="709">
        <f ca="1">IF(ISERROR(MATCH(P$1,INDIRECT("Table!A"&amp;$BJ49):INDIRECT("Table!" &amp; $BV$88 &amp; $BJ49),0)),"",INDIRECT(CONCATENATE("Table!",ADDRESS($BF49,MATCH(P$1,INDIRECT("Table!A" &amp; $BJ49):INDIRECT("Table!" &amp; $BV$88 &amp; $BJ49),0)))))/1024</f>
        <v>15.53076171875</v>
      </c>
      <c r="Q49" s="709">
        <f ca="1">IF(ISERROR(MATCH(Q$1,INDIRECT("Table!A"&amp;$BJ49):INDIRECT("Table!" &amp; $BV$88 &amp; $BJ49),0)),"",INDIRECT(CONCATENATE("Table!",ADDRESS($BF49,MATCH(Q$1,INDIRECT("Table!A" &amp; $BJ49):INDIRECT("Table!" &amp; $BV$88 &amp; $BJ49),0)))))/1024</f>
        <v>5.2734375000000003E-3</v>
      </c>
      <c r="R49" s="709"/>
      <c r="S49" s="709">
        <f ca="1">IF(ISERROR(MATCH(S$1,INDIRECT("Table!A"&amp;$BJ49):INDIRECT("Table!" &amp; $BV$43 &amp; $BJ49),0)),"",INDIRECT(CONCATENATE("Table!",ADDRESS($BF49,MATCH(S$1,INDIRECT("Table!A" &amp; $BJ49):INDIRECT("Table!" &amp; $BV$43 &amp; $BJ49),0)))))/1024</f>
        <v>7.9265625000000002</v>
      </c>
      <c r="T49" s="709">
        <f ca="1">IF(ISERROR(MATCH(T$1,INDIRECT("Table!A"&amp;$BJ49):INDIRECT("Table!" &amp; $BV$43 &amp; $BJ49),0)),"",INDIRECT(CONCATENATE("Table!",ADDRESS($BF49,MATCH(T$1,INDIRECT("Table!A" &amp; $BJ49):INDIRECT("Table!" &amp; $BV$43 &amp; $BJ49),0)))))/1024</f>
        <v>4.5611328125000004</v>
      </c>
      <c r="U49" s="709"/>
      <c r="V49" s="909"/>
      <c r="W49" s="909"/>
      <c r="X49" s="909"/>
      <c r="Y49" s="909"/>
      <c r="Z49" s="909"/>
      <c r="AA49" s="909"/>
      <c r="AB49" s="909"/>
      <c r="AC49" s="709" t="str">
        <f ca="1">IF(ISERROR(MATCH(AC$1,INDIRECT("Table!A"&amp;$BJ49):INDIRECT("Table!" &amp; $BV$88 &amp; $BJ49),0)),"",INDIRECT(CONCATENATE("Table!",ADDRESS($BF49,MATCH(AC$1,INDIRECT("Table!A" &amp; $BJ49):INDIRECT("Table!" &amp; $BV$88 &amp; $BJ49),0)))))</f>
        <v/>
      </c>
      <c r="AD49" s="709">
        <f ca="1">IF(ISERROR(MATCH(AD$1,INDIRECT("Table!A"&amp;$BJ49):INDIRECT("Table!" &amp; $BV$88 &amp; $BJ49),0)),"",INDIRECT(CONCATENATE("Table!",ADDRESS($BN49,MATCH(AD$1,INDIRECT("Table!A" &amp; $BJ49):INDIRECT("Table!" &amp; $BV$88 &amp; $BJ49),0)))))/1024</f>
        <v>140.03144531250001</v>
      </c>
      <c r="AE49" s="709">
        <f ca="1">IF(ISERROR(MATCH(AE$1,INDIRECT("Table!A"&amp;$BJ49):INDIRECT("Table!" &amp; $BV$88 &amp; $BJ49),0)),"",INDIRECT(CONCATENATE("Table!",ADDRESS($BN49,MATCH(AE$1,INDIRECT("Table!A" &amp; $BJ49):INDIRECT("Table!" &amp; $BV$88 &amp; $BJ49),0)))))/1024</f>
        <v>146.98808593749999</v>
      </c>
      <c r="AF49" s="709">
        <f ca="1">IF(ISERROR(MATCH(AF$1,INDIRECT("Table!A"&amp;$BJ49):INDIRECT("Table!" &amp; $BV$88 &amp; $BJ49),0)),"",INDIRECT(CONCATENATE("Table!",ADDRESS($BN49,MATCH(AF$1,INDIRECT("Table!A" &amp; $BJ49):INDIRECT("Table!" &amp; $BV$88 &amp; $BJ49),0)))))/1024</f>
        <v>146.98808593749999</v>
      </c>
      <c r="AG49" s="709">
        <f ca="1">IF(ISERROR(MATCH(AG$1,INDIRECT("Table!A"&amp;$BJ49):INDIRECT("Table!" &amp; $BV$88 &amp; $BJ49),0)),"",INDIRECT(CONCATENATE("Table!",ADDRESS($BN49,MATCH(AG$1,INDIRECT("Table!A" &amp; $BJ49):INDIRECT("Table!" &amp; $BV$88 &amp; $BJ49),0)))))/1024</f>
        <v>177.73222656249999</v>
      </c>
      <c r="AH49" s="709">
        <f ca="1">IF(ISERROR(MATCH(AH$1,INDIRECT("Table!A"&amp;$BJ49):INDIRECT("Table!" &amp; $BV$88 &amp; $BJ49),0)),"",INDIRECT(CONCATENATE("Table!",ADDRESS($BN49,MATCH(AH$1,INDIRECT("Table!A" &amp; $BJ49):INDIRECT("Table!" &amp; $BV$88 &amp; $BJ49),0)))))/1024</f>
        <v>161.57470703125</v>
      </c>
      <c r="AI49" s="709">
        <f ca="1">IF(ISERROR(MATCH(AI$1,INDIRECT("Table!A"&amp;$BJ49):INDIRECT("Table!" &amp; $BV$88 &amp; $BJ49),0)),"",INDIRECT(CONCATENATE("Table!",ADDRESS($BN49,MATCH(AI$1,INDIRECT("Table!A" &amp; $BJ49):INDIRECT("Table!" &amp; $BV$88 &amp; $BJ49),0)))))/1024</f>
        <v>129.03515625</v>
      </c>
      <c r="AJ49" s="709">
        <f ca="1">IF(ISERROR(MATCH(AJ$1,INDIRECT("Table!A"&amp;$BJ49):INDIRECT("Table!" &amp; $BV$88 &amp; $BJ49),0)),"",INDIRECT(CONCATENATE("Table!",ADDRESS($BN49,MATCH(AJ$1,INDIRECT("Table!A" &amp; $BJ49):INDIRECT("Table!" &amp; $BV$88 &amp; $BJ49),0)))))/1024</f>
        <v>166.96152343750001</v>
      </c>
      <c r="AK49" s="709">
        <f ca="1">IF(ISERROR(MATCH(AK$1,INDIRECT("Table!A"&amp;$BJ49):INDIRECT("Table!" &amp; $BV$88 &amp; $BJ49),0)),"",INDIRECT(CONCATENATE("Table!",ADDRESS($BN49,MATCH(AK$1,INDIRECT("Table!A" &amp; $BJ49):INDIRECT("Table!" &amp; $BV$88 &amp; $BJ49),0)))))/1024</f>
        <v>162.18544921874999</v>
      </c>
      <c r="AL49" s="709">
        <f ca="1">IF(ISERROR(MATCH(AL$1,INDIRECT("Table!A"&amp;$BJ49):INDIRECT("Table!" &amp; $BV$88 &amp; $BJ49),0)),"",INDIRECT(CONCATENATE("Table!",ADDRESS($BN49,MATCH(AL$1,INDIRECT("Table!A" &amp; $BJ49):INDIRECT("Table!" &amp; $BV$88 &amp; $BJ49),0)))))/1024</f>
        <v>92.816601562499997</v>
      </c>
      <c r="AM49" s="709"/>
      <c r="AN49" s="709">
        <f ca="1">IF(ISERROR(MATCH(AN$1,INDIRECT("Table!A"&amp;$BJ49):INDIRECT("Table!" &amp; $BV$88 &amp; $BJ49),0)),"",INDIRECT(CONCATENATE("Table!",ADDRESS($BN49,MATCH(AN$1,INDIRECT("Table!A" &amp; $BJ49):INDIRECT("Table!" &amp; $BV$88 &amp; $BJ49),0)))))/1024</f>
        <v>188.5029296875</v>
      </c>
      <c r="AO49" s="709">
        <f ca="1">IF(ISERROR(MATCH(AO$1,INDIRECT("Table!A"&amp;$BJ49):INDIRECT("Table!" &amp; $BV$88 &amp; $BJ49),0)),"",INDIRECT(CONCATENATE("Table!",ADDRESS($BN49,MATCH(AO$1,INDIRECT("Table!A" &amp; $BJ49):INDIRECT("Table!" &amp; $BV$88 &amp; $BJ49),0)))))/1024</f>
        <v>129.03535156250001</v>
      </c>
      <c r="AP49" s="709">
        <f ca="1">IF(ISERROR(MATCH(AP$1,INDIRECT("Table!A"&amp;$BJ49):INDIRECT("Table!" &amp; $BV$88 &amp; $BJ49),0)),"",INDIRECT(CONCATENATE("Table!",ADDRESS($BN49,MATCH(AP$1,INDIRECT("Table!A" &amp; $BJ49):INDIRECT("Table!" &amp; $BV$88 &amp; $BJ49),0)))))/1024</f>
        <v>80.787402343750003</v>
      </c>
      <c r="AQ49" s="709">
        <f ca="1">IF(ISERROR(MATCH(AQ$1,INDIRECT("Table!A"&amp;$BJ49):INDIRECT("Table!" &amp; $BV$88 &amp; $BJ49),0)),"",INDIRECT(CONCATENATE("Table!",ADDRESS($BN49,MATCH(AQ$1,INDIRECT("Table!A" &amp; $BJ49):INDIRECT("Table!" &amp; $BV$88 &amp; $BJ49),0)))))/1024</f>
        <v>269.2919921875</v>
      </c>
      <c r="AR49" s="709">
        <f ca="1">IF(ISERROR(MATCH(AR$1,INDIRECT("Table!A"&amp;$BJ49):INDIRECT("Table!" &amp; $BV$88 &amp; $BJ49),0)),"",INDIRECT(CONCATENATE("Table!",ADDRESS($BN49,MATCH(AR$1,INDIRECT("Table!A" &amp; $BJ49):INDIRECT("Table!" &amp; $BV$88 &amp; $BJ49),0)))))/1024</f>
        <v>81.0927734375</v>
      </c>
      <c r="AS49" s="709">
        <f ca="1">IF(ISERROR(MATCH(AS$1,INDIRECT("Table!A"&amp;$BJ49):INDIRECT("Table!" &amp; $BV$88 &amp; $BJ49),0)),"",INDIRECT(CONCATENATE("Table!",ADDRESS($BN49,MATCH(AS$1,INDIRECT("Table!A" &amp; $BJ49):INDIRECT("Table!" &amp; $BV$88 &amp; $BJ49),0)))))/1024</f>
        <v>184.55234375000001</v>
      </c>
      <c r="AT49" s="709"/>
      <c r="AU49" s="709">
        <f ca="1">IF(ISERROR(MATCH(AU$1,INDIRECT("Table!A"&amp;$BJ49):INDIRECT("Table!" &amp; $BV$88 &amp; $BJ49),0)),"",INDIRECT(CONCATENATE("Table!",ADDRESS($BN49,MATCH(AU$1,INDIRECT("Table!A" &amp; $BJ49):INDIRECT("Table!" &amp; $BV$88 &amp; $BJ49),0)))))/1024</f>
        <v>53.8583984375</v>
      </c>
      <c r="AV49" s="709">
        <f ca="1">IF(ISERROR(MATCH(AV$1,INDIRECT("Table!A"&amp;$BJ49):INDIRECT("Table!" &amp; $BV$88 &amp; $BJ49),0)),"",INDIRECT(CONCATENATE("Table!",ADDRESS($BN49,MATCH(AV$1,INDIRECT("Table!A" &amp; $BJ49):INDIRECT("Table!" &amp; $BV$88 &amp; $BJ49),0)))))/1024</f>
        <v>32.31494140625</v>
      </c>
      <c r="AW49" s="709"/>
      <c r="AX49" s="909"/>
      <c r="AY49" s="909"/>
      <c r="AZ49" s="909"/>
      <c r="BA49" s="909"/>
      <c r="BB49" s="909"/>
      <c r="BC49" s="909"/>
      <c r="BD49" s="909"/>
      <c r="BE49" s="909"/>
      <c r="BF49" s="704">
        <f>MATCH($A49,Table!$A:$A,0)+$BH$2-1</f>
        <v>619</v>
      </c>
      <c r="BG49" s="705"/>
      <c r="BH49" s="705"/>
      <c r="BI49" s="705"/>
      <c r="BJ49" s="717">
        <f>MATCH($A49,Table!$A:$A,0)+$BL$2-1</f>
        <v>617</v>
      </c>
      <c r="BK49" s="705"/>
      <c r="BL49" s="705"/>
      <c r="BM49" s="705"/>
      <c r="BN49" s="704">
        <f>MATCH($A49,Table!$A:$A,0)+$BP$2-1</f>
        <v>618</v>
      </c>
      <c r="BO49" s="705"/>
      <c r="BP49" s="705"/>
      <c r="BQ49" s="705"/>
      <c r="BR49" s="717">
        <f>MATCH($A49,Table!$A:$A,0)+$BL$2-1</f>
        <v>617</v>
      </c>
      <c r="BS49" s="705"/>
      <c r="BT49" s="705"/>
      <c r="BU49" s="705"/>
      <c r="BV49" s="711" t="s">
        <v>284</v>
      </c>
      <c r="BW49" s="712">
        <f t="shared" ca="1" si="12"/>
        <v>2343.7494140624999</v>
      </c>
      <c r="BX49" s="712">
        <f t="shared" ca="1" si="45"/>
        <v>1049.8357421875</v>
      </c>
      <c r="BY49" s="712">
        <f t="shared" ca="1" si="43"/>
        <v>1293.9136718749999</v>
      </c>
      <c r="BZ49" s="718">
        <f t="shared" ca="1" si="44"/>
        <v>0.44793002864917386</v>
      </c>
      <c r="CA49" s="712">
        <f>SUMIF('Alloc Feed'!A:A,A:A,'Alloc Feed'!I:I)</f>
        <v>0</v>
      </c>
      <c r="CB49" s="718">
        <f t="shared" ca="1" si="42"/>
        <v>0</v>
      </c>
    </row>
    <row r="50" spans="1:80" s="267" customFormat="1" x14ac:dyDescent="0.25">
      <c r="A50" s="703">
        <v>41428</v>
      </c>
      <c r="B50" s="709">
        <f ca="1">IF(ISERROR(MATCH(B$1,INDIRECT("Table!A"&amp;$BJ50):INDIRECT("Table!" &amp; $BV$88 &amp; $BJ50),0)),"",INDIRECT(CONCATENATE("Table!",ADDRESS($BF50,MATCH(B$1,INDIRECT("Table!A" &amp; $BJ50):INDIRECT("Table!" &amp; $BV$88 &amp; $BJ50),0)))))/1024</f>
        <v>40.419921875</v>
      </c>
      <c r="C50" s="709">
        <f ca="1">IF(ISERROR(MATCH(C$1,INDIRECT("Table!A"&amp;$BJ50):INDIRECT("Table!" &amp; $BV$88 &amp; $BJ50),0)),"",INDIRECT(CONCATENATE("Table!",ADDRESS($BF50,MATCH(C$1,INDIRECT("Table!A" &amp; $BJ50):INDIRECT("Table!" &amp; $BV$88 &amp; $BJ50),0)))))/1024</f>
        <v>76.6796875</v>
      </c>
      <c r="D50" s="709">
        <f ca="1">IF(ISERROR(MATCH(D$1,INDIRECT("Table!A"&amp;$BJ50):INDIRECT("Table!" &amp; $BV$88 &amp; $BJ50),0)),"",INDIRECT(CONCATENATE("Table!",ADDRESS($BF50,MATCH(D$1,INDIRECT("Table!A" &amp; $BJ50):INDIRECT("Table!" &amp; $BV$88 &amp; $BJ50),0)))))/1024</f>
        <v>78.147753906250003</v>
      </c>
      <c r="E50" s="709">
        <f ca="1">IF(ISERROR(MATCH(E$1,INDIRECT("Table!A"&amp;$BJ50):INDIRECT("Table!" &amp; $BV$88 &amp; $BJ50),0)),"",INDIRECT(CONCATENATE("Table!",ADDRESS($BF50,MATCH(E$1,INDIRECT("Table!A" &amp; $BJ50):INDIRECT("Table!" &amp; $BV$88 &amp; $BJ50),0)))))/1024</f>
        <v>157.13417968749999</v>
      </c>
      <c r="F50" s="709">
        <f ca="1">IF(ISERROR(MATCH(F$1,INDIRECT("Table!A"&amp;$BJ50):INDIRECT("Table!" &amp; $BV$88 &amp; $BJ50),0)),"",INDIRECT(CONCATENATE("Table!",ADDRESS($BF50,MATCH(F$1,INDIRECT("Table!A" &amp; $BJ50):INDIRECT("Table!" &amp; $BV$88 &amp; $BJ50),0)))))/1024</f>
        <v>100.61806640624999</v>
      </c>
      <c r="G50" s="709">
        <f ca="1">IF(ISERROR(MATCH(G$1,INDIRECT("Table!A"&amp;$BJ50):INDIRECT("Table!" &amp; $BV$88 &amp; $BJ50),0)),"",INDIRECT(CONCATENATE("Table!",ADDRESS($BF50,MATCH(G$1,INDIRECT("Table!A" &amp; $BJ50):INDIRECT("Table!" &amp; $BV$88 &amp; $BJ50),0)))))/1024</f>
        <v>52.356250000000003</v>
      </c>
      <c r="H50" s="709">
        <f ca="1">IF(ISERROR(MATCH(H$1,INDIRECT("Table!A"&amp;$BJ50):INDIRECT("Table!" &amp; $BV$88 &amp; $BJ50),0)),"",INDIRECT(CONCATENATE("Table!",ADDRESS($BF50,MATCH(H$1,INDIRECT("Table!A" &amp; $BJ50):INDIRECT("Table!" &amp; $BV$88 &amp; $BJ50),0)))))/1024</f>
        <v>85.041015625</v>
      </c>
      <c r="I50" s="709">
        <f ca="1">IF(ISERROR(MATCH(I$1,INDIRECT("Table!A"&amp;$BJ50):INDIRECT("Table!" &amp; $BV$88 &amp; $BJ50),0)),"",INDIRECT(CONCATENATE("Table!",ADDRESS($BF50,MATCH(I$1,INDIRECT("Table!A" &amp; $BJ50):INDIRECT("Table!" &amp; $BV$88 &amp; $BJ50),0)))))/1024</f>
        <v>7.8553710937499996</v>
      </c>
      <c r="J50" s="709">
        <f ca="1">IF(ISERROR(MATCH(J$1,INDIRECT("Table!A"&amp;$BJ50):INDIRECT("Table!" &amp; $BV$88 &amp; $BJ50),0)),"",INDIRECT(CONCATENATE("Table!",ADDRESS($BF50,MATCH(J$1,INDIRECT("Table!A" &amp; $BJ50):INDIRECT("Table!" &amp; $BV$88 &amp; $BJ50),0)))))/1024</f>
        <v>2.6367187500000002E-3</v>
      </c>
      <c r="K50" s="709"/>
      <c r="L50" s="709">
        <f ca="1">IF(ISERROR(MATCH(L$1,INDIRECT("Table!A"&amp;$BJ50):INDIRECT("Table!" &amp; $BV$88 &amp; $BJ50),0)),"",INDIRECT(CONCATENATE("Table!",ADDRESS($BF50,MATCH(L$1,INDIRECT("Table!A" &amp; $BJ50):INDIRECT("Table!" &amp; $BV$88 &amp; $BJ50),0)))))/1024</f>
        <v>157.05214843749999</v>
      </c>
      <c r="M50" s="709">
        <f ca="1">IF(ISERROR(MATCH(M$1,INDIRECT("Table!A"&amp;$BJ50):INDIRECT("Table!" &amp; $BV$88 &amp; $BJ50),0)),"",INDIRECT(CONCATENATE("Table!",ADDRESS($BF50,MATCH(M$1,INDIRECT("Table!A" &amp; $BJ50):INDIRECT("Table!" &amp; $BV$88 &amp; $BJ50),0)))))/1024</f>
        <v>60.164746093749997</v>
      </c>
      <c r="N50" s="709">
        <f ca="1">IF(ISERROR(MATCH(N$1,INDIRECT("Table!A"&amp;$BJ50):INDIRECT("Table!" &amp; $BV$88 &amp; $BJ50),0)),"",INDIRECT(CONCATENATE("Table!",ADDRESS($BF50,MATCH(N$1,INDIRECT("Table!A" &amp; $BJ50):INDIRECT("Table!" &amp; $BV$88 &amp; $BJ50),0)))))/1024</f>
        <v>51.641308593749997</v>
      </c>
      <c r="O50" s="709">
        <f ca="1">IF(ISERROR(MATCH(O$1,INDIRECT("Table!A"&amp;$BJ50):INDIRECT("Table!" &amp; $BV$88 &amp; $BJ50),0)),"",INDIRECT(CONCATENATE("Table!",ADDRESS($BF50,MATCH(O$1,INDIRECT("Table!A" &amp; $BJ50):INDIRECT("Table!" &amp; $BV$88 &amp; $BJ50),0)))))/1024</f>
        <v>155.71533203125</v>
      </c>
      <c r="P50" s="709">
        <f ca="1">IF(ISERROR(MATCH(P$1,INDIRECT("Table!A"&amp;$BJ50):INDIRECT("Table!" &amp; $BV$88 &amp; $BJ50),0)),"",INDIRECT(CONCATENATE("Table!",ADDRESS($BF50,MATCH(P$1,INDIRECT("Table!A" &amp; $BJ50):INDIRECT("Table!" &amp; $BV$88 &amp; $BJ50),0)))))/1024</f>
        <v>15.511523437499999</v>
      </c>
      <c r="Q50" s="709">
        <f ca="1">IF(ISERROR(MATCH(Q$1,INDIRECT("Table!A"&amp;$BJ50):INDIRECT("Table!" &amp; $BV$88 &amp; $BJ50),0)),"",INDIRECT(CONCATENATE("Table!",ADDRESS($BF50,MATCH(Q$1,INDIRECT("Table!A" &amp; $BJ50):INDIRECT("Table!" &amp; $BV$88 &amp; $BJ50),0)))))/1024</f>
        <v>5.2734375000000003E-3</v>
      </c>
      <c r="R50" s="709"/>
      <c r="S50" s="709">
        <f ca="1">IF(ISERROR(MATCH(S$1,INDIRECT("Table!A"&amp;$BJ50):INDIRECT("Table!" &amp; $BV$43 &amp; $BJ50),0)),"",INDIRECT(CONCATENATE("Table!",ADDRESS($BF50,MATCH(S$1,INDIRECT("Table!A" &amp; $BJ50):INDIRECT("Table!" &amp; $BV$43 &amp; $BJ50),0)))))/1024</f>
        <v>7.8507812499999998</v>
      </c>
      <c r="T50" s="709">
        <f ca="1">IF(ISERROR(MATCH(T$1,INDIRECT("Table!A"&amp;$BJ50):INDIRECT("Table!" &amp; $BV$43 &amp; $BJ50),0)),"",INDIRECT(CONCATENATE("Table!",ADDRESS($BF50,MATCH(T$1,INDIRECT("Table!A" &amp; $BJ50):INDIRECT("Table!" &amp; $BV$43 &amp; $BJ50),0)))))/1024</f>
        <v>4.5513671875000004</v>
      </c>
      <c r="U50" s="709"/>
      <c r="V50" s="909"/>
      <c r="W50" s="909"/>
      <c r="X50" s="909"/>
      <c r="Y50" s="909"/>
      <c r="Z50" s="909"/>
      <c r="AA50" s="909"/>
      <c r="AB50" s="909"/>
      <c r="AC50" s="709" t="str">
        <f ca="1">IF(ISERROR(MATCH(AC$1,INDIRECT("Table!A"&amp;$BJ50):INDIRECT("Table!" &amp; $BV$88 &amp; $BJ50),0)),"",INDIRECT(CONCATENATE("Table!",ADDRESS($BF50,MATCH(AC$1,INDIRECT("Table!A" &amp; $BJ50):INDIRECT("Table!" &amp; $BV$88 &amp; $BJ50),0)))))</f>
        <v/>
      </c>
      <c r="AD50" s="709">
        <f ca="1">IF(ISERROR(MATCH(AD$1,INDIRECT("Table!A"&amp;$BJ50):INDIRECT("Table!" &amp; $BV$88 &amp; $BJ50),0)),"",INDIRECT(CONCATENATE("Table!",ADDRESS($BN50,MATCH(AD$1,INDIRECT("Table!A" &amp; $BJ50):INDIRECT("Table!" &amp; $BV$88 &amp; $BJ50),0)))))/1024</f>
        <v>140.03144531250001</v>
      </c>
      <c r="AE50" s="709">
        <f ca="1">IF(ISERROR(MATCH(AE$1,INDIRECT("Table!A"&amp;$BJ50):INDIRECT("Table!" &amp; $BV$88 &amp; $BJ50),0)),"",INDIRECT(CONCATENATE("Table!",ADDRESS($BN50,MATCH(AE$1,INDIRECT("Table!A" &amp; $BJ50):INDIRECT("Table!" &amp; $BV$88 &amp; $BJ50),0)))))/1024</f>
        <v>146.98808593749999</v>
      </c>
      <c r="AF50" s="709">
        <f ca="1">IF(ISERROR(MATCH(AF$1,INDIRECT("Table!A"&amp;$BJ50):INDIRECT("Table!" &amp; $BV$88 &amp; $BJ50),0)),"",INDIRECT(CONCATENATE("Table!",ADDRESS($BN50,MATCH(AF$1,INDIRECT("Table!A" &amp; $BJ50):INDIRECT("Table!" &amp; $BV$88 &amp; $BJ50),0)))))/1024</f>
        <v>146.98808593749999</v>
      </c>
      <c r="AG50" s="709">
        <f ca="1">IF(ISERROR(MATCH(AG$1,INDIRECT("Table!A"&amp;$BJ50):INDIRECT("Table!" &amp; $BV$88 &amp; $BJ50),0)),"",INDIRECT(CONCATENATE("Table!",ADDRESS($BN50,MATCH(AG$1,INDIRECT("Table!A" &amp; $BJ50):INDIRECT("Table!" &amp; $BV$88 &amp; $BJ50),0)))))/1024</f>
        <v>177.73222656249999</v>
      </c>
      <c r="AH50" s="709">
        <f ca="1">IF(ISERROR(MATCH(AH$1,INDIRECT("Table!A"&amp;$BJ50):INDIRECT("Table!" &amp; $BV$88 &amp; $BJ50),0)),"",INDIRECT(CONCATENATE("Table!",ADDRESS($BN50,MATCH(AH$1,INDIRECT("Table!A" &amp; $BJ50):INDIRECT("Table!" &amp; $BV$88 &amp; $BJ50),0)))))/1024</f>
        <v>161.57470703125</v>
      </c>
      <c r="AI50" s="709">
        <f ca="1">IF(ISERROR(MATCH(AI$1,INDIRECT("Table!A"&amp;$BJ50):INDIRECT("Table!" &amp; $BV$88 &amp; $BJ50),0)),"",INDIRECT(CONCATENATE("Table!",ADDRESS($BN50,MATCH(AI$1,INDIRECT("Table!A" &amp; $BJ50):INDIRECT("Table!" &amp; $BV$88 &amp; $BJ50),0)))))/1024</f>
        <v>129.03515625</v>
      </c>
      <c r="AJ50" s="709">
        <f ca="1">IF(ISERROR(MATCH(AJ$1,INDIRECT("Table!A"&amp;$BJ50):INDIRECT("Table!" &amp; $BV$88 &amp; $BJ50),0)),"",INDIRECT(CONCATENATE("Table!",ADDRESS($BN50,MATCH(AJ$1,INDIRECT("Table!A" &amp; $BJ50):INDIRECT("Table!" &amp; $BV$88 &amp; $BJ50),0)))))/1024</f>
        <v>166.96152343750001</v>
      </c>
      <c r="AK50" s="709">
        <f ca="1">IF(ISERROR(MATCH(AK$1,INDIRECT("Table!A"&amp;$BJ50):INDIRECT("Table!" &amp; $BV$88 &amp; $BJ50),0)),"",INDIRECT(CONCATENATE("Table!",ADDRESS($BN50,MATCH(AK$1,INDIRECT("Table!A" &amp; $BJ50):INDIRECT("Table!" &amp; $BV$88 &amp; $BJ50),0)))))/1024</f>
        <v>162.18544921874999</v>
      </c>
      <c r="AL50" s="709">
        <f ca="1">IF(ISERROR(MATCH(AL$1,INDIRECT("Table!A"&amp;$BJ50):INDIRECT("Table!" &amp; $BV$88 &amp; $BJ50),0)),"",INDIRECT(CONCATENATE("Table!",ADDRESS($BN50,MATCH(AL$1,INDIRECT("Table!A" &amp; $BJ50):INDIRECT("Table!" &amp; $BV$88 &amp; $BJ50),0)))))/1024</f>
        <v>92.816601562499997</v>
      </c>
      <c r="AM50" s="709"/>
      <c r="AN50" s="709">
        <f ca="1">IF(ISERROR(MATCH(AN$1,INDIRECT("Table!A"&amp;$BJ50):INDIRECT("Table!" &amp; $BV$88 &amp; $BJ50),0)),"",INDIRECT(CONCATENATE("Table!",ADDRESS($BN50,MATCH(AN$1,INDIRECT("Table!A" &amp; $BJ50):INDIRECT("Table!" &amp; $BV$88 &amp; $BJ50),0)))))/1024</f>
        <v>188.5029296875</v>
      </c>
      <c r="AO50" s="709">
        <f ca="1">IF(ISERROR(MATCH(AO$1,INDIRECT("Table!A"&amp;$BJ50):INDIRECT("Table!" &amp; $BV$88 &amp; $BJ50),0)),"",INDIRECT(CONCATENATE("Table!",ADDRESS($BN50,MATCH(AO$1,INDIRECT("Table!A" &amp; $BJ50):INDIRECT("Table!" &amp; $BV$88 &amp; $BJ50),0)))))/1024</f>
        <v>129.03535156250001</v>
      </c>
      <c r="AP50" s="709">
        <f ca="1">IF(ISERROR(MATCH(AP$1,INDIRECT("Table!A"&amp;$BJ50):INDIRECT("Table!" &amp; $BV$88 &amp; $BJ50),0)),"",INDIRECT(CONCATENATE("Table!",ADDRESS($BN50,MATCH(AP$1,INDIRECT("Table!A" &amp; $BJ50):INDIRECT("Table!" &amp; $BV$88 &amp; $BJ50),0)))))/1024</f>
        <v>80.787402343750003</v>
      </c>
      <c r="AQ50" s="709">
        <f ca="1">IF(ISERROR(MATCH(AQ$1,INDIRECT("Table!A"&amp;$BJ50):INDIRECT("Table!" &amp; $BV$88 &amp; $BJ50),0)),"",INDIRECT(CONCATENATE("Table!",ADDRESS($BN50,MATCH(AQ$1,INDIRECT("Table!A" &amp; $BJ50):INDIRECT("Table!" &amp; $BV$88 &amp; $BJ50),0)))))/1024</f>
        <v>269.2919921875</v>
      </c>
      <c r="AR50" s="709">
        <f ca="1">IF(ISERROR(MATCH(AR$1,INDIRECT("Table!A"&amp;$BJ50):INDIRECT("Table!" &amp; $BV$88 &amp; $BJ50),0)),"",INDIRECT(CONCATENATE("Table!",ADDRESS($BN50,MATCH(AR$1,INDIRECT("Table!A" &amp; $BJ50):INDIRECT("Table!" &amp; $BV$88 &amp; $BJ50),0)))))/1024</f>
        <v>81.0927734375</v>
      </c>
      <c r="AS50" s="709">
        <f ca="1">IF(ISERROR(MATCH(AS$1,INDIRECT("Table!A"&amp;$BJ50):INDIRECT("Table!" &amp; $BV$88 &amp; $BJ50),0)),"",INDIRECT(CONCATENATE("Table!",ADDRESS($BN50,MATCH(AS$1,INDIRECT("Table!A" &amp; $BJ50):INDIRECT("Table!" &amp; $BV$88 &amp; $BJ50),0)))))/1024</f>
        <v>187.32246093750001</v>
      </c>
      <c r="AT50" s="709"/>
      <c r="AU50" s="709">
        <f ca="1">IF(ISERROR(MATCH(AU$1,INDIRECT("Table!A"&amp;$BJ50):INDIRECT("Table!" &amp; $BV$88 &amp; $BJ50),0)),"",INDIRECT(CONCATENATE("Table!",ADDRESS($BN50,MATCH(AU$1,INDIRECT("Table!A" &amp; $BJ50):INDIRECT("Table!" &amp; $BV$88 &amp; $BJ50),0)))))/1024</f>
        <v>53.8583984375</v>
      </c>
      <c r="AV50" s="709">
        <f ca="1">IF(ISERROR(MATCH(AV$1,INDIRECT("Table!A"&amp;$BJ50):INDIRECT("Table!" &amp; $BV$88 &amp; $BJ50),0)),"",INDIRECT(CONCATENATE("Table!",ADDRESS($BN50,MATCH(AV$1,INDIRECT("Table!A" &amp; $BJ50):INDIRECT("Table!" &amp; $BV$88 &amp; $BJ50),0)))))/1024</f>
        <v>32.31494140625</v>
      </c>
      <c r="AW50" s="709"/>
      <c r="AX50" s="909"/>
      <c r="AY50" s="909"/>
      <c r="AZ50" s="909"/>
      <c r="BA50" s="909"/>
      <c r="BB50" s="909"/>
      <c r="BC50" s="909"/>
      <c r="BD50" s="909"/>
      <c r="BE50" s="909"/>
      <c r="BF50" s="704">
        <f>MATCH($A50,Table!$A:$A,0)+$BH$2-1</f>
        <v>631</v>
      </c>
      <c r="BG50" s="705"/>
      <c r="BH50" s="705"/>
      <c r="BI50" s="705"/>
      <c r="BJ50" s="717">
        <f>MATCH($A50,Table!$A:$A,0)+$BL$2-1</f>
        <v>629</v>
      </c>
      <c r="BK50" s="705"/>
      <c r="BL50" s="705"/>
      <c r="BM50" s="705"/>
      <c r="BN50" s="704">
        <f>MATCH($A50,Table!$A:$A,0)+$BP$2-1</f>
        <v>630</v>
      </c>
      <c r="BO50" s="705"/>
      <c r="BP50" s="705"/>
      <c r="BQ50" s="705"/>
      <c r="BR50" s="717">
        <f>MATCH($A50,Table!$A:$A,0)+$BL$2-1</f>
        <v>629</v>
      </c>
      <c r="BS50" s="705"/>
      <c r="BT50" s="705"/>
      <c r="BU50" s="705"/>
      <c r="BV50" s="711" t="s">
        <v>284</v>
      </c>
      <c r="BW50" s="712">
        <f t="shared" ca="1" si="12"/>
        <v>2346.51953125</v>
      </c>
      <c r="BX50" s="712">
        <f t="shared" ca="1" si="45"/>
        <v>1050.7473632812498</v>
      </c>
      <c r="BY50" s="712">
        <f t="shared" ca="1" si="43"/>
        <v>1295.7721679687502</v>
      </c>
      <c r="BZ50" s="718">
        <f t="shared" ca="1" si="44"/>
        <v>0.44778973679435458</v>
      </c>
      <c r="CA50" s="712">
        <f>SUMIF('Alloc Feed'!A:A,A:A,'Alloc Feed'!I:I)</f>
        <v>0</v>
      </c>
      <c r="CB50" s="718">
        <f t="shared" ca="1" si="42"/>
        <v>0</v>
      </c>
    </row>
    <row r="51" spans="1:80" s="267" customFormat="1" x14ac:dyDescent="0.25">
      <c r="A51" s="703">
        <v>41423</v>
      </c>
      <c r="B51" s="709">
        <f ca="1">IF(ISERROR(MATCH(B$1,INDIRECT("Table!A"&amp;$BJ51):INDIRECT("Table!" &amp; $BV$88 &amp; $BJ51),0)),"",INDIRECT(CONCATENATE("Table!",ADDRESS($BF51,MATCH(B$1,INDIRECT("Table!A" &amp; $BJ51):INDIRECT("Table!" &amp; $BV$88 &amp; $BJ51),0)))))/1024</f>
        <v>40.72265625</v>
      </c>
      <c r="C51" s="709">
        <f ca="1">IF(ISERROR(MATCH(C$1,INDIRECT("Table!A"&amp;$BJ51):INDIRECT("Table!" &amp; $BV$88 &amp; $BJ51),0)),"",INDIRECT(CONCATENATE("Table!",ADDRESS($BF51,MATCH(C$1,INDIRECT("Table!A" &amp; $BJ51):INDIRECT("Table!" &amp; $BV$88 &amp; $BJ51),0)))))/1024</f>
        <v>76.441308593749994</v>
      </c>
      <c r="D51" s="709">
        <f ca="1">IF(ISERROR(MATCH(D$1,INDIRECT("Table!A"&amp;$BJ51):INDIRECT("Table!" &amp; $BV$88 &amp; $BJ51),0)),"",INDIRECT(CONCATENATE("Table!",ADDRESS($BF51,MATCH(D$1,INDIRECT("Table!A" &amp; $BJ51):INDIRECT("Table!" &amp; $BV$88 &amp; $BJ51),0)))))/1024</f>
        <v>77.909472656250003</v>
      </c>
      <c r="E51" s="709">
        <f ca="1">IF(ISERROR(MATCH(E$1,INDIRECT("Table!A"&amp;$BJ51):INDIRECT("Table!" &amp; $BV$88 &amp; $BJ51),0)),"",INDIRECT(CONCATENATE("Table!",ADDRESS($BF51,MATCH(E$1,INDIRECT("Table!A" &amp; $BJ51):INDIRECT("Table!" &amp; $BV$88 &amp; $BJ51),0)))))/1024</f>
        <v>156.96416015624999</v>
      </c>
      <c r="F51" s="709">
        <f ca="1">IF(ISERROR(MATCH(F$1,INDIRECT("Table!A"&amp;$BJ51):INDIRECT("Table!" &amp; $BV$88 &amp; $BJ51),0)),"",INDIRECT(CONCATENATE("Table!",ADDRESS($BF51,MATCH(F$1,INDIRECT("Table!A" &amp; $BJ51):INDIRECT("Table!" &amp; $BV$88 &amp; $BJ51),0)))))/1024</f>
        <v>99.816503906250006</v>
      </c>
      <c r="G51" s="709">
        <f ca="1">IF(ISERROR(MATCH(G$1,INDIRECT("Table!A"&amp;$BJ51):INDIRECT("Table!" &amp; $BV$88 &amp; $BJ51),0)),"",INDIRECT(CONCATENATE("Table!",ADDRESS($BF51,MATCH(G$1,INDIRECT("Table!A" &amp; $BJ51):INDIRECT("Table!" &amp; $BV$88 &amp; $BJ51),0)))))/1024</f>
        <v>53.11572265625</v>
      </c>
      <c r="H51" s="709">
        <f ca="1">IF(ISERROR(MATCH(H$1,INDIRECT("Table!A"&amp;$BJ51):INDIRECT("Table!" &amp; $BV$88 &amp; $BJ51),0)),"",INDIRECT(CONCATENATE("Table!",ADDRESS($BF51,MATCH(H$1,INDIRECT("Table!A" &amp; $BJ51):INDIRECT("Table!" &amp; $BV$88 &amp; $BJ51),0)))))/1024</f>
        <v>84.539941406249994</v>
      </c>
      <c r="I51" s="709">
        <f ca="1">IF(ISERROR(MATCH(I$1,INDIRECT("Table!A"&amp;$BJ51):INDIRECT("Table!" &amp; $BV$88 &amp; $BJ51),0)),"",INDIRECT(CONCATENATE("Table!",ADDRESS($BF51,MATCH(I$1,INDIRECT("Table!A" &amp; $BJ51):INDIRECT("Table!" &amp; $BV$88 &amp; $BJ51),0)))))/1024</f>
        <v>7.8474609375000002</v>
      </c>
      <c r="J51" s="709">
        <f ca="1">IF(ISERROR(MATCH(J$1,INDIRECT("Table!A"&amp;$BJ51):INDIRECT("Table!" &amp; $BV$88 &amp; $BJ51),0)),"",INDIRECT(CONCATENATE("Table!",ADDRESS($BF51,MATCH(J$1,INDIRECT("Table!A" &amp; $BJ51):INDIRECT("Table!" &amp; $BV$88 &amp; $BJ51),0)))))/1024</f>
        <v>2.6367187500000002E-3</v>
      </c>
      <c r="K51" s="709"/>
      <c r="L51" s="709">
        <f ca="1">IF(ISERROR(MATCH(L$1,INDIRECT("Table!A"&amp;$BJ51):INDIRECT("Table!" &amp; $BV$88 &amp; $BJ51),0)),"",INDIRECT(CONCATENATE("Table!",ADDRESS($BF51,MATCH(L$1,INDIRECT("Table!A" &amp; $BJ51):INDIRECT("Table!" &amp; $BV$88 &amp; $BJ51),0)))))/1024</f>
        <v>156.95107421874999</v>
      </c>
      <c r="M51" s="709">
        <f ca="1">IF(ISERROR(MATCH(M$1,INDIRECT("Table!A"&amp;$BJ51):INDIRECT("Table!" &amp; $BV$88 &amp; $BJ51),0)),"",INDIRECT(CONCATENATE("Table!",ADDRESS($BF51,MATCH(M$1,INDIRECT("Table!A" &amp; $BJ51):INDIRECT("Table!" &amp; $BV$88 &amp; $BJ51),0)))))/1024</f>
        <v>61.734667968750003</v>
      </c>
      <c r="N51" s="709">
        <f ca="1">IF(ISERROR(MATCH(N$1,INDIRECT("Table!A"&amp;$BJ51):INDIRECT("Table!" &amp; $BV$88 &amp; $BJ51),0)),"",INDIRECT(CONCATENATE("Table!",ADDRESS($BF51,MATCH(N$1,INDIRECT("Table!A" &amp; $BJ51):INDIRECT("Table!" &amp; $BV$88 &amp; $BJ51),0)))))/1024</f>
        <v>51.257910156249999</v>
      </c>
      <c r="O51" s="709">
        <f ca="1">IF(ISERROR(MATCH(O$1,INDIRECT("Table!A"&amp;$BJ51):INDIRECT("Table!" &amp; $BV$88 &amp; $BJ51),0)),"",INDIRECT(CONCATENATE("Table!",ADDRESS($BF51,MATCH(O$1,INDIRECT("Table!A" &amp; $BJ51):INDIRECT("Table!" &amp; $BV$88 &amp; $BJ51),0)))))/1024</f>
        <v>153.87128906250001</v>
      </c>
      <c r="P51" s="709">
        <f ca="1">IF(ISERROR(MATCH(P$1,INDIRECT("Table!A"&amp;$BJ51):INDIRECT("Table!" &amp; $BV$88 &amp; $BJ51),0)),"",INDIRECT(CONCATENATE("Table!",ADDRESS($BF51,MATCH(P$1,INDIRECT("Table!A" &amp; $BJ51):INDIRECT("Table!" &amp; $BV$88 &amp; $BJ51),0)))))/1024</f>
        <v>15.495800781250001</v>
      </c>
      <c r="Q51" s="709">
        <f ca="1">IF(ISERROR(MATCH(Q$1,INDIRECT("Table!A"&amp;$BJ51):INDIRECT("Table!" &amp; $BV$88 &amp; $BJ51),0)),"",INDIRECT(CONCATENATE("Table!",ADDRESS($BF51,MATCH(Q$1,INDIRECT("Table!A" &amp; $BJ51):INDIRECT("Table!" &amp; $BV$88 &amp; $BJ51),0)))))/1024</f>
        <v>5.2734375000000003E-3</v>
      </c>
      <c r="R51" s="709"/>
      <c r="S51" s="709">
        <f ca="1">IF(ISERROR(MATCH(S$1,INDIRECT("Table!A"&amp;$BJ51):INDIRECT("Table!" &amp; $BV$43 &amp; $BJ51),0)),"",INDIRECT(CONCATENATE("Table!",ADDRESS($BF51,MATCH(S$1,INDIRECT("Table!A" &amp; $BJ51):INDIRECT("Table!" &amp; $BV$43 &amp; $BJ51),0)))))/1024</f>
        <v>7.833984375</v>
      </c>
      <c r="T51" s="709">
        <f ca="1">IF(ISERROR(MATCH(T$1,INDIRECT("Table!A"&amp;$BJ51):INDIRECT("Table!" &amp; $BV$43 &amp; $BJ51),0)),"",INDIRECT(CONCATENATE("Table!",ADDRESS($BF51,MATCH(T$1,INDIRECT("Table!A" &amp; $BJ51):INDIRECT("Table!" &amp; $BV$43 &amp; $BJ51),0)))))/1024</f>
        <v>4.5331054687499996</v>
      </c>
      <c r="U51" s="709"/>
      <c r="V51" s="909"/>
      <c r="W51" s="909"/>
      <c r="X51" s="909"/>
      <c r="Y51" s="909"/>
      <c r="Z51" s="909"/>
      <c r="AA51" s="909"/>
      <c r="AB51" s="909"/>
      <c r="AC51" s="709" t="str">
        <f ca="1">IF(ISERROR(MATCH(AC$1,INDIRECT("Table!A"&amp;$BJ51):INDIRECT("Table!" &amp; $BV$88 &amp; $BJ51),0)),"",INDIRECT(CONCATENATE("Table!",ADDRESS($BF51,MATCH(AC$1,INDIRECT("Table!A" &amp; $BJ51):INDIRECT("Table!" &amp; $BV$88 &amp; $BJ51),0)))))</f>
        <v/>
      </c>
      <c r="AD51" s="709">
        <f ca="1">IF(ISERROR(MATCH(AD$1,INDIRECT("Table!A"&amp;$BJ51):INDIRECT("Table!" &amp; $BV$88 &amp; $BJ51),0)),"",INDIRECT(CONCATENATE("Table!",ADDRESS($BN51,MATCH(AD$1,INDIRECT("Table!A" &amp; $BJ51):INDIRECT("Table!" &amp; $BV$88 &amp; $BJ51),0)))))/1024</f>
        <v>140.03144531250001</v>
      </c>
      <c r="AE51" s="709">
        <f ca="1">IF(ISERROR(MATCH(AE$1,INDIRECT("Table!A"&amp;$BJ51):INDIRECT("Table!" &amp; $BV$88 &amp; $BJ51),0)),"",INDIRECT(CONCATENATE("Table!",ADDRESS($BN51,MATCH(AE$1,INDIRECT("Table!A" &amp; $BJ51):INDIRECT("Table!" &amp; $BV$88 &amp; $BJ51),0)))))/1024</f>
        <v>146.98808593749999</v>
      </c>
      <c r="AF51" s="709">
        <f ca="1">IF(ISERROR(MATCH(AF$1,INDIRECT("Table!A"&amp;$BJ51):INDIRECT("Table!" &amp; $BV$88 &amp; $BJ51),0)),"",INDIRECT(CONCATENATE("Table!",ADDRESS($BN51,MATCH(AF$1,INDIRECT("Table!A" &amp; $BJ51):INDIRECT("Table!" &amp; $BV$88 &amp; $BJ51),0)))))/1024</f>
        <v>146.98808593749999</v>
      </c>
      <c r="AG51" s="709">
        <f ca="1">IF(ISERROR(MATCH(AG$1,INDIRECT("Table!A"&amp;$BJ51):INDIRECT("Table!" &amp; $BV$88 &amp; $BJ51),0)),"",INDIRECT(CONCATENATE("Table!",ADDRESS($BN51,MATCH(AG$1,INDIRECT("Table!A" &amp; $BJ51):INDIRECT("Table!" &amp; $BV$88 &amp; $BJ51),0)))))/1024</f>
        <v>177.73222656249999</v>
      </c>
      <c r="AH51" s="709">
        <f ca="1">IF(ISERROR(MATCH(AH$1,INDIRECT("Table!A"&amp;$BJ51):INDIRECT("Table!" &amp; $BV$88 &amp; $BJ51),0)),"",INDIRECT(CONCATENATE("Table!",ADDRESS($BN51,MATCH(AH$1,INDIRECT("Table!A" &amp; $BJ51):INDIRECT("Table!" &amp; $BV$88 &amp; $BJ51),0)))))/1024</f>
        <v>161.57470703125</v>
      </c>
      <c r="AI51" s="709">
        <f ca="1">IF(ISERROR(MATCH(AI$1,INDIRECT("Table!A"&amp;$BJ51):INDIRECT("Table!" &amp; $BV$88 &amp; $BJ51),0)),"",INDIRECT(CONCATENATE("Table!",ADDRESS($BN51,MATCH(AI$1,INDIRECT("Table!A" &amp; $BJ51):INDIRECT("Table!" &amp; $BV$88 &amp; $BJ51),0)))))/1024</f>
        <v>129.03515625</v>
      </c>
      <c r="AJ51" s="709">
        <f ca="1">IF(ISERROR(MATCH(AJ$1,INDIRECT("Table!A"&amp;$BJ51):INDIRECT("Table!" &amp; $BV$88 &amp; $BJ51),0)),"",INDIRECT(CONCATENATE("Table!",ADDRESS($BN51,MATCH(AJ$1,INDIRECT("Table!A" &amp; $BJ51):INDIRECT("Table!" &amp; $BV$88 &amp; $BJ51),0)))))/1024</f>
        <v>166.96152343750001</v>
      </c>
      <c r="AK51" s="709">
        <f ca="1">IF(ISERROR(MATCH(AK$1,INDIRECT("Table!A"&amp;$BJ51):INDIRECT("Table!" &amp; $BV$88 &amp; $BJ51),0)),"",INDIRECT(CONCATENATE("Table!",ADDRESS($BN51,MATCH(AK$1,INDIRECT("Table!A" &amp; $BJ51):INDIRECT("Table!" &amp; $BV$88 &amp; $BJ51),0)))))/1024</f>
        <v>162.18544921874999</v>
      </c>
      <c r="AL51" s="709">
        <f ca="1">IF(ISERROR(MATCH(AL$1,INDIRECT("Table!A"&amp;$BJ51):INDIRECT("Table!" &amp; $BV$88 &amp; $BJ51),0)),"",INDIRECT(CONCATENATE("Table!",ADDRESS($BN51,MATCH(AL$1,INDIRECT("Table!A" &amp; $BJ51):INDIRECT("Table!" &amp; $BV$88 &amp; $BJ51),0)))))/1024</f>
        <v>92.816601562499997</v>
      </c>
      <c r="AM51" s="709"/>
      <c r="AN51" s="709">
        <f ca="1">IF(ISERROR(MATCH(AN$1,INDIRECT("Table!A"&amp;$BJ51):INDIRECT("Table!" &amp; $BV$88 &amp; $BJ51),0)),"",INDIRECT(CONCATENATE("Table!",ADDRESS($BN51,MATCH(AN$1,INDIRECT("Table!A" &amp; $BJ51):INDIRECT("Table!" &amp; $BV$88 &amp; $BJ51),0)))))/1024</f>
        <v>188.5029296875</v>
      </c>
      <c r="AO51" s="709">
        <f ca="1">IF(ISERROR(MATCH(AO$1,INDIRECT("Table!A"&amp;$BJ51):INDIRECT("Table!" &amp; $BV$88 &amp; $BJ51),0)),"",INDIRECT(CONCATENATE("Table!",ADDRESS($BN51,MATCH(AO$1,INDIRECT("Table!A" &amp; $BJ51):INDIRECT("Table!" &amp; $BV$88 &amp; $BJ51),0)))))/1024</f>
        <v>129.03535156250001</v>
      </c>
      <c r="AP51" s="709">
        <f ca="1">IF(ISERROR(MATCH(AP$1,INDIRECT("Table!A"&amp;$BJ51):INDIRECT("Table!" &amp; $BV$88 &amp; $BJ51),0)),"",INDIRECT(CONCATENATE("Table!",ADDRESS($BN51,MATCH(AP$1,INDIRECT("Table!A" &amp; $BJ51):INDIRECT("Table!" &amp; $BV$88 &amp; $BJ51),0)))))/1024</f>
        <v>80.787402343750003</v>
      </c>
      <c r="AQ51" s="709">
        <f ca="1">IF(ISERROR(MATCH(AQ$1,INDIRECT("Table!A"&amp;$BJ51):INDIRECT("Table!" &amp; $BV$88 &amp; $BJ51),0)),"",INDIRECT(CONCATENATE("Table!",ADDRESS($BN51,MATCH(AQ$1,INDIRECT("Table!A" &amp; $BJ51):INDIRECT("Table!" &amp; $BV$88 &amp; $BJ51),0)))))/1024</f>
        <v>269.2919921875</v>
      </c>
      <c r="AR51" s="709">
        <f ca="1">IF(ISERROR(MATCH(AR$1,INDIRECT("Table!A"&amp;$BJ51):INDIRECT("Table!" &amp; $BV$88 &amp; $BJ51),0)),"",INDIRECT(CONCATENATE("Table!",ADDRESS($BN51,MATCH(AR$1,INDIRECT("Table!A" &amp; $BJ51):INDIRECT("Table!" &amp; $BV$88 &amp; $BJ51),0)))))/1024</f>
        <v>81.0927734375</v>
      </c>
      <c r="AS51" s="709">
        <f ca="1">IF(ISERROR(MATCH(AS$1,INDIRECT("Table!A"&amp;$BJ51):INDIRECT("Table!" &amp; $BV$88 &amp; $BJ51),0)),"",INDIRECT(CONCATENATE("Table!",ADDRESS($BN51,MATCH(AS$1,INDIRECT("Table!A" &amp; $BJ51):INDIRECT("Table!" &amp; $BV$88 &amp; $BJ51),0)))))/1024</f>
        <v>187.32246093750001</v>
      </c>
      <c r="AT51" s="709"/>
      <c r="AU51" s="709">
        <f ca="1">IF(ISERROR(MATCH(AU$1,INDIRECT("Table!A"&amp;$BJ51):INDIRECT("Table!" &amp; $BV$88 &amp; $BJ51),0)),"",INDIRECT(CONCATENATE("Table!",ADDRESS($BN51,MATCH(AU$1,INDIRECT("Table!A" &amp; $BJ51):INDIRECT("Table!" &amp; $BV$88 &amp; $BJ51),0)))))/1024</f>
        <v>53.8583984375</v>
      </c>
      <c r="AV51" s="709">
        <f ca="1">IF(ISERROR(MATCH(AV$1,INDIRECT("Table!A"&amp;$BJ51):INDIRECT("Table!" &amp; $BV$88 &amp; $BJ51),0)),"",INDIRECT(CONCATENATE("Table!",ADDRESS($BN51,MATCH(AV$1,INDIRECT("Table!A" &amp; $BJ51):INDIRECT("Table!" &amp; $BV$88 &amp; $BJ51),0)))))/1024</f>
        <v>32.31494140625</v>
      </c>
      <c r="AW51" s="709"/>
      <c r="AX51" s="909"/>
      <c r="AY51" s="909"/>
      <c r="AZ51" s="909"/>
      <c r="BA51" s="909"/>
      <c r="BB51" s="909"/>
      <c r="BC51" s="909"/>
      <c r="BD51" s="909"/>
      <c r="BE51" s="909"/>
      <c r="BF51" s="704">
        <f>MATCH($A51,Table!$A:$A,0)+$BH$2-1</f>
        <v>643</v>
      </c>
      <c r="BG51" s="705"/>
      <c r="BH51" s="705"/>
      <c r="BI51" s="705"/>
      <c r="BJ51" s="717">
        <f>MATCH($A51,Table!$A:$A,0)+$BL$2-1</f>
        <v>641</v>
      </c>
      <c r="BK51" s="705"/>
      <c r="BL51" s="705"/>
      <c r="BM51" s="705"/>
      <c r="BN51" s="704">
        <f>MATCH($A51,Table!$A:$A,0)+$BP$2-1</f>
        <v>642</v>
      </c>
      <c r="BO51" s="705"/>
      <c r="BP51" s="705"/>
      <c r="BQ51" s="705"/>
      <c r="BR51" s="717">
        <f>MATCH($A51,Table!$A:$A,0)+$BL$2-1</f>
        <v>641</v>
      </c>
      <c r="BS51" s="705"/>
      <c r="BT51" s="705"/>
      <c r="BU51" s="705"/>
      <c r="BV51" s="711" t="s">
        <v>284</v>
      </c>
      <c r="BW51" s="712">
        <f t="shared" ca="1" si="12"/>
        <v>2346.51953125</v>
      </c>
      <c r="BX51" s="712">
        <f t="shared" ca="1" si="45"/>
        <v>1049.0429687499998</v>
      </c>
      <c r="BY51" s="712">
        <f t="shared" ca="1" si="43"/>
        <v>1297.4765625000002</v>
      </c>
      <c r="BZ51" s="718">
        <f t="shared" ca="1" si="44"/>
        <v>0.44706338676463969</v>
      </c>
      <c r="CA51" s="712">
        <f>SUMIF('Alloc Feed'!A:A,A:A,'Alloc Feed'!I:I)</f>
        <v>0</v>
      </c>
      <c r="CB51" s="718">
        <f t="shared" ca="1" si="42"/>
        <v>0</v>
      </c>
    </row>
    <row r="52" spans="1:80" s="267" customFormat="1" x14ac:dyDescent="0.25">
      <c r="A52" s="703">
        <v>41422</v>
      </c>
      <c r="B52" s="709">
        <f ca="1">IF(ISERROR(MATCH(B$1,INDIRECT("Table!A"&amp;$BJ52):INDIRECT("Table!" &amp; $BV$88 &amp; $BJ52),0)),"",INDIRECT(CONCATENATE("Table!",ADDRESS($BF52,MATCH(B$1,INDIRECT("Table!A" &amp; $BJ52):INDIRECT("Table!" &amp; $BV$88 &amp; $BJ52),0)))))/1024</f>
        <v>40.351757812499997</v>
      </c>
      <c r="C52" s="709">
        <f ca="1">IF(ISERROR(MATCH(C$1,INDIRECT("Table!A"&amp;$BJ52):INDIRECT("Table!" &amp; $BV$88 &amp; $BJ52),0)),"",INDIRECT(CONCATENATE("Table!",ADDRESS($BF52,MATCH(C$1,INDIRECT("Table!A" &amp; $BJ52):INDIRECT("Table!" &amp; $BV$88 &amp; $BJ52),0)))))/1024</f>
        <v>76.437207031249997</v>
      </c>
      <c r="D52" s="709">
        <f ca="1">IF(ISERROR(MATCH(D$1,INDIRECT("Table!A"&amp;$BJ52):INDIRECT("Table!" &amp; $BV$88 &amp; $BJ52),0)),"",INDIRECT(CONCATENATE("Table!",ADDRESS($BF52,MATCH(D$1,INDIRECT("Table!A" &amp; $BJ52):INDIRECT("Table!" &amp; $BV$88 &amp; $BJ52),0)))))/1024</f>
        <v>77.905371093750006</v>
      </c>
      <c r="E52" s="709">
        <f ca="1">IF(ISERROR(MATCH(E$1,INDIRECT("Table!A"&amp;$BJ52):INDIRECT("Table!" &amp; $BV$88 &amp; $BJ52),0)),"",INDIRECT(CONCATENATE("Table!",ADDRESS($BF52,MATCH(E$1,INDIRECT("Table!A" &amp; $BJ52):INDIRECT("Table!" &amp; $BV$88 &amp; $BJ52),0)))))/1024</f>
        <v>156.93212890625</v>
      </c>
      <c r="F52" s="709">
        <f ca="1">IF(ISERROR(MATCH(F$1,INDIRECT("Table!A"&amp;$BJ52):INDIRECT("Table!" &amp; $BV$88 &amp; $BJ52),0)),"",INDIRECT(CONCATENATE("Table!",ADDRESS($BF52,MATCH(F$1,INDIRECT("Table!A" &amp; $BJ52):INDIRECT("Table!" &amp; $BV$88 &amp; $BJ52),0)))))/1024</f>
        <v>99.601464843749994</v>
      </c>
      <c r="G52" s="709">
        <f ca="1">IF(ISERROR(MATCH(G$1,INDIRECT("Table!A"&amp;$BJ52):INDIRECT("Table!" &amp; $BV$88 &amp; $BJ52),0)),"",INDIRECT(CONCATENATE("Table!",ADDRESS($BF52,MATCH(G$1,INDIRECT("Table!A" &amp; $BJ52):INDIRECT("Table!" &amp; $BV$88 &amp; $BJ52),0)))))/1024</f>
        <v>53.707128906249999</v>
      </c>
      <c r="H52" s="709">
        <f ca="1">IF(ISERROR(MATCH(H$1,INDIRECT("Table!A"&amp;$BJ52):INDIRECT("Table!" &amp; $BV$88 &amp; $BJ52),0)),"",INDIRECT(CONCATENATE("Table!",ADDRESS($BF52,MATCH(H$1,INDIRECT("Table!A" &amp; $BJ52):INDIRECT("Table!" &amp; $BV$88 &amp; $BJ52),0)))))/1024</f>
        <v>84.327050781249994</v>
      </c>
      <c r="I52" s="709">
        <f ca="1">IF(ISERROR(MATCH(I$1,INDIRECT("Table!A"&amp;$BJ52):INDIRECT("Table!" &amp; $BV$88 &amp; $BJ52),0)),"",INDIRECT(CONCATENATE("Table!",ADDRESS($BF52,MATCH(I$1,INDIRECT("Table!A" &amp; $BJ52):INDIRECT("Table!" &amp; $BV$88 &amp; $BJ52),0)))))/1024</f>
        <v>7.0833984374999996</v>
      </c>
      <c r="J52" s="709">
        <f ca="1">IF(ISERROR(MATCH(J$1,INDIRECT("Table!A"&amp;$BJ52):INDIRECT("Table!" &amp; $BV$88 &amp; $BJ52),0)),"",INDIRECT(CONCATENATE("Table!",ADDRESS($BF52,MATCH(J$1,INDIRECT("Table!A" &amp; $BJ52):INDIRECT("Table!" &amp; $BV$88 &amp; $BJ52),0)))))/1024</f>
        <v>2.6367187500000002E-3</v>
      </c>
      <c r="K52" s="709"/>
      <c r="L52" s="709">
        <f ca="1">IF(ISERROR(MATCH(L$1,INDIRECT("Table!A"&amp;$BJ52):INDIRECT("Table!" &amp; $BV$88 &amp; $BJ52),0)),"",INDIRECT(CONCATENATE("Table!",ADDRESS($BF52,MATCH(L$1,INDIRECT("Table!A" &amp; $BJ52):INDIRECT("Table!" &amp; $BV$88 &amp; $BJ52),0)))))/1024</f>
        <v>156.90791015625001</v>
      </c>
      <c r="M52" s="709">
        <f ca="1">IF(ISERROR(MATCH(M$1,INDIRECT("Table!A"&amp;$BJ52):INDIRECT("Table!" &amp; $BV$88 &amp; $BJ52),0)),"",INDIRECT(CONCATENATE("Table!",ADDRESS($BF52,MATCH(M$1,INDIRECT("Table!A" &amp; $BJ52):INDIRECT("Table!" &amp; $BV$88 &amp; $BJ52),0)))))/1024</f>
        <v>62.205175781249999</v>
      </c>
      <c r="N52" s="709">
        <f ca="1">IF(ISERROR(MATCH(N$1,INDIRECT("Table!A"&amp;$BJ52):INDIRECT("Table!" &amp; $BV$88 &amp; $BJ52),0)),"",INDIRECT(CONCATENATE("Table!",ADDRESS($BF52,MATCH(N$1,INDIRECT("Table!A" &amp; $BJ52):INDIRECT("Table!" &amp; $BV$88 &amp; $BJ52),0)))))/1024</f>
        <v>51.150292968750001</v>
      </c>
      <c r="O52" s="709">
        <f ca="1">IF(ISERROR(MATCH(O$1,INDIRECT("Table!A"&amp;$BJ52):INDIRECT("Table!" &amp; $BV$88 &amp; $BJ52),0)),"",INDIRECT(CONCATENATE("Table!",ADDRESS($BF52,MATCH(O$1,INDIRECT("Table!A" &amp; $BJ52):INDIRECT("Table!" &amp; $BV$88 &amp; $BJ52),0)))))/1024</f>
        <v>153.7509765625</v>
      </c>
      <c r="P52" s="709">
        <f ca="1">IF(ISERROR(MATCH(P$1,INDIRECT("Table!A"&amp;$BJ52):INDIRECT("Table!" &amp; $BV$88 &amp; $BJ52),0)),"",INDIRECT(CONCATENATE("Table!",ADDRESS($BF52,MATCH(P$1,INDIRECT("Table!A" &amp; $BJ52):INDIRECT("Table!" &amp; $BV$88 &amp; $BJ52),0)))))/1024</f>
        <v>15.495312500000001</v>
      </c>
      <c r="Q52" s="709">
        <f ca="1">IF(ISERROR(MATCH(Q$1,INDIRECT("Table!A"&amp;$BJ52):INDIRECT("Table!" &amp; $BV$88 &amp; $BJ52),0)),"",INDIRECT(CONCATENATE("Table!",ADDRESS($BF52,MATCH(Q$1,INDIRECT("Table!A" &amp; $BJ52):INDIRECT("Table!" &amp; $BV$88 &amp; $BJ52),0)))))/1024</f>
        <v>5.2734375000000003E-3</v>
      </c>
      <c r="R52" s="709"/>
      <c r="S52" s="709">
        <f ca="1">IF(ISERROR(MATCH(S$1,INDIRECT("Table!A"&amp;$BJ52):INDIRECT("Table!" &amp; $BV$43 &amp; $BJ52),0)),"",INDIRECT(CONCATENATE("Table!",ADDRESS($BF52,MATCH(S$1,INDIRECT("Table!A" &amp; $BJ52):INDIRECT("Table!" &amp; $BV$43 &amp; $BJ52),0)))))/1024</f>
        <v>7.7765624999999998</v>
      </c>
      <c r="T52" s="709">
        <f ca="1">IF(ISERROR(MATCH(T$1,INDIRECT("Table!A"&amp;$BJ52):INDIRECT("Table!" &amp; $BV$43 &amp; $BJ52),0)),"",INDIRECT(CONCATENATE("Table!",ADDRESS($BF52,MATCH(T$1,INDIRECT("Table!A" &amp; $BJ52):INDIRECT("Table!" &amp; $BV$43 &amp; $BJ52),0)))))/1024</f>
        <v>4.5174804687499996</v>
      </c>
      <c r="U52" s="709"/>
      <c r="V52" s="909"/>
      <c r="W52" s="909"/>
      <c r="X52" s="909"/>
      <c r="Y52" s="909"/>
      <c r="Z52" s="909"/>
      <c r="AA52" s="909"/>
      <c r="AB52" s="909"/>
      <c r="AC52" s="709" t="str">
        <f ca="1">IF(ISERROR(MATCH(AC$1,INDIRECT("Table!A"&amp;$BJ52):INDIRECT("Table!" &amp; $BV$88 &amp; $BJ52),0)),"",INDIRECT(CONCATENATE("Table!",ADDRESS($BF52,MATCH(AC$1,INDIRECT("Table!A" &amp; $BJ52):INDIRECT("Table!" &amp; $BV$88 &amp; $BJ52),0)))))</f>
        <v/>
      </c>
      <c r="AD52" s="709">
        <f ca="1">IF(ISERROR(MATCH(AD$1,INDIRECT("Table!A"&amp;$BJ52):INDIRECT("Table!" &amp; $BV$88 &amp; $BJ52),0)),"",INDIRECT(CONCATENATE("Table!",ADDRESS($BN52,MATCH(AD$1,INDIRECT("Table!A" &amp; $BJ52):INDIRECT("Table!" &amp; $BV$88 &amp; $BJ52),0)))))/1024</f>
        <v>140.03144531250001</v>
      </c>
      <c r="AE52" s="709">
        <f ca="1">IF(ISERROR(MATCH(AE$1,INDIRECT("Table!A"&amp;$BJ52):INDIRECT("Table!" &amp; $BV$88 &amp; $BJ52),0)),"",INDIRECT(CONCATENATE("Table!",ADDRESS($BN52,MATCH(AE$1,INDIRECT("Table!A" &amp; $BJ52):INDIRECT("Table!" &amp; $BV$88 &amp; $BJ52),0)))))/1024</f>
        <v>146.98808593749999</v>
      </c>
      <c r="AF52" s="709">
        <f ca="1">IF(ISERROR(MATCH(AF$1,INDIRECT("Table!A"&amp;$BJ52):INDIRECT("Table!" &amp; $BV$88 &amp; $BJ52),0)),"",INDIRECT(CONCATENATE("Table!",ADDRESS($BN52,MATCH(AF$1,INDIRECT("Table!A" &amp; $BJ52):INDIRECT("Table!" &amp; $BV$88 &amp; $BJ52),0)))))/1024</f>
        <v>146.98808593749999</v>
      </c>
      <c r="AG52" s="709">
        <f ca="1">IF(ISERROR(MATCH(AG$1,INDIRECT("Table!A"&amp;$BJ52):INDIRECT("Table!" &amp; $BV$88 &amp; $BJ52),0)),"",INDIRECT(CONCATENATE("Table!",ADDRESS($BN52,MATCH(AG$1,INDIRECT("Table!A" &amp; $BJ52):INDIRECT("Table!" &amp; $BV$88 &amp; $BJ52),0)))))/1024</f>
        <v>177.73222656249999</v>
      </c>
      <c r="AH52" s="709">
        <f ca="1">IF(ISERROR(MATCH(AH$1,INDIRECT("Table!A"&amp;$BJ52):INDIRECT("Table!" &amp; $BV$88 &amp; $BJ52),0)),"",INDIRECT(CONCATENATE("Table!",ADDRESS($BN52,MATCH(AH$1,INDIRECT("Table!A" &amp; $BJ52):INDIRECT("Table!" &amp; $BV$88 &amp; $BJ52),0)))))/1024</f>
        <v>161.57470703125</v>
      </c>
      <c r="AI52" s="709">
        <f ca="1">IF(ISERROR(MATCH(AI$1,INDIRECT("Table!A"&amp;$BJ52):INDIRECT("Table!" &amp; $BV$88 &amp; $BJ52),0)),"",INDIRECT(CONCATENATE("Table!",ADDRESS($BN52,MATCH(AI$1,INDIRECT("Table!A" &amp; $BJ52):INDIRECT("Table!" &amp; $BV$88 &amp; $BJ52),0)))))/1024</f>
        <v>129.03515625</v>
      </c>
      <c r="AJ52" s="709">
        <f ca="1">IF(ISERROR(MATCH(AJ$1,INDIRECT("Table!A"&amp;$BJ52):INDIRECT("Table!" &amp; $BV$88 &amp; $BJ52),0)),"",INDIRECT(CONCATENATE("Table!",ADDRESS($BN52,MATCH(AJ$1,INDIRECT("Table!A" &amp; $BJ52):INDIRECT("Table!" &amp; $BV$88 &amp; $BJ52),0)))))/1024</f>
        <v>166.96152343750001</v>
      </c>
      <c r="AK52" s="709">
        <f ca="1">IF(ISERROR(MATCH(AK$1,INDIRECT("Table!A"&amp;$BJ52):INDIRECT("Table!" &amp; $BV$88 &amp; $BJ52),0)),"",INDIRECT(CONCATENATE("Table!",ADDRESS($BN52,MATCH(AK$1,INDIRECT("Table!A" &amp; $BJ52):INDIRECT("Table!" &amp; $BV$88 &amp; $BJ52),0)))))/1024</f>
        <v>162.18544921874999</v>
      </c>
      <c r="AL52" s="709">
        <f ca="1">IF(ISERROR(MATCH(AL$1,INDIRECT("Table!A"&amp;$BJ52):INDIRECT("Table!" &amp; $BV$88 &amp; $BJ52),0)),"",INDIRECT(CONCATENATE("Table!",ADDRESS($BN52,MATCH(AL$1,INDIRECT("Table!A" &amp; $BJ52):INDIRECT("Table!" &amp; $BV$88 &amp; $BJ52),0)))))/1024</f>
        <v>92.816601562499997</v>
      </c>
      <c r="AM52" s="709"/>
      <c r="AN52" s="709">
        <f ca="1">IF(ISERROR(MATCH(AN$1,INDIRECT("Table!A"&amp;$BJ52):INDIRECT("Table!" &amp; $BV$88 &amp; $BJ52),0)),"",INDIRECT(CONCATENATE("Table!",ADDRESS($BN52,MATCH(AN$1,INDIRECT("Table!A" &amp; $BJ52):INDIRECT("Table!" &amp; $BV$88 &amp; $BJ52),0)))))/1024</f>
        <v>188.5029296875</v>
      </c>
      <c r="AO52" s="709">
        <f ca="1">IF(ISERROR(MATCH(AO$1,INDIRECT("Table!A"&amp;$BJ52):INDIRECT("Table!" &amp; $BV$88 &amp; $BJ52),0)),"",INDIRECT(CONCATENATE("Table!",ADDRESS($BN52,MATCH(AO$1,INDIRECT("Table!A" &amp; $BJ52):INDIRECT("Table!" &amp; $BV$88 &amp; $BJ52),0)))))/1024</f>
        <v>129.03535156250001</v>
      </c>
      <c r="AP52" s="709">
        <f ca="1">IF(ISERROR(MATCH(AP$1,INDIRECT("Table!A"&amp;$BJ52):INDIRECT("Table!" &amp; $BV$88 &amp; $BJ52),0)),"",INDIRECT(CONCATENATE("Table!",ADDRESS($BN52,MATCH(AP$1,INDIRECT("Table!A" &amp; $BJ52):INDIRECT("Table!" &amp; $BV$88 &amp; $BJ52),0)))))/1024</f>
        <v>80.787402343750003</v>
      </c>
      <c r="AQ52" s="709">
        <f ca="1">IF(ISERROR(MATCH(AQ$1,INDIRECT("Table!A"&amp;$BJ52):INDIRECT("Table!" &amp; $BV$88 &amp; $BJ52),0)),"",INDIRECT(CONCATENATE("Table!",ADDRESS($BN52,MATCH(AQ$1,INDIRECT("Table!A" &amp; $BJ52):INDIRECT("Table!" &amp; $BV$88 &amp; $BJ52),0)))))/1024</f>
        <v>269.2919921875</v>
      </c>
      <c r="AR52" s="709">
        <f ca="1">IF(ISERROR(MATCH(AR$1,INDIRECT("Table!A"&amp;$BJ52):INDIRECT("Table!" &amp; $BV$88 &amp; $BJ52),0)),"",INDIRECT(CONCATENATE("Table!",ADDRESS($BN52,MATCH(AR$1,INDIRECT("Table!A" &amp; $BJ52):INDIRECT("Table!" &amp; $BV$88 &amp; $BJ52),0)))))/1024</f>
        <v>81.0927734375</v>
      </c>
      <c r="AS52" s="709">
        <f ca="1">IF(ISERROR(MATCH(AS$1,INDIRECT("Table!A"&amp;$BJ52):INDIRECT("Table!" &amp; $BV$88 &amp; $BJ52),0)),"",INDIRECT(CONCATENATE("Table!",ADDRESS($BN52,MATCH(AS$1,INDIRECT("Table!A" &amp; $BJ52):INDIRECT("Table!" &amp; $BV$88 &amp; $BJ52),0)))))/1024</f>
        <v>187.32246093750001</v>
      </c>
      <c r="AT52" s="709"/>
      <c r="AU52" s="709">
        <f ca="1">IF(ISERROR(MATCH(AU$1,INDIRECT("Table!A"&amp;$BJ52):INDIRECT("Table!" &amp; $BV$88 &amp; $BJ52),0)),"",INDIRECT(CONCATENATE("Table!",ADDRESS($BN52,MATCH(AU$1,INDIRECT("Table!A" &amp; $BJ52):INDIRECT("Table!" &amp; $BV$88 &amp; $BJ52),0)))))/1024</f>
        <v>53.8583984375</v>
      </c>
      <c r="AV52" s="709">
        <f ca="1">IF(ISERROR(MATCH(AV$1,INDIRECT("Table!A"&amp;$BJ52):INDIRECT("Table!" &amp; $BV$88 &amp; $BJ52),0)),"",INDIRECT(CONCATENATE("Table!",ADDRESS($BN52,MATCH(AV$1,INDIRECT("Table!A" &amp; $BJ52):INDIRECT("Table!" &amp; $BV$88 &amp; $BJ52),0)))))/1024</f>
        <v>32.31494140625</v>
      </c>
      <c r="AW52" s="709"/>
      <c r="AX52" s="909"/>
      <c r="AY52" s="909"/>
      <c r="AZ52" s="909"/>
      <c r="BA52" s="909"/>
      <c r="BB52" s="909"/>
      <c r="BC52" s="909"/>
      <c r="BD52" s="909"/>
      <c r="BE52" s="909"/>
      <c r="BF52" s="704">
        <f>MATCH($A52,Table!$A:$A,0)+$BH$2-1</f>
        <v>655</v>
      </c>
      <c r="BG52" s="705"/>
      <c r="BH52" s="705"/>
      <c r="BI52" s="705"/>
      <c r="BJ52" s="717">
        <f>MATCH($A52,Table!$A:$A,0)+$BL$2-1</f>
        <v>653</v>
      </c>
      <c r="BK52" s="705"/>
      <c r="BL52" s="705"/>
      <c r="BM52" s="705"/>
      <c r="BN52" s="704">
        <f>MATCH($A52,Table!$A:$A,0)+$BP$2-1</f>
        <v>654</v>
      </c>
      <c r="BO52" s="705"/>
      <c r="BP52" s="705"/>
      <c r="BQ52" s="705"/>
      <c r="BR52" s="717">
        <f>MATCH($A52,Table!$A:$A,0)+$BL$2-1</f>
        <v>653</v>
      </c>
      <c r="BS52" s="705"/>
      <c r="BT52" s="705"/>
      <c r="BU52" s="705"/>
      <c r="BV52" s="711" t="s">
        <v>284</v>
      </c>
      <c r="BW52" s="712">
        <f t="shared" ca="1" si="12"/>
        <v>2346.51953125</v>
      </c>
      <c r="BX52" s="712">
        <f t="shared" ca="1" si="45"/>
        <v>1048.1571289062497</v>
      </c>
      <c r="BY52" s="712">
        <f t="shared" ca="1" si="43"/>
        <v>1298.3624023437503</v>
      </c>
      <c r="BZ52" s="718">
        <f t="shared" ca="1" si="44"/>
        <v>0.44668587452493624</v>
      </c>
      <c r="CA52" s="712">
        <f>SUMIF('Alloc Feed'!A:A,A:A,'Alloc Feed'!I:I)</f>
        <v>0</v>
      </c>
      <c r="CB52" s="718">
        <f t="shared" ca="1" si="42"/>
        <v>0</v>
      </c>
    </row>
    <row r="53" spans="1:80" s="267" customFormat="1" x14ac:dyDescent="0.25">
      <c r="A53" s="703">
        <v>41414</v>
      </c>
      <c r="B53" s="709">
        <f ca="1">IF(ISERROR(MATCH(B$1,INDIRECT("Table!A"&amp;$BJ53):INDIRECT("Table!" &amp; $BV$88 &amp; $BJ53),0)),"",INDIRECT(CONCATENATE("Table!",ADDRESS($BF53,MATCH(B$1,INDIRECT("Table!A" &amp; $BJ53):INDIRECT("Table!" &amp; $BV$88 &amp; $BJ53),0)))))/1024</f>
        <v>39.531445312499997</v>
      </c>
      <c r="C53" s="709">
        <f ca="1">IF(ISERROR(MATCH(C$1,INDIRECT("Table!A"&amp;$BJ53):INDIRECT("Table!" &amp; $BV$88 &amp; $BJ53),0)),"",INDIRECT(CONCATENATE("Table!",ADDRESS($BF53,MATCH(C$1,INDIRECT("Table!A" &amp; $BJ53):INDIRECT("Table!" &amp; $BV$88 &amp; $BJ53),0)))))/1024</f>
        <v>76.362890625000006</v>
      </c>
      <c r="D53" s="709">
        <f ca="1">IF(ISERROR(MATCH(D$1,INDIRECT("Table!A"&amp;$BJ53):INDIRECT("Table!" &amp; $BV$88 &amp; $BJ53),0)),"",INDIRECT(CONCATENATE("Table!",ADDRESS($BF53,MATCH(D$1,INDIRECT("Table!A" &amp; $BJ53):INDIRECT("Table!" &amp; $BV$88 &amp; $BJ53),0)))))/1024</f>
        <v>77.831640625000006</v>
      </c>
      <c r="E53" s="709">
        <f ca="1">IF(ISERROR(MATCH(E$1,INDIRECT("Table!A"&amp;$BJ53):INDIRECT("Table!" &amp; $BV$88 &amp; $BJ53),0)),"",INDIRECT(CONCATENATE("Table!",ADDRESS($BF53,MATCH(E$1,INDIRECT("Table!A" &amp; $BJ53):INDIRECT("Table!" &amp; $BV$88 &amp; $BJ53),0)))))/1024</f>
        <v>155.71103515625001</v>
      </c>
      <c r="F53" s="709">
        <f ca="1">IF(ISERROR(MATCH(F$1,INDIRECT("Table!A"&amp;$BJ53):INDIRECT("Table!" &amp; $BV$88 &amp; $BJ53),0)),"",INDIRECT(CONCATENATE("Table!",ADDRESS($BF53,MATCH(F$1,INDIRECT("Table!A" &amp; $BJ53):INDIRECT("Table!" &amp; $BV$88 &amp; $BJ53),0)))))/1024</f>
        <v>97.890625</v>
      </c>
      <c r="G53" s="709">
        <f ca="1">IF(ISERROR(MATCH(G$1,INDIRECT("Table!A"&amp;$BJ53):INDIRECT("Table!" &amp; $BV$88 &amp; $BJ53),0)),"",INDIRECT(CONCATENATE("Table!",ADDRESS($BF53,MATCH(G$1,INDIRECT("Table!A" &amp; $BJ53):INDIRECT("Table!" &amp; $BV$88 &amp; $BJ53),0)))))/1024</f>
        <v>54.571484374999997</v>
      </c>
      <c r="H53" s="709">
        <f ca="1">IF(ISERROR(MATCH(H$1,INDIRECT("Table!A"&amp;$BJ53):INDIRECT("Table!" &amp; $BV$88 &amp; $BJ53),0)),"",INDIRECT(CONCATENATE("Table!",ADDRESS($BF53,MATCH(H$1,INDIRECT("Table!A" &amp; $BJ53):INDIRECT("Table!" &amp; $BV$88 &amp; $BJ53),0)))))/1024</f>
        <v>83.747753906249997</v>
      </c>
      <c r="I53" s="709">
        <f ca="1">IF(ISERROR(MATCH(I$1,INDIRECT("Table!A"&amp;$BJ53):INDIRECT("Table!" &amp; $BV$88 &amp; $BJ53),0)),"",INDIRECT(CONCATENATE("Table!",ADDRESS($BF53,MATCH(I$1,INDIRECT("Table!A" &amp; $BJ53):INDIRECT("Table!" &amp; $BV$88 &amp; $BJ53),0)))))/1024</f>
        <v>7.0833984374999996</v>
      </c>
      <c r="J53" s="709"/>
      <c r="K53" s="709"/>
      <c r="L53" s="709">
        <f ca="1">IF(ISERROR(MATCH(L$1,INDIRECT("Table!A"&amp;$BJ53):INDIRECT("Table!" &amp; $BV$88 &amp; $BJ53),0)),"",INDIRECT(CONCATENATE("Table!",ADDRESS($BF53,MATCH(L$1,INDIRECT("Table!A" &amp; $BJ53):INDIRECT("Table!" &amp; $BV$88 &amp; $BJ53),0)))))/1024</f>
        <v>156.07421875</v>
      </c>
      <c r="M53" s="709">
        <f ca="1">IF(ISERROR(MATCH(M$1,INDIRECT("Table!A"&amp;$BJ53):INDIRECT("Table!" &amp; $BV$88 &amp; $BJ53),0)),"",INDIRECT(CONCATENATE("Table!",ADDRESS($BF53,MATCH(M$1,INDIRECT("Table!A" &amp; $BJ53):INDIRECT("Table!" &amp; $BV$88 &amp; $BJ53),0)))))/1024</f>
        <v>62.429882812499997</v>
      </c>
      <c r="N53" s="709">
        <f ca="1">IF(ISERROR(MATCH(N$1,INDIRECT("Table!A"&amp;$BJ53):INDIRECT("Table!" &amp; $BV$88 &amp; $BJ53),0)),"",INDIRECT(CONCATENATE("Table!",ADDRESS($BF53,MATCH(N$1,INDIRECT("Table!A" &amp; $BJ53):INDIRECT("Table!" &amp; $BV$88 &amp; $BJ53),0)))))/1024</f>
        <v>50.294238281250003</v>
      </c>
      <c r="O53" s="709">
        <f ca="1">IF(ISERROR(MATCH(O$1,INDIRECT("Table!A"&amp;$BJ53):INDIRECT("Table!" &amp; $BV$88 &amp; $BJ53),0)),"",INDIRECT(CONCATENATE("Table!",ADDRESS($BF53,MATCH(O$1,INDIRECT("Table!A" &amp; $BJ53):INDIRECT("Table!" &amp; $BV$88 &amp; $BJ53),0)))))/1024</f>
        <v>152.93144531249999</v>
      </c>
      <c r="P53" s="709">
        <f ca="1">IF(ISERROR(MATCH(P$1,INDIRECT("Table!A"&amp;$BJ53):INDIRECT("Table!" &amp; $BV$88 &amp; $BJ53),0)),"",INDIRECT(CONCATENATE("Table!",ADDRESS($BF53,MATCH(P$1,INDIRECT("Table!A" &amp; $BJ53):INDIRECT("Table!" &amp; $BV$88 &amp; $BJ53),0)))))/1024</f>
        <v>13.96767578125</v>
      </c>
      <c r="Q53" s="709"/>
      <c r="R53" s="709"/>
      <c r="S53" s="709">
        <f ca="1">IF(ISERROR(MATCH(S$1,INDIRECT("Table!A"&amp;$BJ53):INDIRECT("Table!" &amp; $BV$43 &amp; $BJ53),0)),"",INDIRECT(CONCATENATE("Table!",ADDRESS($BF53,MATCH(S$1,INDIRECT("Table!A" &amp; $BJ53):INDIRECT("Table!" &amp; $BV$43 &amp; $BJ53),0)))))/1024</f>
        <v>7.2100585937500004</v>
      </c>
      <c r="T53" s="709">
        <f ca="1">IF(ISERROR(MATCH(T$1,INDIRECT("Table!A"&amp;$BJ53):INDIRECT("Table!" &amp; $BV$43 &amp; $BJ53),0)),"",INDIRECT(CONCATENATE("Table!",ADDRESS($BF53,MATCH(T$1,INDIRECT("Table!A" &amp; $BJ53):INDIRECT("Table!" &amp; $BV$43 &amp; $BJ53),0)))))/1024</f>
        <v>4.3499023437500002</v>
      </c>
      <c r="U53" s="709"/>
      <c r="V53" s="909"/>
      <c r="W53" s="909"/>
      <c r="X53" s="909"/>
      <c r="Y53" s="909"/>
      <c r="Z53" s="909"/>
      <c r="AA53" s="909"/>
      <c r="AB53" s="909"/>
      <c r="AC53" s="709" t="str">
        <f ca="1">IF(ISERROR(MATCH(AC$1,INDIRECT("Table!A"&amp;$BJ53):INDIRECT("Table!" &amp; $BV$88 &amp; $BJ53),0)),"",INDIRECT(CONCATENATE("Table!",ADDRESS($BF53,MATCH(AC$1,INDIRECT("Table!A" &amp; $BJ53):INDIRECT("Table!" &amp; $BV$88 &amp; $BJ53),0)))))</f>
        <v/>
      </c>
      <c r="AD53" s="709">
        <f ca="1">IF(ISERROR(MATCH(AD$1,INDIRECT("Table!A"&amp;$BJ53):INDIRECT("Table!" &amp; $BV$88 &amp; $BJ53),0)),"",INDIRECT(CONCATENATE("Table!",ADDRESS($BN53,MATCH(AD$1,INDIRECT("Table!A" &amp; $BJ53):INDIRECT("Table!" &amp; $BV$88 &amp; $BJ53),0)))))/1024</f>
        <v>140.03144531250001</v>
      </c>
      <c r="AE53" s="709">
        <f ca="1">IF(ISERROR(MATCH(AE$1,INDIRECT("Table!A"&amp;$BJ53):INDIRECT("Table!" &amp; $BV$88 &amp; $BJ53),0)),"",INDIRECT(CONCATENATE("Table!",ADDRESS($BN53,MATCH(AE$1,INDIRECT("Table!A" &amp; $BJ53):INDIRECT("Table!" &amp; $BV$88 &amp; $BJ53),0)))))/1024</f>
        <v>146.98808593749999</v>
      </c>
      <c r="AF53" s="709">
        <f ca="1">IF(ISERROR(MATCH(AF$1,INDIRECT("Table!A"&amp;$BJ53):INDIRECT("Table!" &amp; $BV$88 &amp; $BJ53),0)),"",INDIRECT(CONCATENATE("Table!",ADDRESS($BN53,MATCH(AF$1,INDIRECT("Table!A" &amp; $BJ53):INDIRECT("Table!" &amp; $BV$88 &amp; $BJ53),0)))))/1024</f>
        <v>146.98808593749999</v>
      </c>
      <c r="AG53" s="709">
        <f ca="1">IF(ISERROR(MATCH(AG$1,INDIRECT("Table!A"&amp;$BJ53):INDIRECT("Table!" &amp; $BV$88 &amp; $BJ53),0)),"",INDIRECT(CONCATENATE("Table!",ADDRESS($BN53,MATCH(AG$1,INDIRECT("Table!A" &amp; $BJ53):INDIRECT("Table!" &amp; $BV$88 &amp; $BJ53),0)))))/1024</f>
        <v>177.73222656249999</v>
      </c>
      <c r="AH53" s="709">
        <f ca="1">IF(ISERROR(MATCH(AH$1,INDIRECT("Table!A"&amp;$BJ53):INDIRECT("Table!" &amp; $BV$88 &amp; $BJ53),0)),"",INDIRECT(CONCATENATE("Table!",ADDRESS($BN53,MATCH(AH$1,INDIRECT("Table!A" &amp; $BJ53):INDIRECT("Table!" &amp; $BV$88 &amp; $BJ53),0)))))/1024</f>
        <v>161.57470703125</v>
      </c>
      <c r="AI53" s="709">
        <f ca="1">IF(ISERROR(MATCH(AI$1,INDIRECT("Table!A"&amp;$BJ53):INDIRECT("Table!" &amp; $BV$88 &amp; $BJ53),0)),"",INDIRECT(CONCATENATE("Table!",ADDRESS($BN53,MATCH(AI$1,INDIRECT("Table!A" &amp; $BJ53):INDIRECT("Table!" &amp; $BV$88 &amp; $BJ53),0)))))/1024</f>
        <v>129.03515625</v>
      </c>
      <c r="AJ53" s="709">
        <f ca="1">IF(ISERROR(MATCH(AJ$1,INDIRECT("Table!A"&amp;$BJ53):INDIRECT("Table!" &amp; $BV$88 &amp; $BJ53),0)),"",INDIRECT(CONCATENATE("Table!",ADDRESS($BN53,MATCH(AJ$1,INDIRECT("Table!A" &amp; $BJ53):INDIRECT("Table!" &amp; $BV$88 &amp; $BJ53),0)))))/1024</f>
        <v>166.96152343750001</v>
      </c>
      <c r="AK53" s="709">
        <f ca="1">IF(ISERROR(MATCH(AK$1,INDIRECT("Table!A"&amp;$BJ53):INDIRECT("Table!" &amp; $BV$88 &amp; $BJ53),0)),"",INDIRECT(CONCATENATE("Table!",ADDRESS($BN53,MATCH(AK$1,INDIRECT("Table!A" &amp; $BJ53):INDIRECT("Table!" &amp; $BV$88 &amp; $BJ53),0)))))/1024</f>
        <v>162.18544921874999</v>
      </c>
      <c r="AL53" s="709"/>
      <c r="AM53" s="709"/>
      <c r="AN53" s="709">
        <f ca="1">IF(ISERROR(MATCH(AN$1,INDIRECT("Table!A"&amp;$BJ53):INDIRECT("Table!" &amp; $BV$88 &amp; $BJ53),0)),"",INDIRECT(CONCATENATE("Table!",ADDRESS($BN53,MATCH(AN$1,INDIRECT("Table!A" &amp; $BJ53):INDIRECT("Table!" &amp; $BV$88 &amp; $BJ53),0)))))/1024</f>
        <v>188.5029296875</v>
      </c>
      <c r="AO53" s="709">
        <f ca="1">IF(ISERROR(MATCH(AO$1,INDIRECT("Table!A"&amp;$BJ53):INDIRECT("Table!" &amp; $BV$88 &amp; $BJ53),0)),"",INDIRECT(CONCATENATE("Table!",ADDRESS($BN53,MATCH(AO$1,INDIRECT("Table!A" &amp; $BJ53):INDIRECT("Table!" &amp; $BV$88 &amp; $BJ53),0)))))/1024</f>
        <v>129.03535156250001</v>
      </c>
      <c r="AP53" s="709">
        <f ca="1">IF(ISERROR(MATCH(AP$1,INDIRECT("Table!A"&amp;$BJ53):INDIRECT("Table!" &amp; $BV$88 &amp; $BJ53),0)),"",INDIRECT(CONCATENATE("Table!",ADDRESS($BN53,MATCH(AP$1,INDIRECT("Table!A" &amp; $BJ53):INDIRECT("Table!" &amp; $BV$88 &amp; $BJ53),0)))))/1024</f>
        <v>80.787402343750003</v>
      </c>
      <c r="AQ53" s="709">
        <f ca="1">IF(ISERROR(MATCH(AQ$1,INDIRECT("Table!A"&amp;$BJ53):INDIRECT("Table!" &amp; $BV$88 &amp; $BJ53),0)),"",INDIRECT(CONCATENATE("Table!",ADDRESS($BN53,MATCH(AQ$1,INDIRECT("Table!A" &amp; $BJ53):INDIRECT("Table!" &amp; $BV$88 &amp; $BJ53),0)))))/1024</f>
        <v>269.2919921875</v>
      </c>
      <c r="AR53" s="709">
        <f ca="1">IF(ISERROR(MATCH(AR$1,INDIRECT("Table!A"&amp;$BJ53):INDIRECT("Table!" &amp; $BV$88 &amp; $BJ53),0)),"",INDIRECT(CONCATENATE("Table!",ADDRESS($BN53,MATCH(AR$1,INDIRECT("Table!A" &amp; $BJ53):INDIRECT("Table!" &amp; $BV$88 &amp; $BJ53),0)))))/1024</f>
        <v>81.0927734375</v>
      </c>
      <c r="AS53" s="709"/>
      <c r="AT53" s="709"/>
      <c r="AU53" s="709">
        <f ca="1">IF(ISERROR(MATCH(AU$1,INDIRECT("Table!A"&amp;$BJ53):INDIRECT("Table!" &amp; $BV$88 &amp; $BJ53),0)),"",INDIRECT(CONCATENATE("Table!",ADDRESS($BN53,MATCH(AU$1,INDIRECT("Table!A" &amp; $BJ53):INDIRECT("Table!" &amp; $BV$88 &amp; $BJ53),0)))))/1024</f>
        <v>53.8583984375</v>
      </c>
      <c r="AV53" s="709">
        <f ca="1">IF(ISERROR(MATCH(AV$1,INDIRECT("Table!A"&amp;$BJ53):INDIRECT("Table!" &amp; $BV$88 &amp; $BJ53),0)),"",INDIRECT(CONCATENATE("Table!",ADDRESS($BN53,MATCH(AV$1,INDIRECT("Table!A" &amp; $BJ53):INDIRECT("Table!" &amp; $BV$88 &amp; $BJ53),0)))))/1024</f>
        <v>32.31494140625</v>
      </c>
      <c r="AW53" s="709"/>
      <c r="AX53" s="909"/>
      <c r="AY53" s="909"/>
      <c r="AZ53" s="909"/>
      <c r="BA53" s="909"/>
      <c r="BB53" s="909"/>
      <c r="BC53" s="909"/>
      <c r="BD53" s="909"/>
      <c r="BE53" s="909"/>
      <c r="BF53" s="704">
        <f>MATCH($A53,Table!$A:$A,0)+$BH$2-1</f>
        <v>667</v>
      </c>
      <c r="BG53" s="705"/>
      <c r="BH53" s="705"/>
      <c r="BI53" s="705"/>
      <c r="BJ53" s="717">
        <f>MATCH($A53,Table!$A:$A,0)+$BL$2-1</f>
        <v>665</v>
      </c>
      <c r="BK53" s="705"/>
      <c r="BL53" s="705"/>
      <c r="BM53" s="705"/>
      <c r="BN53" s="704">
        <f>MATCH($A53,Table!$A:$A,0)+$BP$2-1</f>
        <v>666</v>
      </c>
      <c r="BO53" s="705"/>
      <c r="BP53" s="705"/>
      <c r="BQ53" s="705"/>
      <c r="BR53" s="717">
        <f>MATCH($A53,Table!$A:$A,0)+$BL$2-1</f>
        <v>665</v>
      </c>
      <c r="BS53" s="705"/>
      <c r="BT53" s="705"/>
      <c r="BU53" s="705"/>
      <c r="BV53" s="711" t="s">
        <v>284</v>
      </c>
      <c r="BW53" s="712">
        <f t="shared" ca="1" si="12"/>
        <v>2066.3804687499996</v>
      </c>
      <c r="BX53" s="712">
        <f t="shared" ca="1" si="45"/>
        <v>1039.9876953125001</v>
      </c>
      <c r="BY53" s="712">
        <f t="shared" ca="1" si="43"/>
        <v>1026.3927734374995</v>
      </c>
      <c r="BZ53" s="718">
        <f t="shared" ca="1" si="44"/>
        <v>0.50328954954825533</v>
      </c>
      <c r="CA53" s="712">
        <f>SUMIF('Alloc Feed'!A:A,A:A,'Alloc Feed'!I:I)</f>
        <v>0</v>
      </c>
      <c r="CB53" s="718">
        <f t="shared" ca="1" si="42"/>
        <v>0</v>
      </c>
    </row>
    <row r="54" spans="1:80" s="267" customFormat="1" x14ac:dyDescent="0.25">
      <c r="A54" s="703">
        <v>41408</v>
      </c>
      <c r="B54" s="709">
        <f ca="1">IF(ISERROR(MATCH(B$1,INDIRECT("Table!A"&amp;$BJ54):INDIRECT("Table!" &amp; $BV$88 &amp; $BJ54),0)),"",INDIRECT(CONCATENATE("Table!",ADDRESS($BF54,MATCH(B$1,INDIRECT("Table!A" &amp; $BJ54):INDIRECT("Table!" &amp; $BV$88 &amp; $BJ54),0)))))/1024</f>
        <v>38.992871093749997</v>
      </c>
      <c r="C54" s="709">
        <f ca="1">IF(ISERROR(MATCH(C$1,INDIRECT("Table!A"&amp;$BJ54):INDIRECT("Table!" &amp; $BV$88 &amp; $BJ54),0)),"",INDIRECT(CONCATENATE("Table!",ADDRESS($BF54,MATCH(C$1,INDIRECT("Table!A" &amp; $BJ54):INDIRECT("Table!" &amp; $BV$88 &amp; $BJ54),0)))))/1024</f>
        <v>76.273632812499997</v>
      </c>
      <c r="D54" s="709">
        <f ca="1">IF(ISERROR(MATCH(D$1,INDIRECT("Table!A"&amp;$BJ54):INDIRECT("Table!" &amp; $BV$88 &amp; $BJ54),0)),"",INDIRECT(CONCATENATE("Table!",ADDRESS($BF54,MATCH(D$1,INDIRECT("Table!A" &amp; $BJ54):INDIRECT("Table!" &amp; $BV$88 &amp; $BJ54),0)))))/1024</f>
        <v>77.758691406249994</v>
      </c>
      <c r="E54" s="709">
        <f ca="1">IF(ISERROR(MATCH(E$1,INDIRECT("Table!A"&amp;$BJ54):INDIRECT("Table!" &amp; $BV$88 &amp; $BJ54),0)),"",INDIRECT(CONCATENATE("Table!",ADDRESS($BF54,MATCH(E$1,INDIRECT("Table!A" &amp; $BJ54):INDIRECT("Table!" &amp; $BV$88 &amp; $BJ54),0)))))/1024</f>
        <v>155.46025390624999</v>
      </c>
      <c r="F54" s="709">
        <f ca="1">IF(ISERROR(MATCH(F$1,INDIRECT("Table!A"&amp;$BJ54):INDIRECT("Table!" &amp; $BV$88 &amp; $BJ54),0)),"",INDIRECT(CONCATENATE("Table!",ADDRESS($BF54,MATCH(F$1,INDIRECT("Table!A" &amp; $BJ54):INDIRECT("Table!" &amp; $BV$88 &amp; $BJ54),0)))))/1024</f>
        <v>97.117968750000003</v>
      </c>
      <c r="G54" s="709">
        <f ca="1">IF(ISERROR(MATCH(G$1,INDIRECT("Table!A"&amp;$BJ54):INDIRECT("Table!" &amp; $BV$88 &amp; $BJ54),0)),"",INDIRECT(CONCATENATE("Table!",ADDRESS($BF54,MATCH(G$1,INDIRECT("Table!A" &amp; $BJ54):INDIRECT("Table!" &amp; $BV$88 &amp; $BJ54),0)))))/1024</f>
        <v>54.446679687500001</v>
      </c>
      <c r="H54" s="709">
        <f ca="1">IF(ISERROR(MATCH(H$1,INDIRECT("Table!A"&amp;$BJ54):INDIRECT("Table!" &amp; $BV$88 &amp; $BJ54),0)),"",INDIRECT(CONCATENATE("Table!",ADDRESS($BF54,MATCH(H$1,INDIRECT("Table!A" &amp; $BJ54):INDIRECT("Table!" &amp; $BV$88 &amp; $BJ54),0)))))/1024</f>
        <v>83.360546874999997</v>
      </c>
      <c r="I54" s="709">
        <f ca="1">IF(ISERROR(MATCH(I$1,INDIRECT("Table!A"&amp;$BJ54):INDIRECT("Table!" &amp; $BV$88 &amp; $BJ54),0)),"",INDIRECT(CONCATENATE("Table!",ADDRESS($BF54,MATCH(I$1,INDIRECT("Table!A" &amp; $BJ54):INDIRECT("Table!" &amp; $BV$88 &amp; $BJ54),0)))))/1024</f>
        <v>7.0227539062500002</v>
      </c>
      <c r="J54" s="709"/>
      <c r="K54" s="709"/>
      <c r="L54" s="709">
        <f ca="1">IF(ISERROR(MATCH(L$1,INDIRECT("Table!A"&amp;$BJ54):INDIRECT("Table!" &amp; $BV$88 &amp; $BJ54),0)),"",INDIRECT(CONCATENATE("Table!",ADDRESS($BF54,MATCH(L$1,INDIRECT("Table!A" &amp; $BJ54):INDIRECT("Table!" &amp; $BV$88 &amp; $BJ54),0)))))/1024</f>
        <v>155.50908203124999</v>
      </c>
      <c r="M54" s="709">
        <f ca="1">IF(ISERROR(MATCH(M$1,INDIRECT("Table!A"&amp;$BJ54):INDIRECT("Table!" &amp; $BV$88 &amp; $BJ54),0)),"",INDIRECT(CONCATENATE("Table!",ADDRESS($BF54,MATCH(M$1,INDIRECT("Table!A" &amp; $BJ54):INDIRECT("Table!" &amp; $BV$88 &amp; $BJ54),0)))))/1024</f>
        <v>62.508007812499997</v>
      </c>
      <c r="N54" s="709">
        <f ca="1">IF(ISERROR(MATCH(N$1,INDIRECT("Table!A"&amp;$BJ54):INDIRECT("Table!" &amp; $BV$88 &amp; $BJ54),0)),"",INDIRECT(CONCATENATE("Table!",ADDRESS($BF54,MATCH(N$1,INDIRECT("Table!A" &amp; $BJ54):INDIRECT("Table!" &amp; $BV$88 &amp; $BJ54),0)))))/1024</f>
        <v>49.924023437499997</v>
      </c>
      <c r="O54" s="709">
        <f ca="1">IF(ISERROR(MATCH(O$1,INDIRECT("Table!A"&amp;$BJ54):INDIRECT("Table!" &amp; $BV$88 &amp; $BJ54),0)),"",INDIRECT(CONCATENATE("Table!",ADDRESS($BF54,MATCH(O$1,INDIRECT("Table!A" &amp; $BJ54):INDIRECT("Table!" &amp; $BV$88 &amp; $BJ54),0)))))/1024</f>
        <v>152.25253906250001</v>
      </c>
      <c r="P54" s="709">
        <f ca="1">IF(ISERROR(MATCH(P$1,INDIRECT("Table!A"&amp;$BJ54):INDIRECT("Table!" &amp; $BV$88 &amp; $BJ54),0)),"",INDIRECT(CONCATENATE("Table!",ADDRESS($BF54,MATCH(P$1,INDIRECT("Table!A" &amp; $BJ54):INDIRECT("Table!" &amp; $BV$88 &amp; $BJ54),0)))))/1024</f>
        <v>13.8462890625</v>
      </c>
      <c r="Q54" s="709"/>
      <c r="R54" s="709"/>
      <c r="S54" s="709">
        <f ca="1">IF(ISERROR(MATCH(S$1,INDIRECT("Table!A"&amp;$BJ54):INDIRECT("Table!" &amp; $BV$43 &amp; $BJ54),0)),"",INDIRECT(CONCATENATE("Table!",ADDRESS($BF54,MATCH(S$1,INDIRECT("Table!A" &amp; $BJ54):INDIRECT("Table!" &amp; $BV$43 &amp; $BJ54),0)))))/1024</f>
        <v>6.8864257812499998</v>
      </c>
      <c r="T54" s="709">
        <f ca="1">IF(ISERROR(MATCH(T$1,INDIRECT("Table!A"&amp;$BJ54):INDIRECT("Table!" &amp; $BV$43 &amp; $BJ54),0)),"",INDIRECT(CONCATENATE("Table!",ADDRESS($BF54,MATCH(T$1,INDIRECT("Table!A" &amp; $BJ54):INDIRECT("Table!" &amp; $BV$43 &amp; $BJ54),0)))))/1024</f>
        <v>3.8974609375</v>
      </c>
      <c r="U54" s="709"/>
      <c r="V54" s="909"/>
      <c r="W54" s="909"/>
      <c r="X54" s="909"/>
      <c r="Y54" s="909"/>
      <c r="Z54" s="909"/>
      <c r="AA54" s="909"/>
      <c r="AB54" s="909"/>
      <c r="AC54" s="709" t="str">
        <f ca="1">IF(ISERROR(MATCH(AC$1,INDIRECT("Table!A"&amp;$BJ54):INDIRECT("Table!" &amp; $BV$88 &amp; $BJ54),0)),"",INDIRECT(CONCATENATE("Table!",ADDRESS($BF54,MATCH(AC$1,INDIRECT("Table!A" &amp; $BJ54):INDIRECT("Table!" &amp; $BV$88 &amp; $BJ54),0)))))</f>
        <v/>
      </c>
      <c r="AD54" s="709">
        <f ca="1">IF(ISERROR(MATCH(AD$1,INDIRECT("Table!A"&amp;$BJ54):INDIRECT("Table!" &amp; $BV$88 &amp; $BJ54),0)),"",INDIRECT(CONCATENATE("Table!",ADDRESS($BN54,MATCH(AD$1,INDIRECT("Table!A" &amp; $BJ54):INDIRECT("Table!" &amp; $BV$88 &amp; $BJ54),0)))))/1024</f>
        <v>140.03144531250001</v>
      </c>
      <c r="AE54" s="709">
        <f ca="1">IF(ISERROR(MATCH(AE$1,INDIRECT("Table!A"&amp;$BJ54):INDIRECT("Table!" &amp; $BV$88 &amp; $BJ54),0)),"",INDIRECT(CONCATENATE("Table!",ADDRESS($BN54,MATCH(AE$1,INDIRECT("Table!A" &amp; $BJ54):INDIRECT("Table!" &amp; $BV$88 &amp; $BJ54),0)))))/1024</f>
        <v>146.98808593749999</v>
      </c>
      <c r="AF54" s="709">
        <f ca="1">IF(ISERROR(MATCH(AF$1,INDIRECT("Table!A"&amp;$BJ54):INDIRECT("Table!" &amp; $BV$88 &amp; $BJ54),0)),"",INDIRECT(CONCATENATE("Table!",ADDRESS($BN54,MATCH(AF$1,INDIRECT("Table!A" &amp; $BJ54):INDIRECT("Table!" &amp; $BV$88 &amp; $BJ54),0)))))/1024</f>
        <v>146.98808593749999</v>
      </c>
      <c r="AG54" s="709">
        <f ca="1">IF(ISERROR(MATCH(AG$1,INDIRECT("Table!A"&amp;$BJ54):INDIRECT("Table!" &amp; $BV$88 &amp; $BJ54),0)),"",INDIRECT(CONCATENATE("Table!",ADDRESS($BN54,MATCH(AG$1,INDIRECT("Table!A" &amp; $BJ54):INDIRECT("Table!" &amp; $BV$88 &amp; $BJ54),0)))))/1024</f>
        <v>177.73222656249999</v>
      </c>
      <c r="AH54" s="709">
        <f ca="1">IF(ISERROR(MATCH(AH$1,INDIRECT("Table!A"&amp;$BJ54):INDIRECT("Table!" &amp; $BV$88 &amp; $BJ54),0)),"",INDIRECT(CONCATENATE("Table!",ADDRESS($BN54,MATCH(AH$1,INDIRECT("Table!A" &amp; $BJ54):INDIRECT("Table!" &amp; $BV$88 &amp; $BJ54),0)))))/1024</f>
        <v>161.57470703125</v>
      </c>
      <c r="AI54" s="709">
        <f ca="1">IF(ISERROR(MATCH(AI$1,INDIRECT("Table!A"&amp;$BJ54):INDIRECT("Table!" &amp; $BV$88 &amp; $BJ54),0)),"",INDIRECT(CONCATENATE("Table!",ADDRESS($BN54,MATCH(AI$1,INDIRECT("Table!A" &amp; $BJ54):INDIRECT("Table!" &amp; $BV$88 &amp; $BJ54),0)))))/1024</f>
        <v>129.03515625</v>
      </c>
      <c r="AJ54" s="709">
        <f ca="1">IF(ISERROR(MATCH(AJ$1,INDIRECT("Table!A"&amp;$BJ54):INDIRECT("Table!" &amp; $BV$88 &amp; $BJ54),0)),"",INDIRECT(CONCATENATE("Table!",ADDRESS($BN54,MATCH(AJ$1,INDIRECT("Table!A" &amp; $BJ54):INDIRECT("Table!" &amp; $BV$88 &amp; $BJ54),0)))))/1024</f>
        <v>166.96152343750001</v>
      </c>
      <c r="AK54" s="709">
        <f ca="1">IF(ISERROR(MATCH(AK$1,INDIRECT("Table!A"&amp;$BJ54):INDIRECT("Table!" &amp; $BV$88 &amp; $BJ54),0)),"",INDIRECT(CONCATENATE("Table!",ADDRESS($BN54,MATCH(AK$1,INDIRECT("Table!A" &amp; $BJ54):INDIRECT("Table!" &amp; $BV$88 &amp; $BJ54),0)))))/1024</f>
        <v>162.18544921874999</v>
      </c>
      <c r="AL54" s="709"/>
      <c r="AM54" s="709"/>
      <c r="AN54" s="709">
        <f ca="1">IF(ISERROR(MATCH(AN$1,INDIRECT("Table!A"&amp;$BJ54):INDIRECT("Table!" &amp; $BV$88 &amp; $BJ54),0)),"",INDIRECT(CONCATENATE("Table!",ADDRESS($BN54,MATCH(AN$1,INDIRECT("Table!A" &amp; $BJ54):INDIRECT("Table!" &amp; $BV$88 &amp; $BJ54),0)))))/1024</f>
        <v>188.5029296875</v>
      </c>
      <c r="AO54" s="709">
        <f ca="1">IF(ISERROR(MATCH(AO$1,INDIRECT("Table!A"&amp;$BJ54):INDIRECT("Table!" &amp; $BV$88 &amp; $BJ54),0)),"",INDIRECT(CONCATENATE("Table!",ADDRESS($BN54,MATCH(AO$1,INDIRECT("Table!A" &amp; $BJ54):INDIRECT("Table!" &amp; $BV$88 &amp; $BJ54),0)))))/1024</f>
        <v>129.03535156250001</v>
      </c>
      <c r="AP54" s="709">
        <f ca="1">IF(ISERROR(MATCH(AP$1,INDIRECT("Table!A"&amp;$BJ54):INDIRECT("Table!" &amp; $BV$88 &amp; $BJ54),0)),"",INDIRECT(CONCATENATE("Table!",ADDRESS($BN54,MATCH(AP$1,INDIRECT("Table!A" &amp; $BJ54):INDIRECT("Table!" &amp; $BV$88 &amp; $BJ54),0)))))/1024</f>
        <v>80.787402343750003</v>
      </c>
      <c r="AQ54" s="709">
        <f ca="1">IF(ISERROR(MATCH(AQ$1,INDIRECT("Table!A"&amp;$BJ54):INDIRECT("Table!" &amp; $BV$88 &amp; $BJ54),0)),"",INDIRECT(CONCATENATE("Table!",ADDRESS($BN54,MATCH(AQ$1,INDIRECT("Table!A" &amp; $BJ54):INDIRECT("Table!" &amp; $BV$88 &amp; $BJ54),0)))))/1024</f>
        <v>269.2919921875</v>
      </c>
      <c r="AR54" s="709">
        <f ca="1">IF(ISERROR(MATCH(AR$1,INDIRECT("Table!A"&amp;$BJ54):INDIRECT("Table!" &amp; $BV$88 &amp; $BJ54),0)),"",INDIRECT(CONCATENATE("Table!",ADDRESS($BN54,MATCH(AR$1,INDIRECT("Table!A" &amp; $BJ54):INDIRECT("Table!" &amp; $BV$88 &amp; $BJ54),0)))))/1024</f>
        <v>81.0927734375</v>
      </c>
      <c r="AS54" s="709"/>
      <c r="AT54" s="709"/>
      <c r="AU54" s="709">
        <f ca="1">IF(ISERROR(MATCH(AU$1,INDIRECT("Table!A"&amp;$BJ54):INDIRECT("Table!" &amp; $BV$88 &amp; $BJ54),0)),"",INDIRECT(CONCATENATE("Table!",ADDRESS($BN54,MATCH(AU$1,INDIRECT("Table!A" &amp; $BJ54):INDIRECT("Table!" &amp; $BV$88 &amp; $BJ54),0)))))/1024</f>
        <v>53.8583984375</v>
      </c>
      <c r="AV54" s="709">
        <f ca="1">IF(ISERROR(MATCH(AV$1,INDIRECT("Table!A"&amp;$BJ54):INDIRECT("Table!" &amp; $BV$88 &amp; $BJ54),0)),"",INDIRECT(CONCATENATE("Table!",ADDRESS($BN54,MATCH(AV$1,INDIRECT("Table!A" &amp; $BJ54):INDIRECT("Table!" &amp; $BV$88 &amp; $BJ54),0)))))/1024</f>
        <v>32.31494140625</v>
      </c>
      <c r="AW54" s="709"/>
      <c r="AX54" s="909"/>
      <c r="AY54" s="909"/>
      <c r="AZ54" s="909"/>
      <c r="BA54" s="909"/>
      <c r="BB54" s="909"/>
      <c r="BC54" s="909"/>
      <c r="BD54" s="909"/>
      <c r="BE54" s="909"/>
      <c r="BF54" s="704">
        <f>MATCH($A54,Table!$A:$A,0)+$BH$2-1</f>
        <v>679</v>
      </c>
      <c r="BG54" s="705"/>
      <c r="BH54" s="705"/>
      <c r="BI54" s="705"/>
      <c r="BJ54" s="717">
        <f>MATCH($A54,Table!$A:$A,0)+$BL$2-1</f>
        <v>677</v>
      </c>
      <c r="BK54" s="705"/>
      <c r="BL54" s="705"/>
      <c r="BM54" s="705"/>
      <c r="BN54" s="704">
        <f>MATCH($A54,Table!$A:$A,0)+$BP$2-1</f>
        <v>678</v>
      </c>
      <c r="BO54" s="705"/>
      <c r="BP54" s="705"/>
      <c r="BQ54" s="705"/>
      <c r="BR54" s="717">
        <f>MATCH($A54,Table!$A:$A,0)+$BL$2-1</f>
        <v>677</v>
      </c>
      <c r="BS54" s="705"/>
      <c r="BT54" s="705"/>
      <c r="BU54" s="705"/>
      <c r="BV54" s="711" t="s">
        <v>284</v>
      </c>
      <c r="BW54" s="712">
        <f t="shared" ca="1" si="12"/>
        <v>2066.3804687499996</v>
      </c>
      <c r="BX54" s="712">
        <f t="shared" ref="BX54:BX88" ca="1" si="46">SUM(B54:AB54)</f>
        <v>1035.2572265624999</v>
      </c>
      <c r="BY54" s="712">
        <f t="shared" ca="1" si="43"/>
        <v>1031.1232421874997</v>
      </c>
      <c r="BZ54" s="718">
        <f t="shared" ca="1" si="44"/>
        <v>0.50100029603393925</v>
      </c>
      <c r="CA54" s="712">
        <f>SUMIF('Alloc Feed'!A:A,A:A,'Alloc Feed'!I:I)</f>
        <v>0</v>
      </c>
      <c r="CB54" s="718">
        <f t="shared" ca="1" si="42"/>
        <v>0</v>
      </c>
    </row>
    <row r="55" spans="1:80" s="267" customFormat="1" x14ac:dyDescent="0.25">
      <c r="A55" s="703">
        <v>41401</v>
      </c>
      <c r="B55" s="709">
        <f ca="1">IF(ISERROR(MATCH(B$1,INDIRECT("Table!A"&amp;$BJ55):INDIRECT("Table!" &amp; $BV$88 &amp; $BJ55),0)),"",INDIRECT(CONCATENATE("Table!",ADDRESS($BF55,MATCH(B$1,INDIRECT("Table!A" &amp; $BJ55):INDIRECT("Table!" &amp; $BV$88 &amp; $BJ55),0)))))/1024</f>
        <v>38.816503906249999</v>
      </c>
      <c r="C55" s="709">
        <f ca="1">IF(ISERROR(MATCH(C$1,INDIRECT("Table!A"&amp;$BJ55):INDIRECT("Table!" &amp; $BV$88 &amp; $BJ55),0)),"",INDIRECT(CONCATENATE("Table!",ADDRESS($BF55,MATCH(C$1,INDIRECT("Table!A" &amp; $BJ55):INDIRECT("Table!" &amp; $BV$88 &amp; $BJ55),0)))))/1024</f>
        <v>76.230859374999994</v>
      </c>
      <c r="D55" s="709">
        <f ca="1">IF(ISERROR(MATCH(D$1,INDIRECT("Table!A"&amp;$BJ55):INDIRECT("Table!" &amp; $BV$88 &amp; $BJ55),0)),"",INDIRECT(CONCATENATE("Table!",ADDRESS($BF55,MATCH(D$1,INDIRECT("Table!A" &amp; $BJ55):INDIRECT("Table!" &amp; $BV$88 &amp; $BJ55),0)))))/1024</f>
        <v>77.737109375000003</v>
      </c>
      <c r="E55" s="709">
        <f ca="1">IF(ISERROR(MATCH(E$1,INDIRECT("Table!A"&amp;$BJ55):INDIRECT("Table!" &amp; $BV$88 &amp; $BJ55),0)),"",INDIRECT(CONCATENATE("Table!",ADDRESS($BF55,MATCH(E$1,INDIRECT("Table!A" &amp; $BJ55):INDIRECT("Table!" &amp; $BV$88 &amp; $BJ55),0)))))/1024</f>
        <v>154.86455078124999</v>
      </c>
      <c r="F55" s="709">
        <f ca="1">IF(ISERROR(MATCH(F$1,INDIRECT("Table!A"&amp;$BJ55):INDIRECT("Table!" &amp; $BV$88 &amp; $BJ55),0)),"",INDIRECT(CONCATENATE("Table!",ADDRESS($BF55,MATCH(F$1,INDIRECT("Table!A" &amp; $BJ55):INDIRECT("Table!" &amp; $BV$88 &amp; $BJ55),0)))))/1024</f>
        <v>96.05810546875</v>
      </c>
      <c r="G55" s="709">
        <f ca="1">IF(ISERROR(MATCH(G$1,INDIRECT("Table!A"&amp;$BJ55):INDIRECT("Table!" &amp; $BV$88 &amp; $BJ55),0)),"",INDIRECT(CONCATENATE("Table!",ADDRESS($BF55,MATCH(G$1,INDIRECT("Table!A" &amp; $BJ55):INDIRECT("Table!" &amp; $BV$88 &amp; $BJ55),0)))))/1024</f>
        <v>49.81396484375</v>
      </c>
      <c r="H55" s="709">
        <f ca="1">IF(ISERROR(MATCH(H$1,INDIRECT("Table!A"&amp;$BJ55):INDIRECT("Table!" &amp; $BV$88 &amp; $BJ55),0)),"",INDIRECT(CONCATENATE("Table!",ADDRESS($BF55,MATCH(H$1,INDIRECT("Table!A" &amp; $BJ55):INDIRECT("Table!" &amp; $BV$88 &amp; $BJ55),0)))))/1024</f>
        <v>82.38818359375</v>
      </c>
      <c r="I55" s="709">
        <f ca="1">IF(ISERROR(MATCH(I$1,INDIRECT("Table!A"&amp;$BJ55):INDIRECT("Table!" &amp; $BV$88 &amp; $BJ55),0)),"",INDIRECT(CONCATENATE("Table!",ADDRESS($BF55,MATCH(I$1,INDIRECT("Table!A" &amp; $BJ55):INDIRECT("Table!" &amp; $BV$88 &amp; $BJ55),0)))))/1024</f>
        <v>6.8292968749999998</v>
      </c>
      <c r="J55" s="709"/>
      <c r="K55" s="709"/>
      <c r="L55" s="709">
        <f ca="1">IF(ISERROR(MATCH(L$1,INDIRECT("Table!A"&amp;$BJ55):INDIRECT("Table!" &amp; $BV$88 &amp; $BJ55),0)),"",INDIRECT(CONCATENATE("Table!",ADDRESS($BF55,MATCH(L$1,INDIRECT("Table!A" &amp; $BJ55):INDIRECT("Table!" &amp; $BV$88 &amp; $BJ55),0)))))/1024</f>
        <v>155.2373046875</v>
      </c>
      <c r="M55" s="709">
        <f ca="1">IF(ISERROR(MATCH(M$1,INDIRECT("Table!A"&amp;$BJ55):INDIRECT("Table!" &amp; $BV$88 &amp; $BJ55),0)),"",INDIRECT(CONCATENATE("Table!",ADDRESS($BF55,MATCH(M$1,INDIRECT("Table!A" &amp; $BJ55):INDIRECT("Table!" &amp; $BV$88 &amp; $BJ55),0)))))/1024</f>
        <v>61.785449218750003</v>
      </c>
      <c r="N55" s="709">
        <f ca="1">IF(ISERROR(MATCH(N$1,INDIRECT("Table!A"&amp;$BJ55):INDIRECT("Table!" &amp; $BV$88 &amp; $BJ55),0)),"",INDIRECT(CONCATENATE("Table!",ADDRESS($BF55,MATCH(N$1,INDIRECT("Table!A" &amp; $BJ55):INDIRECT("Table!" &amp; $BV$88 &amp; $BJ55),0)))))/1024</f>
        <v>49.499316406250003</v>
      </c>
      <c r="O55" s="709">
        <f ca="1">IF(ISERROR(MATCH(O$1,INDIRECT("Table!A"&amp;$BJ55):INDIRECT("Table!" &amp; $BV$88 &amp; $BJ55),0)),"",INDIRECT(CONCATENATE("Table!",ADDRESS($BF55,MATCH(O$1,INDIRECT("Table!A" &amp; $BJ55):INDIRECT("Table!" &amp; $BV$88 &amp; $BJ55),0)))))/1024</f>
        <v>151.09746093749999</v>
      </c>
      <c r="P55" s="709">
        <f ca="1">IF(ISERROR(MATCH(P$1,INDIRECT("Table!A"&amp;$BJ55):INDIRECT("Table!" &amp; $BV$88 &amp; $BJ55),0)),"",INDIRECT(CONCATENATE("Table!",ADDRESS($BF55,MATCH(P$1,INDIRECT("Table!A" &amp; $BJ55):INDIRECT("Table!" &amp; $BV$88 &amp; $BJ55),0)))))/1024</f>
        <v>13.459375</v>
      </c>
      <c r="Q55" s="709"/>
      <c r="R55" s="709"/>
      <c r="S55" s="709">
        <f ca="1">IF(ISERROR(MATCH(S$1,INDIRECT("Table!A"&amp;$BJ55):INDIRECT("Table!" &amp; $BV$43 &amp; $BJ55),0)),"",INDIRECT(CONCATENATE("Table!",ADDRESS($BF55,MATCH(S$1,INDIRECT("Table!A" &amp; $BJ55):INDIRECT("Table!" &amp; $BV$43 &amp; $BJ55),0)))))/1024</f>
        <v>6.8517578124999998</v>
      </c>
      <c r="T55" s="709">
        <f ca="1">IF(ISERROR(MATCH(T$1,INDIRECT("Table!A"&amp;$BJ55):INDIRECT("Table!" &amp; $BV$43 &amp; $BJ55),0)),"",INDIRECT(CONCATENATE("Table!",ADDRESS($BF55,MATCH(T$1,INDIRECT("Table!A" &amp; $BJ55):INDIRECT("Table!" &amp; $BV$43 &amp; $BJ55),0)))))/1024</f>
        <v>3.3853515624999999</v>
      </c>
      <c r="U55" s="709"/>
      <c r="V55" s="909"/>
      <c r="W55" s="909"/>
      <c r="X55" s="909"/>
      <c r="Y55" s="909"/>
      <c r="Z55" s="909"/>
      <c r="AA55" s="909"/>
      <c r="AB55" s="909"/>
      <c r="AC55" s="709" t="str">
        <f ca="1">IF(ISERROR(MATCH(AC$1,INDIRECT("Table!A"&amp;$BJ55):INDIRECT("Table!" &amp; $BV$88 &amp; $BJ55),0)),"",INDIRECT(CONCATENATE("Table!",ADDRESS($BF55,MATCH(AC$1,INDIRECT("Table!A" &amp; $BJ55):INDIRECT("Table!" &amp; $BV$88 &amp; $BJ55),0)))))</f>
        <v/>
      </c>
      <c r="AD55" s="709">
        <f ca="1">IF(ISERROR(MATCH(AD$1,INDIRECT("Table!A"&amp;$BJ55):INDIRECT("Table!" &amp; $BV$88 &amp; $BJ55),0)),"",INDIRECT(CONCATENATE("Table!",ADDRESS($BN55,MATCH(AD$1,INDIRECT("Table!A" &amp; $BJ55):INDIRECT("Table!" &amp; $BV$88 &amp; $BJ55),0)))))/1024</f>
        <v>140.03144531250001</v>
      </c>
      <c r="AE55" s="709">
        <f ca="1">IF(ISERROR(MATCH(AE$1,INDIRECT("Table!A"&amp;$BJ55):INDIRECT("Table!" &amp; $BV$88 &amp; $BJ55),0)),"",INDIRECT(CONCATENATE("Table!",ADDRESS($BN55,MATCH(AE$1,INDIRECT("Table!A" &amp; $BJ55):INDIRECT("Table!" &amp; $BV$88 &amp; $BJ55),0)))))/1024</f>
        <v>146.98808593749999</v>
      </c>
      <c r="AF55" s="709">
        <f ca="1">IF(ISERROR(MATCH(AF$1,INDIRECT("Table!A"&amp;$BJ55):INDIRECT("Table!" &amp; $BV$88 &amp; $BJ55),0)),"",INDIRECT(CONCATENATE("Table!",ADDRESS($BN55,MATCH(AF$1,INDIRECT("Table!A" &amp; $BJ55):INDIRECT("Table!" &amp; $BV$88 &amp; $BJ55),0)))))/1024</f>
        <v>146.98808593749999</v>
      </c>
      <c r="AG55" s="709">
        <f ca="1">IF(ISERROR(MATCH(AG$1,INDIRECT("Table!A"&amp;$BJ55):INDIRECT("Table!" &amp; $BV$88 &amp; $BJ55),0)),"",INDIRECT(CONCATENATE("Table!",ADDRESS($BN55,MATCH(AG$1,INDIRECT("Table!A" &amp; $BJ55):INDIRECT("Table!" &amp; $BV$88 &amp; $BJ55),0)))))/1024</f>
        <v>177.73222656249999</v>
      </c>
      <c r="AH55" s="709">
        <f ca="1">IF(ISERROR(MATCH(AH$1,INDIRECT("Table!A"&amp;$BJ55):INDIRECT("Table!" &amp; $BV$88 &amp; $BJ55),0)),"",INDIRECT(CONCATENATE("Table!",ADDRESS($BN55,MATCH(AH$1,INDIRECT("Table!A" &amp; $BJ55):INDIRECT("Table!" &amp; $BV$88 &amp; $BJ55),0)))))/1024</f>
        <v>161.57470703125</v>
      </c>
      <c r="AI55" s="709">
        <f ca="1">IF(ISERROR(MATCH(AI$1,INDIRECT("Table!A"&amp;$BJ55):INDIRECT("Table!" &amp; $BV$88 &amp; $BJ55),0)),"",INDIRECT(CONCATENATE("Table!",ADDRESS($BN55,MATCH(AI$1,INDIRECT("Table!A" &amp; $BJ55):INDIRECT("Table!" &amp; $BV$88 &amp; $BJ55),0)))))/1024</f>
        <v>129.03515625</v>
      </c>
      <c r="AJ55" s="709">
        <f ca="1">IF(ISERROR(MATCH(AJ$1,INDIRECT("Table!A"&amp;$BJ55):INDIRECT("Table!" &amp; $BV$88 &amp; $BJ55),0)),"",INDIRECT(CONCATENATE("Table!",ADDRESS($BN55,MATCH(AJ$1,INDIRECT("Table!A" &amp; $BJ55):INDIRECT("Table!" &amp; $BV$88 &amp; $BJ55),0)))))/1024</f>
        <v>118.4880859375</v>
      </c>
      <c r="AK55" s="709">
        <f ca="1">IF(ISERROR(MATCH(AK$1,INDIRECT("Table!A"&amp;$BJ55):INDIRECT("Table!" &amp; $BV$88 &amp; $BJ55),0)),"",INDIRECT(CONCATENATE("Table!",ADDRESS($BN55,MATCH(AK$1,INDIRECT("Table!A" &amp; $BJ55):INDIRECT("Table!" &amp; $BV$88 &amp; $BJ55),0)))))/1024</f>
        <v>162.18544921874999</v>
      </c>
      <c r="AL55" s="709"/>
      <c r="AM55" s="709"/>
      <c r="AN55" s="709">
        <f ca="1">IF(ISERROR(MATCH(AN$1,INDIRECT("Table!A"&amp;$BJ55):INDIRECT("Table!" &amp; $BV$88 &amp; $BJ55),0)),"",INDIRECT(CONCATENATE("Table!",ADDRESS($BN55,MATCH(AN$1,INDIRECT("Table!A" &amp; $BJ55):INDIRECT("Table!" &amp; $BV$88 &amp; $BJ55),0)))))/1024</f>
        <v>188.5029296875</v>
      </c>
      <c r="AO55" s="709">
        <f ca="1">IF(ISERROR(MATCH(AO$1,INDIRECT("Table!A"&amp;$BJ55):INDIRECT("Table!" &amp; $BV$88 &amp; $BJ55),0)),"",INDIRECT(CONCATENATE("Table!",ADDRESS($BN55,MATCH(AO$1,INDIRECT("Table!A" &amp; $BJ55):INDIRECT("Table!" &amp; $BV$88 &amp; $BJ55),0)))))/1024</f>
        <v>129.03535156250001</v>
      </c>
      <c r="AP55" s="709">
        <f ca="1">IF(ISERROR(MATCH(AP$1,INDIRECT("Table!A"&amp;$BJ55):INDIRECT("Table!" &amp; $BV$88 &amp; $BJ55),0)),"",INDIRECT(CONCATENATE("Table!",ADDRESS($BN55,MATCH(AP$1,INDIRECT("Table!A" &amp; $BJ55):INDIRECT("Table!" &amp; $BV$88 &amp; $BJ55),0)))))/1024</f>
        <v>80.787402343750003</v>
      </c>
      <c r="AQ55" s="709">
        <f ca="1">IF(ISERROR(MATCH(AQ$1,INDIRECT("Table!A"&amp;$BJ55):INDIRECT("Table!" &amp; $BV$88 &amp; $BJ55),0)),"",INDIRECT(CONCATENATE("Table!",ADDRESS($BN55,MATCH(AQ$1,INDIRECT("Table!A" &amp; $BJ55):INDIRECT("Table!" &amp; $BV$88 &amp; $BJ55),0)))))/1024</f>
        <v>172.34638671875001</v>
      </c>
      <c r="AR55" s="709">
        <f ca="1">IF(ISERROR(MATCH(AR$1,INDIRECT("Table!A"&amp;$BJ55):INDIRECT("Table!" &amp; $BV$88 &amp; $BJ55),0)),"",INDIRECT(CONCATENATE("Table!",ADDRESS($BN55,MATCH(AR$1,INDIRECT("Table!A" &amp; $BJ55):INDIRECT("Table!" &amp; $BV$88 &amp; $BJ55),0)))))/1024</f>
        <v>81.0927734375</v>
      </c>
      <c r="AS55" s="709"/>
      <c r="AT55" s="709"/>
      <c r="AU55" s="709">
        <f ca="1">IF(ISERROR(MATCH(AU$1,INDIRECT("Table!A"&amp;$BJ55):INDIRECT("Table!" &amp; $BV$88 &amp; $BJ55),0)),"",INDIRECT(CONCATENATE("Table!",ADDRESS($BN55,MATCH(AU$1,INDIRECT("Table!A" &amp; $BJ55):INDIRECT("Table!" &amp; $BV$88 &amp; $BJ55),0)))))/1024</f>
        <v>53.8583984375</v>
      </c>
      <c r="AV55" s="709">
        <f ca="1">IF(ISERROR(MATCH(AV$1,INDIRECT("Table!A"&amp;$BJ55):INDIRECT("Table!" &amp; $BV$88 &amp; $BJ55),0)),"",INDIRECT(CONCATENATE("Table!",ADDRESS($BN55,MATCH(AV$1,INDIRECT("Table!A" &amp; $BJ55):INDIRECT("Table!" &amp; $BV$88 &amp; $BJ55),0)))))/1024</f>
        <v>32.31494140625</v>
      </c>
      <c r="AW55" s="709"/>
      <c r="AX55" s="909"/>
      <c r="AY55" s="909"/>
      <c r="AZ55" s="909"/>
      <c r="BA55" s="909"/>
      <c r="BB55" s="909"/>
      <c r="BC55" s="909"/>
      <c r="BD55" s="909"/>
      <c r="BE55" s="909"/>
      <c r="BF55" s="704">
        <f>MATCH($A55,Table!$A:$A,0)+$BH$2-1</f>
        <v>691</v>
      </c>
      <c r="BG55" s="705"/>
      <c r="BH55" s="705"/>
      <c r="BI55" s="705"/>
      <c r="BJ55" s="717">
        <f>MATCH($A55,Table!$A:$A,0)+$BL$2-1</f>
        <v>689</v>
      </c>
      <c r="BK55" s="705"/>
      <c r="BL55" s="705"/>
      <c r="BM55" s="705"/>
      <c r="BN55" s="704">
        <f>MATCH($A55,Table!$A:$A,0)+$BP$2-1</f>
        <v>690</v>
      </c>
      <c r="BO55" s="705"/>
      <c r="BP55" s="705"/>
      <c r="BQ55" s="705"/>
      <c r="BR55" s="717">
        <f>MATCH($A55,Table!$A:$A,0)+$BL$2-1</f>
        <v>689</v>
      </c>
      <c r="BS55" s="705"/>
      <c r="BT55" s="705"/>
      <c r="BU55" s="705"/>
      <c r="BV55" s="711" t="s">
        <v>284</v>
      </c>
      <c r="BW55" s="712">
        <f t="shared" ca="1" si="12"/>
        <v>1920.96142578125</v>
      </c>
      <c r="BX55" s="712">
        <f t="shared" ca="1" si="46"/>
        <v>1024.0545898437499</v>
      </c>
      <c r="BY55" s="712">
        <f t="shared" ca="1" si="43"/>
        <v>896.90683593750009</v>
      </c>
      <c r="BZ55" s="718">
        <f t="shared" ca="1" si="44"/>
        <v>0.53309482225925986</v>
      </c>
      <c r="CA55" s="712">
        <f>SUMIF('Alloc Feed'!A:A,A:A,'Alloc Feed'!I:I)</f>
        <v>0</v>
      </c>
      <c r="CB55" s="718">
        <f t="shared" ca="1" si="42"/>
        <v>0</v>
      </c>
    </row>
    <row r="56" spans="1:80" s="267" customFormat="1" x14ac:dyDescent="0.25">
      <c r="A56" s="703">
        <v>41395</v>
      </c>
      <c r="B56" s="709">
        <f ca="1">IF(ISERROR(MATCH(B$1,INDIRECT("Table!A"&amp;$BJ56):INDIRECT("Table!" &amp; $BV$88 &amp; $BJ56),0)),"",INDIRECT(CONCATENATE("Table!",ADDRESS($BF56,MATCH(B$1,INDIRECT("Table!A" &amp; $BJ56):INDIRECT("Table!" &amp; $BV$88 &amp; $BJ56),0)))))/1024</f>
        <v>42.205859375000003</v>
      </c>
      <c r="C56" s="709">
        <f ca="1">IF(ISERROR(MATCH(C$1,INDIRECT("Table!A"&amp;$BJ56):INDIRECT("Table!" &amp; $BV$88 &amp; $BJ56),0)),"",INDIRECT(CONCATENATE("Table!",ADDRESS($BF56,MATCH(C$1,INDIRECT("Table!A" &amp; $BJ56):INDIRECT("Table!" &amp; $BV$88 &amp; $BJ56),0)))))/1024</f>
        <v>75.983691406250003</v>
      </c>
      <c r="D56" s="709">
        <f ca="1">IF(ISERROR(MATCH(D$1,INDIRECT("Table!A"&amp;$BJ56):INDIRECT("Table!" &amp; $BV$88 &amp; $BJ56),0)),"",INDIRECT(CONCATENATE("Table!",ADDRESS($BF56,MATCH(D$1,INDIRECT("Table!A" &amp; $BJ56):INDIRECT("Table!" &amp; $BV$88 &amp; $BJ56),0)))))/1024</f>
        <v>77.516308593749997</v>
      </c>
      <c r="E56" s="709">
        <f ca="1">IF(ISERROR(MATCH(E$1,INDIRECT("Table!A"&amp;$BJ56):INDIRECT("Table!" &amp; $BV$88 &amp; $BJ56),0)),"",INDIRECT(CONCATENATE("Table!",ADDRESS($BF56,MATCH(E$1,INDIRECT("Table!A" &amp; $BJ56):INDIRECT("Table!" &amp; $BV$88 &amp; $BJ56),0)))))/1024</f>
        <v>154.2041015625</v>
      </c>
      <c r="F56" s="709">
        <f ca="1">IF(ISERROR(MATCH(F$1,INDIRECT("Table!A"&amp;$BJ56):INDIRECT("Table!" &amp; $BV$88 &amp; $BJ56),0)),"",INDIRECT(CONCATENATE("Table!",ADDRESS($BF56,MATCH(F$1,INDIRECT("Table!A" &amp; $BJ56):INDIRECT("Table!" &amp; $BV$88 &amp; $BJ56),0)))))/1024</f>
        <v>95.313183593749997</v>
      </c>
      <c r="G56" s="709">
        <f ca="1">IF(ISERROR(MATCH(G$1,INDIRECT("Table!A"&amp;$BJ56):INDIRECT("Table!" &amp; $BV$88 &amp; $BJ56),0)),"",INDIRECT(CONCATENATE("Table!",ADDRESS($BF56,MATCH(G$1,INDIRECT("Table!A" &amp; $BJ56):INDIRECT("Table!" &amp; $BV$88 &amp; $BJ56),0)))))/1024</f>
        <v>49.59375</v>
      </c>
      <c r="H56" s="709">
        <f ca="1">IF(ISERROR(MATCH(H$1,INDIRECT("Table!A"&amp;$BJ56):INDIRECT("Table!" &amp; $BV$88 &amp; $BJ56),0)),"",INDIRECT(CONCATENATE("Table!",ADDRESS($BF56,MATCH(H$1,INDIRECT("Table!A" &amp; $BJ56):INDIRECT("Table!" &amp; $BV$88 &amp; $BJ56),0)))))/1024</f>
        <v>82.175488281249997</v>
      </c>
      <c r="I56" s="709">
        <f ca="1">IF(ISERROR(MATCH(I$1,INDIRECT("Table!A"&amp;$BJ56):INDIRECT("Table!" &amp; $BV$88 &amp; $BJ56),0)),"",INDIRECT(CONCATENATE("Table!",ADDRESS($BF56,MATCH(I$1,INDIRECT("Table!A" &amp; $BJ56):INDIRECT("Table!" &amp; $BV$88 &amp; $BJ56),0)))))/1024</f>
        <v>6.8156249999999998</v>
      </c>
      <c r="J56" s="709"/>
      <c r="K56" s="709"/>
      <c r="L56" s="709">
        <f ca="1">IF(ISERROR(MATCH(L$1,INDIRECT("Table!A"&amp;$BJ56):INDIRECT("Table!" &amp; $BV$88 &amp; $BJ56),0)),"",INDIRECT(CONCATENATE("Table!",ADDRESS($BF56,MATCH(L$1,INDIRECT("Table!A" &amp; $BJ56):INDIRECT("Table!" &amp; $BV$88 &amp; $BJ56),0)))))/1024</f>
        <v>154.91845703125</v>
      </c>
      <c r="M56" s="709">
        <f ca="1">IF(ISERROR(MATCH(M$1,INDIRECT("Table!A"&amp;$BJ56):INDIRECT("Table!" &amp; $BV$88 &amp; $BJ56),0)),"",INDIRECT(CONCATENATE("Table!",ADDRESS($BF56,MATCH(M$1,INDIRECT("Table!A" &amp; $BJ56):INDIRECT("Table!" &amp; $BV$88 &amp; $BJ56),0)))))/1024</f>
        <v>63.674414062499999</v>
      </c>
      <c r="N56" s="709">
        <f ca="1">IF(ISERROR(MATCH(N$1,INDIRECT("Table!A"&amp;$BJ56):INDIRECT("Table!" &amp; $BV$88 &amp; $BJ56),0)),"",INDIRECT(CONCATENATE("Table!",ADDRESS($BF56,MATCH(N$1,INDIRECT("Table!A" &amp; $BJ56):INDIRECT("Table!" &amp; $BV$88 &amp; $BJ56),0)))))/1024</f>
        <v>49.131738281250001</v>
      </c>
      <c r="O56" s="709">
        <f ca="1">IF(ISERROR(MATCH(O$1,INDIRECT("Table!A"&amp;$BJ56):INDIRECT("Table!" &amp; $BV$88 &amp; $BJ56),0)),"",INDIRECT(CONCATENATE("Table!",ADDRESS($BF56,MATCH(O$1,INDIRECT("Table!A" &amp; $BJ56):INDIRECT("Table!" &amp; $BV$88 &amp; $BJ56),0)))))/1024</f>
        <v>150.87167968750001</v>
      </c>
      <c r="P56" s="709">
        <f ca="1">IF(ISERROR(MATCH(P$1,INDIRECT("Table!A"&amp;$BJ56):INDIRECT("Table!" &amp; $BV$88 &amp; $BJ56),0)),"",INDIRECT(CONCATENATE("Table!",ADDRESS($BF56,MATCH(P$1,INDIRECT("Table!A" &amp; $BJ56):INDIRECT("Table!" &amp; $BV$88 &amp; $BJ56),0)))))/1024</f>
        <v>13.434863281249999</v>
      </c>
      <c r="Q56" s="709"/>
      <c r="R56" s="709"/>
      <c r="S56" s="709">
        <f ca="1">IF(ISERROR(MATCH(S$1,INDIRECT("Table!A"&amp;$BJ56):INDIRECT("Table!" &amp; $BV$43 &amp; $BJ56),0)),"",INDIRECT(CONCATENATE("Table!",ADDRESS($BF56,MATCH(S$1,INDIRECT("Table!A" &amp; $BJ56):INDIRECT("Table!" &amp; $BV$43 &amp; $BJ56),0)))))/1024</f>
        <v>6.8357421875000002</v>
      </c>
      <c r="T56" s="709">
        <f ca="1">IF(ISERROR(MATCH(T$1,INDIRECT("Table!A"&amp;$BJ56):INDIRECT("Table!" &amp; $BV$43 &amp; $BJ56),0)),"",INDIRECT(CONCATENATE("Table!",ADDRESS($BF56,MATCH(T$1,INDIRECT("Table!A" &amp; $BJ56):INDIRECT("Table!" &amp; $BV$43 &amp; $BJ56),0)))))/1024</f>
        <v>3.3724609375000001</v>
      </c>
      <c r="U56" s="709"/>
      <c r="V56" s="909"/>
      <c r="W56" s="909"/>
      <c r="X56" s="909"/>
      <c r="Y56" s="909"/>
      <c r="Z56" s="909"/>
      <c r="AA56" s="909"/>
      <c r="AB56" s="909"/>
      <c r="AC56" s="709" t="str">
        <f ca="1">IF(ISERROR(MATCH(AC$1,INDIRECT("Table!A"&amp;$BJ56):INDIRECT("Table!" &amp; $BV$88 &amp; $BJ56),0)),"",INDIRECT(CONCATENATE("Table!",ADDRESS($BF56,MATCH(AC$1,INDIRECT("Table!A" &amp; $BJ56):INDIRECT("Table!" &amp; $BV$88 &amp; $BJ56),0)))))</f>
        <v/>
      </c>
      <c r="AD56" s="709">
        <f ca="1">IF(ISERROR(MATCH(AD$1,INDIRECT("Table!A"&amp;$BJ56):INDIRECT("Table!" &amp; $BV$88 &amp; $BJ56),0)),"",INDIRECT(CONCATENATE("Table!",ADDRESS($BN56,MATCH(AD$1,INDIRECT("Table!A" &amp; $BJ56):INDIRECT("Table!" &amp; $BV$88 &amp; $BJ56),0)))))/1024</f>
        <v>140.03144531250001</v>
      </c>
      <c r="AE56" s="709">
        <f ca="1">IF(ISERROR(MATCH(AE$1,INDIRECT("Table!A"&amp;$BJ56):INDIRECT("Table!" &amp; $BV$88 &amp; $BJ56),0)),"",INDIRECT(CONCATENATE("Table!",ADDRESS($BN56,MATCH(AE$1,INDIRECT("Table!A" &amp; $BJ56):INDIRECT("Table!" &amp; $BV$88 &amp; $BJ56),0)))))/1024</f>
        <v>146.98808593749999</v>
      </c>
      <c r="AF56" s="709">
        <f ca="1">IF(ISERROR(MATCH(AF$1,INDIRECT("Table!A"&amp;$BJ56):INDIRECT("Table!" &amp; $BV$88 &amp; $BJ56),0)),"",INDIRECT(CONCATENATE("Table!",ADDRESS($BN56,MATCH(AF$1,INDIRECT("Table!A" &amp; $BJ56):INDIRECT("Table!" &amp; $BV$88 &amp; $BJ56),0)))))/1024</f>
        <v>146.98808593749999</v>
      </c>
      <c r="AG56" s="709">
        <f ca="1">IF(ISERROR(MATCH(AG$1,INDIRECT("Table!A"&amp;$BJ56):INDIRECT("Table!" &amp; $BV$88 &amp; $BJ56),0)),"",INDIRECT(CONCATENATE("Table!",ADDRESS($BN56,MATCH(AG$1,INDIRECT("Table!A" &amp; $BJ56):INDIRECT("Table!" &amp; $BV$88 &amp; $BJ56),0)))))/1024</f>
        <v>177.73222656249999</v>
      </c>
      <c r="AH56" s="709">
        <f ca="1">IF(ISERROR(MATCH(AH$1,INDIRECT("Table!A"&amp;$BJ56):INDIRECT("Table!" &amp; $BV$88 &amp; $BJ56),0)),"",INDIRECT(CONCATENATE("Table!",ADDRESS($BN56,MATCH(AH$1,INDIRECT("Table!A" &amp; $BJ56):INDIRECT("Table!" &amp; $BV$88 &amp; $BJ56),0)))))/1024</f>
        <v>161.57470703125</v>
      </c>
      <c r="AI56" s="709">
        <f ca="1">IF(ISERROR(MATCH(AI$1,INDIRECT("Table!A"&amp;$BJ56):INDIRECT("Table!" &amp; $BV$88 &amp; $BJ56),0)),"",INDIRECT(CONCATENATE("Table!",ADDRESS($BN56,MATCH(AI$1,INDIRECT("Table!A" &amp; $BJ56):INDIRECT("Table!" &amp; $BV$88 &amp; $BJ56),0)))))/1024</f>
        <v>129.03515625</v>
      </c>
      <c r="AJ56" s="709">
        <f ca="1">IF(ISERROR(MATCH(AJ$1,INDIRECT("Table!A"&amp;$BJ56):INDIRECT("Table!" &amp; $BV$88 &amp; $BJ56),0)),"",INDIRECT(CONCATENATE("Table!",ADDRESS($BN56,MATCH(AJ$1,INDIRECT("Table!A" &amp; $BJ56):INDIRECT("Table!" &amp; $BV$88 &amp; $BJ56),0)))))/1024</f>
        <v>118.4880859375</v>
      </c>
      <c r="AK56" s="709">
        <f ca="1">IF(ISERROR(MATCH(AK$1,INDIRECT("Table!A"&amp;$BJ56):INDIRECT("Table!" &amp; $BV$88 &amp; $BJ56),0)),"",INDIRECT(CONCATENATE("Table!",ADDRESS($BN56,MATCH(AK$1,INDIRECT("Table!A" &amp; $BJ56):INDIRECT("Table!" &amp; $BV$88 &amp; $BJ56),0)))))/1024</f>
        <v>162.18544921874999</v>
      </c>
      <c r="AL56" s="709"/>
      <c r="AM56" s="709"/>
      <c r="AN56" s="709">
        <f ca="1">IF(ISERROR(MATCH(AN$1,INDIRECT("Table!A"&amp;$BJ56):INDIRECT("Table!" &amp; $BV$88 &amp; $BJ56),0)),"",INDIRECT(CONCATENATE("Table!",ADDRESS($BN56,MATCH(AN$1,INDIRECT("Table!A" &amp; $BJ56):INDIRECT("Table!" &amp; $BV$88 &amp; $BJ56),0)))))/1024</f>
        <v>188.5029296875</v>
      </c>
      <c r="AO56" s="709">
        <f ca="1">IF(ISERROR(MATCH(AO$1,INDIRECT("Table!A"&amp;$BJ56):INDIRECT("Table!" &amp; $BV$88 &amp; $BJ56),0)),"",INDIRECT(CONCATENATE("Table!",ADDRESS($BN56,MATCH(AO$1,INDIRECT("Table!A" &amp; $BJ56):INDIRECT("Table!" &amp; $BV$88 &amp; $BJ56),0)))))/1024</f>
        <v>129.03535156250001</v>
      </c>
      <c r="AP56" s="709">
        <f ca="1">IF(ISERROR(MATCH(AP$1,INDIRECT("Table!A"&amp;$BJ56):INDIRECT("Table!" &amp; $BV$88 &amp; $BJ56),0)),"",INDIRECT(CONCATENATE("Table!",ADDRESS($BN56,MATCH(AP$1,INDIRECT("Table!A" &amp; $BJ56):INDIRECT("Table!" &amp; $BV$88 &amp; $BJ56),0)))))/1024</f>
        <v>80.787402343750003</v>
      </c>
      <c r="AQ56" s="709">
        <f ca="1">IF(ISERROR(MATCH(AQ$1,INDIRECT("Table!A"&amp;$BJ56):INDIRECT("Table!" &amp; $BV$88 &amp; $BJ56),0)),"",INDIRECT(CONCATENATE("Table!",ADDRESS($BN56,MATCH(AQ$1,INDIRECT("Table!A" &amp; $BJ56):INDIRECT("Table!" &amp; $BV$88 &amp; $BJ56),0)))))/1024</f>
        <v>172.34638671875001</v>
      </c>
      <c r="AR56" s="709">
        <f ca="1">IF(ISERROR(MATCH(AR$1,INDIRECT("Table!A"&amp;$BJ56):INDIRECT("Table!" &amp; $BV$88 &amp; $BJ56),0)),"",INDIRECT(CONCATENATE("Table!",ADDRESS($BN56,MATCH(AR$1,INDIRECT("Table!A" &amp; $BJ56):INDIRECT("Table!" &amp; $BV$88 &amp; $BJ56),0)))))/1024</f>
        <v>81.0927734375</v>
      </c>
      <c r="AS56" s="709"/>
      <c r="AT56" s="709"/>
      <c r="AU56" s="709">
        <f ca="1">IF(ISERROR(MATCH(AU$1,INDIRECT("Table!A"&amp;$BJ56):INDIRECT("Table!" &amp; $BV$88 &amp; $BJ56),0)),"",INDIRECT(CONCATENATE("Table!",ADDRESS($BN56,MATCH(AU$1,INDIRECT("Table!A" &amp; $BJ56):INDIRECT("Table!" &amp; $BV$88 &amp; $BJ56),0)))))/1024</f>
        <v>53.8583984375</v>
      </c>
      <c r="AV56" s="709">
        <f ca="1">IF(ISERROR(MATCH(AV$1,INDIRECT("Table!A"&amp;$BJ56):INDIRECT("Table!" &amp; $BV$88 &amp; $BJ56),0)),"",INDIRECT(CONCATENATE("Table!",ADDRESS($BN56,MATCH(AV$1,INDIRECT("Table!A" &amp; $BJ56):INDIRECT("Table!" &amp; $BV$88 &amp; $BJ56),0)))))/1024</f>
        <v>32.31494140625</v>
      </c>
      <c r="AW56" s="709"/>
      <c r="AX56" s="909"/>
      <c r="AY56" s="909"/>
      <c r="AZ56" s="909"/>
      <c r="BA56" s="909"/>
      <c r="BB56" s="909"/>
      <c r="BC56" s="909"/>
      <c r="BD56" s="909"/>
      <c r="BE56" s="909"/>
      <c r="BF56" s="704">
        <f>MATCH($A56,Table!$A:$A,0)+$BH$2-1</f>
        <v>703</v>
      </c>
      <c r="BG56" s="705"/>
      <c r="BH56" s="705"/>
      <c r="BI56" s="705"/>
      <c r="BJ56" s="717">
        <f>MATCH($A56,Table!$A:$A,0)+$BL$2-1</f>
        <v>701</v>
      </c>
      <c r="BK56" s="705"/>
      <c r="BL56" s="705"/>
      <c r="BM56" s="705"/>
      <c r="BN56" s="704">
        <f>MATCH($A56,Table!$A:$A,0)+$BP$2-1</f>
        <v>702</v>
      </c>
      <c r="BO56" s="705"/>
      <c r="BP56" s="705"/>
      <c r="BQ56" s="705"/>
      <c r="BR56" s="717">
        <f>MATCH($A56,Table!$A:$A,0)+$BL$2-1</f>
        <v>701</v>
      </c>
      <c r="BS56" s="705"/>
      <c r="BT56" s="705"/>
      <c r="BU56" s="705"/>
      <c r="BV56" s="711" t="s">
        <v>284</v>
      </c>
      <c r="BW56" s="712">
        <f t="shared" ca="1" si="12"/>
        <v>1920.96142578125</v>
      </c>
      <c r="BX56" s="712">
        <f t="shared" ca="1" si="46"/>
        <v>1026.04736328125</v>
      </c>
      <c r="BY56" s="712">
        <f t="shared" ca="1" si="43"/>
        <v>894.9140625</v>
      </c>
      <c r="BZ56" s="718">
        <f t="shared" ca="1" si="44"/>
        <v>0.53413220562925112</v>
      </c>
      <c r="CA56" s="712">
        <f>SUMIF('Alloc Feed'!A:A,A:A,'Alloc Feed'!I:I)</f>
        <v>0</v>
      </c>
      <c r="CB56" s="718">
        <f t="shared" ca="1" si="42"/>
        <v>0</v>
      </c>
    </row>
    <row r="57" spans="1:80" s="267" customFormat="1" x14ac:dyDescent="0.25">
      <c r="A57" s="703">
        <v>41393</v>
      </c>
      <c r="B57" s="709">
        <f ca="1">IF(ISERROR(MATCH(B$1,INDIRECT("Table!A"&amp;$BJ57):INDIRECT("Table!" &amp; $BV$88 &amp; $BJ57),0)),"",INDIRECT(CONCATENATE("Table!",ADDRESS($BF57,MATCH(B$1,INDIRECT("Table!A" &amp; $BJ57):INDIRECT("Table!" &amp; $BV$88 &amp; $BJ57),0)))))/1024</f>
        <v>41.457910156250001</v>
      </c>
      <c r="C57" s="709">
        <f ca="1">IF(ISERROR(MATCH(C$1,INDIRECT("Table!A"&amp;$BJ57):INDIRECT("Table!" &amp; $BV$88 &amp; $BJ57),0)),"",INDIRECT(CONCATENATE("Table!",ADDRESS($BF57,MATCH(C$1,INDIRECT("Table!A" &amp; $BJ57):INDIRECT("Table!" &amp; $BV$88 &amp; $BJ57),0)))))/1024</f>
        <v>75.97509765625</v>
      </c>
      <c r="D57" s="709">
        <f ca="1">IF(ISERROR(MATCH(D$1,INDIRECT("Table!A"&amp;$BJ57):INDIRECT("Table!" &amp; $BV$88 &amp; $BJ57),0)),"",INDIRECT(CONCATENATE("Table!",ADDRESS($BF57,MATCH(D$1,INDIRECT("Table!A" &amp; $BJ57):INDIRECT("Table!" &amp; $BV$88 &amp; $BJ57),0)))))/1024</f>
        <v>77.5078125</v>
      </c>
      <c r="E57" s="709">
        <f ca="1">IF(ISERROR(MATCH(E$1,INDIRECT("Table!A"&amp;$BJ57):INDIRECT("Table!" &amp; $BV$88 &amp; $BJ57),0)),"",INDIRECT(CONCATENATE("Table!",ADDRESS($BF57,MATCH(E$1,INDIRECT("Table!A" &amp; $BJ57):INDIRECT("Table!" &amp; $BV$88 &amp; $BJ57),0)))))/1024</f>
        <v>154.09199218750001</v>
      </c>
      <c r="F57" s="709">
        <f ca="1">IF(ISERROR(MATCH(F$1,INDIRECT("Table!A"&amp;$BJ57):INDIRECT("Table!" &amp; $BV$88 &amp; $BJ57),0)),"",INDIRECT(CONCATENATE("Table!",ADDRESS($BF57,MATCH(F$1,INDIRECT("Table!A" &amp; $BJ57):INDIRECT("Table!" &amp; $BV$88 &amp; $BJ57),0)))))/1024</f>
        <v>95.164160156250006</v>
      </c>
      <c r="G57" s="709">
        <f ca="1">IF(ISERROR(MATCH(G$1,INDIRECT("Table!A"&amp;$BJ57):INDIRECT("Table!" &amp; $BV$88 &amp; $BJ57),0)),"",INDIRECT(CONCATENATE("Table!",ADDRESS($BF57,MATCH(G$1,INDIRECT("Table!A" &amp; $BJ57):INDIRECT("Table!" &amp; $BV$88 &amp; $BJ57),0)))))/1024</f>
        <v>50.310839843750003</v>
      </c>
      <c r="H57" s="709">
        <f ca="1">IF(ISERROR(MATCH(H$1,INDIRECT("Table!A"&amp;$BJ57):INDIRECT("Table!" &amp; $BV$88 &amp; $BJ57),0)),"",INDIRECT(CONCATENATE("Table!",ADDRESS($BF57,MATCH(H$1,INDIRECT("Table!A" &amp; $BJ57):INDIRECT("Table!" &amp; $BV$88 &amp; $BJ57),0)))))/1024</f>
        <v>82.086621093749997</v>
      </c>
      <c r="I57" s="709">
        <f ca="1">IF(ISERROR(MATCH(I$1,INDIRECT("Table!A"&amp;$BJ57):INDIRECT("Table!" &amp; $BV$88 &amp; $BJ57),0)),"",INDIRECT(CONCATENATE("Table!",ADDRESS($BF57,MATCH(I$1,INDIRECT("Table!A" &amp; $BJ57):INDIRECT("Table!" &amp; $BV$88 &amp; $BJ57),0)))))/1024</f>
        <v>6.8156249999999998</v>
      </c>
      <c r="J57" s="709"/>
      <c r="K57" s="709"/>
      <c r="L57" s="709">
        <f ca="1">IF(ISERROR(MATCH(L$1,INDIRECT("Table!A"&amp;$BJ57):INDIRECT("Table!" &amp; $BV$88 &amp; $BJ57),0)),"",INDIRECT(CONCATENATE("Table!",ADDRESS($BF57,MATCH(L$1,INDIRECT("Table!A" &amp; $BJ57):INDIRECT("Table!" &amp; $BV$88 &amp; $BJ57),0)))))/1024</f>
        <v>154.85859375000001</v>
      </c>
      <c r="M57" s="709">
        <f ca="1">IF(ISERROR(MATCH(M$1,INDIRECT("Table!A"&amp;$BJ57):INDIRECT("Table!" &amp; $BV$88 &amp; $BJ57),0)),"",INDIRECT(CONCATENATE("Table!",ADDRESS($BF57,MATCH(M$1,INDIRECT("Table!A" &amp; $BJ57):INDIRECT("Table!" &amp; $BV$88 &amp; $BJ57),0)))))/1024</f>
        <v>63.45849609375</v>
      </c>
      <c r="N57" s="709">
        <f ca="1">IF(ISERROR(MATCH(N$1,INDIRECT("Table!A"&amp;$BJ57):INDIRECT("Table!" &amp; $BV$88 &amp; $BJ57),0)),"",INDIRECT(CONCATENATE("Table!",ADDRESS($BF57,MATCH(N$1,INDIRECT("Table!A" &amp; $BJ57):INDIRECT("Table!" &amp; $BV$88 &amp; $BJ57),0)))))/1024</f>
        <v>49.05029296875</v>
      </c>
      <c r="O57" s="709">
        <f ca="1">IF(ISERROR(MATCH(O$1,INDIRECT("Table!A"&amp;$BJ57):INDIRECT("Table!" &amp; $BV$88 &amp; $BJ57),0)),"",INDIRECT(CONCATENATE("Table!",ADDRESS($BF57,MATCH(O$1,INDIRECT("Table!A" &amp; $BJ57):INDIRECT("Table!" &amp; $BV$88 &amp; $BJ57),0)))))/1024</f>
        <v>150.89345703124999</v>
      </c>
      <c r="P57" s="709">
        <f ca="1">IF(ISERROR(MATCH(P$1,INDIRECT("Table!A"&amp;$BJ57):INDIRECT("Table!" &amp; $BV$88 &amp; $BJ57),0)),"",INDIRECT(CONCATENATE("Table!",ADDRESS($BF57,MATCH(P$1,INDIRECT("Table!A" &amp; $BJ57):INDIRECT("Table!" &amp; $BV$88 &amp; $BJ57),0)))))/1024</f>
        <v>13.434765625000001</v>
      </c>
      <c r="Q57" s="709"/>
      <c r="R57" s="709"/>
      <c r="S57" s="709">
        <f ca="1">IF(ISERROR(MATCH(S$1,INDIRECT("Table!A"&amp;$BJ57):INDIRECT("Table!" &amp; $BV$43 &amp; $BJ57),0)),"",INDIRECT(CONCATENATE("Table!",ADDRESS($BF57,MATCH(S$1,INDIRECT("Table!A" &amp; $BJ57):INDIRECT("Table!" &amp; $BV$43 &amp; $BJ57),0)))))/1024</f>
        <v>6.8327148437499998</v>
      </c>
      <c r="T57" s="709">
        <f ca="1">IF(ISERROR(MATCH(T$1,INDIRECT("Table!A"&amp;$BJ57):INDIRECT("Table!" &amp; $BV$43 &amp; $BJ57),0)),"",INDIRECT(CONCATENATE("Table!",ADDRESS($BF57,MATCH(T$1,INDIRECT("Table!A" &amp; $BJ57):INDIRECT("Table!" &amp; $BV$43 &amp; $BJ57),0)))))/1024</f>
        <v>3.3659179687499998</v>
      </c>
      <c r="U57" s="709"/>
      <c r="V57" s="909"/>
      <c r="W57" s="909"/>
      <c r="X57" s="909"/>
      <c r="Y57" s="909"/>
      <c r="Z57" s="909"/>
      <c r="AA57" s="909"/>
      <c r="AB57" s="909"/>
      <c r="AC57" s="709" t="str">
        <f ca="1">IF(ISERROR(MATCH(AC$1,INDIRECT("Table!A"&amp;$BJ57):INDIRECT("Table!" &amp; $BV$88 &amp; $BJ57),0)),"",INDIRECT(CONCATENATE("Table!",ADDRESS($BF57,MATCH(AC$1,INDIRECT("Table!A" &amp; $BJ57):INDIRECT("Table!" &amp; $BV$88 &amp; $BJ57),0)))))</f>
        <v/>
      </c>
      <c r="AD57" s="709">
        <f ca="1">IF(ISERROR(MATCH(AD$1,INDIRECT("Table!A"&amp;$BJ57):INDIRECT("Table!" &amp; $BV$88 &amp; $BJ57),0)),"",INDIRECT(CONCATENATE("Table!",ADDRESS($BN57,MATCH(AD$1,INDIRECT("Table!A" &amp; $BJ57):INDIRECT("Table!" &amp; $BV$88 &amp; $BJ57),0)))))/1024</f>
        <v>140.03144531250001</v>
      </c>
      <c r="AE57" s="709">
        <f ca="1">IF(ISERROR(MATCH(AE$1,INDIRECT("Table!A"&amp;$BJ57):INDIRECT("Table!" &amp; $BV$88 &amp; $BJ57),0)),"",INDIRECT(CONCATENATE("Table!",ADDRESS($BN57,MATCH(AE$1,INDIRECT("Table!A" &amp; $BJ57):INDIRECT("Table!" &amp; $BV$88 &amp; $BJ57),0)))))/1024</f>
        <v>146.98808593749999</v>
      </c>
      <c r="AF57" s="709">
        <f ca="1">IF(ISERROR(MATCH(AF$1,INDIRECT("Table!A"&amp;$BJ57):INDIRECT("Table!" &amp; $BV$88 &amp; $BJ57),0)),"",INDIRECT(CONCATENATE("Table!",ADDRESS($BN57,MATCH(AF$1,INDIRECT("Table!A" &amp; $BJ57):INDIRECT("Table!" &amp; $BV$88 &amp; $BJ57),0)))))/1024</f>
        <v>146.98808593749999</v>
      </c>
      <c r="AG57" s="709">
        <f ca="1">IF(ISERROR(MATCH(AG$1,INDIRECT("Table!A"&amp;$BJ57):INDIRECT("Table!" &amp; $BV$88 &amp; $BJ57),0)),"",INDIRECT(CONCATENATE("Table!",ADDRESS($BN57,MATCH(AG$1,INDIRECT("Table!A" &amp; $BJ57):INDIRECT("Table!" &amp; $BV$88 &amp; $BJ57),0)))))/1024</f>
        <v>177.73222656249999</v>
      </c>
      <c r="AH57" s="709">
        <f ca="1">IF(ISERROR(MATCH(AH$1,INDIRECT("Table!A"&amp;$BJ57):INDIRECT("Table!" &amp; $BV$88 &amp; $BJ57),0)),"",INDIRECT(CONCATENATE("Table!",ADDRESS($BN57,MATCH(AH$1,INDIRECT("Table!A" &amp; $BJ57):INDIRECT("Table!" &amp; $BV$88 &amp; $BJ57),0)))))/1024</f>
        <v>161.57470703125</v>
      </c>
      <c r="AI57" s="709">
        <f ca="1">IF(ISERROR(MATCH(AI$1,INDIRECT("Table!A"&amp;$BJ57):INDIRECT("Table!" &amp; $BV$88 &amp; $BJ57),0)),"",INDIRECT(CONCATENATE("Table!",ADDRESS($BN57,MATCH(AI$1,INDIRECT("Table!A" &amp; $BJ57):INDIRECT("Table!" &amp; $BV$88 &amp; $BJ57),0)))))/1024</f>
        <v>129.03515625</v>
      </c>
      <c r="AJ57" s="709">
        <f ca="1">IF(ISERROR(MATCH(AJ$1,INDIRECT("Table!A"&amp;$BJ57):INDIRECT("Table!" &amp; $BV$88 &amp; $BJ57),0)),"",INDIRECT(CONCATENATE("Table!",ADDRESS($BN57,MATCH(AJ$1,INDIRECT("Table!A" &amp; $BJ57):INDIRECT("Table!" &amp; $BV$88 &amp; $BJ57),0)))))/1024</f>
        <v>118.4880859375</v>
      </c>
      <c r="AK57" s="709">
        <f ca="1">IF(ISERROR(MATCH(AK$1,INDIRECT("Table!A"&amp;$BJ57):INDIRECT("Table!" &amp; $BV$88 &amp; $BJ57),0)),"",INDIRECT(CONCATENATE("Table!",ADDRESS($BN57,MATCH(AK$1,INDIRECT("Table!A" &amp; $BJ57):INDIRECT("Table!" &amp; $BV$88 &amp; $BJ57),0)))))/1024</f>
        <v>162.18544921874999</v>
      </c>
      <c r="AL57" s="709"/>
      <c r="AM57" s="709"/>
      <c r="AN57" s="709">
        <f ca="1">IF(ISERROR(MATCH(AN$1,INDIRECT("Table!A"&amp;$BJ57):INDIRECT("Table!" &amp; $BV$88 &amp; $BJ57),0)),"",INDIRECT(CONCATENATE("Table!",ADDRESS($BN57,MATCH(AN$1,INDIRECT("Table!A" &amp; $BJ57):INDIRECT("Table!" &amp; $BV$88 &amp; $BJ57),0)))))/1024</f>
        <v>188.5029296875</v>
      </c>
      <c r="AO57" s="709">
        <f ca="1">IF(ISERROR(MATCH(AO$1,INDIRECT("Table!A"&amp;$BJ57):INDIRECT("Table!" &amp; $BV$88 &amp; $BJ57),0)),"",INDIRECT(CONCATENATE("Table!",ADDRESS($BN57,MATCH(AO$1,INDIRECT("Table!A" &amp; $BJ57):INDIRECT("Table!" &amp; $BV$88 &amp; $BJ57),0)))))/1024</f>
        <v>129.03535156250001</v>
      </c>
      <c r="AP57" s="709">
        <f ca="1">IF(ISERROR(MATCH(AP$1,INDIRECT("Table!A"&amp;$BJ57):INDIRECT("Table!" &amp; $BV$88 &amp; $BJ57),0)),"",INDIRECT(CONCATENATE("Table!",ADDRESS($BN57,MATCH(AP$1,INDIRECT("Table!A" &amp; $BJ57):INDIRECT("Table!" &amp; $BV$88 &amp; $BJ57),0)))))/1024</f>
        <v>80.787402343750003</v>
      </c>
      <c r="AQ57" s="709">
        <f ca="1">IF(ISERROR(MATCH(AQ$1,INDIRECT("Table!A"&amp;$BJ57):INDIRECT("Table!" &amp; $BV$88 &amp; $BJ57),0)),"",INDIRECT(CONCATENATE("Table!",ADDRESS($BN57,MATCH(AQ$1,INDIRECT("Table!A" &amp; $BJ57):INDIRECT("Table!" &amp; $BV$88 &amp; $BJ57),0)))))/1024</f>
        <v>172.34638671875001</v>
      </c>
      <c r="AR57" s="709">
        <f ca="1">IF(ISERROR(MATCH(AR$1,INDIRECT("Table!A"&amp;$BJ57):INDIRECT("Table!" &amp; $BV$88 &amp; $BJ57),0)),"",INDIRECT(CONCATENATE("Table!",ADDRESS($BN57,MATCH(AR$1,INDIRECT("Table!A" &amp; $BJ57):INDIRECT("Table!" &amp; $BV$88 &amp; $BJ57),0)))))/1024</f>
        <v>81.0927734375</v>
      </c>
      <c r="AS57" s="709"/>
      <c r="AT57" s="709"/>
      <c r="AU57" s="709">
        <f ca="1">IF(ISERROR(MATCH(AU$1,INDIRECT("Table!A"&amp;$BJ57):INDIRECT("Table!" &amp; $BV$88 &amp; $BJ57),0)),"",INDIRECT(CONCATENATE("Table!",ADDRESS($BN57,MATCH(AU$1,INDIRECT("Table!A" &amp; $BJ57):INDIRECT("Table!" &amp; $BV$88 &amp; $BJ57),0)))))/1024</f>
        <v>53.8583984375</v>
      </c>
      <c r="AV57" s="709">
        <f ca="1">IF(ISERROR(MATCH(AV$1,INDIRECT("Table!A"&amp;$BJ57):INDIRECT("Table!" &amp; $BV$88 &amp; $BJ57),0)),"",INDIRECT(CONCATENATE("Table!",ADDRESS($BN57,MATCH(AV$1,INDIRECT("Table!A" &amp; $BJ57):INDIRECT("Table!" &amp; $BV$88 &amp; $BJ57),0)))))/1024</f>
        <v>32.31494140625</v>
      </c>
      <c r="AW57" s="709"/>
      <c r="AX57" s="909"/>
      <c r="AY57" s="909"/>
      <c r="AZ57" s="909"/>
      <c r="BA57" s="909"/>
      <c r="BB57" s="909"/>
      <c r="BC57" s="909"/>
      <c r="BD57" s="909"/>
      <c r="BE57" s="909"/>
      <c r="BF57" s="704">
        <f>MATCH($A57,Table!$A:$A,0)+$BH$2-1</f>
        <v>715</v>
      </c>
      <c r="BG57" s="705"/>
      <c r="BH57" s="705"/>
      <c r="BI57" s="705"/>
      <c r="BJ57" s="717">
        <f>MATCH($A57,Table!$A:$A,0)+$BL$2-1</f>
        <v>713</v>
      </c>
      <c r="BK57" s="705"/>
      <c r="BL57" s="705"/>
      <c r="BM57" s="705"/>
      <c r="BN57" s="704">
        <f>MATCH($A57,Table!$A:$A,0)+$BP$2-1</f>
        <v>714</v>
      </c>
      <c r="BO57" s="705"/>
      <c r="BP57" s="705"/>
      <c r="BQ57" s="705"/>
      <c r="BR57" s="717">
        <f>MATCH($A57,Table!$A:$A,0)+$BL$2-1</f>
        <v>713</v>
      </c>
      <c r="BS57" s="705"/>
      <c r="BT57" s="705"/>
      <c r="BU57" s="705"/>
      <c r="BV57" s="711" t="s">
        <v>284</v>
      </c>
      <c r="BW57" s="712">
        <f t="shared" ca="1" si="12"/>
        <v>1920.96142578125</v>
      </c>
      <c r="BX57" s="712">
        <f t="shared" ca="1" si="46"/>
        <v>1025.3042968749999</v>
      </c>
      <c r="BY57" s="712">
        <f t="shared" ca="1" si="43"/>
        <v>895.65712890625014</v>
      </c>
      <c r="BZ57" s="718">
        <f t="shared" ca="1" si="44"/>
        <v>0.53374538557327422</v>
      </c>
      <c r="CA57" s="712">
        <f>SUMIF('Alloc Feed'!A:A,A:A,'Alloc Feed'!I:I)</f>
        <v>0</v>
      </c>
      <c r="CB57" s="718">
        <f t="shared" ca="1" si="42"/>
        <v>0</v>
      </c>
    </row>
    <row r="58" spans="1:80" s="267" customFormat="1" x14ac:dyDescent="0.25">
      <c r="A58" s="703">
        <v>41390</v>
      </c>
      <c r="B58" s="709">
        <f ca="1">IF(ISERROR(MATCH(B$1,INDIRECT("Table!A"&amp;$BJ58):INDIRECT("Table!" &amp; $BV$88 &amp; $BJ58),0)),"",INDIRECT(CONCATENATE("Table!",ADDRESS($BF58,MATCH(B$1,INDIRECT("Table!A" &amp; $BJ58):INDIRECT("Table!" &amp; $BV$88 &amp; $BJ58),0)))))/1024</f>
        <v>41.204199218749999</v>
      </c>
      <c r="C58" s="709">
        <f ca="1">IF(ISERROR(MATCH(C$1,INDIRECT("Table!A"&amp;$BJ58):INDIRECT("Table!" &amp; $BV$88 &amp; $BJ58),0)),"",INDIRECT(CONCATENATE("Table!",ADDRESS($BF58,MATCH(C$1,INDIRECT("Table!A" &amp; $BJ58):INDIRECT("Table!" &amp; $BV$88 &amp; $BJ58),0)))))/1024</f>
        <v>75.92578125</v>
      </c>
      <c r="D58" s="709">
        <f ca="1">IF(ISERROR(MATCH(D$1,INDIRECT("Table!A"&amp;$BJ58):INDIRECT("Table!" &amp; $BV$88 &amp; $BJ58),0)),"",INDIRECT(CONCATENATE("Table!",ADDRESS($BF58,MATCH(D$1,INDIRECT("Table!A" &amp; $BJ58):INDIRECT("Table!" &amp; $BV$88 &amp; $BJ58),0)))))/1024</f>
        <v>77.459082031250006</v>
      </c>
      <c r="E58" s="709">
        <f ca="1">IF(ISERROR(MATCH(E$1,INDIRECT("Table!A"&amp;$BJ58):INDIRECT("Table!" &amp; $BV$88 &amp; $BJ58),0)),"",INDIRECT(CONCATENATE("Table!",ADDRESS($BF58,MATCH(E$1,INDIRECT("Table!A" &amp; $BJ58):INDIRECT("Table!" &amp; $BV$88 &amp; $BJ58),0)))))/1024</f>
        <v>154.02968749999999</v>
      </c>
      <c r="F58" s="709">
        <f ca="1">IF(ISERROR(MATCH(F$1,INDIRECT("Table!A"&amp;$BJ58):INDIRECT("Table!" &amp; $BV$88 &amp; $BJ58),0)),"",INDIRECT(CONCATENATE("Table!",ADDRESS($BF58,MATCH(F$1,INDIRECT("Table!A" &amp; $BJ58):INDIRECT("Table!" &amp; $BV$88 &amp; $BJ58),0)))))/1024</f>
        <v>94.860546874999997</v>
      </c>
      <c r="G58" s="709">
        <f ca="1">IF(ISERROR(MATCH(G$1,INDIRECT("Table!A"&amp;$BJ58):INDIRECT("Table!" &amp; $BV$88 &amp; $BJ58),0)),"",INDIRECT(CONCATENATE("Table!",ADDRESS($BF58,MATCH(G$1,INDIRECT("Table!A" &amp; $BJ58):INDIRECT("Table!" &amp; $BV$88 &amp; $BJ58),0)))))/1024</f>
        <v>48.516699218749999</v>
      </c>
      <c r="H58" s="709">
        <f ca="1">IF(ISERROR(MATCH(H$1,INDIRECT("Table!A"&amp;$BJ58):INDIRECT("Table!" &amp; $BV$88 &amp; $BJ58),0)),"",INDIRECT(CONCATENATE("Table!",ADDRESS($BF58,MATCH(H$1,INDIRECT("Table!A" &amp; $BJ58):INDIRECT("Table!" &amp; $BV$88 &amp; $BJ58),0)))))/1024</f>
        <v>81.199804687500006</v>
      </c>
      <c r="I58" s="709">
        <f ca="1">IF(ISERROR(MATCH(I$1,INDIRECT("Table!A"&amp;$BJ58):INDIRECT("Table!" &amp; $BV$88 &amp; $BJ58),0)),"",INDIRECT(CONCATENATE("Table!",ADDRESS($BF58,MATCH(I$1,INDIRECT("Table!A" &amp; $BJ58):INDIRECT("Table!" &amp; $BV$88 &amp; $BJ58),0)))))/1024</f>
        <v>6.8104492187499996</v>
      </c>
      <c r="J58" s="709"/>
      <c r="K58" s="709"/>
      <c r="L58" s="709">
        <f ca="1">IF(ISERROR(MATCH(L$1,INDIRECT("Table!A"&amp;$BJ58):INDIRECT("Table!" &amp; $BV$88 &amp; $BJ58),0)),"",INDIRECT(CONCATENATE("Table!",ADDRESS($BF58,MATCH(L$1,INDIRECT("Table!A" &amp; $BJ58):INDIRECT("Table!" &amp; $BV$88 &amp; $BJ58),0)))))/1024</f>
        <v>154.7607421875</v>
      </c>
      <c r="M58" s="709">
        <f ca="1">IF(ISERROR(MATCH(M$1,INDIRECT("Table!A"&amp;$BJ58):INDIRECT("Table!" &amp; $BV$88 &amp; $BJ58),0)),"",INDIRECT(CONCATENATE("Table!",ADDRESS($BF58,MATCH(M$1,INDIRECT("Table!A" &amp; $BJ58):INDIRECT("Table!" &amp; $BV$88 &amp; $BJ58),0)))))/1024</f>
        <v>60.933496093750001</v>
      </c>
      <c r="N58" s="709">
        <f ca="1">IF(ISERROR(MATCH(N$1,INDIRECT("Table!A"&amp;$BJ58):INDIRECT("Table!" &amp; $BV$88 &amp; $BJ58),0)),"",INDIRECT(CONCATENATE("Table!",ADDRESS($BF58,MATCH(N$1,INDIRECT("Table!A" &amp; $BJ58):INDIRECT("Table!" &amp; $BV$88 &amp; $BJ58),0)))))/1024</f>
        <v>48.872656249999999</v>
      </c>
      <c r="O58" s="709">
        <f ca="1">IF(ISERROR(MATCH(O$1,INDIRECT("Table!A"&amp;$BJ58):INDIRECT("Table!" &amp; $BV$88 &amp; $BJ58),0)),"",INDIRECT(CONCATENATE("Table!",ADDRESS($BF58,MATCH(O$1,INDIRECT("Table!A" &amp; $BJ58):INDIRECT("Table!" &amp; $BV$88 &amp; $BJ58),0)))))/1024</f>
        <v>148.94687500000001</v>
      </c>
      <c r="P58" s="709">
        <f ca="1">IF(ISERROR(MATCH(P$1,INDIRECT("Table!A"&amp;$BJ58):INDIRECT("Table!" &amp; $BV$88 &amp; $BJ58),0)),"",INDIRECT(CONCATENATE("Table!",ADDRESS($BF58,MATCH(P$1,INDIRECT("Table!A" &amp; $BJ58):INDIRECT("Table!" &amp; $BV$88 &amp; $BJ58),0)))))/1024</f>
        <v>13.427929687500001</v>
      </c>
      <c r="Q58" s="709"/>
      <c r="R58" s="709"/>
      <c r="S58" s="709">
        <f ca="1">IF(ISERROR(MATCH(S$1,INDIRECT("Table!A"&amp;$BJ58):INDIRECT("Table!" &amp; $BV$43 &amp; $BJ58),0)),"",INDIRECT(CONCATENATE("Table!",ADDRESS($BF58,MATCH(S$1,INDIRECT("Table!A" &amp; $BJ58):INDIRECT("Table!" &amp; $BV$43 &amp; $BJ58),0)))))/1024</f>
        <v>6.8291992187500004</v>
      </c>
      <c r="T58" s="709">
        <f ca="1">IF(ISERROR(MATCH(T$1,INDIRECT("Table!A"&amp;$BJ58):INDIRECT("Table!" &amp; $BV$43 &amp; $BJ58),0)),"",INDIRECT(CONCATENATE("Table!",ADDRESS($BF58,MATCH(T$1,INDIRECT("Table!A" &amp; $BJ58):INDIRECT("Table!" &amp; $BV$43 &amp; $BJ58),0)))))/1024</f>
        <v>3.361328125</v>
      </c>
      <c r="U58" s="709"/>
      <c r="V58" s="909"/>
      <c r="W58" s="909"/>
      <c r="X58" s="909"/>
      <c r="Y58" s="909"/>
      <c r="Z58" s="909"/>
      <c r="AA58" s="909"/>
      <c r="AB58" s="909"/>
      <c r="AC58" s="709" t="str">
        <f ca="1">IF(ISERROR(MATCH(AC$1,INDIRECT("Table!A"&amp;$BJ58):INDIRECT("Table!" &amp; $BV$88 &amp; $BJ58),0)),"",INDIRECT(CONCATENATE("Table!",ADDRESS($BF58,MATCH(AC$1,INDIRECT("Table!A" &amp; $BJ58):INDIRECT("Table!" &amp; $BV$88 &amp; $BJ58),0)))))</f>
        <v/>
      </c>
      <c r="AD58" s="709">
        <f ca="1">IF(ISERROR(MATCH(AD$1,INDIRECT("Table!A"&amp;$BJ58):INDIRECT("Table!" &amp; $BV$88 &amp; $BJ58),0)),"",INDIRECT(CONCATENATE("Table!",ADDRESS($BN58,MATCH(AD$1,INDIRECT("Table!A" &amp; $BJ58):INDIRECT("Table!" &amp; $BV$88 &amp; $BJ58),0)))))/1024</f>
        <v>140.03144531250001</v>
      </c>
      <c r="AE58" s="709">
        <f ca="1">IF(ISERROR(MATCH(AE$1,INDIRECT("Table!A"&amp;$BJ58):INDIRECT("Table!" &amp; $BV$88 &amp; $BJ58),0)),"",INDIRECT(CONCATENATE("Table!",ADDRESS($BN58,MATCH(AE$1,INDIRECT("Table!A" &amp; $BJ58):INDIRECT("Table!" &amp; $BV$88 &amp; $BJ58),0)))))/1024</f>
        <v>146.98808593749999</v>
      </c>
      <c r="AF58" s="709">
        <f ca="1">IF(ISERROR(MATCH(AF$1,INDIRECT("Table!A"&amp;$BJ58):INDIRECT("Table!" &amp; $BV$88 &amp; $BJ58),0)),"",INDIRECT(CONCATENATE("Table!",ADDRESS($BN58,MATCH(AF$1,INDIRECT("Table!A" &amp; $BJ58):INDIRECT("Table!" &amp; $BV$88 &amp; $BJ58),0)))))/1024</f>
        <v>146.98808593749999</v>
      </c>
      <c r="AG58" s="709">
        <f ca="1">IF(ISERROR(MATCH(AG$1,INDIRECT("Table!A"&amp;$BJ58):INDIRECT("Table!" &amp; $BV$88 &amp; $BJ58),0)),"",INDIRECT(CONCATENATE("Table!",ADDRESS($BN58,MATCH(AG$1,INDIRECT("Table!A" &amp; $BJ58):INDIRECT("Table!" &amp; $BV$88 &amp; $BJ58),0)))))/1024</f>
        <v>177.73222656249999</v>
      </c>
      <c r="AH58" s="709">
        <f ca="1">IF(ISERROR(MATCH(AH$1,INDIRECT("Table!A"&amp;$BJ58):INDIRECT("Table!" &amp; $BV$88 &amp; $BJ58),0)),"",INDIRECT(CONCATENATE("Table!",ADDRESS($BN58,MATCH(AH$1,INDIRECT("Table!A" &amp; $BJ58):INDIRECT("Table!" &amp; $BV$88 &amp; $BJ58),0)))))/1024</f>
        <v>161.57470703125</v>
      </c>
      <c r="AI58" s="709">
        <f ca="1">IF(ISERROR(MATCH(AI$1,INDIRECT("Table!A"&amp;$BJ58):INDIRECT("Table!" &amp; $BV$88 &amp; $BJ58),0)),"",INDIRECT(CONCATENATE("Table!",ADDRESS($BN58,MATCH(AI$1,INDIRECT("Table!A" &amp; $BJ58):INDIRECT("Table!" &amp; $BV$88 &amp; $BJ58),0)))))/1024</f>
        <v>129.03515625</v>
      </c>
      <c r="AJ58" s="709">
        <f ca="1">IF(ISERROR(MATCH(AJ$1,INDIRECT("Table!A"&amp;$BJ58):INDIRECT("Table!" &amp; $BV$88 &amp; $BJ58),0)),"",INDIRECT(CONCATENATE("Table!",ADDRESS($BN58,MATCH(AJ$1,INDIRECT("Table!A" &amp; $BJ58):INDIRECT("Table!" &amp; $BV$88 &amp; $BJ58),0)))))/1024</f>
        <v>118.4880859375</v>
      </c>
      <c r="AK58" s="709">
        <f ca="1">IF(ISERROR(MATCH(AK$1,INDIRECT("Table!A"&amp;$BJ58):INDIRECT("Table!" &amp; $BV$88 &amp; $BJ58),0)),"",INDIRECT(CONCATENATE("Table!",ADDRESS($BN58,MATCH(AK$1,INDIRECT("Table!A" &amp; $BJ58):INDIRECT("Table!" &amp; $BV$88 &amp; $BJ58),0)))))/1024</f>
        <v>162.18544921874999</v>
      </c>
      <c r="AL58" s="709"/>
      <c r="AM58" s="709"/>
      <c r="AN58" s="709">
        <f ca="1">IF(ISERROR(MATCH(AN$1,INDIRECT("Table!A"&amp;$BJ58):INDIRECT("Table!" &amp; $BV$88 &amp; $BJ58),0)),"",INDIRECT(CONCATENATE("Table!",ADDRESS($BN58,MATCH(AN$1,INDIRECT("Table!A" &amp; $BJ58):INDIRECT("Table!" &amp; $BV$88 &amp; $BJ58),0)))))/1024</f>
        <v>188.5029296875</v>
      </c>
      <c r="AO58" s="709">
        <f ca="1">IF(ISERROR(MATCH(AO$1,INDIRECT("Table!A"&amp;$BJ58):INDIRECT("Table!" &amp; $BV$88 &amp; $BJ58),0)),"",INDIRECT(CONCATENATE("Table!",ADDRESS($BN58,MATCH(AO$1,INDIRECT("Table!A" &amp; $BJ58):INDIRECT("Table!" &amp; $BV$88 &amp; $BJ58),0)))))/1024</f>
        <v>129.03535156250001</v>
      </c>
      <c r="AP58" s="709">
        <f ca="1">IF(ISERROR(MATCH(AP$1,INDIRECT("Table!A"&amp;$BJ58):INDIRECT("Table!" &amp; $BV$88 &amp; $BJ58),0)),"",INDIRECT(CONCATENATE("Table!",ADDRESS($BN58,MATCH(AP$1,INDIRECT("Table!A" &amp; $BJ58):INDIRECT("Table!" &amp; $BV$88 &amp; $BJ58),0)))))/1024</f>
        <v>80.787402343750003</v>
      </c>
      <c r="AQ58" s="709">
        <f ca="1">IF(ISERROR(MATCH(AQ$1,INDIRECT("Table!A"&amp;$BJ58):INDIRECT("Table!" &amp; $BV$88 &amp; $BJ58),0)),"",INDIRECT(CONCATENATE("Table!",ADDRESS($BN58,MATCH(AQ$1,INDIRECT("Table!A" &amp; $BJ58):INDIRECT("Table!" &amp; $BV$88 &amp; $BJ58),0)))))/1024</f>
        <v>172.34638671875001</v>
      </c>
      <c r="AR58" s="709">
        <f ca="1">IF(ISERROR(MATCH(AR$1,INDIRECT("Table!A"&amp;$BJ58):INDIRECT("Table!" &amp; $BV$88 &amp; $BJ58),0)),"",INDIRECT(CONCATENATE("Table!",ADDRESS($BN58,MATCH(AR$1,INDIRECT("Table!A" &amp; $BJ58):INDIRECT("Table!" &amp; $BV$88 &amp; $BJ58),0)))))/1024</f>
        <v>81.0927734375</v>
      </c>
      <c r="AS58" s="709"/>
      <c r="AT58" s="709"/>
      <c r="AU58" s="709">
        <f ca="1">IF(ISERROR(MATCH(AU$1,INDIRECT("Table!A"&amp;$BJ58):INDIRECT("Table!" &amp; $BV$88 &amp; $BJ58),0)),"",INDIRECT(CONCATENATE("Table!",ADDRESS($BN58,MATCH(AU$1,INDIRECT("Table!A" &amp; $BJ58):INDIRECT("Table!" &amp; $BV$88 &amp; $BJ58),0)))))/1024</f>
        <v>53.8583984375</v>
      </c>
      <c r="AV58" s="709">
        <f ca="1">IF(ISERROR(MATCH(AV$1,INDIRECT("Table!A"&amp;$BJ58):INDIRECT("Table!" &amp; $BV$88 &amp; $BJ58),0)),"",INDIRECT(CONCATENATE("Table!",ADDRESS($BN58,MATCH(AV$1,INDIRECT("Table!A" &amp; $BJ58):INDIRECT("Table!" &amp; $BV$88 &amp; $BJ58),0)))))/1024</f>
        <v>32.31494140625</v>
      </c>
      <c r="AW58" s="709"/>
      <c r="AX58" s="909"/>
      <c r="AY58" s="909"/>
      <c r="AZ58" s="909"/>
      <c r="BA58" s="909"/>
      <c r="BB58" s="909"/>
      <c r="BC58" s="909"/>
      <c r="BD58" s="909"/>
      <c r="BE58" s="909"/>
      <c r="BF58" s="704">
        <f>MATCH($A58,Table!$A:$A,0)+$BH$2-1</f>
        <v>727</v>
      </c>
      <c r="BG58" s="705"/>
      <c r="BH58" s="705"/>
      <c r="BI58" s="705"/>
      <c r="BJ58" s="717">
        <f>MATCH($A58,Table!$A:$A,0)+$BL$2-1</f>
        <v>725</v>
      </c>
      <c r="BK58" s="705"/>
      <c r="BL58" s="705"/>
      <c r="BM58" s="705"/>
      <c r="BN58" s="704">
        <f>MATCH($A58,Table!$A:$A,0)+$BP$2-1</f>
        <v>726</v>
      </c>
      <c r="BO58" s="705"/>
      <c r="BP58" s="705"/>
      <c r="BQ58" s="705"/>
      <c r="BR58" s="717">
        <f>MATCH($A58,Table!$A:$A,0)+$BL$2-1</f>
        <v>725</v>
      </c>
      <c r="BS58" s="705"/>
      <c r="BT58" s="705"/>
      <c r="BU58" s="705"/>
      <c r="BV58" s="711" t="s">
        <v>284</v>
      </c>
      <c r="BW58" s="712">
        <f t="shared" ca="1" si="12"/>
        <v>1920.96142578125</v>
      </c>
      <c r="BX58" s="712">
        <f t="shared" ca="1" si="46"/>
        <v>1017.1384765624999</v>
      </c>
      <c r="BY58" s="712">
        <f t="shared" ca="1" si="43"/>
        <v>903.82294921875007</v>
      </c>
      <c r="BZ58" s="718">
        <f t="shared" ca="1" si="44"/>
        <v>0.52949448276861277</v>
      </c>
      <c r="CA58" s="712">
        <f>SUMIF('Alloc Feed'!A:A,A:A,'Alloc Feed'!I:I)</f>
        <v>0</v>
      </c>
      <c r="CB58" s="718">
        <f t="shared" ca="1" si="42"/>
        <v>0</v>
      </c>
    </row>
    <row r="59" spans="1:80" s="267" customFormat="1" x14ac:dyDescent="0.25">
      <c r="A59" s="703">
        <v>41387</v>
      </c>
      <c r="B59" s="709">
        <f ca="1">IF(ISERROR(MATCH(B$1,INDIRECT("Table!A"&amp;$BJ59):INDIRECT("Table!" &amp; $BV$88 &amp; $BJ59),0)),"",INDIRECT(CONCATENATE("Table!",ADDRESS($BF59,MATCH(B$1,INDIRECT("Table!A" &amp; $BJ59):INDIRECT("Table!" &amp; $BV$88 &amp; $BJ59),0)))))/1024</f>
        <v>38.004492187499999</v>
      </c>
      <c r="C59" s="709">
        <f ca="1">IF(ISERROR(MATCH(C$1,INDIRECT("Table!A"&amp;$BJ59):INDIRECT("Table!" &amp; $BV$88 &amp; $BJ59),0)),"",INDIRECT(CONCATENATE("Table!",ADDRESS($BF59,MATCH(C$1,INDIRECT("Table!A" &amp; $BJ59):INDIRECT("Table!" &amp; $BV$88 &amp; $BJ59),0)))))/1024</f>
        <v>75.900292968749994</v>
      </c>
      <c r="D59" s="709">
        <f ca="1">IF(ISERROR(MATCH(D$1,INDIRECT("Table!A"&amp;$BJ59):INDIRECT("Table!" &amp; $BV$88 &amp; $BJ59),0)),"",INDIRECT(CONCATENATE("Table!",ADDRESS($BF59,MATCH(D$1,INDIRECT("Table!A" &amp; $BJ59):INDIRECT("Table!" &amp; $BV$88 &amp; $BJ59),0)))))/1024</f>
        <v>77.43310546875</v>
      </c>
      <c r="E59" s="709">
        <f ca="1">IF(ISERROR(MATCH(E$1,INDIRECT("Table!A"&amp;$BJ59):INDIRECT("Table!" &amp; $BV$88 &amp; $BJ59),0)),"",INDIRECT(CONCATENATE("Table!",ADDRESS($BF59,MATCH(E$1,INDIRECT("Table!A" &amp; $BJ59):INDIRECT("Table!" &amp; $BV$88 &amp; $BJ59),0)))))/1024</f>
        <v>153.89560546875001</v>
      </c>
      <c r="F59" s="709">
        <f ca="1">IF(ISERROR(MATCH(F$1,INDIRECT("Table!A"&amp;$BJ59):INDIRECT("Table!" &amp; $BV$88 &amp; $BJ59),0)),"",INDIRECT(CONCATENATE("Table!",ADDRESS($BF59,MATCH(F$1,INDIRECT("Table!A" &amp; $BJ59):INDIRECT("Table!" &amp; $BV$88 &amp; $BJ59),0)))))/1024</f>
        <v>94.177929687499997</v>
      </c>
      <c r="G59" s="709">
        <f ca="1">IF(ISERROR(MATCH(G$1,INDIRECT("Table!A"&amp;$BJ59):INDIRECT("Table!" &amp; $BV$88 &amp; $BJ59),0)),"",INDIRECT(CONCATENATE("Table!",ADDRESS($BF59,MATCH(G$1,INDIRECT("Table!A" &amp; $BJ59):INDIRECT("Table!" &amp; $BV$88 &amp; $BJ59),0)))))/1024</f>
        <v>51.995800781249997</v>
      </c>
      <c r="H59" s="709">
        <f ca="1">IF(ISERROR(MATCH(H$1,INDIRECT("Table!A"&amp;$BJ59):INDIRECT("Table!" &amp; $BV$88 &amp; $BJ59),0)),"",INDIRECT(CONCATENATE("Table!",ADDRESS($BF59,MATCH(H$1,INDIRECT("Table!A" &amp; $BJ59):INDIRECT("Table!" &amp; $BV$88 &amp; $BJ59),0)))))/1024</f>
        <v>81.075488281250003</v>
      </c>
      <c r="I59" s="709">
        <f ca="1">IF(ISERROR(MATCH(I$1,INDIRECT("Table!A"&amp;$BJ59):INDIRECT("Table!" &amp; $BV$88 &amp; $BJ59),0)),"",INDIRECT(CONCATENATE("Table!",ADDRESS($BF59,MATCH(I$1,INDIRECT("Table!A" &amp; $BJ59):INDIRECT("Table!" &amp; $BV$88 &amp; $BJ59),0)))))/1024</f>
        <v>6.6650390625</v>
      </c>
      <c r="J59" s="709"/>
      <c r="K59" s="709"/>
      <c r="L59" s="709">
        <f ca="1">IF(ISERROR(MATCH(L$1,INDIRECT("Table!A"&amp;$BJ59):INDIRECT("Table!" &amp; $BV$88 &amp; $BJ59),0)),"",INDIRECT(CONCATENATE("Table!",ADDRESS($BF59,MATCH(L$1,INDIRECT("Table!A" &amp; $BJ59):INDIRECT("Table!" &amp; $BV$88 &amp; $BJ59),0)))))/1024</f>
        <v>154.54091796874999</v>
      </c>
      <c r="M59" s="709">
        <f ca="1">IF(ISERROR(MATCH(M$1,INDIRECT("Table!A"&amp;$BJ59):INDIRECT("Table!" &amp; $BV$88 &amp; $BJ59),0)),"",INDIRECT(CONCATENATE("Table!",ADDRESS($BF59,MATCH(M$1,INDIRECT("Table!A" &amp; $BJ59):INDIRECT("Table!" &amp; $BV$88 &amp; $BJ59),0)))))/1024</f>
        <v>62.934277343749997</v>
      </c>
      <c r="N59" s="709">
        <f ca="1">IF(ISERROR(MATCH(N$1,INDIRECT("Table!A"&amp;$BJ59):INDIRECT("Table!" &amp; $BV$88 &amp; $BJ59),0)),"",INDIRECT(CONCATENATE("Table!",ADDRESS($BF59,MATCH(N$1,INDIRECT("Table!A" &amp; $BJ59):INDIRECT("Table!" &amp; $BV$88 &amp; $BJ59),0)))))/1024</f>
        <v>48.512597656250001</v>
      </c>
      <c r="O59" s="709">
        <f ca="1">IF(ISERROR(MATCH(O$1,INDIRECT("Table!A"&amp;$BJ59):INDIRECT("Table!" &amp; $BV$88 &amp; $BJ59),0)),"",INDIRECT(CONCATENATE("Table!",ADDRESS($BF59,MATCH(O$1,INDIRECT("Table!A" &amp; $BJ59):INDIRECT("Table!" &amp; $BV$88 &amp; $BJ59),0)))))/1024</f>
        <v>147.64970703124999</v>
      </c>
      <c r="P59" s="709">
        <f ca="1">IF(ISERROR(MATCH(P$1,INDIRECT("Table!A"&amp;$BJ59):INDIRECT("Table!" &amp; $BV$88 &amp; $BJ59),0)),"",INDIRECT(CONCATENATE("Table!",ADDRESS($BF59,MATCH(P$1,INDIRECT("Table!A" &amp; $BJ59):INDIRECT("Table!" &amp; $BV$88 &amp; $BJ59),0)))))/1024</f>
        <v>13.13720703125</v>
      </c>
      <c r="Q59" s="709"/>
      <c r="R59" s="709"/>
      <c r="S59" s="709">
        <f ca="1">IF(ISERROR(MATCH(S$1,INDIRECT("Table!A"&amp;$BJ59):INDIRECT("Table!" &amp; $BV$43 &amp; $BJ59),0)),"",INDIRECT(CONCATENATE("Table!",ADDRESS($BF59,MATCH(S$1,INDIRECT("Table!A" &amp; $BJ59):INDIRECT("Table!" &amp; $BV$43 &amp; $BJ59),0)))))/1024</f>
        <v>6.8283203124999998</v>
      </c>
      <c r="T59" s="709">
        <f ca="1">IF(ISERROR(MATCH(T$1,INDIRECT("Table!A"&amp;$BJ59):INDIRECT("Table!" &amp; $BV$43 &amp; $BJ59),0)),"",INDIRECT(CONCATENATE("Table!",ADDRESS($BF59,MATCH(T$1,INDIRECT("Table!A" &amp; $BJ59):INDIRECT("Table!" &amp; $BV$43 &amp; $BJ59),0)))))/1024</f>
        <v>3.3580078124999999</v>
      </c>
      <c r="U59" s="709"/>
      <c r="V59" s="909"/>
      <c r="W59" s="909"/>
      <c r="X59" s="909"/>
      <c r="Y59" s="909"/>
      <c r="Z59" s="909"/>
      <c r="AA59" s="909"/>
      <c r="AB59" s="909"/>
      <c r="AC59" s="709" t="str">
        <f ca="1">IF(ISERROR(MATCH(AC$1,INDIRECT("Table!A"&amp;$BJ59):INDIRECT("Table!" &amp; $BV$88 &amp; $BJ59),0)),"",INDIRECT(CONCATENATE("Table!",ADDRESS($BF59,MATCH(AC$1,INDIRECT("Table!A" &amp; $BJ59):INDIRECT("Table!" &amp; $BV$88 &amp; $BJ59),0)))))</f>
        <v/>
      </c>
      <c r="AD59" s="709">
        <f ca="1">IF(ISERROR(MATCH(AD$1,INDIRECT("Table!A"&amp;$BJ59):INDIRECT("Table!" &amp; $BV$88 &amp; $BJ59),0)),"",INDIRECT(CONCATENATE("Table!",ADDRESS($BN59,MATCH(AD$1,INDIRECT("Table!A" &amp; $BJ59):INDIRECT("Table!" &amp; $BV$88 &amp; $BJ59),0)))))/1024</f>
        <v>140.03144531250001</v>
      </c>
      <c r="AE59" s="709">
        <f ca="1">IF(ISERROR(MATCH(AE$1,INDIRECT("Table!A"&amp;$BJ59):INDIRECT("Table!" &amp; $BV$88 &amp; $BJ59),0)),"",INDIRECT(CONCATENATE("Table!",ADDRESS($BN59,MATCH(AE$1,INDIRECT("Table!A" &amp; $BJ59):INDIRECT("Table!" &amp; $BV$88 &amp; $BJ59),0)))))/1024</f>
        <v>146.98808593749999</v>
      </c>
      <c r="AF59" s="709">
        <f ca="1">IF(ISERROR(MATCH(AF$1,INDIRECT("Table!A"&amp;$BJ59):INDIRECT("Table!" &amp; $BV$88 &amp; $BJ59),0)),"",INDIRECT(CONCATENATE("Table!",ADDRESS($BN59,MATCH(AF$1,INDIRECT("Table!A" &amp; $BJ59):INDIRECT("Table!" &amp; $BV$88 &amp; $BJ59),0)))))/1024</f>
        <v>146.98808593749999</v>
      </c>
      <c r="AG59" s="709">
        <f ca="1">IF(ISERROR(MATCH(AG$1,INDIRECT("Table!A"&amp;$BJ59):INDIRECT("Table!" &amp; $BV$88 &amp; $BJ59),0)),"",INDIRECT(CONCATENATE("Table!",ADDRESS($BN59,MATCH(AG$1,INDIRECT("Table!A" &amp; $BJ59):INDIRECT("Table!" &amp; $BV$88 &amp; $BJ59),0)))))/1024</f>
        <v>177.73222656249999</v>
      </c>
      <c r="AH59" s="709">
        <f ca="1">IF(ISERROR(MATCH(AH$1,INDIRECT("Table!A"&amp;$BJ59):INDIRECT("Table!" &amp; $BV$88 &amp; $BJ59),0)),"",INDIRECT(CONCATENATE("Table!",ADDRESS($BN59,MATCH(AH$1,INDIRECT("Table!A" &amp; $BJ59):INDIRECT("Table!" &amp; $BV$88 &amp; $BJ59),0)))))/1024</f>
        <v>161.57470703125</v>
      </c>
      <c r="AI59" s="709">
        <f ca="1">IF(ISERROR(MATCH(AI$1,INDIRECT("Table!A"&amp;$BJ59):INDIRECT("Table!" &amp; $BV$88 &amp; $BJ59),0)),"",INDIRECT(CONCATENATE("Table!",ADDRESS($BN59,MATCH(AI$1,INDIRECT("Table!A" &amp; $BJ59):INDIRECT("Table!" &amp; $BV$88 &amp; $BJ59),0)))))/1024</f>
        <v>129.03515625</v>
      </c>
      <c r="AJ59" s="709">
        <f ca="1">IF(ISERROR(MATCH(AJ$1,INDIRECT("Table!A"&amp;$BJ59):INDIRECT("Table!" &amp; $BV$88 &amp; $BJ59),0)),"",INDIRECT(CONCATENATE("Table!",ADDRESS($BN59,MATCH(AJ$1,INDIRECT("Table!A" &amp; $BJ59):INDIRECT("Table!" &amp; $BV$88 &amp; $BJ59),0)))))/1024</f>
        <v>118.4880859375</v>
      </c>
      <c r="AK59" s="709">
        <f ca="1">IF(ISERROR(MATCH(AK$1,INDIRECT("Table!A"&amp;$BJ59):INDIRECT("Table!" &amp; $BV$88 &amp; $BJ59),0)),"",INDIRECT(CONCATENATE("Table!",ADDRESS($BN59,MATCH(AK$1,INDIRECT("Table!A" &amp; $BJ59):INDIRECT("Table!" &amp; $BV$88 &amp; $BJ59),0)))))/1024</f>
        <v>162.18544921874999</v>
      </c>
      <c r="AL59" s="709"/>
      <c r="AM59" s="709"/>
      <c r="AN59" s="709">
        <f ca="1">IF(ISERROR(MATCH(AN$1,INDIRECT("Table!A"&amp;$BJ59):INDIRECT("Table!" &amp; $BV$88 &amp; $BJ59),0)),"",INDIRECT(CONCATENATE("Table!",ADDRESS($BN59,MATCH(AN$1,INDIRECT("Table!A" &amp; $BJ59):INDIRECT("Table!" &amp; $BV$88 &amp; $BJ59),0)))))/1024</f>
        <v>188.5029296875</v>
      </c>
      <c r="AO59" s="709">
        <f ca="1">IF(ISERROR(MATCH(AO$1,INDIRECT("Table!A"&amp;$BJ59):INDIRECT("Table!" &amp; $BV$88 &amp; $BJ59),0)),"",INDIRECT(CONCATENATE("Table!",ADDRESS($BN59,MATCH(AO$1,INDIRECT("Table!A" &amp; $BJ59):INDIRECT("Table!" &amp; $BV$88 &amp; $BJ59),0)))))/1024</f>
        <v>129.03535156250001</v>
      </c>
      <c r="AP59" s="709">
        <f ca="1">IF(ISERROR(MATCH(AP$1,INDIRECT("Table!A"&amp;$BJ59):INDIRECT("Table!" &amp; $BV$88 &amp; $BJ59),0)),"",INDIRECT(CONCATENATE("Table!",ADDRESS($BN59,MATCH(AP$1,INDIRECT("Table!A" &amp; $BJ59):INDIRECT("Table!" &amp; $BV$88 &amp; $BJ59),0)))))/1024</f>
        <v>80.787402343750003</v>
      </c>
      <c r="AQ59" s="709">
        <f ca="1">IF(ISERROR(MATCH(AQ$1,INDIRECT("Table!A"&amp;$BJ59):INDIRECT("Table!" &amp; $BV$88 &amp; $BJ59),0)),"",INDIRECT(CONCATENATE("Table!",ADDRESS($BN59,MATCH(AQ$1,INDIRECT("Table!A" &amp; $BJ59):INDIRECT("Table!" &amp; $BV$88 &amp; $BJ59),0)))))/1024</f>
        <v>172.34638671875001</v>
      </c>
      <c r="AR59" s="709">
        <f ca="1">IF(ISERROR(MATCH(AR$1,INDIRECT("Table!A"&amp;$BJ59):INDIRECT("Table!" &amp; $BV$88 &amp; $BJ59),0)),"",INDIRECT(CONCATENATE("Table!",ADDRESS($BN59,MATCH(AR$1,INDIRECT("Table!A" &amp; $BJ59):INDIRECT("Table!" &amp; $BV$88 &amp; $BJ59),0)))))/1024</f>
        <v>81.0927734375</v>
      </c>
      <c r="AS59" s="709"/>
      <c r="AT59" s="709"/>
      <c r="AU59" s="709">
        <f ca="1">IF(ISERROR(MATCH(AU$1,INDIRECT("Table!A"&amp;$BJ59):INDIRECT("Table!" &amp; $BV$88 &amp; $BJ59),0)),"",INDIRECT(CONCATENATE("Table!",ADDRESS($BN59,MATCH(AU$1,INDIRECT("Table!A" &amp; $BJ59):INDIRECT("Table!" &amp; $BV$88 &amp; $BJ59),0)))))/1024</f>
        <v>53.8583984375</v>
      </c>
      <c r="AV59" s="709">
        <f ca="1">IF(ISERROR(MATCH(AV$1,INDIRECT("Table!A"&amp;$BJ59):INDIRECT("Table!" &amp; $BV$88 &amp; $BJ59),0)),"",INDIRECT(CONCATENATE("Table!",ADDRESS($BN59,MATCH(AV$1,INDIRECT("Table!A" &amp; $BJ59):INDIRECT("Table!" &amp; $BV$88 &amp; $BJ59),0)))))/1024</f>
        <v>32.31494140625</v>
      </c>
      <c r="AW59" s="709"/>
      <c r="AX59" s="909"/>
      <c r="AY59" s="909"/>
      <c r="AZ59" s="909"/>
      <c r="BA59" s="909"/>
      <c r="BB59" s="909"/>
      <c r="BC59" s="909"/>
      <c r="BD59" s="909"/>
      <c r="BE59" s="909"/>
      <c r="BF59" s="704">
        <f>MATCH($A59,Table!$A:$A,0)+$BH$2-1</f>
        <v>739</v>
      </c>
      <c r="BG59" s="705"/>
      <c r="BH59" s="705"/>
      <c r="BI59" s="705"/>
      <c r="BJ59" s="717">
        <f>MATCH($A59,Table!$A:$A,0)+$BL$2-1</f>
        <v>737</v>
      </c>
      <c r="BK59" s="705"/>
      <c r="BL59" s="705"/>
      <c r="BM59" s="705"/>
      <c r="BN59" s="704">
        <f>MATCH($A59,Table!$A:$A,0)+$BP$2-1</f>
        <v>738</v>
      </c>
      <c r="BO59" s="705"/>
      <c r="BP59" s="705"/>
      <c r="BQ59" s="705"/>
      <c r="BR59" s="717">
        <f>MATCH($A59,Table!$A:$A,0)+$BL$2-1</f>
        <v>737</v>
      </c>
      <c r="BS59" s="705"/>
      <c r="BT59" s="705"/>
      <c r="BU59" s="705"/>
      <c r="BV59" s="711" t="s">
        <v>284</v>
      </c>
      <c r="BW59" s="712">
        <f t="shared" ca="1" si="12"/>
        <v>1920.96142578125</v>
      </c>
      <c r="BX59" s="712">
        <f t="shared" ca="1" si="46"/>
        <v>1016.1087890625</v>
      </c>
      <c r="BY59" s="712">
        <f t="shared" ca="1" si="43"/>
        <v>904.85263671874998</v>
      </c>
      <c r="BZ59" s="718">
        <f t="shared" ca="1" si="44"/>
        <v>0.52895845560732757</v>
      </c>
      <c r="CA59" s="712">
        <f>SUMIF('Alloc Feed'!A:A,A:A,'Alloc Feed'!I:I)</f>
        <v>0</v>
      </c>
      <c r="CB59" s="718">
        <f t="shared" ca="1" si="42"/>
        <v>0</v>
      </c>
    </row>
    <row r="60" spans="1:80" s="267" customFormat="1" x14ac:dyDescent="0.25">
      <c r="A60" s="703">
        <v>41383</v>
      </c>
      <c r="B60" s="709">
        <f ca="1">IF(ISERROR(MATCH(B$1,INDIRECT("Table!A"&amp;$BJ60):INDIRECT("Table!" &amp; $BV$88 &amp; $BJ60),0)),"",INDIRECT(CONCATENATE("Table!",ADDRESS($BF60,MATCH(B$1,INDIRECT("Table!A" &amp; $BJ60):INDIRECT("Table!" &amp; $BV$88 &amp; $BJ60),0)))))/1024</f>
        <v>36.761035156250003</v>
      </c>
      <c r="C60" s="709">
        <f ca="1">IF(ISERROR(MATCH(C$1,INDIRECT("Table!A"&amp;$BJ60):INDIRECT("Table!" &amp; $BV$88 &amp; $BJ60),0)),"",INDIRECT(CONCATENATE("Table!",ADDRESS($BF60,MATCH(C$1,INDIRECT("Table!A" &amp; $BJ60):INDIRECT("Table!" &amp; $BV$88 &amp; $BJ60),0)))))/1024</f>
        <v>75.864355468750006</v>
      </c>
      <c r="D60" s="709">
        <f ca="1">IF(ISERROR(MATCH(D$1,INDIRECT("Table!A"&amp;$BJ60):INDIRECT("Table!" &amp; $BV$88 &amp; $BJ60),0)),"",INDIRECT(CONCATENATE("Table!",ADDRESS($BF60,MATCH(D$1,INDIRECT("Table!A" &amp; $BJ60):INDIRECT("Table!" &amp; $BV$88 &amp; $BJ60),0)))))/1024</f>
        <v>77.241796875000006</v>
      </c>
      <c r="E60" s="709">
        <f ca="1">IF(ISERROR(MATCH(E$1,INDIRECT("Table!A"&amp;$BJ60):INDIRECT("Table!" &amp; $BV$88 &amp; $BJ60),0)),"",INDIRECT(CONCATENATE("Table!",ADDRESS($BF60,MATCH(E$1,INDIRECT("Table!A" &amp; $BJ60):INDIRECT("Table!" &amp; $BV$88 &amp; $BJ60),0)))))/1024</f>
        <v>153.79658203125001</v>
      </c>
      <c r="F60" s="709">
        <f ca="1">IF(ISERROR(MATCH(F$1,INDIRECT("Table!A"&amp;$BJ60):INDIRECT("Table!" &amp; $BV$88 &amp; $BJ60),0)),"",INDIRECT(CONCATENATE("Table!",ADDRESS($BF60,MATCH(F$1,INDIRECT("Table!A" &amp; $BJ60):INDIRECT("Table!" &amp; $BV$88 &amp; $BJ60),0)))))/1024</f>
        <v>93.66943359375</v>
      </c>
      <c r="G60" s="709">
        <f ca="1">IF(ISERROR(MATCH(G$1,INDIRECT("Table!A"&amp;$BJ60):INDIRECT("Table!" &amp; $BV$88 &amp; $BJ60),0)),"",INDIRECT(CONCATENATE("Table!",ADDRESS($BF60,MATCH(G$1,INDIRECT("Table!A" &amp; $BJ60):INDIRECT("Table!" &amp; $BV$88 &amp; $BJ60),0)))))/1024</f>
        <v>49.321582031250003</v>
      </c>
      <c r="H60" s="709">
        <f ca="1">IF(ISERROR(MATCH(H$1,INDIRECT("Table!A"&amp;$BJ60):INDIRECT("Table!" &amp; $BV$88 &amp; $BJ60),0)),"",INDIRECT(CONCATENATE("Table!",ADDRESS($BF60,MATCH(H$1,INDIRECT("Table!A" &amp; $BJ60):INDIRECT("Table!" &amp; $BV$88 &amp; $BJ60),0)))))/1024</f>
        <v>76.269335937500003</v>
      </c>
      <c r="I60" s="709">
        <f ca="1">IF(ISERROR(MATCH(I$1,INDIRECT("Table!A"&amp;$BJ60):INDIRECT("Table!" &amp; $BV$88 &amp; $BJ60),0)),"",INDIRECT(CONCATENATE("Table!",ADDRESS($BF60,MATCH(I$1,INDIRECT("Table!A" &amp; $BJ60):INDIRECT("Table!" &amp; $BV$88 &amp; $BJ60),0)))))/1024</f>
        <v>6.6550781250000002</v>
      </c>
      <c r="J60" s="709"/>
      <c r="K60" s="709"/>
      <c r="L60" s="709">
        <f ca="1">IF(ISERROR(MATCH(L$1,INDIRECT("Table!A"&amp;$BJ60):INDIRECT("Table!" &amp; $BV$88 &amp; $BJ60),0)),"",INDIRECT(CONCATENATE("Table!",ADDRESS($BF60,MATCH(L$1,INDIRECT("Table!A" &amp; $BJ60):INDIRECT("Table!" &amp; $BV$88 &amp; $BJ60),0)))))/1024</f>
        <v>153.09843749999999</v>
      </c>
      <c r="M60" s="709">
        <f ca="1">IF(ISERROR(MATCH(M$1,INDIRECT("Table!A"&amp;$BJ60):INDIRECT("Table!" &amp; $BV$88 &amp; $BJ60),0)),"",INDIRECT(CONCATENATE("Table!",ADDRESS($BF60,MATCH(M$1,INDIRECT("Table!A" &amp; $BJ60):INDIRECT("Table!" &amp; $BV$88 &amp; $BJ60),0)))))/1024</f>
        <v>53.958789062500003</v>
      </c>
      <c r="N60" s="709">
        <f ca="1">IF(ISERROR(MATCH(N$1,INDIRECT("Table!A"&amp;$BJ60):INDIRECT("Table!" &amp; $BV$88 &amp; $BJ60),0)),"",INDIRECT(CONCATENATE("Table!",ADDRESS($BF60,MATCH(N$1,INDIRECT("Table!A" &amp; $BJ60):INDIRECT("Table!" &amp; $BV$88 &amp; $BJ60),0)))))/1024</f>
        <v>48.050683593750001</v>
      </c>
      <c r="O60" s="709">
        <f ca="1">IF(ISERROR(MATCH(O$1,INDIRECT("Table!A"&amp;$BJ60):INDIRECT("Table!" &amp; $BV$88 &amp; $BJ60),0)),"",INDIRECT(CONCATENATE("Table!",ADDRESS($BF60,MATCH(O$1,INDIRECT("Table!A" &amp; $BJ60):INDIRECT("Table!" &amp; $BV$88 &amp; $BJ60),0)))))/1024</f>
        <v>139.94492187500001</v>
      </c>
      <c r="P60" s="709">
        <f ca="1">IF(ISERROR(MATCH(P$1,INDIRECT("Table!A"&amp;$BJ60):INDIRECT("Table!" &amp; $BV$88 &amp; $BJ60),0)),"",INDIRECT(CONCATENATE("Table!",ADDRESS($BF60,MATCH(P$1,INDIRECT("Table!A" &amp; $BJ60):INDIRECT("Table!" &amp; $BV$88 &amp; $BJ60),0)))))/1024</f>
        <v>13.11728515625</v>
      </c>
      <c r="Q60" s="709"/>
      <c r="R60" s="709"/>
      <c r="S60" s="709">
        <f ca="1">IF(ISERROR(MATCH(S$1,INDIRECT("Table!A"&amp;$BJ60):INDIRECT("Table!" &amp; $BV$43 &amp; $BJ60),0)),"",INDIRECT(CONCATENATE("Table!",ADDRESS($BF60,MATCH(S$1,INDIRECT("Table!A" &amp; $BJ60):INDIRECT("Table!" &amp; $BV$43 &amp; $BJ60),0)))))/1024</f>
        <v>6.8271484375</v>
      </c>
      <c r="T60" s="709">
        <f ca="1">IF(ISERROR(MATCH(T$1,INDIRECT("Table!A"&amp;$BJ60):INDIRECT("Table!" &amp; $BV$43 &amp; $BJ60),0)),"",INDIRECT(CONCATENATE("Table!",ADDRESS($BF60,MATCH(T$1,INDIRECT("Table!A" &amp; $BJ60):INDIRECT("Table!" &amp; $BV$43 &amp; $BJ60),0)))))/1024</f>
        <v>3.3580078124999999</v>
      </c>
      <c r="U60" s="709"/>
      <c r="V60" s="909"/>
      <c r="W60" s="909"/>
      <c r="X60" s="909"/>
      <c r="Y60" s="909"/>
      <c r="Z60" s="909"/>
      <c r="AA60" s="909"/>
      <c r="AB60" s="909"/>
      <c r="AC60" s="709" t="str">
        <f ca="1">IF(ISERROR(MATCH(AC$1,INDIRECT("Table!A"&amp;$BJ60):INDIRECT("Table!" &amp; $BV$88 &amp; $BJ60),0)),"",INDIRECT(CONCATENATE("Table!",ADDRESS($BF60,MATCH(AC$1,INDIRECT("Table!A" &amp; $BJ60):INDIRECT("Table!" &amp; $BV$88 &amp; $BJ60),0)))))</f>
        <v/>
      </c>
      <c r="AD60" s="709">
        <f ca="1">IF(ISERROR(MATCH(AD$1,INDIRECT("Table!A"&amp;$BJ60):INDIRECT("Table!" &amp; $BV$88 &amp; $BJ60),0)),"",INDIRECT(CONCATENATE("Table!",ADDRESS($BN60,MATCH(AD$1,INDIRECT("Table!A" &amp; $BJ60):INDIRECT("Table!" &amp; $BV$88 &amp; $BJ60),0)))))/1024</f>
        <v>140.03144531250001</v>
      </c>
      <c r="AE60" s="709">
        <f ca="1">IF(ISERROR(MATCH(AE$1,INDIRECT("Table!A"&amp;$BJ60):INDIRECT("Table!" &amp; $BV$88 &amp; $BJ60),0)),"",INDIRECT(CONCATENATE("Table!",ADDRESS($BN60,MATCH(AE$1,INDIRECT("Table!A" &amp; $BJ60):INDIRECT("Table!" &amp; $BV$88 &amp; $BJ60),0)))))/1024</f>
        <v>146.98808593749999</v>
      </c>
      <c r="AF60" s="709">
        <f ca="1">IF(ISERROR(MATCH(AF$1,INDIRECT("Table!A"&amp;$BJ60):INDIRECT("Table!" &amp; $BV$88 &amp; $BJ60),0)),"",INDIRECT(CONCATENATE("Table!",ADDRESS($BN60,MATCH(AF$1,INDIRECT("Table!A" &amp; $BJ60):INDIRECT("Table!" &amp; $BV$88 &amp; $BJ60),0)))))/1024</f>
        <v>146.98808593749999</v>
      </c>
      <c r="AG60" s="709">
        <f ca="1">IF(ISERROR(MATCH(AG$1,INDIRECT("Table!A"&amp;$BJ60):INDIRECT("Table!" &amp; $BV$88 &amp; $BJ60),0)),"",INDIRECT(CONCATENATE("Table!",ADDRESS($BN60,MATCH(AG$1,INDIRECT("Table!A" &amp; $BJ60):INDIRECT("Table!" &amp; $BV$88 &amp; $BJ60),0)))))/1024</f>
        <v>177.73222656249999</v>
      </c>
      <c r="AH60" s="709">
        <f ca="1">IF(ISERROR(MATCH(AH$1,INDIRECT("Table!A"&amp;$BJ60):INDIRECT("Table!" &amp; $BV$88 &amp; $BJ60),0)),"",INDIRECT(CONCATENATE("Table!",ADDRESS($BN60,MATCH(AH$1,INDIRECT("Table!A" &amp; $BJ60):INDIRECT("Table!" &amp; $BV$88 &amp; $BJ60),0)))))/1024</f>
        <v>161.57470703125</v>
      </c>
      <c r="AI60" s="709">
        <f ca="1">IF(ISERROR(MATCH(AI$1,INDIRECT("Table!A"&amp;$BJ60):INDIRECT("Table!" &amp; $BV$88 &amp; $BJ60),0)),"",INDIRECT(CONCATENATE("Table!",ADDRESS($BN60,MATCH(AI$1,INDIRECT("Table!A" &amp; $BJ60):INDIRECT("Table!" &amp; $BV$88 &amp; $BJ60),0)))))/1024</f>
        <v>129.03515625</v>
      </c>
      <c r="AJ60" s="709">
        <f ca="1">IF(ISERROR(MATCH(AJ$1,INDIRECT("Table!A"&amp;$BJ60):INDIRECT("Table!" &amp; $BV$88 &amp; $BJ60),0)),"",INDIRECT(CONCATENATE("Table!",ADDRESS($BN60,MATCH(AJ$1,INDIRECT("Table!A" &amp; $BJ60):INDIRECT("Table!" &amp; $BV$88 &amp; $BJ60),0)))))/1024</f>
        <v>118.4880859375</v>
      </c>
      <c r="AK60" s="709">
        <f ca="1">IF(ISERROR(MATCH(AK$1,INDIRECT("Table!A"&amp;$BJ60):INDIRECT("Table!" &amp; $BV$88 &amp; $BJ60),0)),"",INDIRECT(CONCATENATE("Table!",ADDRESS($BN60,MATCH(AK$1,INDIRECT("Table!A" &amp; $BJ60):INDIRECT("Table!" &amp; $BV$88 &amp; $BJ60),0)))))/1024</f>
        <v>162.18544921874999</v>
      </c>
      <c r="AL60" s="709"/>
      <c r="AM60" s="709"/>
      <c r="AN60" s="709">
        <f ca="1">IF(ISERROR(MATCH(AN$1,INDIRECT("Table!A"&amp;$BJ60):INDIRECT("Table!" &amp; $BV$88 &amp; $BJ60),0)),"",INDIRECT(CONCATENATE("Table!",ADDRESS($BN60,MATCH(AN$1,INDIRECT("Table!A" &amp; $BJ60):INDIRECT("Table!" &amp; $BV$88 &amp; $BJ60),0)))))/1024</f>
        <v>188.5029296875</v>
      </c>
      <c r="AO60" s="709">
        <f ca="1">IF(ISERROR(MATCH(AO$1,INDIRECT("Table!A"&amp;$BJ60):INDIRECT("Table!" &amp; $BV$88 &amp; $BJ60),0)),"",INDIRECT(CONCATENATE("Table!",ADDRESS($BN60,MATCH(AO$1,INDIRECT("Table!A" &amp; $BJ60):INDIRECT("Table!" &amp; $BV$88 &amp; $BJ60),0)))))/1024</f>
        <v>129.03535156250001</v>
      </c>
      <c r="AP60" s="709">
        <f ca="1">IF(ISERROR(MATCH(AP$1,INDIRECT("Table!A"&amp;$BJ60):INDIRECT("Table!" &amp; $BV$88 &amp; $BJ60),0)),"",INDIRECT(CONCATENATE("Table!",ADDRESS($BN60,MATCH(AP$1,INDIRECT("Table!A" &amp; $BJ60):INDIRECT("Table!" &amp; $BV$88 &amp; $BJ60),0)))))/1024</f>
        <v>80.787402343750003</v>
      </c>
      <c r="AQ60" s="709">
        <f ca="1">IF(ISERROR(MATCH(AQ$1,INDIRECT("Table!A"&amp;$BJ60):INDIRECT("Table!" &amp; $BV$88 &amp; $BJ60),0)),"",INDIRECT(CONCATENATE("Table!",ADDRESS($BN60,MATCH(AQ$1,INDIRECT("Table!A" &amp; $BJ60):INDIRECT("Table!" &amp; $BV$88 &amp; $BJ60),0)))))/1024</f>
        <v>172.34638671875001</v>
      </c>
      <c r="AR60" s="709">
        <f ca="1">IF(ISERROR(MATCH(AR$1,INDIRECT("Table!A"&amp;$BJ60):INDIRECT("Table!" &amp; $BV$88 &amp; $BJ60),0)),"",INDIRECT(CONCATENATE("Table!",ADDRESS($BN60,MATCH(AR$1,INDIRECT("Table!A" &amp; $BJ60):INDIRECT("Table!" &amp; $BV$88 &amp; $BJ60),0)))))/1024</f>
        <v>81.0927734375</v>
      </c>
      <c r="AS60" s="709"/>
      <c r="AT60" s="709"/>
      <c r="AU60" s="709">
        <f ca="1">IF(ISERROR(MATCH(AU$1,INDIRECT("Table!A"&amp;$BJ60):INDIRECT("Table!" &amp; $BV$88 &amp; $BJ60),0)),"",INDIRECT(CONCATENATE("Table!",ADDRESS($BN60,MATCH(AU$1,INDIRECT("Table!A" &amp; $BJ60):INDIRECT("Table!" &amp; $BV$88 &amp; $BJ60),0)))))/1024</f>
        <v>53.8583984375</v>
      </c>
      <c r="AV60" s="709">
        <f ca="1">IF(ISERROR(MATCH(AV$1,INDIRECT("Table!A"&amp;$BJ60):INDIRECT("Table!" &amp; $BV$88 &amp; $BJ60),0)),"",INDIRECT(CONCATENATE("Table!",ADDRESS($BN60,MATCH(AV$1,INDIRECT("Table!A" &amp; $BJ60):INDIRECT("Table!" &amp; $BV$88 &amp; $BJ60),0)))))/1024</f>
        <v>32.31494140625</v>
      </c>
      <c r="AW60" s="709"/>
      <c r="AX60" s="909"/>
      <c r="AY60" s="909"/>
      <c r="AZ60" s="909"/>
      <c r="BA60" s="909"/>
      <c r="BB60" s="909"/>
      <c r="BC60" s="909"/>
      <c r="BD60" s="909"/>
      <c r="BE60" s="909"/>
      <c r="BF60" s="704">
        <f>MATCH($A60,Table!$A:$A,0)+$BH$2-1</f>
        <v>751</v>
      </c>
      <c r="BG60" s="705"/>
      <c r="BH60" s="705"/>
      <c r="BI60" s="705"/>
      <c r="BJ60" s="717">
        <f>MATCH($A60,Table!$A:$A,0)+$BL$2-1</f>
        <v>749</v>
      </c>
      <c r="BK60" s="705"/>
      <c r="BL60" s="705"/>
      <c r="BM60" s="705"/>
      <c r="BN60" s="704">
        <f>MATCH($A60,Table!$A:$A,0)+$BP$2-1</f>
        <v>750</v>
      </c>
      <c r="BO60" s="705"/>
      <c r="BP60" s="705"/>
      <c r="BQ60" s="705"/>
      <c r="BR60" s="717">
        <f>MATCH($A60,Table!$A:$A,0)+$BL$2-1</f>
        <v>749</v>
      </c>
      <c r="BS60" s="705"/>
      <c r="BT60" s="705"/>
      <c r="BU60" s="705"/>
      <c r="BV60" s="711" t="s">
        <v>284</v>
      </c>
      <c r="BW60" s="712">
        <f t="shared" ca="1" si="12"/>
        <v>1920.96142578125</v>
      </c>
      <c r="BX60" s="712">
        <f t="shared" ca="1" si="46"/>
        <v>987.93447265625014</v>
      </c>
      <c r="BY60" s="712">
        <f t="shared" ca="1" si="43"/>
        <v>933.02695312499986</v>
      </c>
      <c r="BZ60" s="718">
        <f t="shared" ca="1" si="44"/>
        <v>0.51429167675996401</v>
      </c>
      <c r="CA60" s="712">
        <f>SUMIF('Alloc Feed'!A:A,A:A,'Alloc Feed'!I:I)</f>
        <v>0</v>
      </c>
      <c r="CB60" s="718">
        <f t="shared" ca="1" si="42"/>
        <v>0</v>
      </c>
    </row>
    <row r="61" spans="1:80" s="267" customFormat="1" x14ac:dyDescent="0.25">
      <c r="A61" s="703">
        <v>41379</v>
      </c>
      <c r="B61" s="709">
        <f ca="1">IF(ISERROR(MATCH(B$1,INDIRECT("Table!A"&amp;$BJ61):INDIRECT("Table!" &amp; $BV$88 &amp; $BJ61),0)),"",INDIRECT(CONCATENATE("Table!",ADDRESS($BF61,MATCH(B$1,INDIRECT("Table!A" &amp; $BJ61):INDIRECT("Table!" &amp; $BV$88 &amp; $BJ61),0)))))/1024</f>
        <v>36.913378906250003</v>
      </c>
      <c r="C61" s="709">
        <f ca="1">IF(ISERROR(MATCH(C$1,INDIRECT("Table!A"&amp;$BJ61):INDIRECT("Table!" &amp; $BV$88 &amp; $BJ61),0)),"",INDIRECT(CONCATENATE("Table!",ADDRESS($BF61,MATCH(C$1,INDIRECT("Table!A" &amp; $BJ61):INDIRECT("Table!" &amp; $BV$88 &amp; $BJ61),0)))))/1024</f>
        <v>75.795703125000003</v>
      </c>
      <c r="D61" s="709">
        <f ca="1">IF(ISERROR(MATCH(D$1,INDIRECT("Table!A"&amp;$BJ61):INDIRECT("Table!" &amp; $BV$88 &amp; $BJ61),0)),"",INDIRECT(CONCATENATE("Table!",ADDRESS($BF61,MATCH(D$1,INDIRECT("Table!A" &amp; $BJ61):INDIRECT("Table!" &amp; $BV$88 &amp; $BJ61),0)))))/1024</f>
        <v>77.173242187499994</v>
      </c>
      <c r="E61" s="709">
        <f ca="1">IF(ISERROR(MATCH(E$1,INDIRECT("Table!A"&amp;$BJ61):INDIRECT("Table!" &amp; $BV$88 &amp; $BJ61),0)),"",INDIRECT(CONCATENATE("Table!",ADDRESS($BF61,MATCH(E$1,INDIRECT("Table!A" &amp; $BJ61):INDIRECT("Table!" &amp; $BV$88 &amp; $BJ61),0)))))/1024</f>
        <v>153.662109375</v>
      </c>
      <c r="F61" s="709">
        <f ca="1">IF(ISERROR(MATCH(F$1,INDIRECT("Table!A"&amp;$BJ61):INDIRECT("Table!" &amp; $BV$88 &amp; $BJ61),0)),"",INDIRECT(CONCATENATE("Table!",ADDRESS($BF61,MATCH(F$1,INDIRECT("Table!A" &amp; $BJ61):INDIRECT("Table!" &amp; $BV$88 &amp; $BJ61),0)))))/1024</f>
        <v>91.659863281249997</v>
      </c>
      <c r="G61" s="709">
        <f ca="1">IF(ISERROR(MATCH(G$1,INDIRECT("Table!A"&amp;$BJ61):INDIRECT("Table!" &amp; $BV$88 &amp; $BJ61),0)),"",INDIRECT(CONCATENATE("Table!",ADDRESS($BF61,MATCH(G$1,INDIRECT("Table!A" &amp; $BJ61):INDIRECT("Table!" &amp; $BV$88 &amp; $BJ61),0)))))/1024</f>
        <v>50.501757812500003</v>
      </c>
      <c r="H61" s="709">
        <f ca="1">IF(ISERROR(MATCH(H$1,INDIRECT("Table!A"&amp;$BJ61):INDIRECT("Table!" &amp; $BV$88 &amp; $BJ61),0)),"",INDIRECT(CONCATENATE("Table!",ADDRESS($BF61,MATCH(H$1,INDIRECT("Table!A" &amp; $BJ61):INDIRECT("Table!" &amp; $BV$88 &amp; $BJ61),0)))))/1024</f>
        <v>76.172070312499997</v>
      </c>
      <c r="I61" s="709">
        <f ca="1">IF(ISERROR(MATCH(I$1,INDIRECT("Table!A"&amp;$BJ61):INDIRECT("Table!" &amp; $BV$88 &amp; $BJ61),0)),"",INDIRECT(CONCATENATE("Table!",ADDRESS($BF61,MATCH(I$1,INDIRECT("Table!A" &amp; $BJ61):INDIRECT("Table!" &amp; $BV$88 &amp; $BJ61),0)))))/1024</f>
        <v>6.5491210937500002</v>
      </c>
      <c r="J61" s="709"/>
      <c r="K61" s="709"/>
      <c r="L61" s="709">
        <f ca="1">IF(ISERROR(MATCH(L$1,INDIRECT("Table!A"&amp;$BJ61):INDIRECT("Table!" &amp; $BV$88 &amp; $BJ61),0)),"",INDIRECT(CONCATENATE("Table!",ADDRESS($BF61,MATCH(L$1,INDIRECT("Table!A" &amp; $BJ61):INDIRECT("Table!" &amp; $BV$88 &amp; $BJ61),0)))))/1024</f>
        <v>153.09843749999999</v>
      </c>
      <c r="M61" s="709">
        <f ca="1">IF(ISERROR(MATCH(M$1,INDIRECT("Table!A"&amp;$BJ61):INDIRECT("Table!" &amp; $BV$88 &amp; $BJ61),0)),"",INDIRECT(CONCATENATE("Table!",ADDRESS($BF61,MATCH(M$1,INDIRECT("Table!A" &amp; $BJ61):INDIRECT("Table!" &amp; $BV$88 &amp; $BJ61),0)))))/1024</f>
        <v>53.958789062500003</v>
      </c>
      <c r="N61" s="709">
        <f ca="1">IF(ISERROR(MATCH(N$1,INDIRECT("Table!A"&amp;$BJ61):INDIRECT("Table!" &amp; $BV$88 &amp; $BJ61),0)),"",INDIRECT(CONCATENATE("Table!",ADDRESS($BF61,MATCH(N$1,INDIRECT("Table!A" &amp; $BJ61):INDIRECT("Table!" &amp; $BV$88 &amp; $BJ61),0)))))/1024</f>
        <v>48.050683593750001</v>
      </c>
      <c r="O61" s="709">
        <f ca="1">IF(ISERROR(MATCH(O$1,INDIRECT("Table!A"&amp;$BJ61):INDIRECT("Table!" &amp; $BV$88 &amp; $BJ61),0)),"",INDIRECT(CONCATENATE("Table!",ADDRESS($BF61,MATCH(O$1,INDIRECT("Table!A" &amp; $BJ61):INDIRECT("Table!" &amp; $BV$88 &amp; $BJ61),0)))))/1024</f>
        <v>139.94492187500001</v>
      </c>
      <c r="P61" s="709">
        <f ca="1">IF(ISERROR(MATCH(P$1,INDIRECT("Table!A"&amp;$BJ61):INDIRECT("Table!" &amp; $BV$88 &amp; $BJ61),0)),"",INDIRECT(CONCATENATE("Table!",ADDRESS($BF61,MATCH(P$1,INDIRECT("Table!A" &amp; $BJ61):INDIRECT("Table!" &amp; $BV$88 &amp; $BJ61),0)))))/1024</f>
        <v>12.91650390625</v>
      </c>
      <c r="Q61" s="709"/>
      <c r="R61" s="709"/>
      <c r="S61" s="709">
        <f ca="1">IF(ISERROR(MATCH(S$1,INDIRECT("Table!A"&amp;$BJ61):INDIRECT("Table!" &amp; $BV$43 &amp; $BJ61),0)),"",INDIRECT(CONCATENATE("Table!",ADDRESS($BF61,MATCH(S$1,INDIRECT("Table!A" &amp; $BJ61):INDIRECT("Table!" &amp; $BV$43 &amp; $BJ61),0)))))/1024</f>
        <v>6.8128906249999996</v>
      </c>
      <c r="T61" s="709">
        <f ca="1">IF(ISERROR(MATCH(T$1,INDIRECT("Table!A"&amp;$BJ61):INDIRECT("Table!" &amp; $BV$43 &amp; $BJ61),0)),"",INDIRECT(CONCATENATE("Table!",ADDRESS($BF61,MATCH(T$1,INDIRECT("Table!A" &amp; $BJ61):INDIRECT("Table!" &amp; $BV$43 &amp; $BJ61),0)))))/1024</f>
        <v>3.3546874999999998</v>
      </c>
      <c r="U61" s="709"/>
      <c r="V61" s="909"/>
      <c r="W61" s="909"/>
      <c r="X61" s="909"/>
      <c r="Y61" s="909"/>
      <c r="Z61" s="909"/>
      <c r="AA61" s="909"/>
      <c r="AB61" s="909"/>
      <c r="AC61" s="709" t="str">
        <f ca="1">IF(ISERROR(MATCH(AC$1,INDIRECT("Table!A"&amp;$BJ61):INDIRECT("Table!" &amp; $BV$88 &amp; $BJ61),0)),"",INDIRECT(CONCATENATE("Table!",ADDRESS($BF61,MATCH(AC$1,INDIRECT("Table!A" &amp; $BJ61):INDIRECT("Table!" &amp; $BV$88 &amp; $BJ61),0)))))</f>
        <v/>
      </c>
      <c r="AD61" s="709">
        <f ca="1">IF(ISERROR(MATCH(AD$1,INDIRECT("Table!A"&amp;$BJ61):INDIRECT("Table!" &amp; $BV$88 &amp; $BJ61),0)),"",INDIRECT(CONCATENATE("Table!",ADDRESS($BN61,MATCH(AD$1,INDIRECT("Table!A" &amp; $BJ61):INDIRECT("Table!" &amp; $BV$88 &amp; $BJ61),0)))))/1024</f>
        <v>140.03144531250001</v>
      </c>
      <c r="AE61" s="709">
        <f ca="1">IF(ISERROR(MATCH(AE$1,INDIRECT("Table!A"&amp;$BJ61):INDIRECT("Table!" &amp; $BV$88 &amp; $BJ61),0)),"",INDIRECT(CONCATENATE("Table!",ADDRESS($BN61,MATCH(AE$1,INDIRECT("Table!A" &amp; $BJ61):INDIRECT("Table!" &amp; $BV$88 &amp; $BJ61),0)))))/1024</f>
        <v>146.98808593749999</v>
      </c>
      <c r="AF61" s="709">
        <f ca="1">IF(ISERROR(MATCH(AF$1,INDIRECT("Table!A"&amp;$BJ61):INDIRECT("Table!" &amp; $BV$88 &amp; $BJ61),0)),"",INDIRECT(CONCATENATE("Table!",ADDRESS($BN61,MATCH(AF$1,INDIRECT("Table!A" &amp; $BJ61):INDIRECT("Table!" &amp; $BV$88 &amp; $BJ61),0)))))/1024</f>
        <v>146.98808593749999</v>
      </c>
      <c r="AG61" s="709">
        <f ca="1">IF(ISERROR(MATCH(AG$1,INDIRECT("Table!A"&amp;$BJ61):INDIRECT("Table!" &amp; $BV$88 &amp; $BJ61),0)),"",INDIRECT(CONCATENATE("Table!",ADDRESS($BN61,MATCH(AG$1,INDIRECT("Table!A" &amp; $BJ61):INDIRECT("Table!" &amp; $BV$88 &amp; $BJ61),0)))))/1024</f>
        <v>177.73222656249999</v>
      </c>
      <c r="AH61" s="709">
        <f ca="1">IF(ISERROR(MATCH(AH$1,INDIRECT("Table!A"&amp;$BJ61):INDIRECT("Table!" &amp; $BV$88 &amp; $BJ61),0)),"",INDIRECT(CONCATENATE("Table!",ADDRESS($BN61,MATCH(AH$1,INDIRECT("Table!A" &amp; $BJ61):INDIRECT("Table!" &amp; $BV$88 &amp; $BJ61),0)))))/1024</f>
        <v>161.57470703125</v>
      </c>
      <c r="AI61" s="709">
        <f ca="1">IF(ISERROR(MATCH(AI$1,INDIRECT("Table!A"&amp;$BJ61):INDIRECT("Table!" &amp; $BV$88 &amp; $BJ61),0)),"",INDIRECT(CONCATENATE("Table!",ADDRESS($BN61,MATCH(AI$1,INDIRECT("Table!A" &amp; $BJ61):INDIRECT("Table!" &amp; $BV$88 &amp; $BJ61),0)))))/1024</f>
        <v>129.03515625</v>
      </c>
      <c r="AJ61" s="709">
        <f ca="1">IF(ISERROR(MATCH(AJ$1,INDIRECT("Table!A"&amp;$BJ61):INDIRECT("Table!" &amp; $BV$88 &amp; $BJ61),0)),"",INDIRECT(CONCATENATE("Table!",ADDRESS($BN61,MATCH(AJ$1,INDIRECT("Table!A" &amp; $BJ61):INDIRECT("Table!" &amp; $BV$88 &amp; $BJ61),0)))))/1024</f>
        <v>118.4880859375</v>
      </c>
      <c r="AK61" s="709">
        <f ca="1">IF(ISERROR(MATCH(AK$1,INDIRECT("Table!A"&amp;$BJ61):INDIRECT("Table!" &amp; $BV$88 &amp; $BJ61),0)),"",INDIRECT(CONCATENATE("Table!",ADDRESS($BN61,MATCH(AK$1,INDIRECT("Table!A" &amp; $BJ61):INDIRECT("Table!" &amp; $BV$88 &amp; $BJ61),0)))))/1024</f>
        <v>162.18544921874999</v>
      </c>
      <c r="AL61" s="709"/>
      <c r="AM61" s="709"/>
      <c r="AN61" s="709">
        <f ca="1">IF(ISERROR(MATCH(AN$1,INDIRECT("Table!A"&amp;$BJ61):INDIRECT("Table!" &amp; $BV$88 &amp; $BJ61),0)),"",INDIRECT(CONCATENATE("Table!",ADDRESS($BN61,MATCH(AN$1,INDIRECT("Table!A" &amp; $BJ61):INDIRECT("Table!" &amp; $BV$88 &amp; $BJ61),0)))))/1024</f>
        <v>188.5029296875</v>
      </c>
      <c r="AO61" s="709">
        <f ca="1">IF(ISERROR(MATCH(AO$1,INDIRECT("Table!A"&amp;$BJ61):INDIRECT("Table!" &amp; $BV$88 &amp; $BJ61),0)),"",INDIRECT(CONCATENATE("Table!",ADDRESS($BN61,MATCH(AO$1,INDIRECT("Table!A" &amp; $BJ61):INDIRECT("Table!" &amp; $BV$88 &amp; $BJ61),0)))))/1024</f>
        <v>129.03535156250001</v>
      </c>
      <c r="AP61" s="709">
        <f ca="1">IF(ISERROR(MATCH(AP$1,INDIRECT("Table!A"&amp;$BJ61):INDIRECT("Table!" &amp; $BV$88 &amp; $BJ61),0)),"",INDIRECT(CONCATENATE("Table!",ADDRESS($BN61,MATCH(AP$1,INDIRECT("Table!A" &amp; $BJ61):INDIRECT("Table!" &amp; $BV$88 &amp; $BJ61),0)))))/1024</f>
        <v>80.787402343750003</v>
      </c>
      <c r="AQ61" s="709">
        <f ca="1">IF(ISERROR(MATCH(AQ$1,INDIRECT("Table!A"&amp;$BJ61):INDIRECT("Table!" &amp; $BV$88 &amp; $BJ61),0)),"",INDIRECT(CONCATENATE("Table!",ADDRESS($BN61,MATCH(AQ$1,INDIRECT("Table!A" &amp; $BJ61):INDIRECT("Table!" &amp; $BV$88 &amp; $BJ61),0)))))/1024</f>
        <v>172.34638671875001</v>
      </c>
      <c r="AR61" s="709">
        <f ca="1">IF(ISERROR(MATCH(AR$1,INDIRECT("Table!A"&amp;$BJ61):INDIRECT("Table!" &amp; $BV$88 &amp; $BJ61),0)),"",INDIRECT(CONCATENATE("Table!",ADDRESS($BN61,MATCH(AR$1,INDIRECT("Table!A" &amp; $BJ61):INDIRECT("Table!" &amp; $BV$88 &amp; $BJ61),0)))))/1024</f>
        <v>81.0927734375</v>
      </c>
      <c r="AS61" s="709"/>
      <c r="AT61" s="709"/>
      <c r="AU61" s="709">
        <f ca="1">IF(ISERROR(MATCH(AU$1,INDIRECT("Table!A"&amp;$BJ61):INDIRECT("Table!" &amp; $BV$88 &amp; $BJ61),0)),"",INDIRECT(CONCATENATE("Table!",ADDRESS($BN61,MATCH(AU$1,INDIRECT("Table!A" &amp; $BJ61):INDIRECT("Table!" &amp; $BV$88 &amp; $BJ61),0)))))/1024</f>
        <v>53.8583984375</v>
      </c>
      <c r="AV61" s="709">
        <f ca="1">IF(ISERROR(MATCH(AV$1,INDIRECT("Table!A"&amp;$BJ61):INDIRECT("Table!" &amp; $BV$88 &amp; $BJ61),0)),"",INDIRECT(CONCATENATE("Table!",ADDRESS($BN61,MATCH(AV$1,INDIRECT("Table!A" &amp; $BJ61):INDIRECT("Table!" &amp; $BV$88 &amp; $BJ61),0)))))/1024</f>
        <v>32.31494140625</v>
      </c>
      <c r="AW61" s="709"/>
      <c r="AX61" s="909"/>
      <c r="AY61" s="909"/>
      <c r="AZ61" s="909"/>
      <c r="BA61" s="909"/>
      <c r="BB61" s="909"/>
      <c r="BC61" s="909"/>
      <c r="BD61" s="909"/>
      <c r="BE61" s="909"/>
      <c r="BF61" s="704">
        <f>MATCH($A61,Table!$A:$A,0)+$BH$2-1</f>
        <v>763</v>
      </c>
      <c r="BG61" s="705"/>
      <c r="BH61" s="705"/>
      <c r="BI61" s="705"/>
      <c r="BJ61" s="717">
        <f>MATCH($A61,Table!$A:$A,0)+$BL$2-1</f>
        <v>761</v>
      </c>
      <c r="BK61" s="705"/>
      <c r="BL61" s="705"/>
      <c r="BM61" s="705"/>
      <c r="BN61" s="704">
        <f>MATCH($A61,Table!$A:$A,0)+$BP$2-1</f>
        <v>762</v>
      </c>
      <c r="BO61" s="705"/>
      <c r="BP61" s="705"/>
      <c r="BQ61" s="705"/>
      <c r="BR61" s="717">
        <f>MATCH($A61,Table!$A:$A,0)+$BL$2-1</f>
        <v>761</v>
      </c>
      <c r="BS61" s="705"/>
      <c r="BT61" s="705"/>
      <c r="BU61" s="705"/>
      <c r="BV61" s="711" t="s">
        <v>284</v>
      </c>
      <c r="BW61" s="712">
        <f t="shared" ca="1" si="12"/>
        <v>1920.96142578125</v>
      </c>
      <c r="BX61" s="712">
        <f t="shared" ca="1" si="46"/>
        <v>986.56416015625007</v>
      </c>
      <c r="BY61" s="712">
        <f t="shared" ca="1" si="43"/>
        <v>934.39726562499993</v>
      </c>
      <c r="BZ61" s="718">
        <f t="shared" ca="1" si="44"/>
        <v>0.51357832953622007</v>
      </c>
      <c r="CA61" s="712">
        <f>SUMIF('Alloc Feed'!A:A,A:A,'Alloc Feed'!I:I)</f>
        <v>0</v>
      </c>
      <c r="CB61" s="718">
        <f t="shared" ca="1" si="42"/>
        <v>0</v>
      </c>
    </row>
    <row r="62" spans="1:80" s="267" customFormat="1" x14ac:dyDescent="0.25">
      <c r="A62" s="703">
        <v>41374</v>
      </c>
      <c r="B62" s="709">
        <f ca="1">IF(ISERROR(MATCH(B$1,INDIRECT("Table!A"&amp;$BJ62):INDIRECT("Table!" &amp; $BV$88 &amp; $BJ62),0)),"",INDIRECT(CONCATENATE("Table!",ADDRESS($BF62,MATCH(B$1,INDIRECT("Table!A" &amp; $BJ62):INDIRECT("Table!" &amp; $BV$88 &amp; $BJ62),0)))))/1024</f>
        <v>38.164843750000003</v>
      </c>
      <c r="C62" s="709">
        <f ca="1">IF(ISERROR(MATCH(C$1,INDIRECT("Table!A"&amp;$BJ62):INDIRECT("Table!" &amp; $BV$88 &amp; $BJ62),0)),"",INDIRECT(CONCATENATE("Table!",ADDRESS($BF62,MATCH(C$1,INDIRECT("Table!A" &amp; $BJ62):INDIRECT("Table!" &amp; $BV$88 &amp; $BJ62),0)))))/1024</f>
        <v>75.769140625000006</v>
      </c>
      <c r="D62" s="709">
        <f ca="1">IF(ISERROR(MATCH(D$1,INDIRECT("Table!A"&amp;$BJ62):INDIRECT("Table!" &amp; $BV$88 &amp; $BJ62),0)),"",INDIRECT(CONCATENATE("Table!",ADDRESS($BF62,MATCH(D$1,INDIRECT("Table!A" &amp; $BJ62):INDIRECT("Table!" &amp; $BV$88 &amp; $BJ62),0)))))/1024</f>
        <v>77.147070312500006</v>
      </c>
      <c r="E62" s="709">
        <f ca="1">IF(ISERROR(MATCH(E$1,INDIRECT("Table!A"&amp;$BJ62):INDIRECT("Table!" &amp; $BV$88 &amp; $BJ62),0)),"",INDIRECT(CONCATENATE("Table!",ADDRESS($BF62,MATCH(E$1,INDIRECT("Table!A" &amp; $BJ62):INDIRECT("Table!" &amp; $BV$88 &amp; $BJ62),0)))))/1024</f>
        <v>154.58457031250001</v>
      </c>
      <c r="F62" s="709">
        <f ca="1">IF(ISERROR(MATCH(F$1,INDIRECT("Table!A"&amp;$BJ62):INDIRECT("Table!" &amp; $BV$88 &amp; $BJ62),0)),"",INDIRECT(CONCATENATE("Table!",ADDRESS($BF62,MATCH(F$1,INDIRECT("Table!A" &amp; $BJ62):INDIRECT("Table!" &amp; $BV$88 &amp; $BJ62),0)))))/1024</f>
        <v>91.659863281249997</v>
      </c>
      <c r="G62" s="709">
        <f ca="1">IF(ISERROR(MATCH(G$1,INDIRECT("Table!A"&amp;$BJ62):INDIRECT("Table!" &amp; $BV$88 &amp; $BJ62),0)),"",INDIRECT(CONCATENATE("Table!",ADDRESS($BF62,MATCH(G$1,INDIRECT("Table!A" &amp; $BJ62):INDIRECT("Table!" &amp; $BV$88 &amp; $BJ62),0)))))/1024</f>
        <v>49.083984375</v>
      </c>
      <c r="H62" s="709">
        <f ca="1">IF(ISERROR(MATCH(H$1,INDIRECT("Table!A"&amp;$BJ62):INDIRECT("Table!" &amp; $BV$88 &amp; $BJ62),0)),"",INDIRECT(CONCATENATE("Table!",ADDRESS($BF62,MATCH(H$1,INDIRECT("Table!A" &amp; $BJ62):INDIRECT("Table!" &amp; $BV$88 &amp; $BJ62),0)))))/1024</f>
        <v>74.6220703125</v>
      </c>
      <c r="I62" s="709">
        <f ca="1">IF(ISERROR(MATCH(I$1,INDIRECT("Table!A"&amp;$BJ62):INDIRECT("Table!" &amp; $BV$88 &amp; $BJ62),0)),"",INDIRECT(CONCATENATE("Table!",ADDRESS($BF62,MATCH(I$1,INDIRECT("Table!A" &amp; $BJ62):INDIRECT("Table!" &amp; $BV$88 &amp; $BJ62),0)))))/1024</f>
        <v>6.5939453124999998</v>
      </c>
      <c r="J62" s="709"/>
      <c r="K62" s="709"/>
      <c r="L62" s="709">
        <f ca="1">IF(ISERROR(MATCH(L$1,INDIRECT("Table!A"&amp;$BJ62):INDIRECT("Table!" &amp; $BV$88 &amp; $BJ62),0)),"",INDIRECT(CONCATENATE("Table!",ADDRESS($BF62,MATCH(L$1,INDIRECT("Table!A" &amp; $BJ62):INDIRECT("Table!" &amp; $BV$88 &amp; $BJ62),0)))))/1024</f>
        <v>153.17500000000001</v>
      </c>
      <c r="M62" s="709">
        <f ca="1">IF(ISERROR(MATCH(M$1,INDIRECT("Table!A"&amp;$BJ62):INDIRECT("Table!" &amp; $BV$88 &amp; $BJ62),0)),"",INDIRECT(CONCATENATE("Table!",ADDRESS($BF62,MATCH(M$1,INDIRECT("Table!A" &amp; $BJ62):INDIRECT("Table!" &amp; $BV$88 &amp; $BJ62),0)))))/1024</f>
        <v>54.5908203125</v>
      </c>
      <c r="N62" s="709">
        <f ca="1">IF(ISERROR(MATCH(N$1,INDIRECT("Table!A"&amp;$BJ62):INDIRECT("Table!" &amp; $BV$88 &amp; $BJ62),0)),"",INDIRECT(CONCATENATE("Table!",ADDRESS($BF62,MATCH(N$1,INDIRECT("Table!A" &amp; $BJ62):INDIRECT("Table!" &amp; $BV$88 &amp; $BJ62),0)))))/1024</f>
        <v>47.493066406250001</v>
      </c>
      <c r="O62" s="709">
        <f ca="1">IF(ISERROR(MATCH(O$1,INDIRECT("Table!A"&amp;$BJ62):INDIRECT("Table!" &amp; $BV$88 &amp; $BJ62),0)),"",INDIRECT(CONCATENATE("Table!",ADDRESS($BF62,MATCH(O$1,INDIRECT("Table!A" &amp; $BJ62):INDIRECT("Table!" &amp; $BV$88 &amp; $BJ62),0)))))/1024</f>
        <v>135.02275390624999</v>
      </c>
      <c r="P62" s="709">
        <f ca="1">IF(ISERROR(MATCH(P$1,INDIRECT("Table!A"&amp;$BJ62):INDIRECT("Table!" &amp; $BV$88 &amp; $BJ62),0)),"",INDIRECT(CONCATENATE("Table!",ADDRESS($BF62,MATCH(P$1,INDIRECT("Table!A" &amp; $BJ62):INDIRECT("Table!" &amp; $BV$88 &amp; $BJ62),0)))))/1024</f>
        <v>12.65478515625</v>
      </c>
      <c r="Q62" s="709"/>
      <c r="R62" s="709"/>
      <c r="S62" s="709">
        <f ca="1">IF(ISERROR(MATCH(S$1,INDIRECT("Table!A"&amp;$BJ62):INDIRECT("Table!" &amp; $BV$43 &amp; $BJ62),0)),"",INDIRECT(CONCATENATE("Table!",ADDRESS($BF62,MATCH(S$1,INDIRECT("Table!A" &amp; $BJ62):INDIRECT("Table!" &amp; $BV$43 &amp; $BJ62),0)))))/1024</f>
        <v>6.7736328124999998</v>
      </c>
      <c r="T62" s="709">
        <f ca="1">IF(ISERROR(MATCH(T$1,INDIRECT("Table!A"&amp;$BJ62):INDIRECT("Table!" &amp; $BV$43 &amp; $BJ62),0)),"",INDIRECT(CONCATENATE("Table!",ADDRESS($BF62,MATCH(T$1,INDIRECT("Table!A" &amp; $BJ62):INDIRECT("Table!" &amp; $BV$43 &amp; $BJ62),0)))))/1024</f>
        <v>3.2506835937499998</v>
      </c>
      <c r="U62" s="709"/>
      <c r="V62" s="909"/>
      <c r="W62" s="909"/>
      <c r="X62" s="909"/>
      <c r="Y62" s="909"/>
      <c r="Z62" s="909"/>
      <c r="AA62" s="909"/>
      <c r="AB62" s="909"/>
      <c r="AC62" s="709" t="str">
        <f ca="1">IF(ISERROR(MATCH(AC$1,INDIRECT("Table!A"&amp;$BJ62):INDIRECT("Table!" &amp; $BV$88 &amp; $BJ62),0)),"",INDIRECT(CONCATENATE("Table!",ADDRESS($BF62,MATCH(AC$1,INDIRECT("Table!A" &amp; $BJ62):INDIRECT("Table!" &amp; $BV$88 &amp; $BJ62),0)))))</f>
        <v/>
      </c>
      <c r="AD62" s="709">
        <f ca="1">IF(ISERROR(MATCH(AD$1,INDIRECT("Table!A"&amp;$BJ62):INDIRECT("Table!" &amp; $BV$88 &amp; $BJ62),0)),"",INDIRECT(CONCATENATE("Table!",ADDRESS($BN62,MATCH(AD$1,INDIRECT("Table!A" &amp; $BJ62):INDIRECT("Table!" &amp; $BV$88 &amp; $BJ62),0)))))/1024</f>
        <v>140.03144531250001</v>
      </c>
      <c r="AE62" s="709">
        <f ca="1">IF(ISERROR(MATCH(AE$1,INDIRECT("Table!A"&amp;$BJ62):INDIRECT("Table!" &amp; $BV$88 &amp; $BJ62),0)),"",INDIRECT(CONCATENATE("Table!",ADDRESS($BN62,MATCH(AE$1,INDIRECT("Table!A" &amp; $BJ62):INDIRECT("Table!" &amp; $BV$88 &amp; $BJ62),0)))))/1024</f>
        <v>146.98808593749999</v>
      </c>
      <c r="AF62" s="709">
        <f ca="1">IF(ISERROR(MATCH(AF$1,INDIRECT("Table!A"&amp;$BJ62):INDIRECT("Table!" &amp; $BV$88 &amp; $BJ62),0)),"",INDIRECT(CONCATENATE("Table!",ADDRESS($BN62,MATCH(AF$1,INDIRECT("Table!A" &amp; $BJ62):INDIRECT("Table!" &amp; $BV$88 &amp; $BJ62),0)))))/1024</f>
        <v>146.98808593749999</v>
      </c>
      <c r="AG62" s="709">
        <f ca="1">IF(ISERROR(MATCH(AG$1,INDIRECT("Table!A"&amp;$BJ62):INDIRECT("Table!" &amp; $BV$88 &amp; $BJ62),0)),"",INDIRECT(CONCATENATE("Table!",ADDRESS($BN62,MATCH(AG$1,INDIRECT("Table!A" &amp; $BJ62):INDIRECT("Table!" &amp; $BV$88 &amp; $BJ62),0)))))/1024</f>
        <v>177.73222656249999</v>
      </c>
      <c r="AH62" s="709">
        <f ca="1">IF(ISERROR(MATCH(AH$1,INDIRECT("Table!A"&amp;$BJ62):INDIRECT("Table!" &amp; $BV$88 &amp; $BJ62),0)),"",INDIRECT(CONCATENATE("Table!",ADDRESS($BN62,MATCH(AH$1,INDIRECT("Table!A" &amp; $BJ62):INDIRECT("Table!" &amp; $BV$88 &amp; $BJ62),0)))))/1024</f>
        <v>161.57470703125</v>
      </c>
      <c r="AI62" s="709">
        <f ca="1">IF(ISERROR(MATCH(AI$1,INDIRECT("Table!A"&amp;$BJ62):INDIRECT("Table!" &amp; $BV$88 &amp; $BJ62),0)),"",INDIRECT(CONCATENATE("Table!",ADDRESS($BN62,MATCH(AI$1,INDIRECT("Table!A" &amp; $BJ62):INDIRECT("Table!" &amp; $BV$88 &amp; $BJ62),0)))))/1024</f>
        <v>129.03515625</v>
      </c>
      <c r="AJ62" s="709">
        <f ca="1">IF(ISERROR(MATCH(AJ$1,INDIRECT("Table!A"&amp;$BJ62):INDIRECT("Table!" &amp; $BV$88 &amp; $BJ62),0)),"",INDIRECT(CONCATENATE("Table!",ADDRESS($BN62,MATCH(AJ$1,INDIRECT("Table!A" &amp; $BJ62):INDIRECT("Table!" &amp; $BV$88 &amp; $BJ62),0)))))/1024</f>
        <v>118.4880859375</v>
      </c>
      <c r="AK62" s="709">
        <f ca="1">IF(ISERROR(MATCH(AK$1,INDIRECT("Table!A"&amp;$BJ62):INDIRECT("Table!" &amp; $BV$88 &amp; $BJ62),0)),"",INDIRECT(CONCATENATE("Table!",ADDRESS($BN62,MATCH(AK$1,INDIRECT("Table!A" &amp; $BJ62):INDIRECT("Table!" &amp; $BV$88 &amp; $BJ62),0)))))/1024</f>
        <v>162.18544921874999</v>
      </c>
      <c r="AL62" s="709"/>
      <c r="AM62" s="709"/>
      <c r="AN62" s="709">
        <f ca="1">IF(ISERROR(MATCH(AN$1,INDIRECT("Table!A"&amp;$BJ62):INDIRECT("Table!" &amp; $BV$88 &amp; $BJ62),0)),"",INDIRECT(CONCATENATE("Table!",ADDRESS($BN62,MATCH(AN$1,INDIRECT("Table!A" &amp; $BJ62):INDIRECT("Table!" &amp; $BV$88 &amp; $BJ62),0)))))/1024</f>
        <v>188.5029296875</v>
      </c>
      <c r="AO62" s="709">
        <f ca="1">IF(ISERROR(MATCH(AO$1,INDIRECT("Table!A"&amp;$BJ62):INDIRECT("Table!" &amp; $BV$88 &amp; $BJ62),0)),"",INDIRECT(CONCATENATE("Table!",ADDRESS($BN62,MATCH(AO$1,INDIRECT("Table!A" &amp; $BJ62):INDIRECT("Table!" &amp; $BV$88 &amp; $BJ62),0)))))/1024</f>
        <v>129.03535156250001</v>
      </c>
      <c r="AP62" s="709">
        <f ca="1">IF(ISERROR(MATCH(AP$1,INDIRECT("Table!A"&amp;$BJ62):INDIRECT("Table!" &amp; $BV$88 &amp; $BJ62),0)),"",INDIRECT(CONCATENATE("Table!",ADDRESS($BN62,MATCH(AP$1,INDIRECT("Table!A" &amp; $BJ62):INDIRECT("Table!" &amp; $BV$88 &amp; $BJ62),0)))))/1024</f>
        <v>80.787402343750003</v>
      </c>
      <c r="AQ62" s="709">
        <f ca="1">IF(ISERROR(MATCH(AQ$1,INDIRECT("Table!A"&amp;$BJ62):INDIRECT("Table!" &amp; $BV$88 &amp; $BJ62),0)),"",INDIRECT(CONCATENATE("Table!",ADDRESS($BN62,MATCH(AQ$1,INDIRECT("Table!A" &amp; $BJ62):INDIRECT("Table!" &amp; $BV$88 &amp; $BJ62),0)))))/1024</f>
        <v>172.34638671875001</v>
      </c>
      <c r="AR62" s="709">
        <f ca="1">IF(ISERROR(MATCH(AR$1,INDIRECT("Table!A"&amp;$BJ62):INDIRECT("Table!" &amp; $BV$88 &amp; $BJ62),0)),"",INDIRECT(CONCATENATE("Table!",ADDRESS($BN62,MATCH(AR$1,INDIRECT("Table!A" &amp; $BJ62):INDIRECT("Table!" &amp; $BV$88 &amp; $BJ62),0)))))/1024</f>
        <v>81.0927734375</v>
      </c>
      <c r="AS62" s="709"/>
      <c r="AT62" s="709"/>
      <c r="AU62" s="709">
        <f ca="1">IF(ISERROR(MATCH(AU$1,INDIRECT("Table!A"&amp;$BJ62):INDIRECT("Table!" &amp; $BV$88 &amp; $BJ62),0)),"",INDIRECT(CONCATENATE("Table!",ADDRESS($BN62,MATCH(AU$1,INDIRECT("Table!A" &amp; $BJ62):INDIRECT("Table!" &amp; $BV$88 &amp; $BJ62),0)))))/1024</f>
        <v>53.8583984375</v>
      </c>
      <c r="AV62" s="709">
        <f ca="1">IF(ISERROR(MATCH(AV$1,INDIRECT("Table!A"&amp;$BJ62):INDIRECT("Table!" &amp; $BV$88 &amp; $BJ62),0)),"",INDIRECT(CONCATENATE("Table!",ADDRESS($BN62,MATCH(AV$1,INDIRECT("Table!A" &amp; $BJ62):INDIRECT("Table!" &amp; $BV$88 &amp; $BJ62),0)))))/1024</f>
        <v>32.31494140625</v>
      </c>
      <c r="AW62" s="709"/>
      <c r="AX62" s="909"/>
      <c r="AY62" s="909"/>
      <c r="AZ62" s="909"/>
      <c r="BA62" s="909"/>
      <c r="BB62" s="909"/>
      <c r="BC62" s="909"/>
      <c r="BD62" s="909"/>
      <c r="BE62" s="909"/>
      <c r="BF62" s="704">
        <f>MATCH($A62,Table!$A:$A,0)+$BH$2-1</f>
        <v>775</v>
      </c>
      <c r="BG62" s="705"/>
      <c r="BH62" s="705"/>
      <c r="BI62" s="705"/>
      <c r="BJ62" s="717">
        <f>MATCH($A62,Table!$A:$A,0)+$BL$2-1</f>
        <v>773</v>
      </c>
      <c r="BK62" s="705"/>
      <c r="BL62" s="705"/>
      <c r="BM62" s="705"/>
      <c r="BN62" s="704">
        <f>MATCH($A62,Table!$A:$A,0)+$BP$2-1</f>
        <v>774</v>
      </c>
      <c r="BO62" s="705"/>
      <c r="BP62" s="705"/>
      <c r="BQ62" s="705"/>
      <c r="BR62" s="717">
        <f>MATCH($A62,Table!$A:$A,0)+$BL$2-1</f>
        <v>773</v>
      </c>
      <c r="BS62" s="705"/>
      <c r="BT62" s="705"/>
      <c r="BU62" s="705"/>
      <c r="BV62" s="711" t="s">
        <v>284</v>
      </c>
      <c r="BW62" s="712">
        <f t="shared" ca="1" si="12"/>
        <v>1920.96142578125</v>
      </c>
      <c r="BX62" s="712">
        <f t="shared" ca="1" si="46"/>
        <v>980.58623046874982</v>
      </c>
      <c r="BY62" s="712">
        <f t="shared" ca="1" si="43"/>
        <v>940.37519531250018</v>
      </c>
      <c r="BZ62" s="718">
        <f t="shared" ca="1" si="44"/>
        <v>0.51046638277494194</v>
      </c>
      <c r="CA62" s="712">
        <f>SUMIF('Alloc Feed'!A:A,A:A,'Alloc Feed'!I:I)</f>
        <v>0</v>
      </c>
      <c r="CB62" s="718">
        <f t="shared" ca="1" si="42"/>
        <v>0</v>
      </c>
    </row>
    <row r="63" spans="1:80" s="267" customFormat="1" x14ac:dyDescent="0.25">
      <c r="A63" s="703">
        <v>41373</v>
      </c>
      <c r="B63" s="709">
        <f ca="1">IF(ISERROR(MATCH(B$1,INDIRECT("Table!A"&amp;$BJ63):INDIRECT("Table!" &amp; $BV$88 &amp; $BJ63),0)),"",INDIRECT(CONCATENATE("Table!",ADDRESS($BF63,MATCH(B$1,INDIRECT("Table!A" &amp; $BJ63):INDIRECT("Table!" &amp; $BV$88 &amp; $BJ63),0)))))/1024</f>
        <v>39.106152343749997</v>
      </c>
      <c r="C63" s="709">
        <f ca="1">IF(ISERROR(MATCH(C$1,INDIRECT("Table!A"&amp;$BJ63):INDIRECT("Table!" &amp; $BV$88 &amp; $BJ63),0)),"",INDIRECT(CONCATENATE("Table!",ADDRESS($BF63,MATCH(C$1,INDIRECT("Table!A" &amp; $BJ63):INDIRECT("Table!" &amp; $BV$88 &amp; $BJ63),0)))))/1024</f>
        <v>75.759375000000006</v>
      </c>
      <c r="D63" s="709">
        <f ca="1">IF(ISERROR(MATCH(D$1,INDIRECT("Table!A"&amp;$BJ63):INDIRECT("Table!" &amp; $BV$88 &amp; $BJ63),0)),"",INDIRECT(CONCATENATE("Table!",ADDRESS($BF63,MATCH(D$1,INDIRECT("Table!A" &amp; $BJ63):INDIRECT("Table!" &amp; $BV$88 &amp; $BJ63),0)))))/1024</f>
        <v>77.137402343749997</v>
      </c>
      <c r="E63" s="709">
        <f ca="1">IF(ISERROR(MATCH(E$1,INDIRECT("Table!A"&amp;$BJ63):INDIRECT("Table!" &amp; $BV$88 &amp; $BJ63),0)),"",INDIRECT(CONCATENATE("Table!",ADDRESS($BF63,MATCH(E$1,INDIRECT("Table!A" &amp; $BJ63):INDIRECT("Table!" &amp; $BV$88 &amp; $BJ63),0)))))/1024</f>
        <v>154.51601562499999</v>
      </c>
      <c r="F63" s="709">
        <f ca="1">IF(ISERROR(MATCH(F$1,INDIRECT("Table!A"&amp;$BJ63):INDIRECT("Table!" &amp; $BV$88 &amp; $BJ63),0)),"",INDIRECT(CONCATENATE("Table!",ADDRESS($BF63,MATCH(F$1,INDIRECT("Table!A" &amp; $BJ63):INDIRECT("Table!" &amp; $BV$88 &amp; $BJ63),0)))))/1024</f>
        <v>91.514941406250003</v>
      </c>
      <c r="G63" s="709">
        <f ca="1">IF(ISERROR(MATCH(G$1,INDIRECT("Table!A"&amp;$BJ63):INDIRECT("Table!" &amp; $BV$88 &amp; $BJ63),0)),"",INDIRECT(CONCATENATE("Table!",ADDRESS($BF63,MATCH(G$1,INDIRECT("Table!A" &amp; $BJ63):INDIRECT("Table!" &amp; $BV$88 &amp; $BJ63),0)))))/1024</f>
        <v>49.552929687499997</v>
      </c>
      <c r="H63" s="709">
        <f ca="1">IF(ISERROR(MATCH(H$1,INDIRECT("Table!A"&amp;$BJ63):INDIRECT("Table!" &amp; $BV$88 &amp; $BJ63),0)),"",INDIRECT(CONCATENATE("Table!",ADDRESS($BF63,MATCH(H$1,INDIRECT("Table!A" &amp; $BJ63):INDIRECT("Table!" &amp; $BV$88 &amp; $BJ63),0)))))/1024</f>
        <v>74.125781250000003</v>
      </c>
      <c r="I63" s="709">
        <f ca="1">IF(ISERROR(MATCH(I$1,INDIRECT("Table!A"&amp;$BJ63):INDIRECT("Table!" &amp; $BV$88 &amp; $BJ63),0)),"",INDIRECT(CONCATENATE("Table!",ADDRESS($BF63,MATCH(I$1,INDIRECT("Table!A" &amp; $BJ63):INDIRECT("Table!" &amp; $BV$88 &amp; $BJ63),0)))))/1024</f>
        <v>6.3664062499999998</v>
      </c>
      <c r="J63" s="709"/>
      <c r="K63" s="709"/>
      <c r="L63" s="709">
        <f ca="1">IF(ISERROR(MATCH(L$1,INDIRECT("Table!A"&amp;$BJ63):INDIRECT("Table!" &amp; $BV$88 &amp; $BJ63),0)),"",INDIRECT(CONCATENATE("Table!",ADDRESS($BF63,MATCH(L$1,INDIRECT("Table!A" &amp; $BJ63):INDIRECT("Table!" &amp; $BV$88 &amp; $BJ63),0)))))/1024</f>
        <v>153.11464843749999</v>
      </c>
      <c r="M63" s="709">
        <f ca="1">IF(ISERROR(MATCH(M$1,INDIRECT("Table!A"&amp;$BJ63):INDIRECT("Table!" &amp; $BV$88 &amp; $BJ63),0)),"",INDIRECT(CONCATENATE("Table!",ADDRESS($BF63,MATCH(M$1,INDIRECT("Table!A" &amp; $BJ63):INDIRECT("Table!" &amp; $BV$88 &amp; $BJ63),0)))))/1024</f>
        <v>55.413281249999997</v>
      </c>
      <c r="N63" s="709">
        <f ca="1">IF(ISERROR(MATCH(N$1,INDIRECT("Table!A"&amp;$BJ63):INDIRECT("Table!" &amp; $BV$88 &amp; $BJ63),0)),"",INDIRECT(CONCATENATE("Table!",ADDRESS($BF63,MATCH(N$1,INDIRECT("Table!A" &amp; $BJ63):INDIRECT("Table!" &amp; $BV$88 &amp; $BJ63),0)))))/1024</f>
        <v>47.420312500000001</v>
      </c>
      <c r="O63" s="709">
        <f ca="1">IF(ISERROR(MATCH(O$1,INDIRECT("Table!A"&amp;$BJ63):INDIRECT("Table!" &amp; $BV$88 &amp; $BJ63),0)),"",INDIRECT(CONCATENATE("Table!",ADDRESS($BF63,MATCH(O$1,INDIRECT("Table!A" &amp; $BJ63):INDIRECT("Table!" &amp; $BV$88 &amp; $BJ63),0)))))/1024</f>
        <v>135.01162109374999</v>
      </c>
      <c r="P63" s="709">
        <f ca="1">IF(ISERROR(MATCH(P$1,INDIRECT("Table!A"&amp;$BJ63):INDIRECT("Table!" &amp; $BV$88 &amp; $BJ63),0)),"",INDIRECT(CONCATENATE("Table!",ADDRESS($BF63,MATCH(P$1,INDIRECT("Table!A" &amp; $BJ63):INDIRECT("Table!" &amp; $BV$88 &amp; $BJ63),0)))))/1024</f>
        <v>8.6953125</v>
      </c>
      <c r="Q63" s="709"/>
      <c r="R63" s="709"/>
      <c r="S63" s="709">
        <f ca="1">IF(ISERROR(MATCH(S$1,INDIRECT("Table!A"&amp;$BJ63):INDIRECT("Table!" &amp; $BV$43 &amp; $BJ63),0)),"",INDIRECT(CONCATENATE("Table!",ADDRESS($BF63,MATCH(S$1,INDIRECT("Table!A" &amp; $BJ63):INDIRECT("Table!" &amp; $BV$43 &amp; $BJ63),0)))))/1024</f>
        <v>4.3876953125</v>
      </c>
      <c r="T63" s="709">
        <f ca="1">IF(ISERROR(MATCH(T$1,INDIRECT("Table!A"&amp;$BJ63):INDIRECT("Table!" &amp; $BV$43 &amp; $BJ63),0)),"",INDIRECT(CONCATENATE("Table!",ADDRESS($BF63,MATCH(T$1,INDIRECT("Table!A" &amp; $BJ63):INDIRECT("Table!" &amp; $BV$43 &amp; $BJ63),0)))))/1024</f>
        <v>3.0754882812500002</v>
      </c>
      <c r="U63" s="709"/>
      <c r="V63" s="909"/>
      <c r="W63" s="909"/>
      <c r="X63" s="909"/>
      <c r="Y63" s="909"/>
      <c r="Z63" s="909"/>
      <c r="AA63" s="909"/>
      <c r="AB63" s="909"/>
      <c r="AC63" s="709" t="str">
        <f ca="1">IF(ISERROR(MATCH(AC$1,INDIRECT("Table!A"&amp;$BJ63):INDIRECT("Table!" &amp; $BV$88 &amp; $BJ63),0)),"",INDIRECT(CONCATENATE("Table!",ADDRESS($BF63,MATCH(AC$1,INDIRECT("Table!A" &amp; $BJ63):INDIRECT("Table!" &amp; $BV$88 &amp; $BJ63),0)))))</f>
        <v/>
      </c>
      <c r="AD63" s="709">
        <f ca="1">IF(ISERROR(MATCH(AD$1,INDIRECT("Table!A"&amp;$BJ63):INDIRECT("Table!" &amp; $BV$88 &amp; $BJ63),0)),"",INDIRECT(CONCATENATE("Table!",ADDRESS($BN63,MATCH(AD$1,INDIRECT("Table!A" &amp; $BJ63):INDIRECT("Table!" &amp; $BV$88 &amp; $BJ63),0)))))/1024</f>
        <v>140.03144531250001</v>
      </c>
      <c r="AE63" s="709">
        <f ca="1">IF(ISERROR(MATCH(AE$1,INDIRECT("Table!A"&amp;$BJ63):INDIRECT("Table!" &amp; $BV$88 &amp; $BJ63),0)),"",INDIRECT(CONCATENATE("Table!",ADDRESS($BN63,MATCH(AE$1,INDIRECT("Table!A" &amp; $BJ63):INDIRECT("Table!" &amp; $BV$88 &amp; $BJ63),0)))))/1024</f>
        <v>146.98808593749999</v>
      </c>
      <c r="AF63" s="709">
        <f ca="1">IF(ISERROR(MATCH(AF$1,INDIRECT("Table!A"&amp;$BJ63):INDIRECT("Table!" &amp; $BV$88 &amp; $BJ63),0)),"",INDIRECT(CONCATENATE("Table!",ADDRESS($BN63,MATCH(AF$1,INDIRECT("Table!A" &amp; $BJ63):INDIRECT("Table!" &amp; $BV$88 &amp; $BJ63),0)))))/1024</f>
        <v>146.98808593749999</v>
      </c>
      <c r="AG63" s="709">
        <f ca="1">IF(ISERROR(MATCH(AG$1,INDIRECT("Table!A"&amp;$BJ63):INDIRECT("Table!" &amp; $BV$88 &amp; $BJ63),0)),"",INDIRECT(CONCATENATE("Table!",ADDRESS($BN63,MATCH(AG$1,INDIRECT("Table!A" &amp; $BJ63):INDIRECT("Table!" &amp; $BV$88 &amp; $BJ63),0)))))/1024</f>
        <v>177.73222656249999</v>
      </c>
      <c r="AH63" s="709">
        <f ca="1">IF(ISERROR(MATCH(AH$1,INDIRECT("Table!A"&amp;$BJ63):INDIRECT("Table!" &amp; $BV$88 &amp; $BJ63),0)),"",INDIRECT(CONCATENATE("Table!",ADDRESS($BN63,MATCH(AH$1,INDIRECT("Table!A" &amp; $BJ63):INDIRECT("Table!" &amp; $BV$88 &amp; $BJ63),0)))))/1024</f>
        <v>161.57470703125</v>
      </c>
      <c r="AI63" s="709">
        <f ca="1">IF(ISERROR(MATCH(AI$1,INDIRECT("Table!A"&amp;$BJ63):INDIRECT("Table!" &amp; $BV$88 &amp; $BJ63),0)),"",INDIRECT(CONCATENATE("Table!",ADDRESS($BN63,MATCH(AI$1,INDIRECT("Table!A" &amp; $BJ63):INDIRECT("Table!" &amp; $BV$88 &amp; $BJ63),0)))))/1024</f>
        <v>129.03515625</v>
      </c>
      <c r="AJ63" s="709">
        <f ca="1">IF(ISERROR(MATCH(AJ$1,INDIRECT("Table!A"&amp;$BJ63):INDIRECT("Table!" &amp; $BV$88 &amp; $BJ63),0)),"",INDIRECT(CONCATENATE("Table!",ADDRESS($BN63,MATCH(AJ$1,INDIRECT("Table!A" &amp; $BJ63):INDIRECT("Table!" &amp; $BV$88 &amp; $BJ63),0)))))/1024</f>
        <v>118.4880859375</v>
      </c>
      <c r="AK63" s="709">
        <f ca="1">IF(ISERROR(MATCH(AK$1,INDIRECT("Table!A"&amp;$BJ63):INDIRECT("Table!" &amp; $BV$88 &amp; $BJ63),0)),"",INDIRECT(CONCATENATE("Table!",ADDRESS($BN63,MATCH(AK$1,INDIRECT("Table!A" &amp; $BJ63):INDIRECT("Table!" &amp; $BV$88 &amp; $BJ63),0)))))/1024</f>
        <v>162.18544921874999</v>
      </c>
      <c r="AL63" s="709"/>
      <c r="AM63" s="709"/>
      <c r="AN63" s="709">
        <f ca="1">IF(ISERROR(MATCH(AN$1,INDIRECT("Table!A"&amp;$BJ63):INDIRECT("Table!" &amp; $BV$88 &amp; $BJ63),0)),"",INDIRECT(CONCATENATE("Table!",ADDRESS($BN63,MATCH(AN$1,INDIRECT("Table!A" &amp; $BJ63):INDIRECT("Table!" &amp; $BV$88 &amp; $BJ63),0)))))/1024</f>
        <v>188.5029296875</v>
      </c>
      <c r="AO63" s="709">
        <f ca="1">IF(ISERROR(MATCH(AO$1,INDIRECT("Table!A"&amp;$BJ63):INDIRECT("Table!" &amp; $BV$88 &amp; $BJ63),0)),"",INDIRECT(CONCATENATE("Table!",ADDRESS($BN63,MATCH(AO$1,INDIRECT("Table!A" &amp; $BJ63):INDIRECT("Table!" &amp; $BV$88 &amp; $BJ63),0)))))/1024</f>
        <v>129.03535156250001</v>
      </c>
      <c r="AP63" s="709">
        <f ca="1">IF(ISERROR(MATCH(AP$1,INDIRECT("Table!A"&amp;$BJ63):INDIRECT("Table!" &amp; $BV$88 &amp; $BJ63),0)),"",INDIRECT(CONCATENATE("Table!",ADDRESS($BN63,MATCH(AP$1,INDIRECT("Table!A" &amp; $BJ63):INDIRECT("Table!" &amp; $BV$88 &amp; $BJ63),0)))))/1024</f>
        <v>80.787402343750003</v>
      </c>
      <c r="AQ63" s="709">
        <f ca="1">IF(ISERROR(MATCH(AQ$1,INDIRECT("Table!A"&amp;$BJ63):INDIRECT("Table!" &amp; $BV$88 &amp; $BJ63),0)),"",INDIRECT(CONCATENATE("Table!",ADDRESS($BN63,MATCH(AQ$1,INDIRECT("Table!A" &amp; $BJ63):INDIRECT("Table!" &amp; $BV$88 &amp; $BJ63),0)))))/1024</f>
        <v>172.34638671875001</v>
      </c>
      <c r="AR63" s="709">
        <f ca="1">IF(ISERROR(MATCH(AR$1,INDIRECT("Table!A"&amp;$BJ63):INDIRECT("Table!" &amp; $BV$88 &amp; $BJ63),0)),"",INDIRECT(CONCATENATE("Table!",ADDRESS($BN63,MATCH(AR$1,INDIRECT("Table!A" &amp; $BJ63):INDIRECT("Table!" &amp; $BV$88 &amp; $BJ63),0)))))/1024</f>
        <v>81.0927734375</v>
      </c>
      <c r="AS63" s="709"/>
      <c r="AT63" s="709"/>
      <c r="AU63" s="709">
        <f ca="1">IF(ISERROR(MATCH(AU$1,INDIRECT("Table!A"&amp;$BJ63):INDIRECT("Table!" &amp; $BV$88 &amp; $BJ63),0)),"",INDIRECT(CONCATENATE("Table!",ADDRESS($BN63,MATCH(AU$1,INDIRECT("Table!A" &amp; $BJ63):INDIRECT("Table!" &amp; $BV$88 &amp; $BJ63),0)))))/1024</f>
        <v>53.8583984375</v>
      </c>
      <c r="AV63" s="709">
        <f ca="1">IF(ISERROR(MATCH(AV$1,INDIRECT("Table!A"&amp;$BJ63):INDIRECT("Table!" &amp; $BV$88 &amp; $BJ63),0)),"",INDIRECT(CONCATENATE("Table!",ADDRESS($BN63,MATCH(AV$1,INDIRECT("Table!A" &amp; $BJ63):INDIRECT("Table!" &amp; $BV$88 &amp; $BJ63),0)))))/1024</f>
        <v>32.31494140625</v>
      </c>
      <c r="AW63" s="709"/>
      <c r="AX63" s="909"/>
      <c r="AY63" s="909"/>
      <c r="AZ63" s="909"/>
      <c r="BA63" s="909"/>
      <c r="BB63" s="909"/>
      <c r="BC63" s="909"/>
      <c r="BD63" s="909"/>
      <c r="BE63" s="909"/>
      <c r="BF63" s="704">
        <f>MATCH($A63,Table!$A:$A,0)+$BH$2-1</f>
        <v>787</v>
      </c>
      <c r="BG63" s="705"/>
      <c r="BH63" s="705"/>
      <c r="BI63" s="705"/>
      <c r="BJ63" s="717">
        <f>MATCH($A63,Table!$A:$A,0)+$BL$2-1</f>
        <v>785</v>
      </c>
      <c r="BK63" s="705"/>
      <c r="BL63" s="705"/>
      <c r="BM63" s="705"/>
      <c r="BN63" s="704">
        <f>MATCH($A63,Table!$A:$A,0)+$BP$2-1</f>
        <v>786</v>
      </c>
      <c r="BO63" s="705"/>
      <c r="BP63" s="705"/>
      <c r="BQ63" s="705"/>
      <c r="BR63" s="717">
        <f>MATCH($A63,Table!$A:$A,0)+$BL$2-1</f>
        <v>785</v>
      </c>
      <c r="BS63" s="705"/>
      <c r="BT63" s="705"/>
      <c r="BU63" s="705"/>
      <c r="BV63" s="711" t="s">
        <v>284</v>
      </c>
      <c r="BW63" s="712">
        <f t="shared" ca="1" si="12"/>
        <v>1920.96142578125</v>
      </c>
      <c r="BX63" s="712">
        <f t="shared" ca="1" si="46"/>
        <v>975.19736328125009</v>
      </c>
      <c r="BY63" s="712">
        <f t="shared" ca="1" si="43"/>
        <v>945.76406249999991</v>
      </c>
      <c r="BZ63" s="718">
        <f t="shared" ca="1" si="44"/>
        <v>0.50766108584644787</v>
      </c>
      <c r="CA63" s="712">
        <f>SUMIF('Alloc Feed'!A:A,A:A,'Alloc Feed'!I:I)</f>
        <v>0</v>
      </c>
      <c r="CB63" s="718">
        <f t="shared" ca="1" si="42"/>
        <v>0</v>
      </c>
    </row>
    <row r="64" spans="1:80" x14ac:dyDescent="0.25">
      <c r="A64" s="703">
        <v>41361</v>
      </c>
      <c r="B64" s="709">
        <f ca="1">IF(ISERROR(MATCH(B$1,INDIRECT("Table!A"&amp;$BJ64):INDIRECT("Table!" &amp; $BV$88 &amp; $BJ64),0)),"",INDIRECT(CONCATENATE("Table!",ADDRESS($BF64,MATCH(B$1,INDIRECT("Table!A" &amp; $BJ64):INDIRECT("Table!" &amp; $BV$88 &amp; $BJ64),0)))))/1024</f>
        <v>45.908007812500003</v>
      </c>
      <c r="C64" s="709">
        <f ca="1">IF(ISERROR(MATCH(C$1,INDIRECT("Table!A"&amp;$BJ64):INDIRECT("Table!" &amp; $BV$88 &amp; $BJ64),0)),"",INDIRECT(CONCATENATE("Table!",ADDRESS($BF64,MATCH(C$1,INDIRECT("Table!A" &amp; $BJ64):INDIRECT("Table!" &amp; $BV$88 &amp; $BJ64),0)))))/1024</f>
        <v>75.7236328125</v>
      </c>
      <c r="D64" s="709">
        <f ca="1">IF(ISERROR(MATCH(D$1,INDIRECT("Table!A"&amp;$BJ64):INDIRECT("Table!" &amp; $BV$88 &amp; $BJ64),0)),"",INDIRECT(CONCATENATE("Table!",ADDRESS($BF64,MATCH(D$1,INDIRECT("Table!A" &amp; $BJ64):INDIRECT("Table!" &amp; $BV$88 &amp; $BJ64),0)))))/1024</f>
        <v>77.102148437500006</v>
      </c>
      <c r="E64" s="709">
        <f ca="1">IF(ISERROR(MATCH(E$1,INDIRECT("Table!A"&amp;$BJ64):INDIRECT("Table!" &amp; $BV$88 &amp; $BJ64),0)),"",INDIRECT(CONCATENATE("Table!",ADDRESS($BF64,MATCH(E$1,INDIRECT("Table!A" &amp; $BJ64):INDIRECT("Table!" &amp; $BV$88 &amp; $BJ64),0)))))/1024</f>
        <v>153.91787109374999</v>
      </c>
      <c r="F64" s="709">
        <f ca="1">IF(ISERROR(MATCH(F$1,INDIRECT("Table!A"&amp;$BJ64):INDIRECT("Table!" &amp; $BV$88 &amp; $BJ64),0)),"",INDIRECT(CONCATENATE("Table!",ADDRESS($BF64,MATCH(F$1,INDIRECT("Table!A" &amp; $BJ64):INDIRECT("Table!" &amp; $BV$88 &amp; $BJ64),0)))))/1024</f>
        <v>86.633105468750003</v>
      </c>
      <c r="G64" s="709">
        <f ca="1">IF(ISERROR(MATCH(G$1,INDIRECT("Table!A"&amp;$BJ64):INDIRECT("Table!" &amp; $BV$88 &amp; $BJ64),0)),"",INDIRECT(CONCATENATE("Table!",ADDRESS($BF64,MATCH(G$1,INDIRECT("Table!A" &amp; $BJ64):INDIRECT("Table!" &amp; $BV$88 &amp; $BJ64),0)))))/1024</f>
        <v>47.360156250000003</v>
      </c>
      <c r="H64" s="709">
        <f ca="1">IF(ISERROR(MATCH(H$1,INDIRECT("Table!A"&amp;$BJ64):INDIRECT("Table!" &amp; $BV$88 &amp; $BJ64),0)),"",INDIRECT(CONCATENATE("Table!",ADDRESS($BF64,MATCH(H$1,INDIRECT("Table!A" &amp; $BJ64):INDIRECT("Table!" &amp; $BV$88 &amp; $BJ64),0)))))/1024</f>
        <v>70.6689453125</v>
      </c>
      <c r="I64" s="709">
        <f ca="1">IF(ISERROR(MATCH(I$1,INDIRECT("Table!A"&amp;$BJ64):INDIRECT("Table!" &amp; $BV$88 &amp; $BJ64),0)),"",INDIRECT(CONCATENATE("Table!",ADDRESS($BF64,MATCH(I$1,INDIRECT("Table!A" &amp; $BJ64):INDIRECT("Table!" &amp; $BV$88 &amp; $BJ64),0)))))/1024</f>
        <v>4.4387695312500002</v>
      </c>
      <c r="J64" s="709"/>
      <c r="K64" s="709"/>
      <c r="L64" s="709">
        <f ca="1">IF(ISERROR(MATCH(L$1,INDIRECT("Table!A"&amp;$BJ64):INDIRECT("Table!" &amp; $BV$88 &amp; $BJ64),0)),"",INDIRECT(CONCATENATE("Table!",ADDRESS($BF64,MATCH(L$1,INDIRECT("Table!A" &amp; $BJ64):INDIRECT("Table!" &amp; $BV$88 &amp; $BJ64),0)))))/1024</f>
        <v>152.31162109375001</v>
      </c>
      <c r="M64" s="709">
        <f ca="1">IF(ISERROR(MATCH(M$1,INDIRECT("Table!A"&amp;$BJ64):INDIRECT("Table!" &amp; $BV$88 &amp; $BJ64),0)),"",INDIRECT(CONCATENATE("Table!",ADDRESS($BF64,MATCH(M$1,INDIRECT("Table!A" &amp; $BJ64):INDIRECT("Table!" &amp; $BV$88 &amp; $BJ64),0)))))/1024</f>
        <v>63.481835937500001</v>
      </c>
      <c r="N64" s="709">
        <f ca="1">IF(ISERROR(MATCH(N$1,INDIRECT("Table!A"&amp;$BJ64):INDIRECT("Table!" &amp; $BV$88 &amp; $BJ64),0)),"",INDIRECT(CONCATENATE("Table!",ADDRESS($BF64,MATCH(N$1,INDIRECT("Table!A" &amp; $BJ64):INDIRECT("Table!" &amp; $BV$88 &amp; $BJ64),0)))))/1024</f>
        <v>44.94091796875</v>
      </c>
      <c r="O64" s="709">
        <f ca="1">IF(ISERROR(MATCH(O$1,INDIRECT("Table!A"&amp;$BJ64):INDIRECT("Table!" &amp; $BV$88 &amp; $BJ64),0)),"",INDIRECT(CONCATENATE("Table!",ADDRESS($BF64,MATCH(O$1,INDIRECT("Table!A" &amp; $BJ64):INDIRECT("Table!" &amp; $BV$88 &amp; $BJ64),0)))))/1024</f>
        <v>133.38525390625</v>
      </c>
      <c r="P64" s="709">
        <f ca="1">IF(ISERROR(MATCH(P$1,INDIRECT("Table!A"&amp;$BJ64):INDIRECT("Table!" &amp; $BV$88 &amp; $BJ64),0)),"",INDIRECT(CONCATENATE("Table!",ADDRESS($BF64,MATCH(P$1,INDIRECT("Table!A" &amp; $BJ64):INDIRECT("Table!" &amp; $BV$88 &amp; $BJ64),0)))))/1024</f>
        <v>8.6953125</v>
      </c>
      <c r="Q64" s="709"/>
      <c r="R64" s="709"/>
      <c r="S64" s="709">
        <f ca="1">IF(ISERROR(MATCH(S$1,INDIRECT("Table!A"&amp;$BJ64):INDIRECT("Table!" &amp; $BV$43 &amp; $BJ64),0)),"",INDIRECT(CONCATENATE("Table!",ADDRESS($BF64,MATCH(S$1,INDIRECT("Table!A" &amp; $BJ64):INDIRECT("Table!" &amp; $BV$43 &amp; $BJ64),0)))))/1024</f>
        <v>4.3876953125</v>
      </c>
      <c r="T64" s="709">
        <f ca="1">IF(ISERROR(MATCH(T$1,INDIRECT("Table!A"&amp;$BJ64):INDIRECT("Table!" &amp; $BV$43 &amp; $BJ64),0)),"",INDIRECT(CONCATENATE("Table!",ADDRESS($BF64,MATCH(T$1,INDIRECT("Table!A" &amp; $BJ64):INDIRECT("Table!" &amp; $BV$43 &amp; $BJ64),0)))))/1024</f>
        <v>3.0754882812500002</v>
      </c>
      <c r="U64" s="709"/>
      <c r="V64" s="909"/>
      <c r="W64" s="909"/>
      <c r="X64" s="909"/>
      <c r="Y64" s="909"/>
      <c r="Z64" s="909"/>
      <c r="AA64" s="909"/>
      <c r="AB64" s="909"/>
      <c r="AC64" s="709" t="str">
        <f ca="1">IF(ISERROR(MATCH(AC$1,INDIRECT("Table!A"&amp;$BJ64):INDIRECT("Table!" &amp; $BV$88 &amp; $BJ64),0)),"",INDIRECT(CONCATENATE("Table!",ADDRESS($BF64,MATCH(AC$1,INDIRECT("Table!A" &amp; $BJ64):INDIRECT("Table!" &amp; $BV$88 &amp; $BJ64),0)))))</f>
        <v/>
      </c>
      <c r="AD64" s="709">
        <f ca="1">IF(ISERROR(MATCH(AD$1,INDIRECT("Table!A"&amp;$BJ64):INDIRECT("Table!" &amp; $BV$88 &amp; $BJ64),0)),"",INDIRECT(CONCATENATE("Table!",ADDRESS($BN64,MATCH(AD$1,INDIRECT("Table!A" &amp; $BJ64):INDIRECT("Table!" &amp; $BV$88 &amp; $BJ64),0)))))/1024</f>
        <v>140.03144531250001</v>
      </c>
      <c r="AE64" s="709">
        <f ca="1">IF(ISERROR(MATCH(AE$1,INDIRECT("Table!A"&amp;$BJ64):INDIRECT("Table!" &amp; $BV$88 &amp; $BJ64),0)),"",INDIRECT(CONCATENATE("Table!",ADDRESS($BN64,MATCH(AE$1,INDIRECT("Table!A" &amp; $BJ64):INDIRECT("Table!" &amp; $BV$88 &amp; $BJ64),0)))))/1024</f>
        <v>146.98808593749999</v>
      </c>
      <c r="AF64" s="709">
        <f ca="1">IF(ISERROR(MATCH(AF$1,INDIRECT("Table!A"&amp;$BJ64):INDIRECT("Table!" &amp; $BV$88 &amp; $BJ64),0)),"",INDIRECT(CONCATENATE("Table!",ADDRESS($BN64,MATCH(AF$1,INDIRECT("Table!A" &amp; $BJ64):INDIRECT("Table!" &amp; $BV$88 &amp; $BJ64),0)))))/1024</f>
        <v>146.98808593749999</v>
      </c>
      <c r="AG64" s="709">
        <f ca="1">IF(ISERROR(MATCH(AG$1,INDIRECT("Table!A"&amp;$BJ64):INDIRECT("Table!" &amp; $BV$88 &amp; $BJ64),0)),"",INDIRECT(CONCATENATE("Table!",ADDRESS($BN64,MATCH(AG$1,INDIRECT("Table!A" &amp; $BJ64):INDIRECT("Table!" &amp; $BV$88 &amp; $BJ64),0)))))/1024</f>
        <v>177.73222656249999</v>
      </c>
      <c r="AH64" s="709">
        <f ca="1">IF(ISERROR(MATCH(AH$1,INDIRECT("Table!A"&amp;$BJ64):INDIRECT("Table!" &amp; $BV$88 &amp; $BJ64),0)),"",INDIRECT(CONCATENATE("Table!",ADDRESS($BN64,MATCH(AH$1,INDIRECT("Table!A" &amp; $BJ64):INDIRECT("Table!" &amp; $BV$88 &amp; $BJ64),0)))))/1024</f>
        <v>161.57470703125</v>
      </c>
      <c r="AI64" s="709">
        <f ca="1">IF(ISERROR(MATCH(AI$1,INDIRECT("Table!A"&amp;$BJ64):INDIRECT("Table!" &amp; $BV$88 &amp; $BJ64),0)),"",INDIRECT(CONCATENATE("Table!",ADDRESS($BN64,MATCH(AI$1,INDIRECT("Table!A" &amp; $BJ64):INDIRECT("Table!" &amp; $BV$88 &amp; $BJ64),0)))))/1024</f>
        <v>129.03515625</v>
      </c>
      <c r="AJ64" s="709">
        <f ca="1">IF(ISERROR(MATCH(AJ$1,INDIRECT("Table!A"&amp;$BJ64):INDIRECT("Table!" &amp; $BV$88 &amp; $BJ64),0)),"",INDIRECT(CONCATENATE("Table!",ADDRESS($BN64,MATCH(AJ$1,INDIRECT("Table!A" &amp; $BJ64):INDIRECT("Table!" &amp; $BV$88 &amp; $BJ64),0)))))/1024</f>
        <v>118.4880859375</v>
      </c>
      <c r="AK64" s="709">
        <f ca="1">IF(ISERROR(MATCH(AK$1,INDIRECT("Table!A"&amp;$BJ64):INDIRECT("Table!" &amp; $BV$88 &amp; $BJ64),0)),"",INDIRECT(CONCATENATE("Table!",ADDRESS($BN64,MATCH(AK$1,INDIRECT("Table!A" &amp; $BJ64):INDIRECT("Table!" &amp; $BV$88 &amp; $BJ64),0)))))/1024</f>
        <v>162.18544921874999</v>
      </c>
      <c r="AL64" s="709"/>
      <c r="AM64" s="709"/>
      <c r="AN64" s="709">
        <f ca="1">IF(ISERROR(MATCH(AN$1,INDIRECT("Table!A"&amp;$BJ64):INDIRECT("Table!" &amp; $BV$88 &amp; $BJ64),0)),"",INDIRECT(CONCATENATE("Table!",ADDRESS($BN64,MATCH(AN$1,INDIRECT("Table!A" &amp; $BJ64):INDIRECT("Table!" &amp; $BV$88 &amp; $BJ64),0)))))/1024</f>
        <v>188.5029296875</v>
      </c>
      <c r="AO64" s="709">
        <f ca="1">IF(ISERROR(MATCH(AO$1,INDIRECT("Table!A"&amp;$BJ64):INDIRECT("Table!" &amp; $BV$88 &amp; $BJ64),0)),"",INDIRECT(CONCATENATE("Table!",ADDRESS($BN64,MATCH(AO$1,INDIRECT("Table!A" &amp; $BJ64):INDIRECT("Table!" &amp; $BV$88 &amp; $BJ64),0)))))/1024</f>
        <v>129.03535156250001</v>
      </c>
      <c r="AP64" s="709">
        <f ca="1">IF(ISERROR(MATCH(AP$1,INDIRECT("Table!A"&amp;$BJ64):INDIRECT("Table!" &amp; $BV$88 &amp; $BJ64),0)),"",INDIRECT(CONCATENATE("Table!",ADDRESS($BN64,MATCH(AP$1,INDIRECT("Table!A" &amp; $BJ64):INDIRECT("Table!" &amp; $BV$88 &amp; $BJ64),0)))))/1024</f>
        <v>80.787402343750003</v>
      </c>
      <c r="AQ64" s="709">
        <f ca="1">IF(ISERROR(MATCH(AQ$1,INDIRECT("Table!A"&amp;$BJ64):INDIRECT("Table!" &amp; $BV$88 &amp; $BJ64),0)),"",INDIRECT(CONCATENATE("Table!",ADDRESS($BN64,MATCH(AQ$1,INDIRECT("Table!A" &amp; $BJ64):INDIRECT("Table!" &amp; $BV$88 &amp; $BJ64),0)))))/1024</f>
        <v>172.34638671875001</v>
      </c>
      <c r="AR64" s="709">
        <f ca="1">IF(ISERROR(MATCH(AR$1,INDIRECT("Table!A"&amp;$BJ64):INDIRECT("Table!" &amp; $BV$88 &amp; $BJ64),0)),"",INDIRECT(CONCATENATE("Table!",ADDRESS($BN64,MATCH(AR$1,INDIRECT("Table!A" &amp; $BJ64):INDIRECT("Table!" &amp; $BV$88 &amp; $BJ64),0)))))/1024</f>
        <v>81.0927734375</v>
      </c>
      <c r="AS64" s="709"/>
      <c r="AT64" s="709"/>
      <c r="AU64" s="709">
        <f ca="1">IF(ISERROR(MATCH(AU$1,INDIRECT("Table!A"&amp;$BJ64):INDIRECT("Table!" &amp; $BV$88 &amp; $BJ64),0)),"",INDIRECT(CONCATENATE("Table!",ADDRESS($BN64,MATCH(AU$1,INDIRECT("Table!A" &amp; $BJ64):INDIRECT("Table!" &amp; $BV$88 &amp; $BJ64),0)))))/1024</f>
        <v>53.8583984375</v>
      </c>
      <c r="AV64" s="709">
        <f ca="1">IF(ISERROR(MATCH(AV$1,INDIRECT("Table!A"&amp;$BJ64):INDIRECT("Table!" &amp; $BV$88 &amp; $BJ64),0)),"",INDIRECT(CONCATENATE("Table!",ADDRESS($BN64,MATCH(AV$1,INDIRECT("Table!A" &amp; $BJ64):INDIRECT("Table!" &amp; $BV$88 &amp; $BJ64),0)))))/1024</f>
        <v>32.31494140625</v>
      </c>
      <c r="AW64" s="709"/>
      <c r="AX64" s="909"/>
      <c r="AY64" s="909"/>
      <c r="AZ64" s="909"/>
      <c r="BA64" s="909"/>
      <c r="BB64" s="909"/>
      <c r="BC64" s="909"/>
      <c r="BD64" s="909"/>
      <c r="BE64" s="909"/>
      <c r="BF64" s="704">
        <f>MATCH($A64,Table!$A:$A,0)+$BH$2-1</f>
        <v>799</v>
      </c>
      <c r="BG64" s="705"/>
      <c r="BH64" s="705"/>
      <c r="BI64" s="705"/>
      <c r="BJ64" s="717">
        <f>MATCH($A64,Table!$A:$A,0)+$BL$2-1</f>
        <v>797</v>
      </c>
      <c r="BK64" s="705"/>
      <c r="BL64" s="705"/>
      <c r="BM64" s="705"/>
      <c r="BN64" s="704">
        <f>MATCH($A64,Table!$A:$A,0)+$BP$2-1</f>
        <v>798</v>
      </c>
      <c r="BO64" s="705"/>
      <c r="BP64" s="705"/>
      <c r="BQ64" s="705"/>
      <c r="BR64" s="717">
        <f>MATCH($A64,Table!$A:$A,0)+$BL$2-1</f>
        <v>797</v>
      </c>
      <c r="BS64" s="705"/>
      <c r="BT64" s="705"/>
      <c r="BU64" s="705"/>
      <c r="BV64" s="711" t="s">
        <v>284</v>
      </c>
      <c r="BW64" s="712">
        <f t="shared" ca="1" si="12"/>
        <v>1920.96142578125</v>
      </c>
      <c r="BX64" s="712">
        <f t="shared" ca="1" si="46"/>
        <v>972.03076171875011</v>
      </c>
      <c r="BY64" s="712">
        <f t="shared" ca="1" si="43"/>
        <v>948.93066406249989</v>
      </c>
      <c r="BZ64" s="718">
        <f t="shared" ca="1" si="44"/>
        <v>0.50601263964653931</v>
      </c>
      <c r="CA64" s="712">
        <f>SUMIF('Alloc Feed'!A:A,A:A,'Alloc Feed'!I:I)</f>
        <v>0</v>
      </c>
      <c r="CB64" s="718">
        <f t="shared" ca="1" si="42"/>
        <v>0</v>
      </c>
    </row>
    <row r="65" spans="1:80" s="267" customFormat="1" x14ac:dyDescent="0.25">
      <c r="A65" s="703">
        <v>41359</v>
      </c>
      <c r="B65" s="709">
        <f ca="1">IF(ISERROR(MATCH(B$1,INDIRECT("Table!A"&amp;$BJ65):INDIRECT("Table!" &amp; $BV$88 &amp; $BJ65),0)),"",INDIRECT(CONCATENATE("Table!",ADDRESS($BF65,MATCH(B$1,INDIRECT("Table!A" &amp; $BJ65):INDIRECT("Table!" &amp; $BV$88 &amp; $BJ65),0)))))/1024</f>
        <v>45.987988281249997</v>
      </c>
      <c r="C65" s="709">
        <f ca="1">IF(ISERROR(MATCH(C$1,INDIRECT("Table!A"&amp;$BJ65):INDIRECT("Table!" &amp; $BV$88 &amp; $BJ65),0)),"",INDIRECT(CONCATENATE("Table!",ADDRESS($BF65,MATCH(C$1,INDIRECT("Table!A" &amp; $BJ65):INDIRECT("Table!" &amp; $BV$88 &amp; $BJ65),0)))))/1024</f>
        <v>75.7109375</v>
      </c>
      <c r="D65" s="709">
        <f ca="1">IF(ISERROR(MATCH(D$1,INDIRECT("Table!A"&amp;$BJ65):INDIRECT("Table!" &amp; $BV$88 &amp; $BJ65),0)),"",INDIRECT(CONCATENATE("Table!",ADDRESS($BF65,MATCH(D$1,INDIRECT("Table!A" &amp; $BJ65):INDIRECT("Table!" &amp; $BV$88 &amp; $BJ65),0)))))/1024</f>
        <v>77.08935546875</v>
      </c>
      <c r="E65" s="709">
        <f ca="1">IF(ISERROR(MATCH(E$1,INDIRECT("Table!A"&amp;$BJ65):INDIRECT("Table!" &amp; $BV$88 &amp; $BJ65),0)),"",INDIRECT(CONCATENATE("Table!",ADDRESS($BF65,MATCH(E$1,INDIRECT("Table!A" &amp; $BJ65):INDIRECT("Table!" &amp; $BV$88 &amp; $BJ65),0)))))/1024</f>
        <v>153.88037109375</v>
      </c>
      <c r="F65" s="709">
        <f ca="1">IF(ISERROR(MATCH(F$1,INDIRECT("Table!A"&amp;$BJ65):INDIRECT("Table!" &amp; $BV$88 &amp; $BJ65),0)),"",INDIRECT(CONCATENATE("Table!",ADDRESS($BF65,MATCH(F$1,INDIRECT("Table!A" &amp; $BJ65):INDIRECT("Table!" &amp; $BV$88 &amp; $BJ65),0)))))/1024</f>
        <v>86.491992187500003</v>
      </c>
      <c r="G65" s="709">
        <f ca="1">IF(ISERROR(MATCH(G$1,INDIRECT("Table!A"&amp;$BJ65):INDIRECT("Table!" &amp; $BV$88 &amp; $BJ65),0)),"",INDIRECT(CONCATENATE("Table!",ADDRESS($BF65,MATCH(G$1,INDIRECT("Table!A" &amp; $BJ65):INDIRECT("Table!" &amp; $BV$88 &amp; $BJ65),0)))))/1024</f>
        <v>47.667089843749999</v>
      </c>
      <c r="H65" s="709">
        <f ca="1">IF(ISERROR(MATCH(H$1,INDIRECT("Table!A"&amp;$BJ65):INDIRECT("Table!" &amp; $BV$88 &amp; $BJ65),0)),"",INDIRECT(CONCATENATE("Table!",ADDRESS($BF65,MATCH(H$1,INDIRECT("Table!A" &amp; $BJ65):INDIRECT("Table!" &amp; $BV$88 &amp; $BJ65),0)))))/1024</f>
        <v>68.473828124999997</v>
      </c>
      <c r="I65" s="709">
        <f ca="1">IF(ISERROR(MATCH(I$1,INDIRECT("Table!A"&amp;$BJ65):INDIRECT("Table!" &amp; $BV$88 &amp; $BJ65),0)),"",INDIRECT(CONCATENATE("Table!",ADDRESS($BF65,MATCH(I$1,INDIRECT("Table!A" &amp; $BJ65):INDIRECT("Table!" &amp; $BV$88 &amp; $BJ65),0)))))/1024</f>
        <v>4.4128906250000002</v>
      </c>
      <c r="J65" s="709"/>
      <c r="K65" s="709"/>
      <c r="L65" s="709">
        <f ca="1">IF(ISERROR(MATCH(L$1,INDIRECT("Table!A"&amp;$BJ65):INDIRECT("Table!" &amp; $BV$88 &amp; $BJ65),0)),"",INDIRECT(CONCATENATE("Table!",ADDRESS($BF65,MATCH(L$1,INDIRECT("Table!A" &amp; $BJ65):INDIRECT("Table!" &amp; $BV$88 &amp; $BJ65),0)))))/1024</f>
        <v>152.24980468749999</v>
      </c>
      <c r="M65" s="709">
        <f ca="1">IF(ISERROR(MATCH(M$1,INDIRECT("Table!A"&amp;$BJ65):INDIRECT("Table!" &amp; $BV$88 &amp; $BJ65),0)),"",INDIRECT(CONCATENATE("Table!",ADDRESS($BF65,MATCH(M$1,INDIRECT("Table!A" &amp; $BJ65):INDIRECT("Table!" &amp; $BV$88 &amp; $BJ65),0)))))/1024</f>
        <v>59.59765625</v>
      </c>
      <c r="N65" s="709">
        <f ca="1">IF(ISERROR(MATCH(N$1,INDIRECT("Table!A"&amp;$BJ65):INDIRECT("Table!" &amp; $BV$88 &amp; $BJ65),0)),"",INDIRECT(CONCATENATE("Table!",ADDRESS($BF65,MATCH(N$1,INDIRECT("Table!A" &amp; $BJ65):INDIRECT("Table!" &amp; $BV$88 &amp; $BJ65),0)))))/1024</f>
        <v>44.868066406250001</v>
      </c>
      <c r="O65" s="709">
        <f ca="1">IF(ISERROR(MATCH(O$1,INDIRECT("Table!A"&amp;$BJ65):INDIRECT("Table!" &amp; $BV$88 &amp; $BJ65),0)),"",INDIRECT(CONCATENATE("Table!",ADDRESS($BF65,MATCH(O$1,INDIRECT("Table!A" &amp; $BJ65):INDIRECT("Table!" &amp; $BV$88 &amp; $BJ65),0)))))/1024</f>
        <v>133.17578125</v>
      </c>
      <c r="P65" s="709">
        <f ca="1">IF(ISERROR(MATCH(P$1,INDIRECT("Table!A"&amp;$BJ65):INDIRECT("Table!" &amp; $BV$88 &amp; $BJ65),0)),"",INDIRECT(CONCATENATE("Table!",ADDRESS($BF65,MATCH(P$1,INDIRECT("Table!A" &amp; $BJ65):INDIRECT("Table!" &amp; $BV$88 &amp; $BJ65),0)))))/1024</f>
        <v>8.6442382812500007</v>
      </c>
      <c r="Q65" s="709"/>
      <c r="R65" s="709"/>
      <c r="S65" s="709">
        <f ca="1">IF(ISERROR(MATCH(S$1,INDIRECT("Table!A"&amp;$BJ65):INDIRECT("Table!" &amp; $BV$43 &amp; $BJ65),0)),"",INDIRECT(CONCATENATE("Table!",ADDRESS($BF65,MATCH(S$1,INDIRECT("Table!A" &amp; $BJ65):INDIRECT("Table!" &amp; $BV$43 &amp; $BJ65),0)))))/1024</f>
        <v>4.3533203125000002</v>
      </c>
      <c r="T65" s="709">
        <f ca="1">IF(ISERROR(MATCH(T$1,INDIRECT("Table!A"&amp;$BJ65):INDIRECT("Table!" &amp; $BV$43 &amp; $BJ65),0)),"",INDIRECT(CONCATENATE("Table!",ADDRESS($BF65,MATCH(T$1,INDIRECT("Table!A" &amp; $BJ65):INDIRECT("Table!" &amp; $BV$43 &amp; $BJ65),0)))))/1024</f>
        <v>2.9167968750000002</v>
      </c>
      <c r="U65" s="709"/>
      <c r="V65" s="909"/>
      <c r="W65" s="909"/>
      <c r="X65" s="909"/>
      <c r="Y65" s="909"/>
      <c r="Z65" s="909"/>
      <c r="AA65" s="909"/>
      <c r="AB65" s="909"/>
      <c r="AC65" s="709" t="str">
        <f ca="1">IF(ISERROR(MATCH(AC$1,INDIRECT("Table!A"&amp;$BJ65):INDIRECT("Table!" &amp; $BV$88 &amp; $BJ65),0)),"",INDIRECT(CONCATENATE("Table!",ADDRESS($BF65,MATCH(AC$1,INDIRECT("Table!A" &amp; $BJ65):INDIRECT("Table!" &amp; $BV$88 &amp; $BJ65),0)))))</f>
        <v/>
      </c>
      <c r="AD65" s="709">
        <f ca="1">IF(ISERROR(MATCH(AD$1,INDIRECT("Table!A"&amp;$BJ65):INDIRECT("Table!" &amp; $BV$88 &amp; $BJ65),0)),"",INDIRECT(CONCATENATE("Table!",ADDRESS($BN65,MATCH(AD$1,INDIRECT("Table!A" &amp; $BJ65):INDIRECT("Table!" &amp; $BV$88 &amp; $BJ65),0)))))/1024</f>
        <v>140.03144531250001</v>
      </c>
      <c r="AE65" s="709">
        <f ca="1">IF(ISERROR(MATCH(AE$1,INDIRECT("Table!A"&amp;$BJ65):INDIRECT("Table!" &amp; $BV$88 &amp; $BJ65),0)),"",INDIRECT(CONCATENATE("Table!",ADDRESS($BN65,MATCH(AE$1,INDIRECT("Table!A" &amp; $BJ65):INDIRECT("Table!" &amp; $BV$88 &amp; $BJ65),0)))))/1024</f>
        <v>146.98808593749999</v>
      </c>
      <c r="AF65" s="709">
        <f ca="1">IF(ISERROR(MATCH(AF$1,INDIRECT("Table!A"&amp;$BJ65):INDIRECT("Table!" &amp; $BV$88 &amp; $BJ65),0)),"",INDIRECT(CONCATENATE("Table!",ADDRESS($BN65,MATCH(AF$1,INDIRECT("Table!A" &amp; $BJ65):INDIRECT("Table!" &amp; $BV$88 &amp; $BJ65),0)))))/1024</f>
        <v>146.98808593749999</v>
      </c>
      <c r="AG65" s="709">
        <f ca="1">IF(ISERROR(MATCH(AG$1,INDIRECT("Table!A"&amp;$BJ65):INDIRECT("Table!" &amp; $BV$88 &amp; $BJ65),0)),"",INDIRECT(CONCATENATE("Table!",ADDRESS($BN65,MATCH(AG$1,INDIRECT("Table!A" &amp; $BJ65):INDIRECT("Table!" &amp; $BV$88 &amp; $BJ65),0)))))/1024</f>
        <v>177.73222656249999</v>
      </c>
      <c r="AH65" s="709">
        <f ca="1">IF(ISERROR(MATCH(AH$1,INDIRECT("Table!A"&amp;$BJ65):INDIRECT("Table!" &amp; $BV$88 &amp; $BJ65),0)),"",INDIRECT(CONCATENATE("Table!",ADDRESS($BN65,MATCH(AH$1,INDIRECT("Table!A" &amp; $BJ65):INDIRECT("Table!" &amp; $BV$88 &amp; $BJ65),0)))))/1024</f>
        <v>161.57470703125</v>
      </c>
      <c r="AI65" s="709">
        <f ca="1">IF(ISERROR(MATCH(AI$1,INDIRECT("Table!A"&amp;$BJ65):INDIRECT("Table!" &amp; $BV$88 &amp; $BJ65),0)),"",INDIRECT(CONCATENATE("Table!",ADDRESS($BN65,MATCH(AI$1,INDIRECT("Table!A" &amp; $BJ65):INDIRECT("Table!" &amp; $BV$88 &amp; $BJ65),0)))))/1024</f>
        <v>129.03515625</v>
      </c>
      <c r="AJ65" s="709">
        <f ca="1">IF(ISERROR(MATCH(AJ$1,INDIRECT("Table!A"&amp;$BJ65):INDIRECT("Table!" &amp; $BV$88 &amp; $BJ65),0)),"",INDIRECT(CONCATENATE("Table!",ADDRESS($BN65,MATCH(AJ$1,INDIRECT("Table!A" &amp; $BJ65):INDIRECT("Table!" &amp; $BV$88 &amp; $BJ65),0)))))/1024</f>
        <v>118.4880859375</v>
      </c>
      <c r="AK65" s="709">
        <f ca="1">IF(ISERROR(MATCH(AK$1,INDIRECT("Table!A"&amp;$BJ65):INDIRECT("Table!" &amp; $BV$88 &amp; $BJ65),0)),"",INDIRECT(CONCATENATE("Table!",ADDRESS($BN65,MATCH(AK$1,INDIRECT("Table!A" &amp; $BJ65):INDIRECT("Table!" &amp; $BV$88 &amp; $BJ65),0)))))/1024</f>
        <v>162.18544921874999</v>
      </c>
      <c r="AL65" s="709"/>
      <c r="AM65" s="709"/>
      <c r="AN65" s="709">
        <f ca="1">IF(ISERROR(MATCH(AN$1,INDIRECT("Table!A"&amp;$BJ65):INDIRECT("Table!" &amp; $BV$88 &amp; $BJ65),0)),"",INDIRECT(CONCATENATE("Table!",ADDRESS($BN65,MATCH(AN$1,INDIRECT("Table!A" &amp; $BJ65):INDIRECT("Table!" &amp; $BV$88 &amp; $BJ65),0)))))/1024</f>
        <v>188.5029296875</v>
      </c>
      <c r="AO65" s="709">
        <f ca="1">IF(ISERROR(MATCH(AO$1,INDIRECT("Table!A"&amp;$BJ65):INDIRECT("Table!" &amp; $BV$88 &amp; $BJ65),0)),"",INDIRECT(CONCATENATE("Table!",ADDRESS($BN65,MATCH(AO$1,INDIRECT("Table!A" &amp; $BJ65):INDIRECT("Table!" &amp; $BV$88 &amp; $BJ65),0)))))/1024</f>
        <v>129.03535156250001</v>
      </c>
      <c r="AP65" s="709">
        <f ca="1">IF(ISERROR(MATCH(AP$1,INDIRECT("Table!A"&amp;$BJ65):INDIRECT("Table!" &amp; $BV$88 &amp; $BJ65),0)),"",INDIRECT(CONCATENATE("Table!",ADDRESS($BN65,MATCH(AP$1,INDIRECT("Table!A" &amp; $BJ65):INDIRECT("Table!" &amp; $BV$88 &amp; $BJ65),0)))))/1024</f>
        <v>80.787402343750003</v>
      </c>
      <c r="AQ65" s="709">
        <f ca="1">IF(ISERROR(MATCH(AQ$1,INDIRECT("Table!A"&amp;$BJ65):INDIRECT("Table!" &amp; $BV$88 &amp; $BJ65),0)),"",INDIRECT(CONCATENATE("Table!",ADDRESS($BN65,MATCH(AQ$1,INDIRECT("Table!A" &amp; $BJ65):INDIRECT("Table!" &amp; $BV$88 &amp; $BJ65),0)))))/1024</f>
        <v>172.34638671875001</v>
      </c>
      <c r="AR65" s="709">
        <f ca="1">IF(ISERROR(MATCH(AR$1,INDIRECT("Table!A"&amp;$BJ65):INDIRECT("Table!" &amp; $BV$88 &amp; $BJ65),0)),"",INDIRECT(CONCATENATE("Table!",ADDRESS($BN65,MATCH(AR$1,INDIRECT("Table!A" &amp; $BJ65):INDIRECT("Table!" &amp; $BV$88 &amp; $BJ65),0)))))/1024</f>
        <v>81.0927734375</v>
      </c>
      <c r="AS65" s="709"/>
      <c r="AT65" s="709"/>
      <c r="AU65" s="709">
        <f ca="1">IF(ISERROR(MATCH(AU$1,INDIRECT("Table!A"&amp;$BJ65):INDIRECT("Table!" &amp; $BV$88 &amp; $BJ65),0)),"",INDIRECT(CONCATENATE("Table!",ADDRESS($BN65,MATCH(AU$1,INDIRECT("Table!A" &amp; $BJ65):INDIRECT("Table!" &amp; $BV$88 &amp; $BJ65),0)))))/1024</f>
        <v>53.8583984375</v>
      </c>
      <c r="AV65" s="709">
        <f ca="1">IF(ISERROR(MATCH(AV$1,INDIRECT("Table!A"&amp;$BJ65):INDIRECT("Table!" &amp; $BV$88 &amp; $BJ65),0)),"",INDIRECT(CONCATENATE("Table!",ADDRESS($BN65,MATCH(AV$1,INDIRECT("Table!A" &amp; $BJ65):INDIRECT("Table!" &amp; $BV$88 &amp; $BJ65),0)))))/1024</f>
        <v>32.31494140625</v>
      </c>
      <c r="AW65" s="709"/>
      <c r="AX65" s="909"/>
      <c r="AY65" s="909"/>
      <c r="AZ65" s="909"/>
      <c r="BA65" s="909"/>
      <c r="BB65" s="909"/>
      <c r="BC65" s="909"/>
      <c r="BD65" s="909"/>
      <c r="BE65" s="909"/>
      <c r="BF65" s="704">
        <f>MATCH($A65,Table!$A:$A,0)+$BH$2-1</f>
        <v>811</v>
      </c>
      <c r="BG65" s="705"/>
      <c r="BH65" s="705"/>
      <c r="BI65" s="705"/>
      <c r="BJ65" s="717">
        <f>MATCH($A65,Table!$A:$A,0)+$BL$2-1</f>
        <v>809</v>
      </c>
      <c r="BK65" s="705"/>
      <c r="BL65" s="705"/>
      <c r="BM65" s="705"/>
      <c r="BN65" s="704">
        <f>MATCH($A65,Table!$A:$A,0)+$BP$2-1</f>
        <v>810</v>
      </c>
      <c r="BO65" s="705"/>
      <c r="BP65" s="705"/>
      <c r="BQ65" s="705"/>
      <c r="BR65" s="717">
        <f>MATCH($A65,Table!$A:$A,0)+$BL$2-1</f>
        <v>809</v>
      </c>
      <c r="BS65" s="705"/>
      <c r="BT65" s="705"/>
      <c r="BU65" s="705"/>
      <c r="BV65" s="711" t="s">
        <v>284</v>
      </c>
      <c r="BW65" s="712">
        <f t="shared" ca="1" si="12"/>
        <v>1920.96142578125</v>
      </c>
      <c r="BX65" s="712">
        <f t="shared" ca="1" si="46"/>
        <v>965.52011718749998</v>
      </c>
      <c r="BY65" s="712">
        <f t="shared" ca="1" si="43"/>
        <v>955.44130859375002</v>
      </c>
      <c r="BZ65" s="718">
        <f t="shared" ca="1" si="44"/>
        <v>0.50262337610180041</v>
      </c>
      <c r="CA65" s="712">
        <f>SUMIF('Alloc Feed'!A:A,A:A,'Alloc Feed'!I:I)</f>
        <v>0</v>
      </c>
      <c r="CB65" s="718">
        <f t="shared" ca="1" si="42"/>
        <v>0</v>
      </c>
    </row>
    <row r="66" spans="1:80" s="267" customFormat="1" x14ac:dyDescent="0.25">
      <c r="A66" s="703">
        <v>41355</v>
      </c>
      <c r="B66" s="709">
        <f ca="1">IF(ISERROR(MATCH(B$1,INDIRECT("Table!A"&amp;$BJ66):INDIRECT("Table!" &amp; $BV$88 &amp; $BJ66),0)),"",INDIRECT(CONCATENATE("Table!",ADDRESS($BF66,MATCH(B$1,INDIRECT("Table!A" &amp; $BJ66):INDIRECT("Table!" &amp; $BV$88 &amp; $BJ66),0)))))/1024</f>
        <v>37.79541015625</v>
      </c>
      <c r="C66" s="709">
        <f ca="1">IF(ISERROR(MATCH(C$1,INDIRECT("Table!A"&amp;$BJ66):INDIRECT("Table!" &amp; $BV$88 &amp; $BJ66),0)),"",INDIRECT(CONCATENATE("Table!",ADDRESS($BF66,MATCH(C$1,INDIRECT("Table!A" &amp; $BJ66):INDIRECT("Table!" &amp; $BV$88 &amp; $BJ66),0)))))/1024</f>
        <v>75.633203124999994</v>
      </c>
      <c r="D66" s="709">
        <f ca="1">IF(ISERROR(MATCH(D$1,INDIRECT("Table!A"&amp;$BJ66):INDIRECT("Table!" &amp; $BV$88 &amp; $BJ66),0)),"",INDIRECT(CONCATENATE("Table!",ADDRESS($BF66,MATCH(D$1,INDIRECT("Table!A" &amp; $BJ66):INDIRECT("Table!" &amp; $BV$88 &amp; $BJ66),0)))))/1024</f>
        <v>77.011914062499997</v>
      </c>
      <c r="E66" s="709">
        <f ca="1">IF(ISERROR(MATCH(E$1,INDIRECT("Table!A"&amp;$BJ66):INDIRECT("Table!" &amp; $BV$88 &amp; $BJ66),0)),"",INDIRECT(CONCATENATE("Table!",ADDRESS($BF66,MATCH(E$1,INDIRECT("Table!A" &amp; $BJ66):INDIRECT("Table!" &amp; $BV$88 &amp; $BJ66),0)))))/1024</f>
        <v>153.76279296875001</v>
      </c>
      <c r="F66" s="709">
        <f ca="1">IF(ISERROR(MATCH(F$1,INDIRECT("Table!A"&amp;$BJ66):INDIRECT("Table!" &amp; $BV$88 &amp; $BJ66),0)),"",INDIRECT(CONCATENATE("Table!",ADDRESS($BF66,MATCH(F$1,INDIRECT("Table!A" &amp; $BJ66):INDIRECT("Table!" &amp; $BV$88 &amp; $BJ66),0)))))/1024</f>
        <v>86.121386718750003</v>
      </c>
      <c r="G66" s="709">
        <f ca="1">IF(ISERROR(MATCH(G$1,INDIRECT("Table!A"&amp;$BJ66):INDIRECT("Table!" &amp; $BV$88 &amp; $BJ66),0)),"",INDIRECT(CONCATENATE("Table!",ADDRESS($BF66,MATCH(G$1,INDIRECT("Table!A" &amp; $BJ66):INDIRECT("Table!" &amp; $BV$88 &amp; $BJ66),0)))))/1024</f>
        <v>44.713281250000001</v>
      </c>
      <c r="H66" s="709">
        <f ca="1">IF(ISERROR(MATCH(H$1,INDIRECT("Table!A"&amp;$BJ66):INDIRECT("Table!" &amp; $BV$88 &amp; $BJ66),0)),"",INDIRECT(CONCATENATE("Table!",ADDRESS($BF66,MATCH(H$1,INDIRECT("Table!A" &amp; $BJ66):INDIRECT("Table!" &amp; $BV$88 &amp; $BJ66),0)))))/1024</f>
        <v>66.501269531250003</v>
      </c>
      <c r="I66" s="709">
        <f ca="1">IF(ISERROR(MATCH(I$1,INDIRECT("Table!A"&amp;$BJ66):INDIRECT("Table!" &amp; $BV$88 &amp; $BJ66),0)),"",INDIRECT(CONCATENATE("Table!",ADDRESS($BF66,MATCH(I$1,INDIRECT("Table!A" &amp; $BJ66):INDIRECT("Table!" &amp; $BV$88 &amp; $BJ66),0)))))/1024</f>
        <v>4.0497070312499996</v>
      </c>
      <c r="J66" s="709"/>
      <c r="K66" s="709"/>
      <c r="L66" s="709">
        <f ca="1">IF(ISERROR(MATCH(L$1,INDIRECT("Table!A"&amp;$BJ66):INDIRECT("Table!" &amp; $BV$88 &amp; $BJ66),0)),"",INDIRECT(CONCATENATE("Table!",ADDRESS($BF66,MATCH(L$1,INDIRECT("Table!A" &amp; $BJ66):INDIRECT("Table!" &amp; $BV$88 &amp; $BJ66),0)))))/1024</f>
        <v>152.11416015624999</v>
      </c>
      <c r="M66" s="709">
        <f ca="1">IF(ISERROR(MATCH(M$1,INDIRECT("Table!A"&amp;$BJ66):INDIRECT("Table!" &amp; $BV$88 &amp; $BJ66),0)),"",INDIRECT(CONCATENATE("Table!",ADDRESS($BF66,MATCH(M$1,INDIRECT("Table!A" &amp; $BJ66):INDIRECT("Table!" &amp; $BV$88 &amp; $BJ66),0)))))/1024</f>
        <v>54.888378906249997</v>
      </c>
      <c r="N66" s="709">
        <f ca="1">IF(ISERROR(MATCH(N$1,INDIRECT("Table!A"&amp;$BJ66):INDIRECT("Table!" &amp; $BV$88 &amp; $BJ66),0)),"",INDIRECT(CONCATENATE("Table!",ADDRESS($BF66,MATCH(N$1,INDIRECT("Table!A" &amp; $BJ66):INDIRECT("Table!" &amp; $BV$88 &amp; $BJ66),0)))))/1024</f>
        <v>44.681835937499997</v>
      </c>
      <c r="O66" s="709">
        <f ca="1">IF(ISERROR(MATCH(O$1,INDIRECT("Table!A"&amp;$BJ66):INDIRECT("Table!" &amp; $BV$88 &amp; $BJ66),0)),"",INDIRECT(CONCATENATE("Table!",ADDRESS($BF66,MATCH(O$1,INDIRECT("Table!A" &amp; $BJ66):INDIRECT("Table!" &amp; $BV$88 &amp; $BJ66),0)))))/1024</f>
        <v>129.27421874999999</v>
      </c>
      <c r="P66" s="709">
        <f ca="1">IF(ISERROR(MATCH(P$1,INDIRECT("Table!A"&amp;$BJ66):INDIRECT("Table!" &amp; $BV$88 &amp; $BJ66),0)),"",INDIRECT(CONCATENATE("Table!",ADDRESS($BF66,MATCH(P$1,INDIRECT("Table!A" &amp; $BJ66):INDIRECT("Table!" &amp; $BV$88 &amp; $BJ66),0)))))/1024</f>
        <v>7.9178710937499996</v>
      </c>
      <c r="Q66" s="709"/>
      <c r="R66" s="709"/>
      <c r="S66" s="709">
        <f ca="1">IF(ISERROR(MATCH(S$1,INDIRECT("Table!A"&amp;$BJ66):INDIRECT("Table!" &amp; $BV$43 &amp; $BJ66),0)),"",INDIRECT(CONCATENATE("Table!",ADDRESS($BF66,MATCH(S$1,INDIRECT("Table!A" &amp; $BJ66):INDIRECT("Table!" &amp; $BV$43 &amp; $BJ66),0)))))/1024</f>
        <v>4.3013671875000004</v>
      </c>
      <c r="T66" s="709">
        <f ca="1">IF(ISERROR(MATCH(T$1,INDIRECT("Table!A"&amp;$BJ66):INDIRECT("Table!" &amp; $BV$43 &amp; $BJ66),0)),"",INDIRECT(CONCATENATE("Table!",ADDRESS($BF66,MATCH(T$1,INDIRECT("Table!A" &amp; $BJ66):INDIRECT("Table!" &amp; $BV$43 &amp; $BJ66),0)))))/1024</f>
        <v>2.3234374999999998</v>
      </c>
      <c r="U66" s="709"/>
      <c r="V66" s="909"/>
      <c r="W66" s="909"/>
      <c r="X66" s="909"/>
      <c r="Y66" s="909"/>
      <c r="Z66" s="909"/>
      <c r="AA66" s="909"/>
      <c r="AB66" s="909"/>
      <c r="AC66" s="709" t="str">
        <f ca="1">IF(ISERROR(MATCH(AC$1,INDIRECT("Table!A"&amp;$BJ66):INDIRECT("Table!" &amp; $BV$88 &amp; $BJ66),0)),"",INDIRECT(CONCATENATE("Table!",ADDRESS($BF66,MATCH(AC$1,INDIRECT("Table!A" &amp; $BJ66):INDIRECT("Table!" &amp; $BV$88 &amp; $BJ66),0)))))</f>
        <v/>
      </c>
      <c r="AD66" s="709">
        <f ca="1">IF(ISERROR(MATCH(AD$1,INDIRECT("Table!A"&amp;$BJ66):INDIRECT("Table!" &amp; $BV$88 &amp; $BJ66),0)),"",INDIRECT(CONCATENATE("Table!",ADDRESS($BN66,MATCH(AD$1,INDIRECT("Table!A" &amp; $BJ66):INDIRECT("Table!" &amp; $BV$88 &amp; $BJ66),0)))))/1024</f>
        <v>140.03144531250001</v>
      </c>
      <c r="AE66" s="709">
        <f ca="1">IF(ISERROR(MATCH(AE$1,INDIRECT("Table!A"&amp;$BJ66):INDIRECT("Table!" &amp; $BV$88 &amp; $BJ66),0)),"",INDIRECT(CONCATENATE("Table!",ADDRESS($BN66,MATCH(AE$1,INDIRECT("Table!A" &amp; $BJ66):INDIRECT("Table!" &amp; $BV$88 &amp; $BJ66),0)))))/1024</f>
        <v>146.98808593749999</v>
      </c>
      <c r="AF66" s="709">
        <f ca="1">IF(ISERROR(MATCH(AF$1,INDIRECT("Table!A"&amp;$BJ66):INDIRECT("Table!" &amp; $BV$88 &amp; $BJ66),0)),"",INDIRECT(CONCATENATE("Table!",ADDRESS($BN66,MATCH(AF$1,INDIRECT("Table!A" &amp; $BJ66):INDIRECT("Table!" &amp; $BV$88 &amp; $BJ66),0)))))/1024</f>
        <v>146.98808593749999</v>
      </c>
      <c r="AG66" s="709">
        <f ca="1">IF(ISERROR(MATCH(AG$1,INDIRECT("Table!A"&amp;$BJ66):INDIRECT("Table!" &amp; $BV$88 &amp; $BJ66),0)),"",INDIRECT(CONCATENATE("Table!",ADDRESS($BN66,MATCH(AG$1,INDIRECT("Table!A" &amp; $BJ66):INDIRECT("Table!" &amp; $BV$88 &amp; $BJ66),0)))))/1024</f>
        <v>177.73222656249999</v>
      </c>
      <c r="AH66" s="709">
        <f ca="1">IF(ISERROR(MATCH(AH$1,INDIRECT("Table!A"&amp;$BJ66):INDIRECT("Table!" &amp; $BV$88 &amp; $BJ66),0)),"",INDIRECT(CONCATENATE("Table!",ADDRESS($BN66,MATCH(AH$1,INDIRECT("Table!A" &amp; $BJ66):INDIRECT("Table!" &amp; $BV$88 &amp; $BJ66),0)))))/1024</f>
        <v>161.57470703125</v>
      </c>
      <c r="AI66" s="709">
        <f ca="1">IF(ISERROR(MATCH(AI$1,INDIRECT("Table!A"&amp;$BJ66):INDIRECT("Table!" &amp; $BV$88 &amp; $BJ66),0)),"",INDIRECT(CONCATENATE("Table!",ADDRESS($BN66,MATCH(AI$1,INDIRECT("Table!A" &amp; $BJ66):INDIRECT("Table!" &amp; $BV$88 &amp; $BJ66),0)))))/1024</f>
        <v>129.03515625</v>
      </c>
      <c r="AJ66" s="709">
        <f ca="1">IF(ISERROR(MATCH(AJ$1,INDIRECT("Table!A"&amp;$BJ66):INDIRECT("Table!" &amp; $BV$88 &amp; $BJ66),0)),"",INDIRECT(CONCATENATE("Table!",ADDRESS($BN66,MATCH(AJ$1,INDIRECT("Table!A" &amp; $BJ66):INDIRECT("Table!" &amp; $BV$88 &amp; $BJ66),0)))))/1024</f>
        <v>118.4880859375</v>
      </c>
      <c r="AK66" s="709">
        <f ca="1">IF(ISERROR(MATCH(AK$1,INDIRECT("Table!A"&amp;$BJ66):INDIRECT("Table!" &amp; $BV$88 &amp; $BJ66),0)),"",INDIRECT(CONCATENATE("Table!",ADDRESS($BN66,MATCH(AK$1,INDIRECT("Table!A" &amp; $BJ66):INDIRECT("Table!" &amp; $BV$88 &amp; $BJ66),0)))))/1024</f>
        <v>162.18544921874999</v>
      </c>
      <c r="AL66" s="709"/>
      <c r="AM66" s="709"/>
      <c r="AN66" s="709">
        <f ca="1">IF(ISERROR(MATCH(AN$1,INDIRECT("Table!A"&amp;$BJ66):INDIRECT("Table!" &amp; $BV$88 &amp; $BJ66),0)),"",INDIRECT(CONCATENATE("Table!",ADDRESS($BN66,MATCH(AN$1,INDIRECT("Table!A" &amp; $BJ66):INDIRECT("Table!" &amp; $BV$88 &amp; $BJ66),0)))))/1024</f>
        <v>188.5029296875</v>
      </c>
      <c r="AO66" s="709">
        <f ca="1">IF(ISERROR(MATCH(AO$1,INDIRECT("Table!A"&amp;$BJ66):INDIRECT("Table!" &amp; $BV$88 &amp; $BJ66),0)),"",INDIRECT(CONCATENATE("Table!",ADDRESS($BN66,MATCH(AO$1,INDIRECT("Table!A" &amp; $BJ66):INDIRECT("Table!" &amp; $BV$88 &amp; $BJ66),0)))))/1024</f>
        <v>129.03535156250001</v>
      </c>
      <c r="AP66" s="709">
        <f ca="1">IF(ISERROR(MATCH(AP$1,INDIRECT("Table!A"&amp;$BJ66):INDIRECT("Table!" &amp; $BV$88 &amp; $BJ66),0)),"",INDIRECT(CONCATENATE("Table!",ADDRESS($BN66,MATCH(AP$1,INDIRECT("Table!A" &amp; $BJ66):INDIRECT("Table!" &amp; $BV$88 &amp; $BJ66),0)))))/1024</f>
        <v>80.787402343750003</v>
      </c>
      <c r="AQ66" s="709">
        <f ca="1">IF(ISERROR(MATCH(AQ$1,INDIRECT("Table!A"&amp;$BJ66):INDIRECT("Table!" &amp; $BV$88 &amp; $BJ66),0)),"",INDIRECT(CONCATENATE("Table!",ADDRESS($BN66,MATCH(AQ$1,INDIRECT("Table!A" &amp; $BJ66):INDIRECT("Table!" &amp; $BV$88 &amp; $BJ66),0)))))/1024</f>
        <v>172.34638671875001</v>
      </c>
      <c r="AR66" s="709">
        <f ca="1">IF(ISERROR(MATCH(AR$1,INDIRECT("Table!A"&amp;$BJ66):INDIRECT("Table!" &amp; $BV$88 &amp; $BJ66),0)),"",INDIRECT(CONCATENATE("Table!",ADDRESS($BN66,MATCH(AR$1,INDIRECT("Table!A" &amp; $BJ66):INDIRECT("Table!" &amp; $BV$88 &amp; $BJ66),0)))))/1024</f>
        <v>81.0927734375</v>
      </c>
      <c r="AS66" s="709"/>
      <c r="AT66" s="709"/>
      <c r="AU66" s="709">
        <f ca="1">IF(ISERROR(MATCH(AU$1,INDIRECT("Table!A"&amp;$BJ66):INDIRECT("Table!" &amp; $BV$88 &amp; $BJ66),0)),"",INDIRECT(CONCATENATE("Table!",ADDRESS($BN66,MATCH(AU$1,INDIRECT("Table!A" &amp; $BJ66):INDIRECT("Table!" &amp; $BV$88 &amp; $BJ66),0)))))/1024</f>
        <v>53.8583984375</v>
      </c>
      <c r="AV66" s="709">
        <f ca="1">IF(ISERROR(MATCH(AV$1,INDIRECT("Table!A"&amp;$BJ66):INDIRECT("Table!" &amp; $BV$88 &amp; $BJ66),0)),"",INDIRECT(CONCATENATE("Table!",ADDRESS($BN66,MATCH(AV$1,INDIRECT("Table!A" &amp; $BJ66):INDIRECT("Table!" &amp; $BV$88 &amp; $BJ66),0)))))/1024</f>
        <v>32.31494140625</v>
      </c>
      <c r="AW66" s="709"/>
      <c r="AX66" s="909"/>
      <c r="AY66" s="909"/>
      <c r="AZ66" s="909"/>
      <c r="BA66" s="909"/>
      <c r="BB66" s="909"/>
      <c r="BC66" s="909"/>
      <c r="BD66" s="909"/>
      <c r="BE66" s="909"/>
      <c r="BF66" s="704">
        <f>MATCH($A66,Table!$A:$A,0)+$BH$2-1</f>
        <v>823</v>
      </c>
      <c r="BG66" s="705"/>
      <c r="BH66" s="705"/>
      <c r="BI66" s="705"/>
      <c r="BJ66" s="717">
        <f>MATCH($A66,Table!$A:$A,0)+$BL$2-1</f>
        <v>821</v>
      </c>
      <c r="BK66" s="705"/>
      <c r="BL66" s="705"/>
      <c r="BM66" s="705"/>
      <c r="BN66" s="704">
        <f>MATCH($A66,Table!$A:$A,0)+$BP$2-1</f>
        <v>822</v>
      </c>
      <c r="BO66" s="705"/>
      <c r="BP66" s="705"/>
      <c r="BQ66" s="705"/>
      <c r="BR66" s="717">
        <f>MATCH($A66,Table!$A:$A,0)+$BL$2-1</f>
        <v>821</v>
      </c>
      <c r="BS66" s="705"/>
      <c r="BT66" s="705"/>
      <c r="BU66" s="705"/>
      <c r="BV66" s="711" t="s">
        <v>284</v>
      </c>
      <c r="BW66" s="712">
        <f t="shared" ca="1" si="12"/>
        <v>1920.96142578125</v>
      </c>
      <c r="BX66" s="712">
        <f t="shared" ca="1" si="46"/>
        <v>941.09023437499991</v>
      </c>
      <c r="BY66" s="712">
        <f t="shared" ca="1" si="43"/>
        <v>979.87119140625009</v>
      </c>
      <c r="BZ66" s="718">
        <f t="shared" ca="1" si="44"/>
        <v>0.48990584701213402</v>
      </c>
      <c r="CA66" s="712">
        <f>SUMIF('Alloc Feed'!A:A,A:A,'Alloc Feed'!I:I)</f>
        <v>0</v>
      </c>
      <c r="CB66" s="718">
        <f t="shared" ca="1" si="42"/>
        <v>0</v>
      </c>
    </row>
    <row r="67" spans="1:80" s="267" customFormat="1" x14ac:dyDescent="0.25">
      <c r="A67" s="703">
        <v>41353</v>
      </c>
      <c r="B67" s="709">
        <f ca="1">IF(ISERROR(MATCH(B$1,INDIRECT("Table!A"&amp;$BJ67):INDIRECT("Table!" &amp; $BV$88 &amp; $BJ67),0)),"",INDIRECT(CONCATENATE("Table!",ADDRESS($BF67,MATCH(B$1,INDIRECT("Table!A" &amp; $BJ67):INDIRECT("Table!" &amp; $BV$88 &amp; $BJ67),0)))))/1024</f>
        <v>38.236914062499999</v>
      </c>
      <c r="C67" s="709">
        <f ca="1">IF(ISERROR(MATCH(C$1,INDIRECT("Table!A"&amp;$BJ67):INDIRECT("Table!" &amp; $BV$88 &amp; $BJ67),0)),"",INDIRECT(CONCATENATE("Table!",ADDRESS($BF67,MATCH(C$1,INDIRECT("Table!A" &amp; $BJ67):INDIRECT("Table!" &amp; $BV$88 &amp; $BJ67),0)))))/1024</f>
        <v>75.616113281249994</v>
      </c>
      <c r="D67" s="709">
        <f ca="1">IF(ISERROR(MATCH(D$1,INDIRECT("Table!A"&amp;$BJ67):INDIRECT("Table!" &amp; $BV$88 &amp; $BJ67),0)),"",INDIRECT(CONCATENATE("Table!",ADDRESS($BF67,MATCH(D$1,INDIRECT("Table!A" &amp; $BJ67):INDIRECT("Table!" &amp; $BV$88 &amp; $BJ67),0)))))/1024</f>
        <v>76.994824218749997</v>
      </c>
      <c r="E67" s="709">
        <f ca="1">IF(ISERROR(MATCH(E$1,INDIRECT("Table!A"&amp;$BJ67):INDIRECT("Table!" &amp; $BV$88 &amp; $BJ67),0)),"",INDIRECT(CONCATENATE("Table!",ADDRESS($BF67,MATCH(E$1,INDIRECT("Table!A" &amp; $BJ67):INDIRECT("Table!" &amp; $BV$88 &amp; $BJ67),0)))))/1024</f>
        <v>153.66669921875001</v>
      </c>
      <c r="F67" s="709">
        <f ca="1">IF(ISERROR(MATCH(F$1,INDIRECT("Table!A"&amp;$BJ67):INDIRECT("Table!" &amp; $BV$88 &amp; $BJ67),0)),"",INDIRECT(CONCATENATE("Table!",ADDRESS($BF67,MATCH(F$1,INDIRECT("Table!A" &amp; $BJ67):INDIRECT("Table!" &amp; $BV$88 &amp; $BJ67),0)))))/1024</f>
        <v>85.866601562499994</v>
      </c>
      <c r="G67" s="709">
        <f ca="1">IF(ISERROR(MATCH(G$1,INDIRECT("Table!A"&amp;$BJ67):INDIRECT("Table!" &amp; $BV$88 &amp; $BJ67),0)),"",INDIRECT(CONCATENATE("Table!",ADDRESS($BF67,MATCH(G$1,INDIRECT("Table!A" &amp; $BJ67):INDIRECT("Table!" &amp; $BV$88 &amp; $BJ67),0)))))/1024</f>
        <v>45.049218750000001</v>
      </c>
      <c r="H67" s="709">
        <f ca="1">IF(ISERROR(MATCH(H$1,INDIRECT("Table!A"&amp;$BJ67):INDIRECT("Table!" &amp; $BV$88 &amp; $BJ67),0)),"",INDIRECT(CONCATENATE("Table!",ADDRESS($BF67,MATCH(H$1,INDIRECT("Table!A" &amp; $BJ67):INDIRECT("Table!" &amp; $BV$88 &amp; $BJ67),0)))))/1024</f>
        <v>66.476269531249997</v>
      </c>
      <c r="I67" s="709">
        <f ca="1">IF(ISERROR(MATCH(I$1,INDIRECT("Table!A"&amp;$BJ67):INDIRECT("Table!" &amp; $BV$88 &amp; $BJ67),0)),"",INDIRECT(CONCATENATE("Table!",ADDRESS($BF67,MATCH(I$1,INDIRECT("Table!A" &amp; $BJ67):INDIRECT("Table!" &amp; $BV$88 &amp; $BJ67),0)))))/1024</f>
        <v>4.0481445312500002</v>
      </c>
      <c r="J67" s="709"/>
      <c r="K67" s="709"/>
      <c r="L67" s="709">
        <f ca="1">IF(ISERROR(MATCH(L$1,INDIRECT("Table!A"&amp;$BJ67):INDIRECT("Table!" &amp; $BV$88 &amp; $BJ67),0)),"",INDIRECT(CONCATENATE("Table!",ADDRESS($BF67,MATCH(L$1,INDIRECT("Table!A" &amp; $BJ67):INDIRECT("Table!" &amp; $BV$88 &amp; $BJ67),0)))))/1024</f>
        <v>152.0810546875</v>
      </c>
      <c r="M67" s="709">
        <f ca="1">IF(ISERROR(MATCH(M$1,INDIRECT("Table!A"&amp;$BJ67):INDIRECT("Table!" &amp; $BV$88 &amp; $BJ67),0)),"",INDIRECT(CONCATENATE("Table!",ADDRESS($BF67,MATCH(M$1,INDIRECT("Table!A" &amp; $BJ67):INDIRECT("Table!" &amp; $BV$88 &amp; $BJ67),0)))))/1024</f>
        <v>56.868066406250001</v>
      </c>
      <c r="N67" s="709">
        <f ca="1">IF(ISERROR(MATCH(N$1,INDIRECT("Table!A"&amp;$BJ67):INDIRECT("Table!" &amp; $BV$88 &amp; $BJ67),0)),"",INDIRECT(CONCATENATE("Table!",ADDRESS($BF67,MATCH(N$1,INDIRECT("Table!A" &amp; $BJ67):INDIRECT("Table!" &amp; $BV$88 &amp; $BJ67),0)))))/1024</f>
        <v>44.580468750000001</v>
      </c>
      <c r="O67" s="709">
        <f ca="1">IF(ISERROR(MATCH(O$1,INDIRECT("Table!A"&amp;$BJ67):INDIRECT("Table!" &amp; $BV$88 &amp; $BJ67),0)),"",INDIRECT(CONCATENATE("Table!",ADDRESS($BF67,MATCH(O$1,INDIRECT("Table!A" &amp; $BJ67):INDIRECT("Table!" &amp; $BV$88 &amp; $BJ67),0)))))/1024</f>
        <v>129.21132812499999</v>
      </c>
      <c r="P67" s="709">
        <f ca="1">IF(ISERROR(MATCH(P$1,INDIRECT("Table!A"&amp;$BJ67):INDIRECT("Table!" &amp; $BV$88 &amp; $BJ67),0)),"",INDIRECT(CONCATENATE("Table!",ADDRESS($BF67,MATCH(P$1,INDIRECT("Table!A" &amp; $BJ67):INDIRECT("Table!" &amp; $BV$88 &amp; $BJ67),0)))))/1024</f>
        <v>7.9152343749999998</v>
      </c>
      <c r="Q67" s="709"/>
      <c r="R67" s="709"/>
      <c r="S67" s="709">
        <f ca="1">IF(ISERROR(MATCH(S$1,INDIRECT("Table!A"&amp;$BJ67):INDIRECT("Table!" &amp; $BV$43 &amp; $BJ67),0)),"",INDIRECT(CONCATENATE("Table!",ADDRESS($BF67,MATCH(S$1,INDIRECT("Table!A" &amp; $BJ67):INDIRECT("Table!" &amp; $BV$43 &amp; $BJ67),0)))))/1024</f>
        <v>4.2291015625000004</v>
      </c>
      <c r="T67" s="709">
        <f ca="1">IF(ISERROR(MATCH(T$1,INDIRECT("Table!A"&amp;$BJ67):INDIRECT("Table!" &amp; $BV$43 &amp; $BJ67),0)),"",INDIRECT(CONCATENATE("Table!",ADDRESS($BF67,MATCH(T$1,INDIRECT("Table!A" &amp; $BJ67):INDIRECT("Table!" &amp; $BV$43 &amp; $BJ67),0)))))/1024</f>
        <v>2.3036132812500001</v>
      </c>
      <c r="U67" s="709"/>
      <c r="V67" s="909"/>
      <c r="W67" s="909"/>
      <c r="X67" s="909"/>
      <c r="Y67" s="909"/>
      <c r="Z67" s="909"/>
      <c r="AA67" s="909"/>
      <c r="AB67" s="909"/>
      <c r="AC67" s="709" t="str">
        <f ca="1">IF(ISERROR(MATCH(AC$1,INDIRECT("Table!A"&amp;$BJ67):INDIRECT("Table!" &amp; $BV$88 &amp; $BJ67),0)),"",INDIRECT(CONCATENATE("Table!",ADDRESS($BF67,MATCH(AC$1,INDIRECT("Table!A" &amp; $BJ67):INDIRECT("Table!" &amp; $BV$88 &amp; $BJ67),0)))))</f>
        <v/>
      </c>
      <c r="AD67" s="709">
        <f ca="1">IF(ISERROR(MATCH(AD$1,INDIRECT("Table!A"&amp;$BJ67):INDIRECT("Table!" &amp; $BV$88 &amp; $BJ67),0)),"",INDIRECT(CONCATENATE("Table!",ADDRESS($BN67,MATCH(AD$1,INDIRECT("Table!A" &amp; $BJ67):INDIRECT("Table!" &amp; $BV$88 &amp; $BJ67),0)))))/1024</f>
        <v>140.03144531250001</v>
      </c>
      <c r="AE67" s="709">
        <f ca="1">IF(ISERROR(MATCH(AE$1,INDIRECT("Table!A"&amp;$BJ67):INDIRECT("Table!" &amp; $BV$88 &amp; $BJ67),0)),"",INDIRECT(CONCATENATE("Table!",ADDRESS($BN67,MATCH(AE$1,INDIRECT("Table!A" &amp; $BJ67):INDIRECT("Table!" &amp; $BV$88 &amp; $BJ67),0)))))/1024</f>
        <v>146.98808593749999</v>
      </c>
      <c r="AF67" s="709">
        <f ca="1">IF(ISERROR(MATCH(AF$1,INDIRECT("Table!A"&amp;$BJ67):INDIRECT("Table!" &amp; $BV$88 &amp; $BJ67),0)),"",INDIRECT(CONCATENATE("Table!",ADDRESS($BN67,MATCH(AF$1,INDIRECT("Table!A" &amp; $BJ67):INDIRECT("Table!" &amp; $BV$88 &amp; $BJ67),0)))))/1024</f>
        <v>146.98808593749999</v>
      </c>
      <c r="AG67" s="709">
        <f ca="1">IF(ISERROR(MATCH(AG$1,INDIRECT("Table!A"&amp;$BJ67):INDIRECT("Table!" &amp; $BV$88 &amp; $BJ67),0)),"",INDIRECT(CONCATENATE("Table!",ADDRESS($BN67,MATCH(AG$1,INDIRECT("Table!A" &amp; $BJ67):INDIRECT("Table!" &amp; $BV$88 &amp; $BJ67),0)))))/1024</f>
        <v>177.73222656249999</v>
      </c>
      <c r="AH67" s="709">
        <f ca="1">IF(ISERROR(MATCH(AH$1,INDIRECT("Table!A"&amp;$BJ67):INDIRECT("Table!" &amp; $BV$88 &amp; $BJ67),0)),"",INDIRECT(CONCATENATE("Table!",ADDRESS($BN67,MATCH(AH$1,INDIRECT("Table!A" &amp; $BJ67):INDIRECT("Table!" &amp; $BV$88 &amp; $BJ67),0)))))/1024</f>
        <v>161.57470703125</v>
      </c>
      <c r="AI67" s="709">
        <f ca="1">IF(ISERROR(MATCH(AI$1,INDIRECT("Table!A"&amp;$BJ67):INDIRECT("Table!" &amp; $BV$88 &amp; $BJ67),0)),"",INDIRECT(CONCATENATE("Table!",ADDRESS($BN67,MATCH(AI$1,INDIRECT("Table!A" &amp; $BJ67):INDIRECT("Table!" &amp; $BV$88 &amp; $BJ67),0)))))/1024</f>
        <v>129.03515625</v>
      </c>
      <c r="AJ67" s="709">
        <f ca="1">IF(ISERROR(MATCH(AJ$1,INDIRECT("Table!A"&amp;$BJ67):INDIRECT("Table!" &amp; $BV$88 &amp; $BJ67),0)),"",INDIRECT(CONCATENATE("Table!",ADDRESS($BN67,MATCH(AJ$1,INDIRECT("Table!A" &amp; $BJ67):INDIRECT("Table!" &amp; $BV$88 &amp; $BJ67),0)))))/1024</f>
        <v>118.4880859375</v>
      </c>
      <c r="AK67" s="709">
        <f ca="1">IF(ISERROR(MATCH(AK$1,INDIRECT("Table!A"&amp;$BJ67):INDIRECT("Table!" &amp; $BV$88 &amp; $BJ67),0)),"",INDIRECT(CONCATENATE("Table!",ADDRESS($BN67,MATCH(AK$1,INDIRECT("Table!A" &amp; $BJ67):INDIRECT("Table!" &amp; $BV$88 &amp; $BJ67),0)))))/1024</f>
        <v>162.18544921874999</v>
      </c>
      <c r="AL67" s="709"/>
      <c r="AM67" s="709"/>
      <c r="AN67" s="709">
        <f ca="1">IF(ISERROR(MATCH(AN$1,INDIRECT("Table!A"&amp;$BJ67):INDIRECT("Table!" &amp; $BV$88 &amp; $BJ67),0)),"",INDIRECT(CONCATENATE("Table!",ADDRESS($BN67,MATCH(AN$1,INDIRECT("Table!A" &amp; $BJ67):INDIRECT("Table!" &amp; $BV$88 &amp; $BJ67),0)))))/1024</f>
        <v>188.5029296875</v>
      </c>
      <c r="AO67" s="709">
        <f ca="1">IF(ISERROR(MATCH(AO$1,INDIRECT("Table!A"&amp;$BJ67):INDIRECT("Table!" &amp; $BV$88 &amp; $BJ67),0)),"",INDIRECT(CONCATENATE("Table!",ADDRESS($BN67,MATCH(AO$1,INDIRECT("Table!A" &amp; $BJ67):INDIRECT("Table!" &amp; $BV$88 &amp; $BJ67),0)))))/1024</f>
        <v>129.03535156250001</v>
      </c>
      <c r="AP67" s="709">
        <f ca="1">IF(ISERROR(MATCH(AP$1,INDIRECT("Table!A"&amp;$BJ67):INDIRECT("Table!" &amp; $BV$88 &amp; $BJ67),0)),"",INDIRECT(CONCATENATE("Table!",ADDRESS($BN67,MATCH(AP$1,INDIRECT("Table!A" &amp; $BJ67):INDIRECT("Table!" &amp; $BV$88 &amp; $BJ67),0)))))/1024</f>
        <v>80.787402343750003</v>
      </c>
      <c r="AQ67" s="709">
        <f ca="1">IF(ISERROR(MATCH(AQ$1,INDIRECT("Table!A"&amp;$BJ67):INDIRECT("Table!" &amp; $BV$88 &amp; $BJ67),0)),"",INDIRECT(CONCATENATE("Table!",ADDRESS($BN67,MATCH(AQ$1,INDIRECT("Table!A" &amp; $BJ67):INDIRECT("Table!" &amp; $BV$88 &amp; $BJ67),0)))))/1024</f>
        <v>172.34638671875001</v>
      </c>
      <c r="AR67" s="709">
        <f ca="1">IF(ISERROR(MATCH(AR$1,INDIRECT("Table!A"&amp;$BJ67):INDIRECT("Table!" &amp; $BV$88 &amp; $BJ67),0)),"",INDIRECT(CONCATENATE("Table!",ADDRESS($BN67,MATCH(AR$1,INDIRECT("Table!A" &amp; $BJ67):INDIRECT("Table!" &amp; $BV$88 &amp; $BJ67),0)))))/1024</f>
        <v>81.0927734375</v>
      </c>
      <c r="AS67" s="709"/>
      <c r="AT67" s="709"/>
      <c r="AU67" s="709">
        <f ca="1">IF(ISERROR(MATCH(AU$1,INDIRECT("Table!A"&amp;$BJ67):INDIRECT("Table!" &amp; $BV$88 &amp; $BJ67),0)),"",INDIRECT(CONCATENATE("Table!",ADDRESS($BN67,MATCH(AU$1,INDIRECT("Table!A" &amp; $BJ67):INDIRECT("Table!" &amp; $BV$88 &amp; $BJ67),0)))))/1024</f>
        <v>53.8583984375</v>
      </c>
      <c r="AV67" s="709">
        <f ca="1">IF(ISERROR(MATCH(AV$1,INDIRECT("Table!A"&amp;$BJ67):INDIRECT("Table!" &amp; $BV$88 &amp; $BJ67),0)),"",INDIRECT(CONCATENATE("Table!",ADDRESS($BN67,MATCH(AV$1,INDIRECT("Table!A" &amp; $BJ67):INDIRECT("Table!" &amp; $BV$88 &amp; $BJ67),0)))))/1024</f>
        <v>32.31494140625</v>
      </c>
      <c r="AW67" s="709"/>
      <c r="AX67" s="909"/>
      <c r="AY67" s="909"/>
      <c r="AZ67" s="909"/>
      <c r="BA67" s="909"/>
      <c r="BB67" s="909"/>
      <c r="BC67" s="909"/>
      <c r="BD67" s="909"/>
      <c r="BE67" s="909"/>
      <c r="BF67" s="704">
        <f>MATCH($A67,Table!$A:$A,0)+$BH$2-1</f>
        <v>835</v>
      </c>
      <c r="BG67" s="705"/>
      <c r="BH67" s="705"/>
      <c r="BI67" s="705"/>
      <c r="BJ67" s="717">
        <f>MATCH($A67,Table!$A:$A,0)+$BL$2-1</f>
        <v>833</v>
      </c>
      <c r="BK67" s="705"/>
      <c r="BL67" s="705"/>
      <c r="BM67" s="705"/>
      <c r="BN67" s="704">
        <f>MATCH($A67,Table!$A:$A,0)+$BP$2-1</f>
        <v>834</v>
      </c>
      <c r="BO67" s="705"/>
      <c r="BP67" s="705"/>
      <c r="BQ67" s="705"/>
      <c r="BR67" s="717">
        <f>MATCH($A67,Table!$A:$A,0)+$BL$2-1</f>
        <v>833</v>
      </c>
      <c r="BS67" s="705"/>
      <c r="BT67" s="705"/>
      <c r="BU67" s="705"/>
      <c r="BV67" s="711" t="s">
        <v>284</v>
      </c>
      <c r="BW67" s="712">
        <f t="shared" ca="1" si="12"/>
        <v>1920.96142578125</v>
      </c>
      <c r="BX67" s="712">
        <f t="shared" ca="1" si="46"/>
        <v>943.14365234375009</v>
      </c>
      <c r="BY67" s="712">
        <f t="shared" ca="1" si="43"/>
        <v>977.81777343749991</v>
      </c>
      <c r="BZ67" s="718">
        <f t="shared" ca="1" si="44"/>
        <v>0.49097480026709855</v>
      </c>
      <c r="CA67" s="712">
        <f>SUMIF('Alloc Feed'!A:A,A:A,'Alloc Feed'!I:I)</f>
        <v>0</v>
      </c>
      <c r="CB67" s="718">
        <f t="shared" ca="1" si="42"/>
        <v>0</v>
      </c>
    </row>
    <row r="68" spans="1:80" s="267" customFormat="1" x14ac:dyDescent="0.25">
      <c r="A68" s="703">
        <v>41351</v>
      </c>
      <c r="B68" s="709">
        <f ca="1">IF(ISERROR(MATCH(B$1,INDIRECT("Table!A"&amp;$BJ68):INDIRECT("Table!" &amp; $BV$88 &amp; $BJ68),0)),"",INDIRECT(CONCATENATE("Table!",ADDRESS($BF68,MATCH(B$1,INDIRECT("Table!A" &amp; $BJ68):INDIRECT("Table!" &amp; $BV$88 &amp; $BJ68),0)))))/1024</f>
        <v>38.629980468749999</v>
      </c>
      <c r="C68" s="709">
        <f ca="1">IF(ISERROR(MATCH(C$1,INDIRECT("Table!A"&amp;$BJ68):INDIRECT("Table!" &amp; $BV$88 &amp; $BJ68),0)),"",INDIRECT(CONCATENATE("Table!",ADDRESS($BF68,MATCH(C$1,INDIRECT("Table!A" &amp; $BJ68):INDIRECT("Table!" &amp; $BV$88 &amp; $BJ68),0)))))/1024</f>
        <v>75.5986328125</v>
      </c>
      <c r="D68" s="709">
        <f ca="1">IF(ISERROR(MATCH(D$1,INDIRECT("Table!A"&amp;$BJ68):INDIRECT("Table!" &amp; $BV$88 &amp; $BJ68),0)),"",INDIRECT(CONCATENATE("Table!",ADDRESS($BF68,MATCH(D$1,INDIRECT("Table!A" &amp; $BJ68):INDIRECT("Table!" &amp; $BV$88 &amp; $BJ68),0)))))/1024</f>
        <v>76.977441406249994</v>
      </c>
      <c r="E68" s="709">
        <f ca="1">IF(ISERROR(MATCH(E$1,INDIRECT("Table!A"&amp;$BJ68):INDIRECT("Table!" &amp; $BV$88 &amp; $BJ68),0)),"",INDIRECT(CONCATENATE("Table!",ADDRESS($BF68,MATCH(E$1,INDIRECT("Table!A" &amp; $BJ68):INDIRECT("Table!" &amp; $BV$88 &amp; $BJ68),0)))))/1024</f>
        <v>153.00166015625001</v>
      </c>
      <c r="F68" s="709">
        <f ca="1">IF(ISERROR(MATCH(F$1,INDIRECT("Table!A"&amp;$BJ68):INDIRECT("Table!" &amp; $BV$88 &amp; $BJ68),0)),"",INDIRECT(CONCATENATE("Table!",ADDRESS($BF68,MATCH(F$1,INDIRECT("Table!A" &amp; $BJ68):INDIRECT("Table!" &amp; $BV$88 &amp; $BJ68),0)))))/1024</f>
        <v>85.728125000000006</v>
      </c>
      <c r="G68" s="709">
        <f ca="1">IF(ISERROR(MATCH(G$1,INDIRECT("Table!A"&amp;$BJ68):INDIRECT("Table!" &amp; $BV$88 &amp; $BJ68),0)),"",INDIRECT(CONCATENATE("Table!",ADDRESS($BF68,MATCH(G$1,INDIRECT("Table!A" &amp; $BJ68):INDIRECT("Table!" &amp; $BV$88 &amp; $BJ68),0)))))/1024</f>
        <v>45.7197265625</v>
      </c>
      <c r="H68" s="709">
        <f ca="1">IF(ISERROR(MATCH(H$1,INDIRECT("Table!A"&amp;$BJ68):INDIRECT("Table!" &amp; $BV$88 &amp; $BJ68),0)),"",INDIRECT(CONCATENATE("Table!",ADDRESS($BF68,MATCH(H$1,INDIRECT("Table!A" &amp; $BJ68):INDIRECT("Table!" &amp; $BV$88 &amp; $BJ68),0)))))/1024</f>
        <v>66.450585937499994</v>
      </c>
      <c r="I68" s="709">
        <f ca="1">IF(ISERROR(MATCH(I$1,INDIRECT("Table!A"&amp;$BJ68):INDIRECT("Table!" &amp; $BV$88 &amp; $BJ68),0)),"",INDIRECT(CONCATENATE("Table!",ADDRESS($BF68,MATCH(I$1,INDIRECT("Table!A" &amp; $BJ68):INDIRECT("Table!" &amp; $BV$88 &amp; $BJ68),0)))))/1024</f>
        <v>4.04638671875</v>
      </c>
      <c r="J68" s="709"/>
      <c r="K68" s="709"/>
      <c r="L68" s="709">
        <f ca="1">IF(ISERROR(MATCH(L$1,INDIRECT("Table!A"&amp;$BJ68):INDIRECT("Table!" &amp; $BV$88 &amp; $BJ68),0)),"",INDIRECT(CONCATENATE("Table!",ADDRESS($BF68,MATCH(L$1,INDIRECT("Table!A" &amp; $BJ68):INDIRECT("Table!" &amp; $BV$88 &amp; $BJ68),0)))))/1024</f>
        <v>152.04707031250001</v>
      </c>
      <c r="M68" s="709">
        <f ca="1">IF(ISERROR(MATCH(M$1,INDIRECT("Table!A"&amp;$BJ68):INDIRECT("Table!" &amp; $BV$88 &amp; $BJ68),0)),"",INDIRECT(CONCATENATE("Table!",ADDRESS($BF68,MATCH(M$1,INDIRECT("Table!A" &amp; $BJ68):INDIRECT("Table!" &amp; $BV$88 &amp; $BJ68),0)))))/1024</f>
        <v>56.898046874999999</v>
      </c>
      <c r="N68" s="709">
        <f ca="1">IF(ISERROR(MATCH(N$1,INDIRECT("Table!A"&amp;$BJ68):INDIRECT("Table!" &amp; $BV$88 &amp; $BJ68),0)),"",INDIRECT(CONCATENATE("Table!",ADDRESS($BF68,MATCH(N$1,INDIRECT("Table!A" &amp; $BJ68):INDIRECT("Table!" &amp; $BV$88 &amp; $BJ68),0)))))/1024</f>
        <v>43.712499999999999</v>
      </c>
      <c r="O68" s="709">
        <f ca="1">IF(ISERROR(MATCH(O$1,INDIRECT("Table!A"&amp;$BJ68):INDIRECT("Table!" &amp; $BV$88 &amp; $BJ68),0)),"",INDIRECT(CONCATENATE("Table!",ADDRESS($BF68,MATCH(O$1,INDIRECT("Table!A" &amp; $BJ68):INDIRECT("Table!" &amp; $BV$88 &amp; $BJ68),0)))))/1024</f>
        <v>129.16630859374999</v>
      </c>
      <c r="P68" s="709">
        <f ca="1">IF(ISERROR(MATCH(P$1,INDIRECT("Table!A"&amp;$BJ68):INDIRECT("Table!" &amp; $BV$88 &amp; $BJ68),0)),"",INDIRECT(CONCATENATE("Table!",ADDRESS($BF68,MATCH(P$1,INDIRECT("Table!A" &amp; $BJ68):INDIRECT("Table!" &amp; $BV$88 &amp; $BJ68),0)))))/1024</f>
        <v>7.9126953125000004</v>
      </c>
      <c r="Q68" s="709"/>
      <c r="R68" s="709"/>
      <c r="S68" s="709">
        <f ca="1">IF(ISERROR(MATCH(S$1,INDIRECT("Table!A"&amp;$BJ68):INDIRECT("Table!" &amp; $BV$43 &amp; $BJ68),0)),"",INDIRECT(CONCATENATE("Table!",ADDRESS($BF68,MATCH(S$1,INDIRECT("Table!A" &amp; $BJ68):INDIRECT("Table!" &amp; $BV$43 &amp; $BJ68),0)))))/1024</f>
        <v>4.2282226562499998</v>
      </c>
      <c r="T68" s="709">
        <f ca="1">IF(ISERROR(MATCH(T$1,INDIRECT("Table!A"&amp;$BJ68):INDIRECT("Table!" &amp; $BV$43 &amp; $BJ68),0)),"",INDIRECT(CONCATENATE("Table!",ADDRESS($BF68,MATCH(T$1,INDIRECT("Table!A" &amp; $BJ68):INDIRECT("Table!" &amp; $BV$43 &amp; $BJ68),0)))))/1024</f>
        <v>2.2984374999999999</v>
      </c>
      <c r="U68" s="709"/>
      <c r="V68" s="909"/>
      <c r="W68" s="909"/>
      <c r="X68" s="909"/>
      <c r="Y68" s="909"/>
      <c r="Z68" s="909"/>
      <c r="AA68" s="909"/>
      <c r="AB68" s="909"/>
      <c r="AC68" s="709" t="str">
        <f ca="1">IF(ISERROR(MATCH(AC$1,INDIRECT("Table!A"&amp;$BJ68):INDIRECT("Table!" &amp; $BV$88 &amp; $BJ68),0)),"",INDIRECT(CONCATENATE("Table!",ADDRESS($BF68,MATCH(AC$1,INDIRECT("Table!A" &amp; $BJ68):INDIRECT("Table!" &amp; $BV$88 &amp; $BJ68),0)))))</f>
        <v/>
      </c>
      <c r="AD68" s="709">
        <f ca="1">IF(ISERROR(MATCH(AD$1,INDIRECT("Table!A"&amp;$BJ68):INDIRECT("Table!" &amp; $BV$88 &amp; $BJ68),0)),"",INDIRECT(CONCATENATE("Table!",ADDRESS($BN68,MATCH(AD$1,INDIRECT("Table!A" &amp; $BJ68):INDIRECT("Table!" &amp; $BV$88 &amp; $BJ68),0)))))/1024</f>
        <v>140.03144531250001</v>
      </c>
      <c r="AE68" s="709">
        <f ca="1">IF(ISERROR(MATCH(AE$1,INDIRECT("Table!A"&amp;$BJ68):INDIRECT("Table!" &amp; $BV$88 &amp; $BJ68),0)),"",INDIRECT(CONCATENATE("Table!",ADDRESS($BN68,MATCH(AE$1,INDIRECT("Table!A" &amp; $BJ68):INDIRECT("Table!" &amp; $BV$88 &amp; $BJ68),0)))))/1024</f>
        <v>146.98808593749999</v>
      </c>
      <c r="AF68" s="709">
        <f ca="1">IF(ISERROR(MATCH(AF$1,INDIRECT("Table!A"&amp;$BJ68):INDIRECT("Table!" &amp; $BV$88 &amp; $BJ68),0)),"",INDIRECT(CONCATENATE("Table!",ADDRESS($BN68,MATCH(AF$1,INDIRECT("Table!A" &amp; $BJ68):INDIRECT("Table!" &amp; $BV$88 &amp; $BJ68),0)))))/1024</f>
        <v>146.98808593749999</v>
      </c>
      <c r="AG68" s="709">
        <f ca="1">IF(ISERROR(MATCH(AG$1,INDIRECT("Table!A"&amp;$BJ68):INDIRECT("Table!" &amp; $BV$88 &amp; $BJ68),0)),"",INDIRECT(CONCATENATE("Table!",ADDRESS($BN68,MATCH(AG$1,INDIRECT("Table!A" &amp; $BJ68):INDIRECT("Table!" &amp; $BV$88 &amp; $BJ68),0)))))/1024</f>
        <v>177.73222656249999</v>
      </c>
      <c r="AH68" s="709">
        <f ca="1">IF(ISERROR(MATCH(AH$1,INDIRECT("Table!A"&amp;$BJ68):INDIRECT("Table!" &amp; $BV$88 &amp; $BJ68),0)),"",INDIRECT(CONCATENATE("Table!",ADDRESS($BN68,MATCH(AH$1,INDIRECT("Table!A" &amp; $BJ68):INDIRECT("Table!" &amp; $BV$88 &amp; $BJ68),0)))))/1024</f>
        <v>161.57470703125</v>
      </c>
      <c r="AI68" s="709">
        <f ca="1">IF(ISERROR(MATCH(AI$1,INDIRECT("Table!A"&amp;$BJ68):INDIRECT("Table!" &amp; $BV$88 &amp; $BJ68),0)),"",INDIRECT(CONCATENATE("Table!",ADDRESS($BN68,MATCH(AI$1,INDIRECT("Table!A" &amp; $BJ68):INDIRECT("Table!" &amp; $BV$88 &amp; $BJ68),0)))))/1024</f>
        <v>129.03515625</v>
      </c>
      <c r="AJ68" s="709">
        <f ca="1">IF(ISERROR(MATCH(AJ$1,INDIRECT("Table!A"&amp;$BJ68):INDIRECT("Table!" &amp; $BV$88 &amp; $BJ68),0)),"",INDIRECT(CONCATENATE("Table!",ADDRESS($BN68,MATCH(AJ$1,INDIRECT("Table!A" &amp; $BJ68):INDIRECT("Table!" &amp; $BV$88 &amp; $BJ68),0)))))/1024</f>
        <v>118.4880859375</v>
      </c>
      <c r="AK68" s="709">
        <f ca="1">IF(ISERROR(MATCH(AK$1,INDIRECT("Table!A"&amp;$BJ68):INDIRECT("Table!" &amp; $BV$88 &amp; $BJ68),0)),"",INDIRECT(CONCATENATE("Table!",ADDRESS($BN68,MATCH(AK$1,INDIRECT("Table!A" &amp; $BJ68):INDIRECT("Table!" &amp; $BV$88 &amp; $BJ68),0)))))/1024</f>
        <v>162.18544921874999</v>
      </c>
      <c r="AL68" s="709"/>
      <c r="AM68" s="709"/>
      <c r="AN68" s="709">
        <f ca="1">IF(ISERROR(MATCH(AN$1,INDIRECT("Table!A"&amp;$BJ68):INDIRECT("Table!" &amp; $BV$88 &amp; $BJ68),0)),"",INDIRECT(CONCATENATE("Table!",ADDRESS($BN68,MATCH(AN$1,INDIRECT("Table!A" &amp; $BJ68):INDIRECT("Table!" &amp; $BV$88 &amp; $BJ68),0)))))/1024</f>
        <v>188.5029296875</v>
      </c>
      <c r="AO68" s="709">
        <f ca="1">IF(ISERROR(MATCH(AO$1,INDIRECT("Table!A"&amp;$BJ68):INDIRECT("Table!" &amp; $BV$88 &amp; $BJ68),0)),"",INDIRECT(CONCATENATE("Table!",ADDRESS($BN68,MATCH(AO$1,INDIRECT("Table!A" &amp; $BJ68):INDIRECT("Table!" &amp; $BV$88 &amp; $BJ68),0)))))/1024</f>
        <v>129.03535156250001</v>
      </c>
      <c r="AP68" s="709">
        <f ca="1">IF(ISERROR(MATCH(AP$1,INDIRECT("Table!A"&amp;$BJ68):INDIRECT("Table!" &amp; $BV$88 &amp; $BJ68),0)),"",INDIRECT(CONCATENATE("Table!",ADDRESS($BN68,MATCH(AP$1,INDIRECT("Table!A" &amp; $BJ68):INDIRECT("Table!" &amp; $BV$88 &amp; $BJ68),0)))))/1024</f>
        <v>80.787402343750003</v>
      </c>
      <c r="AQ68" s="709">
        <f ca="1">IF(ISERROR(MATCH(AQ$1,INDIRECT("Table!A"&amp;$BJ68):INDIRECT("Table!" &amp; $BV$88 &amp; $BJ68),0)),"",INDIRECT(CONCATENATE("Table!",ADDRESS($BN68,MATCH(AQ$1,INDIRECT("Table!A" &amp; $BJ68):INDIRECT("Table!" &amp; $BV$88 &amp; $BJ68),0)))))/1024</f>
        <v>172.34638671875001</v>
      </c>
      <c r="AR68" s="709">
        <f ca="1">IF(ISERROR(MATCH(AR$1,INDIRECT("Table!A"&amp;$BJ68):INDIRECT("Table!" &amp; $BV$88 &amp; $BJ68),0)),"",INDIRECT(CONCATENATE("Table!",ADDRESS($BN68,MATCH(AR$1,INDIRECT("Table!A" &amp; $BJ68):INDIRECT("Table!" &amp; $BV$88 &amp; $BJ68),0)))))/1024</f>
        <v>81.0927734375</v>
      </c>
      <c r="AS68" s="709"/>
      <c r="AT68" s="709"/>
      <c r="AU68" s="709">
        <f ca="1">IF(ISERROR(MATCH(AU$1,INDIRECT("Table!A"&amp;$BJ68):INDIRECT("Table!" &amp; $BV$88 &amp; $BJ68),0)),"",INDIRECT(CONCATENATE("Table!",ADDRESS($BN68,MATCH(AU$1,INDIRECT("Table!A" &amp; $BJ68):INDIRECT("Table!" &amp; $BV$88 &amp; $BJ68),0)))))/1024</f>
        <v>53.8583984375</v>
      </c>
      <c r="AV68" s="709">
        <f ca="1">IF(ISERROR(MATCH(AV$1,INDIRECT("Table!A"&amp;$BJ68):INDIRECT("Table!" &amp; $BV$88 &amp; $BJ68),0)),"",INDIRECT(CONCATENATE("Table!",ADDRESS($BN68,MATCH(AV$1,INDIRECT("Table!A" &amp; $BJ68):INDIRECT("Table!" &amp; $BV$88 &amp; $BJ68),0)))))/1024</f>
        <v>32.31494140625</v>
      </c>
      <c r="AW68" s="709"/>
      <c r="AX68" s="909"/>
      <c r="AY68" s="909"/>
      <c r="AZ68" s="909"/>
      <c r="BA68" s="909"/>
      <c r="BB68" s="909"/>
      <c r="BC68" s="909"/>
      <c r="BD68" s="909"/>
      <c r="BE68" s="909"/>
      <c r="BF68" s="704">
        <f>MATCH($A68,Table!$A:$A,0)+$BH$2-1</f>
        <v>847</v>
      </c>
      <c r="BG68" s="705"/>
      <c r="BH68" s="705"/>
      <c r="BI68" s="705"/>
      <c r="BJ68" s="717">
        <f>MATCH($A68,Table!$A:$A,0)+$BL$2-1</f>
        <v>845</v>
      </c>
      <c r="BK68" s="705"/>
      <c r="BL68" s="705"/>
      <c r="BM68" s="705"/>
      <c r="BN68" s="704">
        <f>MATCH($A68,Table!$A:$A,0)+$BP$2-1</f>
        <v>846</v>
      </c>
      <c r="BO68" s="705"/>
      <c r="BP68" s="705"/>
      <c r="BQ68" s="705"/>
      <c r="BR68" s="717">
        <f>MATCH($A68,Table!$A:$A,0)+$BL$2-1</f>
        <v>845</v>
      </c>
      <c r="BS68" s="705"/>
      <c r="BT68" s="705"/>
      <c r="BU68" s="705"/>
      <c r="BV68" s="711" t="s">
        <v>284</v>
      </c>
      <c r="BW68" s="712">
        <f t="shared" ca="1" si="12"/>
        <v>1920.96142578125</v>
      </c>
      <c r="BX68" s="712">
        <f t="shared" ca="1" si="46"/>
        <v>942.41582031250005</v>
      </c>
      <c r="BY68" s="712">
        <f t="shared" ca="1" si="43"/>
        <v>978.54560546874995</v>
      </c>
      <c r="BZ68" s="718">
        <f t="shared" ca="1" si="44"/>
        <v>0.49059591081024545</v>
      </c>
      <c r="CA68" s="712">
        <f>SUMIF('Alloc Feed'!A:A,A:A,'Alloc Feed'!I:I)</f>
        <v>0</v>
      </c>
      <c r="CB68" s="718">
        <f t="shared" ca="1" si="42"/>
        <v>0</v>
      </c>
    </row>
    <row r="69" spans="1:80" s="267" customFormat="1" x14ac:dyDescent="0.25">
      <c r="A69" s="703">
        <v>41347</v>
      </c>
      <c r="B69" s="709">
        <f ca="1">IF(ISERROR(MATCH(B$1,INDIRECT("Table!A"&amp;$BJ69):INDIRECT("Table!" &amp; $BV$88 &amp; $BJ69),0)),"",INDIRECT(CONCATENATE("Table!",ADDRESS($BF69,MATCH(B$1,INDIRECT("Table!A" &amp; $BJ69):INDIRECT("Table!" &amp; $BV$88 &amp; $BJ69),0)))))/1024</f>
        <v>39.533886718749997</v>
      </c>
      <c r="C69" s="709">
        <f ca="1">IF(ISERROR(MATCH(C$1,INDIRECT("Table!A"&amp;$BJ69):INDIRECT("Table!" &amp; $BV$88 &amp; $BJ69),0)),"",INDIRECT(CONCATENATE("Table!",ADDRESS($BF69,MATCH(C$1,INDIRECT("Table!A" &amp; $BJ69):INDIRECT("Table!" &amp; $BV$88 &amp; $BJ69),0)))))/1024</f>
        <v>75.429589843749994</v>
      </c>
      <c r="D69" s="709">
        <f ca="1">IF(ISERROR(MATCH(D$1,INDIRECT("Table!A"&amp;$BJ69):INDIRECT("Table!" &amp; $BV$88 &amp; $BJ69),0)),"",INDIRECT(CONCATENATE("Table!",ADDRESS($BF69,MATCH(D$1,INDIRECT("Table!A" &amp; $BJ69):INDIRECT("Table!" &amp; $BV$88 &amp; $BJ69),0)))))/1024</f>
        <v>76.771289062500003</v>
      </c>
      <c r="E69" s="709">
        <f ca="1">IF(ISERROR(MATCH(E$1,INDIRECT("Table!A"&amp;$BJ69):INDIRECT("Table!" &amp; $BV$88 &amp; $BJ69),0)),"",INDIRECT(CONCATENATE("Table!",ADDRESS($BF69,MATCH(E$1,INDIRECT("Table!A" &amp; $BJ69):INDIRECT("Table!" &amp; $BV$88 &amp; $BJ69),0)))))/1024</f>
        <v>152.80947265624999</v>
      </c>
      <c r="F69" s="709">
        <f ca="1">IF(ISERROR(MATCH(F$1,INDIRECT("Table!A"&amp;$BJ69):INDIRECT("Table!" &amp; $BV$88 &amp; $BJ69),0)),"",INDIRECT(CONCATENATE("Table!",ADDRESS($BF69,MATCH(F$1,INDIRECT("Table!A" &amp; $BJ69):INDIRECT("Table!" &amp; $BV$88 &amp; $BJ69),0)))))/1024</f>
        <v>83.576855468749997</v>
      </c>
      <c r="G69" s="709">
        <f ca="1">IF(ISERROR(MATCH(G$1,INDIRECT("Table!A"&amp;$BJ69):INDIRECT("Table!" &amp; $BV$88 &amp; $BJ69),0)),"",INDIRECT(CONCATENATE("Table!",ADDRESS($BF69,MATCH(G$1,INDIRECT("Table!A" &amp; $BJ69):INDIRECT("Table!" &amp; $BV$88 &amp; $BJ69),0)))))/1024</f>
        <v>44.637500000000003</v>
      </c>
      <c r="H69" s="709">
        <f ca="1">IF(ISERROR(MATCH(H$1,INDIRECT("Table!A"&amp;$BJ69):INDIRECT("Table!" &amp; $BV$88 &amp; $BJ69),0)),"",INDIRECT(CONCATENATE("Table!",ADDRESS($BF69,MATCH(H$1,INDIRECT("Table!A" &amp; $BJ69):INDIRECT("Table!" &amp; $BV$88 &amp; $BJ69),0)))))/1024</f>
        <v>66.24169921875</v>
      </c>
      <c r="I69" s="709">
        <f ca="1">IF(ISERROR(MATCH(I$1,INDIRECT("Table!A"&amp;$BJ69):INDIRECT("Table!" &amp; $BV$88 &amp; $BJ69),0)),"",INDIRECT(CONCATENATE("Table!",ADDRESS($BF69,MATCH(I$1,INDIRECT("Table!A" &amp; $BJ69):INDIRECT("Table!" &amp; $BV$88 &amp; $BJ69),0)))))/1024</f>
        <v>3.8116210937499999</v>
      </c>
      <c r="J69" s="709"/>
      <c r="K69" s="709"/>
      <c r="L69" s="709">
        <f ca="1">IF(ISERROR(MATCH(L$1,INDIRECT("Table!A"&amp;$BJ69):INDIRECT("Table!" &amp; $BV$88 &amp; $BJ69),0)),"",INDIRECT(CONCATENATE("Table!",ADDRESS($BF69,MATCH(L$1,INDIRECT("Table!A" &amp; $BJ69):INDIRECT("Table!" &amp; $BV$88 &amp; $BJ69),0)))))/1024</f>
        <v>151.72148437499999</v>
      </c>
      <c r="M69" s="709">
        <f ca="1">IF(ISERROR(MATCH(M$1,INDIRECT("Table!A"&amp;$BJ69):INDIRECT("Table!" &amp; $BV$88 &amp; $BJ69),0)),"",INDIRECT(CONCATENATE("Table!",ADDRESS($BF69,MATCH(M$1,INDIRECT("Table!A" &amp; $BJ69):INDIRECT("Table!" &amp; $BV$88 &amp; $BJ69),0)))))/1024</f>
        <v>53.864355468749999</v>
      </c>
      <c r="N69" s="709">
        <f ca="1">IF(ISERROR(MATCH(N$1,INDIRECT("Table!A"&amp;$BJ69):INDIRECT("Table!" &amp; $BV$88 &amp; $BJ69),0)),"",INDIRECT(CONCATENATE("Table!",ADDRESS($BF69,MATCH(N$1,INDIRECT("Table!A" &amp; $BJ69):INDIRECT("Table!" &amp; $BV$88 &amp; $BJ69),0)))))/1024</f>
        <v>43.712499999999999</v>
      </c>
      <c r="O69" s="709">
        <f ca="1">IF(ISERROR(MATCH(O$1,INDIRECT("Table!A"&amp;$BJ69):INDIRECT("Table!" &amp; $BV$88 &amp; $BJ69),0)),"",INDIRECT(CONCATENATE("Table!",ADDRESS($BF69,MATCH(O$1,INDIRECT("Table!A" &amp; $BJ69):INDIRECT("Table!" &amp; $BV$88 &amp; $BJ69),0)))))/1024</f>
        <v>128.78310546874999</v>
      </c>
      <c r="P69" s="709">
        <f ca="1">IF(ISERROR(MATCH(P$1,INDIRECT("Table!A"&amp;$BJ69):INDIRECT("Table!" &amp; $BV$88 &amp; $BJ69),0)),"",INDIRECT(CONCATENATE("Table!",ADDRESS($BF69,MATCH(P$1,INDIRECT("Table!A" &amp; $BJ69):INDIRECT("Table!" &amp; $BV$88 &amp; $BJ69),0)))))/1024</f>
        <v>7.4441406250000002</v>
      </c>
      <c r="Q69" s="709"/>
      <c r="R69" s="709"/>
      <c r="S69" s="709">
        <f ca="1">IF(ISERROR(MATCH(S$1,INDIRECT("Table!A"&amp;$BJ69):INDIRECT("Table!" &amp; $BV$43 &amp; $BJ69),0)),"",INDIRECT(CONCATENATE("Table!",ADDRESS($BF69,MATCH(S$1,INDIRECT("Table!A" &amp; $BJ69):INDIRECT("Table!" &amp; $BV$43 &amp; $BJ69),0)))))/1024</f>
        <v>4.2194335937499998</v>
      </c>
      <c r="T69" s="709">
        <f ca="1">IF(ISERROR(MATCH(T$1,INDIRECT("Table!A"&amp;$BJ69):INDIRECT("Table!" &amp; $BV$43 &amp; $BJ69),0)),"",INDIRECT(CONCATENATE("Table!",ADDRESS($BF69,MATCH(T$1,INDIRECT("Table!A" &amp; $BJ69):INDIRECT("Table!" &amp; $BV$43 &amp; $BJ69),0)))))/1024</f>
        <v>2.25439453125</v>
      </c>
      <c r="U69" s="709"/>
      <c r="V69" s="909"/>
      <c r="W69" s="909"/>
      <c r="X69" s="909"/>
      <c r="Y69" s="909"/>
      <c r="Z69" s="909"/>
      <c r="AA69" s="909"/>
      <c r="AB69" s="909"/>
      <c r="AC69" s="709" t="str">
        <f ca="1">IF(ISERROR(MATCH(AC$1,INDIRECT("Table!A"&amp;$BJ69):INDIRECT("Table!" &amp; $BV$88 &amp; $BJ69),0)),"",INDIRECT(CONCATENATE("Table!",ADDRESS($BF69,MATCH(AC$1,INDIRECT("Table!A" &amp; $BJ69):INDIRECT("Table!" &amp; $BV$88 &amp; $BJ69),0)))))</f>
        <v/>
      </c>
      <c r="AD69" s="709">
        <f ca="1">IF(ISERROR(MATCH(AD$1,INDIRECT("Table!A"&amp;$BJ69):INDIRECT("Table!" &amp; $BV$88 &amp; $BJ69),0)),"",INDIRECT(CONCATENATE("Table!",ADDRESS($BN69,MATCH(AD$1,INDIRECT("Table!A" &amp; $BJ69):INDIRECT("Table!" &amp; $BV$88 &amp; $BJ69),0)))))/1024</f>
        <v>140.03144531250001</v>
      </c>
      <c r="AE69" s="709">
        <f ca="1">IF(ISERROR(MATCH(AE$1,INDIRECT("Table!A"&amp;$BJ69):INDIRECT("Table!" &amp; $BV$88 &amp; $BJ69),0)),"",INDIRECT(CONCATENATE("Table!",ADDRESS($BN69,MATCH(AE$1,INDIRECT("Table!A" &amp; $BJ69):INDIRECT("Table!" &amp; $BV$88 &amp; $BJ69),0)))))/1024</f>
        <v>146.98808593749999</v>
      </c>
      <c r="AF69" s="709">
        <f ca="1">IF(ISERROR(MATCH(AF$1,INDIRECT("Table!A"&amp;$BJ69):INDIRECT("Table!" &amp; $BV$88 &amp; $BJ69),0)),"",INDIRECT(CONCATENATE("Table!",ADDRESS($BN69,MATCH(AF$1,INDIRECT("Table!A" &amp; $BJ69):INDIRECT("Table!" &amp; $BV$88 &amp; $BJ69),0)))))/1024</f>
        <v>146.98808593749999</v>
      </c>
      <c r="AG69" s="709">
        <f ca="1">IF(ISERROR(MATCH(AG$1,INDIRECT("Table!A"&amp;$BJ69):INDIRECT("Table!" &amp; $BV$88 &amp; $BJ69),0)),"",INDIRECT(CONCATENATE("Table!",ADDRESS($BN69,MATCH(AG$1,INDIRECT("Table!A" &amp; $BJ69):INDIRECT("Table!" &amp; $BV$88 &amp; $BJ69),0)))))/1024</f>
        <v>177.73222656249999</v>
      </c>
      <c r="AH69" s="709">
        <f ca="1">IF(ISERROR(MATCH(AH$1,INDIRECT("Table!A"&amp;$BJ69):INDIRECT("Table!" &amp; $BV$88 &amp; $BJ69),0)),"",INDIRECT(CONCATENATE("Table!",ADDRESS($BN69,MATCH(AH$1,INDIRECT("Table!A" &amp; $BJ69):INDIRECT("Table!" &amp; $BV$88 &amp; $BJ69),0)))))/1024</f>
        <v>161.57470703125</v>
      </c>
      <c r="AI69" s="709">
        <f ca="1">IF(ISERROR(MATCH(AI$1,INDIRECT("Table!A"&amp;$BJ69):INDIRECT("Table!" &amp; $BV$88 &amp; $BJ69),0)),"",INDIRECT(CONCATENATE("Table!",ADDRESS($BN69,MATCH(AI$1,INDIRECT("Table!A" &amp; $BJ69):INDIRECT("Table!" &amp; $BV$88 &amp; $BJ69),0)))))/1024</f>
        <v>129.03515625</v>
      </c>
      <c r="AJ69" s="709">
        <f ca="1">IF(ISERROR(MATCH(AJ$1,INDIRECT("Table!A"&amp;$BJ69):INDIRECT("Table!" &amp; $BV$88 &amp; $BJ69),0)),"",INDIRECT(CONCATENATE("Table!",ADDRESS($BN69,MATCH(AJ$1,INDIRECT("Table!A" &amp; $BJ69):INDIRECT("Table!" &amp; $BV$88 &amp; $BJ69),0)))))/1024</f>
        <v>118.4880859375</v>
      </c>
      <c r="AK69" s="709">
        <f ca="1">IF(ISERROR(MATCH(AK$1,INDIRECT("Table!A"&amp;$BJ69):INDIRECT("Table!" &amp; $BV$88 &amp; $BJ69),0)),"",INDIRECT(CONCATENATE("Table!",ADDRESS($BN69,MATCH(AK$1,INDIRECT("Table!A" &amp; $BJ69):INDIRECT("Table!" &amp; $BV$88 &amp; $BJ69),0)))))/1024</f>
        <v>162.18544921874999</v>
      </c>
      <c r="AL69" s="709"/>
      <c r="AM69" s="709"/>
      <c r="AN69" s="709">
        <f ca="1">IF(ISERROR(MATCH(AN$1,INDIRECT("Table!A"&amp;$BJ69):INDIRECT("Table!" &amp; $BV$88 &amp; $BJ69),0)),"",INDIRECT(CONCATENATE("Table!",ADDRESS($BN69,MATCH(AN$1,INDIRECT("Table!A" &amp; $BJ69):INDIRECT("Table!" &amp; $BV$88 &amp; $BJ69),0)))))/1024</f>
        <v>188.5029296875</v>
      </c>
      <c r="AO69" s="709">
        <f ca="1">IF(ISERROR(MATCH(AO$1,INDIRECT("Table!A"&amp;$BJ69):INDIRECT("Table!" &amp; $BV$88 &amp; $BJ69),0)),"",INDIRECT(CONCATENATE("Table!",ADDRESS($BN69,MATCH(AO$1,INDIRECT("Table!A" &amp; $BJ69):INDIRECT("Table!" &amp; $BV$88 &amp; $BJ69),0)))))/1024</f>
        <v>129.03535156250001</v>
      </c>
      <c r="AP69" s="709">
        <f ca="1">IF(ISERROR(MATCH(AP$1,INDIRECT("Table!A"&amp;$BJ69):INDIRECT("Table!" &amp; $BV$88 &amp; $BJ69),0)),"",INDIRECT(CONCATENATE("Table!",ADDRESS($BN69,MATCH(AP$1,INDIRECT("Table!A" &amp; $BJ69):INDIRECT("Table!" &amp; $BV$88 &amp; $BJ69),0)))))/1024</f>
        <v>80.787402343750003</v>
      </c>
      <c r="AQ69" s="709">
        <f ca="1">IF(ISERROR(MATCH(AQ$1,INDIRECT("Table!A"&amp;$BJ69):INDIRECT("Table!" &amp; $BV$88 &amp; $BJ69),0)),"",INDIRECT(CONCATENATE("Table!",ADDRESS($BN69,MATCH(AQ$1,INDIRECT("Table!A" &amp; $BJ69):INDIRECT("Table!" &amp; $BV$88 &amp; $BJ69),0)))))/1024</f>
        <v>172.34638671875001</v>
      </c>
      <c r="AR69" s="709">
        <f ca="1">IF(ISERROR(MATCH(AR$1,INDIRECT("Table!A"&amp;$BJ69):INDIRECT("Table!" &amp; $BV$88 &amp; $BJ69),0)),"",INDIRECT(CONCATENATE("Table!",ADDRESS($BN69,MATCH(AR$1,INDIRECT("Table!A" &amp; $BJ69):INDIRECT("Table!" &amp; $BV$88 &amp; $BJ69),0)))))/1024</f>
        <v>81.0927734375</v>
      </c>
      <c r="AS69" s="709"/>
      <c r="AT69" s="709"/>
      <c r="AU69" s="709">
        <f ca="1">IF(ISERROR(MATCH(AU$1,INDIRECT("Table!A"&amp;$BJ69):INDIRECT("Table!" &amp; $BV$88 &amp; $BJ69),0)),"",INDIRECT(CONCATENATE("Table!",ADDRESS($BN69,MATCH(AU$1,INDIRECT("Table!A" &amp; $BJ69):INDIRECT("Table!" &amp; $BV$88 &amp; $BJ69),0)))))/1024</f>
        <v>53.8583984375</v>
      </c>
      <c r="AV69" s="709">
        <f ca="1">IF(ISERROR(MATCH(AV$1,INDIRECT("Table!A"&amp;$BJ69):INDIRECT("Table!" &amp; $BV$88 &amp; $BJ69),0)),"",INDIRECT(CONCATENATE("Table!",ADDRESS($BN69,MATCH(AV$1,INDIRECT("Table!A" &amp; $BJ69):INDIRECT("Table!" &amp; $BV$88 &amp; $BJ69),0)))))/1024</f>
        <v>32.31494140625</v>
      </c>
      <c r="AW69" s="709"/>
      <c r="AX69" s="909"/>
      <c r="AY69" s="909"/>
      <c r="AZ69" s="909"/>
      <c r="BA69" s="909"/>
      <c r="BB69" s="909"/>
      <c r="BC69" s="909"/>
      <c r="BD69" s="909"/>
      <c r="BE69" s="909"/>
      <c r="BF69" s="704">
        <f>MATCH($A69,Table!$A:$A,0)+$BH$2-1</f>
        <v>859</v>
      </c>
      <c r="BG69" s="705"/>
      <c r="BH69" s="705"/>
      <c r="BI69" s="705"/>
      <c r="BJ69" s="717">
        <f>MATCH($A69,Table!$A:$A,0)+$BL$2-1</f>
        <v>857</v>
      </c>
      <c r="BK69" s="705"/>
      <c r="BL69" s="705"/>
      <c r="BM69" s="705"/>
      <c r="BN69" s="704">
        <f>MATCH($A69,Table!$A:$A,0)+$BP$2-1</f>
        <v>858</v>
      </c>
      <c r="BO69" s="705"/>
      <c r="BP69" s="705"/>
      <c r="BQ69" s="705"/>
      <c r="BR69" s="717">
        <f>MATCH($A69,Table!$A:$A,0)+$BL$2-1</f>
        <v>857</v>
      </c>
      <c r="BS69" s="705"/>
      <c r="BT69" s="705"/>
      <c r="BU69" s="705"/>
      <c r="BV69" s="711" t="s">
        <v>284</v>
      </c>
      <c r="BW69" s="712">
        <f t="shared" ca="1" si="12"/>
        <v>1920.96142578125</v>
      </c>
      <c r="BX69" s="712">
        <f t="shared" ca="1" si="46"/>
        <v>934.81132812499993</v>
      </c>
      <c r="BY69" s="712">
        <f t="shared" ca="1" si="43"/>
        <v>986.15009765625007</v>
      </c>
      <c r="BZ69" s="718">
        <f t="shared" ca="1" si="44"/>
        <v>0.48663722008098864</v>
      </c>
      <c r="CA69" s="712">
        <f>SUMIF('Alloc Feed'!A:A,A:A,'Alloc Feed'!I:I)</f>
        <v>0</v>
      </c>
      <c r="CB69" s="718">
        <f t="shared" ca="1" si="42"/>
        <v>0</v>
      </c>
    </row>
    <row r="70" spans="1:80" s="267" customFormat="1" x14ac:dyDescent="0.25">
      <c r="A70" s="703">
        <v>41345</v>
      </c>
      <c r="B70" s="709">
        <f ca="1">IF(ISERROR(MATCH(B$1,INDIRECT("Table!A"&amp;$BJ70):INDIRECT("Table!" &amp; $BV$88 &amp; $BJ70),0)),"",INDIRECT(CONCATENATE("Table!",ADDRESS($BF70,MATCH(B$1,INDIRECT("Table!A" &amp; $BJ70):INDIRECT("Table!" &amp; $BV$88 &amp; $BJ70),0)))))/1024</f>
        <v>41.055957031250003</v>
      </c>
      <c r="C70" s="709">
        <f ca="1">IF(ISERROR(MATCH(C$1,INDIRECT("Table!A"&amp;$BJ70):INDIRECT("Table!" &amp; $BV$88 &amp; $BJ70),0)),"",INDIRECT(CONCATENATE("Table!",ADDRESS($BF70,MATCH(C$1,INDIRECT("Table!A" &amp; $BJ70):INDIRECT("Table!" &amp; $BV$88 &amp; $BJ70),0)))))/1024</f>
        <v>75.399218750000003</v>
      </c>
      <c r="D70" s="709">
        <f ca="1">IF(ISERROR(MATCH(D$1,INDIRECT("Table!A"&amp;$BJ70):INDIRECT("Table!" &amp; $BV$88 &amp; $BJ70),0)),"",INDIRECT(CONCATENATE("Table!",ADDRESS($BF70,MATCH(D$1,INDIRECT("Table!A" &amp; $BJ70):INDIRECT("Table!" &amp; $BV$88 &amp; $BJ70),0)))))/1024</f>
        <v>76.771289062500003</v>
      </c>
      <c r="E70" s="709">
        <f ca="1">IF(ISERROR(MATCH(E$1,INDIRECT("Table!A"&amp;$BJ70):INDIRECT("Table!" &amp; $BV$88 &amp; $BJ70),0)),"",INDIRECT(CONCATENATE("Table!",ADDRESS($BF70,MATCH(E$1,INDIRECT("Table!A" &amp; $BJ70):INDIRECT("Table!" &amp; $BV$88 &amp; $BJ70),0)))))/1024</f>
        <v>152.77470703124999</v>
      </c>
      <c r="F70" s="709">
        <f ca="1">IF(ISERROR(MATCH(F$1,INDIRECT("Table!A"&amp;$BJ70):INDIRECT("Table!" &amp; $BV$88 &amp; $BJ70),0)),"",INDIRECT(CONCATENATE("Table!",ADDRESS($BF70,MATCH(F$1,INDIRECT("Table!A" &amp; $BJ70):INDIRECT("Table!" &amp; $BV$88 &amp; $BJ70),0)))))/1024</f>
        <v>83.576855468749997</v>
      </c>
      <c r="G70" s="709">
        <f ca="1">IF(ISERROR(MATCH(G$1,INDIRECT("Table!A"&amp;$BJ70):INDIRECT("Table!" &amp; $BV$88 &amp; $BJ70),0)),"",INDIRECT(CONCATENATE("Table!",ADDRESS($BF70,MATCH(G$1,INDIRECT("Table!A" &amp; $BJ70):INDIRECT("Table!" &amp; $BV$88 &amp; $BJ70),0)))))/1024</f>
        <v>45.738867187499999</v>
      </c>
      <c r="H70" s="709">
        <f ca="1">IF(ISERROR(MATCH(H$1,INDIRECT("Table!A"&amp;$BJ70):INDIRECT("Table!" &amp; $BV$88 &amp; $BJ70),0)),"",INDIRECT(CONCATENATE("Table!",ADDRESS($BF70,MATCH(H$1,INDIRECT("Table!A" &amp; $BJ70):INDIRECT("Table!" &amp; $BV$88 &amp; $BJ70),0)))))/1024</f>
        <v>66.147167968749997</v>
      </c>
      <c r="I70" s="709">
        <f ca="1">IF(ISERROR(MATCH(I$1,INDIRECT("Table!A"&amp;$BJ70):INDIRECT("Table!" &amp; $BV$88 &amp; $BJ70),0)),"",INDIRECT(CONCATENATE("Table!",ADDRESS($BF70,MATCH(I$1,INDIRECT("Table!A" &amp; $BJ70):INDIRECT("Table!" &amp; $BV$88 &amp; $BJ70),0)))))/1024</f>
        <v>3.8112304687499998</v>
      </c>
      <c r="J70" s="709"/>
      <c r="K70" s="709"/>
      <c r="L70" s="709">
        <f ca="1">IF(ISERROR(MATCH(L$1,INDIRECT("Table!A"&amp;$BJ70):INDIRECT("Table!" &amp; $BV$88 &amp; $BJ70),0)),"",INDIRECT(CONCATENATE("Table!",ADDRESS($BF70,MATCH(L$1,INDIRECT("Table!A" &amp; $BJ70):INDIRECT("Table!" &amp; $BV$88 &amp; $BJ70),0)))))/1024</f>
        <v>151.6552734375</v>
      </c>
      <c r="M70" s="709">
        <f ca="1">IF(ISERROR(MATCH(M$1,INDIRECT("Table!A"&amp;$BJ70):INDIRECT("Table!" &amp; $BV$88 &amp; $BJ70),0)),"",INDIRECT(CONCATENATE("Table!",ADDRESS($BF70,MATCH(M$1,INDIRECT("Table!A" &amp; $BJ70):INDIRECT("Table!" &amp; $BV$88 &amp; $BJ70),0)))))/1024</f>
        <v>53.27392578125</v>
      </c>
      <c r="N70" s="709">
        <f ca="1">IF(ISERROR(MATCH(N$1,INDIRECT("Table!A"&amp;$BJ70):INDIRECT("Table!" &amp; $BV$88 &amp; $BJ70),0)),"",INDIRECT(CONCATENATE("Table!",ADDRESS($BF70,MATCH(N$1,INDIRECT("Table!A" &amp; $BJ70):INDIRECT("Table!" &amp; $BV$88 &amp; $BJ70),0)))))/1024</f>
        <v>43.390039062500001</v>
      </c>
      <c r="O70" s="709">
        <f ca="1">IF(ISERROR(MATCH(O$1,INDIRECT("Table!A"&amp;$BJ70):INDIRECT("Table!" &amp; $BV$88 &amp; $BJ70),0)),"",INDIRECT(CONCATENATE("Table!",ADDRESS($BF70,MATCH(O$1,INDIRECT("Table!A" &amp; $BJ70):INDIRECT("Table!" &amp; $BV$88 &amp; $BJ70),0)))))/1024</f>
        <v>128.97802734375</v>
      </c>
      <c r="P70" s="709">
        <f ca="1">IF(ISERROR(MATCH(P$1,INDIRECT("Table!A"&amp;$BJ70):INDIRECT("Table!" &amp; $BV$88 &amp; $BJ70),0)),"",INDIRECT(CONCATENATE("Table!",ADDRESS($BF70,MATCH(P$1,INDIRECT("Table!A" &amp; $BJ70):INDIRECT("Table!" &amp; $BV$88 &amp; $BJ70),0)))))/1024</f>
        <v>7.443359375</v>
      </c>
      <c r="Q70" s="709"/>
      <c r="R70" s="709"/>
      <c r="S70" s="709">
        <f ca="1">IF(ISERROR(MATCH(S$1,INDIRECT("Table!A"&amp;$BJ70):INDIRECT("Table!" &amp; $BV$43 &amp; $BJ70),0)),"",INDIRECT(CONCATENATE("Table!",ADDRESS($BF70,MATCH(S$1,INDIRECT("Table!A" &amp; $BJ70):INDIRECT("Table!" &amp; $BV$43 &amp; $BJ70),0)))))/1024</f>
        <v>4.21826171875</v>
      </c>
      <c r="T70" s="709">
        <f ca="1">IF(ISERROR(MATCH(T$1,INDIRECT("Table!A"&amp;$BJ70):INDIRECT("Table!" &amp; $BV$43 &amp; $BJ70),0)),"",INDIRECT(CONCATENATE("Table!",ADDRESS($BF70,MATCH(T$1,INDIRECT("Table!A" &amp; $BJ70):INDIRECT("Table!" &amp; $BV$43 &amp; $BJ70),0)))))/1024</f>
        <v>2.14990234375</v>
      </c>
      <c r="U70" s="709"/>
      <c r="V70" s="909"/>
      <c r="W70" s="909"/>
      <c r="X70" s="909"/>
      <c r="Y70" s="909"/>
      <c r="Z70" s="909"/>
      <c r="AA70" s="909"/>
      <c r="AB70" s="909"/>
      <c r="AC70" s="709" t="str">
        <f ca="1">IF(ISERROR(MATCH(AC$1,INDIRECT("Table!A"&amp;$BJ70):INDIRECT("Table!" &amp; $BV$88 &amp; $BJ70),0)),"",INDIRECT(CONCATENATE("Table!",ADDRESS($BF70,MATCH(AC$1,INDIRECT("Table!A" &amp; $BJ70):INDIRECT("Table!" &amp; $BV$88 &amp; $BJ70),0)))))</f>
        <v/>
      </c>
      <c r="AD70" s="709">
        <f ca="1">IF(ISERROR(MATCH(AD$1,INDIRECT("Table!A"&amp;$BJ70):INDIRECT("Table!" &amp; $BV$88 &amp; $BJ70),0)),"",INDIRECT(CONCATENATE("Table!",ADDRESS($BN70,MATCH(AD$1,INDIRECT("Table!A" &amp; $BJ70):INDIRECT("Table!" &amp; $BV$88 &amp; $BJ70),0)))))/1024</f>
        <v>140.03144531250001</v>
      </c>
      <c r="AE70" s="709">
        <f ca="1">IF(ISERROR(MATCH(AE$1,INDIRECT("Table!A"&amp;$BJ70):INDIRECT("Table!" &amp; $BV$88 &amp; $BJ70),0)),"",INDIRECT(CONCATENATE("Table!",ADDRESS($BN70,MATCH(AE$1,INDIRECT("Table!A" &amp; $BJ70):INDIRECT("Table!" &amp; $BV$88 &amp; $BJ70),0)))))/1024</f>
        <v>146.98808593749999</v>
      </c>
      <c r="AF70" s="709">
        <f ca="1">IF(ISERROR(MATCH(AF$1,INDIRECT("Table!A"&amp;$BJ70):INDIRECT("Table!" &amp; $BV$88 &amp; $BJ70),0)),"",INDIRECT(CONCATENATE("Table!",ADDRESS($BN70,MATCH(AF$1,INDIRECT("Table!A" &amp; $BJ70):INDIRECT("Table!" &amp; $BV$88 &amp; $BJ70),0)))))/1024</f>
        <v>146.98808593749999</v>
      </c>
      <c r="AG70" s="709">
        <f ca="1">IF(ISERROR(MATCH(AG$1,INDIRECT("Table!A"&amp;$BJ70):INDIRECT("Table!" &amp; $BV$88 &amp; $BJ70),0)),"",INDIRECT(CONCATENATE("Table!",ADDRESS($BN70,MATCH(AG$1,INDIRECT("Table!A" &amp; $BJ70):INDIRECT("Table!" &amp; $BV$88 &amp; $BJ70),0)))))/1024</f>
        <v>177.73222656249999</v>
      </c>
      <c r="AH70" s="709">
        <f ca="1">IF(ISERROR(MATCH(AH$1,INDIRECT("Table!A"&amp;$BJ70):INDIRECT("Table!" &amp; $BV$88 &amp; $BJ70),0)),"",INDIRECT(CONCATENATE("Table!",ADDRESS($BN70,MATCH(AH$1,INDIRECT("Table!A" &amp; $BJ70):INDIRECT("Table!" &amp; $BV$88 &amp; $BJ70),0)))))/1024</f>
        <v>161.57470703125</v>
      </c>
      <c r="AI70" s="709">
        <f ca="1">IF(ISERROR(MATCH(AI$1,INDIRECT("Table!A"&amp;$BJ70):INDIRECT("Table!" &amp; $BV$88 &amp; $BJ70),0)),"",INDIRECT(CONCATENATE("Table!",ADDRESS($BN70,MATCH(AI$1,INDIRECT("Table!A" &amp; $BJ70):INDIRECT("Table!" &amp; $BV$88 &amp; $BJ70),0)))))/1024</f>
        <v>129.03515625</v>
      </c>
      <c r="AJ70" s="709">
        <f ca="1">IF(ISERROR(MATCH(AJ$1,INDIRECT("Table!A"&amp;$BJ70):INDIRECT("Table!" &amp; $BV$88 &amp; $BJ70),0)),"",INDIRECT(CONCATENATE("Table!",ADDRESS($BN70,MATCH(AJ$1,INDIRECT("Table!A" &amp; $BJ70):INDIRECT("Table!" &amp; $BV$88 &amp; $BJ70),0)))))/1024</f>
        <v>118.4880859375</v>
      </c>
      <c r="AK70" s="709">
        <f ca="1">IF(ISERROR(MATCH(AK$1,INDIRECT("Table!A"&amp;$BJ70):INDIRECT("Table!" &amp; $BV$88 &amp; $BJ70),0)),"",INDIRECT(CONCATENATE("Table!",ADDRESS($BN70,MATCH(AK$1,INDIRECT("Table!A" &amp; $BJ70):INDIRECT("Table!" &amp; $BV$88 &amp; $BJ70),0)))))/1024</f>
        <v>162.18544921874999</v>
      </c>
      <c r="AL70" s="709"/>
      <c r="AM70" s="709"/>
      <c r="AN70" s="709">
        <f ca="1">IF(ISERROR(MATCH(AN$1,INDIRECT("Table!A"&amp;$BJ70):INDIRECT("Table!" &amp; $BV$88 &amp; $BJ70),0)),"",INDIRECT(CONCATENATE("Table!",ADDRESS($BN70,MATCH(AN$1,INDIRECT("Table!A" &amp; $BJ70):INDIRECT("Table!" &amp; $BV$88 &amp; $BJ70),0)))))/1024</f>
        <v>188.5029296875</v>
      </c>
      <c r="AO70" s="709">
        <f ca="1">IF(ISERROR(MATCH(AO$1,INDIRECT("Table!A"&amp;$BJ70):INDIRECT("Table!" &amp; $BV$88 &amp; $BJ70),0)),"",INDIRECT(CONCATENATE("Table!",ADDRESS($BN70,MATCH(AO$1,INDIRECT("Table!A" &amp; $BJ70):INDIRECT("Table!" &amp; $BV$88 &amp; $BJ70),0)))))/1024</f>
        <v>129.03535156250001</v>
      </c>
      <c r="AP70" s="709">
        <f ca="1">IF(ISERROR(MATCH(AP$1,INDIRECT("Table!A"&amp;$BJ70):INDIRECT("Table!" &amp; $BV$88 &amp; $BJ70),0)),"",INDIRECT(CONCATENATE("Table!",ADDRESS($BN70,MATCH(AP$1,INDIRECT("Table!A" &amp; $BJ70):INDIRECT("Table!" &amp; $BV$88 &amp; $BJ70),0)))))/1024</f>
        <v>80.787402343750003</v>
      </c>
      <c r="AQ70" s="709">
        <f ca="1">IF(ISERROR(MATCH(AQ$1,INDIRECT("Table!A"&amp;$BJ70):INDIRECT("Table!" &amp; $BV$88 &amp; $BJ70),0)),"",INDIRECT(CONCATENATE("Table!",ADDRESS($BN70,MATCH(AQ$1,INDIRECT("Table!A" &amp; $BJ70):INDIRECT("Table!" &amp; $BV$88 &amp; $BJ70),0)))))/1024</f>
        <v>172.34638671875001</v>
      </c>
      <c r="AR70" s="709">
        <f ca="1">IF(ISERROR(MATCH(AR$1,INDIRECT("Table!A"&amp;$BJ70):INDIRECT("Table!" &amp; $BV$88 &amp; $BJ70),0)),"",INDIRECT(CONCATENATE("Table!",ADDRESS($BN70,MATCH(AR$1,INDIRECT("Table!A" &amp; $BJ70):INDIRECT("Table!" &amp; $BV$88 &amp; $BJ70),0)))))/1024</f>
        <v>81.0927734375</v>
      </c>
      <c r="AS70" s="709"/>
      <c r="AT70" s="709"/>
      <c r="AU70" s="709">
        <f ca="1">IF(ISERROR(MATCH(AU$1,INDIRECT("Table!A"&amp;$BJ70):INDIRECT("Table!" &amp; $BV$88 &amp; $BJ70),0)),"",INDIRECT(CONCATENATE("Table!",ADDRESS($BN70,MATCH(AU$1,INDIRECT("Table!A" &amp; $BJ70):INDIRECT("Table!" &amp; $BV$88 &amp; $BJ70),0)))))/1024</f>
        <v>53.8583984375</v>
      </c>
      <c r="AV70" s="709">
        <f ca="1">IF(ISERROR(MATCH(AV$1,INDIRECT("Table!A"&amp;$BJ70):INDIRECT("Table!" &amp; $BV$88 &amp; $BJ70),0)),"",INDIRECT(CONCATENATE("Table!",ADDRESS($BN70,MATCH(AV$1,INDIRECT("Table!A" &amp; $BJ70):INDIRECT("Table!" &amp; $BV$88 &amp; $BJ70),0)))))/1024</f>
        <v>32.31494140625</v>
      </c>
      <c r="AW70" s="709"/>
      <c r="AX70" s="909"/>
      <c r="AY70" s="909"/>
      <c r="AZ70" s="909"/>
      <c r="BA70" s="909"/>
      <c r="BB70" s="909"/>
      <c r="BC70" s="909"/>
      <c r="BD70" s="909"/>
      <c r="BE70" s="909"/>
      <c r="BF70" s="704">
        <f>MATCH($A70,Table!$A:$A,0)+$BH$2-1</f>
        <v>871</v>
      </c>
      <c r="BG70" s="705"/>
      <c r="BH70" s="705"/>
      <c r="BI70" s="705"/>
      <c r="BJ70" s="717">
        <f>MATCH($A70,Table!$A:$A,0)+$BL$2-1</f>
        <v>869</v>
      </c>
      <c r="BK70" s="705"/>
      <c r="BL70" s="705"/>
      <c r="BM70" s="705"/>
      <c r="BN70" s="704">
        <f>MATCH($A70,Table!$A:$A,0)+$BP$2-1</f>
        <v>870</v>
      </c>
      <c r="BO70" s="705"/>
      <c r="BP70" s="705"/>
      <c r="BQ70" s="705"/>
      <c r="BR70" s="717">
        <f>MATCH($A70,Table!$A:$A,0)+$BL$2-1</f>
        <v>869</v>
      </c>
      <c r="BS70" s="705"/>
      <c r="BT70" s="705"/>
      <c r="BU70" s="705"/>
      <c r="BV70" s="711" t="s">
        <v>284</v>
      </c>
      <c r="BW70" s="712">
        <f t="shared" ref="BW70:BW88" ca="1" si="47">SUM(AD70:BD70)</f>
        <v>1920.96142578125</v>
      </c>
      <c r="BX70" s="712">
        <f t="shared" ca="1" si="46"/>
        <v>936.38408203124993</v>
      </c>
      <c r="BY70" s="712">
        <f t="shared" ca="1" si="43"/>
        <v>984.57734375000007</v>
      </c>
      <c r="BZ70" s="718">
        <f t="shared" ca="1" si="44"/>
        <v>0.48745595276616499</v>
      </c>
      <c r="CA70" s="712">
        <f>SUMIF('Alloc Feed'!A:A,A:A,'Alloc Feed'!I:I)</f>
        <v>0</v>
      </c>
      <c r="CB70" s="718">
        <f t="shared" ca="1" si="42"/>
        <v>0</v>
      </c>
    </row>
    <row r="71" spans="1:80" s="267" customFormat="1" x14ac:dyDescent="0.25">
      <c r="A71" s="703">
        <v>41344</v>
      </c>
      <c r="B71" s="709">
        <f ca="1">IF(ISERROR(MATCH(B$1,INDIRECT("Table!A"&amp;$BJ71):INDIRECT("Table!" &amp; $BV$88 &amp; $BJ71),0)),"",INDIRECT(CONCATENATE("Table!",ADDRESS($BF71,MATCH(B$1,INDIRECT("Table!A" &amp; $BJ71):INDIRECT("Table!" &amp; $BV$88 &amp; $BJ71),0)))))/1024</f>
        <v>41.70068359375</v>
      </c>
      <c r="C71" s="709">
        <f ca="1">IF(ISERROR(MATCH(C$1,INDIRECT("Table!A"&amp;$BJ71):INDIRECT("Table!" &amp; $BV$88 &amp; $BJ71),0)),"",INDIRECT(CONCATENATE("Table!",ADDRESS($BF71,MATCH(C$1,INDIRECT("Table!A" &amp; $BJ71):INDIRECT("Table!" &amp; $BV$88 &amp; $BJ71),0)))))/1024</f>
        <v>75.389941406250003</v>
      </c>
      <c r="D71" s="709">
        <f ca="1">IF(ISERROR(MATCH(D$1,INDIRECT("Table!A"&amp;$BJ71):INDIRECT("Table!" &amp; $BV$88 &amp; $BJ71),0)),"",INDIRECT(CONCATENATE("Table!",ADDRESS($BF71,MATCH(D$1,INDIRECT("Table!A" &amp; $BJ71):INDIRECT("Table!" &amp; $BV$88 &amp; $BJ71),0)))))/1024</f>
        <v>76.771289062500003</v>
      </c>
      <c r="E71" s="709">
        <f ca="1">IF(ISERROR(MATCH(E$1,INDIRECT("Table!A"&amp;$BJ71):INDIRECT("Table!" &amp; $BV$88 &amp; $BJ71),0)),"",INDIRECT(CONCATENATE("Table!",ADDRESS($BF71,MATCH(E$1,INDIRECT("Table!A" &amp; $BJ71):INDIRECT("Table!" &amp; $BV$88 &amp; $BJ71),0)))))/1024</f>
        <v>152.75605468750001</v>
      </c>
      <c r="F71" s="709">
        <f ca="1">IF(ISERROR(MATCH(F$1,INDIRECT("Table!A"&amp;$BJ71):INDIRECT("Table!" &amp; $BV$88 &amp; $BJ71),0)),"",INDIRECT(CONCATENATE("Table!",ADDRESS($BF71,MATCH(F$1,INDIRECT("Table!A" &amp; $BJ71):INDIRECT("Table!" &amp; $BV$88 &amp; $BJ71),0)))))/1024</f>
        <v>83.576855468749997</v>
      </c>
      <c r="G71" s="709">
        <f ca="1">IF(ISERROR(MATCH(G$1,INDIRECT("Table!A"&amp;$BJ71):INDIRECT("Table!" &amp; $BV$88 &amp; $BJ71),0)),"",INDIRECT(CONCATENATE("Table!",ADDRESS($BF71,MATCH(G$1,INDIRECT("Table!A" &amp; $BJ71):INDIRECT("Table!" &amp; $BV$88 &amp; $BJ71),0)))))/1024</f>
        <v>45.991113281250001</v>
      </c>
      <c r="H71" s="709">
        <f ca="1">IF(ISERROR(MATCH(H$1,INDIRECT("Table!A"&amp;$BJ71):INDIRECT("Table!" &amp; $BV$88 &amp; $BJ71),0)),"",INDIRECT(CONCATENATE("Table!",ADDRESS($BF71,MATCH(H$1,INDIRECT("Table!A" &amp; $BJ71):INDIRECT("Table!" &amp; $BV$88 &amp; $BJ71),0)))))/1024</f>
        <v>66.102246093749997</v>
      </c>
      <c r="I71" s="709">
        <f ca="1">IF(ISERROR(MATCH(I$1,INDIRECT("Table!A"&amp;$BJ71):INDIRECT("Table!" &amp; $BV$88 &amp; $BJ71),0)),"",INDIRECT(CONCATENATE("Table!",ADDRESS($BF71,MATCH(I$1,INDIRECT("Table!A" &amp; $BJ71):INDIRECT("Table!" &amp; $BV$88 &amp; $BJ71),0)))))/1024</f>
        <v>3.8108398437500002</v>
      </c>
      <c r="J71" s="709"/>
      <c r="K71" s="709"/>
      <c r="L71" s="709">
        <f ca="1">IF(ISERROR(MATCH(L$1,INDIRECT("Table!A"&amp;$BJ71):INDIRECT("Table!" &amp; $BV$88 &amp; $BJ71),0)),"",INDIRECT(CONCATENATE("Table!",ADDRESS($BF71,MATCH(L$1,INDIRECT("Table!A" &amp; $BJ71):INDIRECT("Table!" &amp; $BV$88 &amp; $BJ71),0)))))/1024</f>
        <v>151.62099609374999</v>
      </c>
      <c r="M71" s="709">
        <f ca="1">IF(ISERROR(MATCH(M$1,INDIRECT("Table!A"&amp;$BJ71):INDIRECT("Table!" &amp; $BV$88 &amp; $BJ71),0)),"",INDIRECT(CONCATENATE("Table!",ADDRESS($BF71,MATCH(M$1,INDIRECT("Table!A" &amp; $BJ71):INDIRECT("Table!" &amp; $BV$88 &amp; $BJ71),0)))))/1024</f>
        <v>53.787011718750001</v>
      </c>
      <c r="N71" s="709">
        <f ca="1">IF(ISERROR(MATCH(N$1,INDIRECT("Table!A"&amp;$BJ71):INDIRECT("Table!" &amp; $BV$88 &amp; $BJ71),0)),"",INDIRECT(CONCATENATE("Table!",ADDRESS($BF71,MATCH(N$1,INDIRECT("Table!A" &amp; $BJ71):INDIRECT("Table!" &amp; $BV$88 &amp; $BJ71),0)))))/1024</f>
        <v>43.342089843750003</v>
      </c>
      <c r="O71" s="709">
        <f ca="1">IF(ISERROR(MATCH(O$1,INDIRECT("Table!A"&amp;$BJ71):INDIRECT("Table!" &amp; $BV$88 &amp; $BJ71),0)),"",INDIRECT(CONCATENATE("Table!",ADDRESS($BF71,MATCH(O$1,INDIRECT("Table!A" &amp; $BJ71):INDIRECT("Table!" &amp; $BV$88 &amp; $BJ71),0)))))/1024</f>
        <v>128.95283203125001</v>
      </c>
      <c r="P71" s="709">
        <f ca="1">IF(ISERROR(MATCH(P$1,INDIRECT("Table!A"&amp;$BJ71):INDIRECT("Table!" &amp; $BV$88 &amp; $BJ71),0)),"",INDIRECT(CONCATENATE("Table!",ADDRESS($BF71,MATCH(P$1,INDIRECT("Table!A" &amp; $BJ71):INDIRECT("Table!" &amp; $BV$88 &amp; $BJ71),0)))))/1024</f>
        <v>7.443359375</v>
      </c>
      <c r="Q71" s="709"/>
      <c r="R71" s="709"/>
      <c r="S71" s="709">
        <f ca="1">IF(ISERROR(MATCH(S$1,INDIRECT("Table!A"&amp;$BJ71):INDIRECT("Table!" &amp; $BV$43 &amp; $BJ71),0)),"",INDIRECT(CONCATENATE("Table!",ADDRESS($BF71,MATCH(S$1,INDIRECT("Table!A" &amp; $BJ71):INDIRECT("Table!" &amp; $BV$43 &amp; $BJ71),0)))))/1024</f>
        <v>4.1747070312499996</v>
      </c>
      <c r="T71" s="709">
        <f ca="1">IF(ISERROR(MATCH(T$1,INDIRECT("Table!A"&amp;$BJ71):INDIRECT("Table!" &amp; $BV$43 &amp; $BJ71),0)),"",INDIRECT(CONCATENATE("Table!",ADDRESS($BF71,MATCH(T$1,INDIRECT("Table!A" &amp; $BJ71):INDIRECT("Table!" &amp; $BV$43 &amp; $BJ71),0)))))/1024</f>
        <v>2.1142578125</v>
      </c>
      <c r="U71" s="709"/>
      <c r="V71" s="909"/>
      <c r="W71" s="909"/>
      <c r="X71" s="909"/>
      <c r="Y71" s="909"/>
      <c r="Z71" s="909"/>
      <c r="AA71" s="909"/>
      <c r="AB71" s="909"/>
      <c r="AC71" s="709" t="str">
        <f ca="1">IF(ISERROR(MATCH(AC$1,INDIRECT("Table!A"&amp;$BJ71):INDIRECT("Table!" &amp; $BV$88 &amp; $BJ71),0)),"",INDIRECT(CONCATENATE("Table!",ADDRESS($BF71,MATCH(AC$1,INDIRECT("Table!A" &amp; $BJ71):INDIRECT("Table!" &amp; $BV$88 &amp; $BJ71),0)))))</f>
        <v/>
      </c>
      <c r="AD71" s="709">
        <f ca="1">IF(ISERROR(MATCH(AD$1,INDIRECT("Table!A"&amp;$BJ71):INDIRECT("Table!" &amp; $BV$88 &amp; $BJ71),0)),"",INDIRECT(CONCATENATE("Table!",ADDRESS($BN71,MATCH(AD$1,INDIRECT("Table!A" &amp; $BJ71):INDIRECT("Table!" &amp; $BV$88 &amp; $BJ71),0)))))/1024</f>
        <v>140.03144531250001</v>
      </c>
      <c r="AE71" s="709">
        <f ca="1">IF(ISERROR(MATCH(AE$1,INDIRECT("Table!A"&amp;$BJ71):INDIRECT("Table!" &amp; $BV$88 &amp; $BJ71),0)),"",INDIRECT(CONCATENATE("Table!",ADDRESS($BN71,MATCH(AE$1,INDIRECT("Table!A" &amp; $BJ71):INDIRECT("Table!" &amp; $BV$88 &amp; $BJ71),0)))))/1024</f>
        <v>146.98808593749999</v>
      </c>
      <c r="AF71" s="709">
        <f ca="1">IF(ISERROR(MATCH(AF$1,INDIRECT("Table!A"&amp;$BJ71):INDIRECT("Table!" &amp; $BV$88 &amp; $BJ71),0)),"",INDIRECT(CONCATENATE("Table!",ADDRESS($BN71,MATCH(AF$1,INDIRECT("Table!A" &amp; $BJ71):INDIRECT("Table!" &amp; $BV$88 &amp; $BJ71),0)))))/1024</f>
        <v>146.98808593749999</v>
      </c>
      <c r="AG71" s="709">
        <f ca="1">IF(ISERROR(MATCH(AG$1,INDIRECT("Table!A"&amp;$BJ71):INDIRECT("Table!" &amp; $BV$88 &amp; $BJ71),0)),"",INDIRECT(CONCATENATE("Table!",ADDRESS($BN71,MATCH(AG$1,INDIRECT("Table!A" &amp; $BJ71):INDIRECT("Table!" &amp; $BV$88 &amp; $BJ71),0)))))/1024</f>
        <v>177.73222656249999</v>
      </c>
      <c r="AH71" s="709">
        <f ca="1">IF(ISERROR(MATCH(AH$1,INDIRECT("Table!A"&amp;$BJ71):INDIRECT("Table!" &amp; $BV$88 &amp; $BJ71),0)),"",INDIRECT(CONCATENATE("Table!",ADDRESS($BN71,MATCH(AH$1,INDIRECT("Table!A" &amp; $BJ71):INDIRECT("Table!" &amp; $BV$88 &amp; $BJ71),0)))))/1024</f>
        <v>161.57470703125</v>
      </c>
      <c r="AI71" s="709">
        <f ca="1">IF(ISERROR(MATCH(AI$1,INDIRECT("Table!A"&amp;$BJ71):INDIRECT("Table!" &amp; $BV$88 &amp; $BJ71),0)),"",INDIRECT(CONCATENATE("Table!",ADDRESS($BN71,MATCH(AI$1,INDIRECT("Table!A" &amp; $BJ71):INDIRECT("Table!" &amp; $BV$88 &amp; $BJ71),0)))))/1024</f>
        <v>129.03515625</v>
      </c>
      <c r="AJ71" s="709">
        <f ca="1">IF(ISERROR(MATCH(AJ$1,INDIRECT("Table!A"&amp;$BJ71):INDIRECT("Table!" &amp; $BV$88 &amp; $BJ71),0)),"",INDIRECT(CONCATENATE("Table!",ADDRESS($BN71,MATCH(AJ$1,INDIRECT("Table!A" &amp; $BJ71):INDIRECT("Table!" &amp; $BV$88 &amp; $BJ71),0)))))/1024</f>
        <v>118.4880859375</v>
      </c>
      <c r="AK71" s="709">
        <f ca="1">IF(ISERROR(MATCH(AK$1,INDIRECT("Table!A"&amp;$BJ71):INDIRECT("Table!" &amp; $BV$88 &amp; $BJ71),0)),"",INDIRECT(CONCATENATE("Table!",ADDRESS($BN71,MATCH(AK$1,INDIRECT("Table!A" &amp; $BJ71):INDIRECT("Table!" &amp; $BV$88 &amp; $BJ71),0)))))/1024</f>
        <v>162.18544921874999</v>
      </c>
      <c r="AL71" s="709"/>
      <c r="AM71" s="709"/>
      <c r="AN71" s="709">
        <f ca="1">IF(ISERROR(MATCH(AN$1,INDIRECT("Table!A"&amp;$BJ71):INDIRECT("Table!" &amp; $BV$88 &amp; $BJ71),0)),"",INDIRECT(CONCATENATE("Table!",ADDRESS($BN71,MATCH(AN$1,INDIRECT("Table!A" &amp; $BJ71):INDIRECT("Table!" &amp; $BV$88 &amp; $BJ71),0)))))/1024</f>
        <v>188.5029296875</v>
      </c>
      <c r="AO71" s="709">
        <f ca="1">IF(ISERROR(MATCH(AO$1,INDIRECT("Table!A"&amp;$BJ71):INDIRECT("Table!" &amp; $BV$88 &amp; $BJ71),0)),"",INDIRECT(CONCATENATE("Table!",ADDRESS($BN71,MATCH(AO$1,INDIRECT("Table!A" &amp; $BJ71):INDIRECT("Table!" &amp; $BV$88 &amp; $BJ71),0)))))/1024</f>
        <v>129.03535156250001</v>
      </c>
      <c r="AP71" s="709">
        <f ca="1">IF(ISERROR(MATCH(AP$1,INDIRECT("Table!A"&amp;$BJ71):INDIRECT("Table!" &amp; $BV$88 &amp; $BJ71),0)),"",INDIRECT(CONCATENATE("Table!",ADDRESS($BN71,MATCH(AP$1,INDIRECT("Table!A" &amp; $BJ71):INDIRECT("Table!" &amp; $BV$88 &amp; $BJ71),0)))))/1024</f>
        <v>80.787402343750003</v>
      </c>
      <c r="AQ71" s="709">
        <f ca="1">IF(ISERROR(MATCH(AQ$1,INDIRECT("Table!A"&amp;$BJ71):INDIRECT("Table!" &amp; $BV$88 &amp; $BJ71),0)),"",INDIRECT(CONCATENATE("Table!",ADDRESS($BN71,MATCH(AQ$1,INDIRECT("Table!A" &amp; $BJ71):INDIRECT("Table!" &amp; $BV$88 &amp; $BJ71),0)))))/1024</f>
        <v>172.34638671875001</v>
      </c>
      <c r="AR71" s="709">
        <f ca="1">IF(ISERROR(MATCH(AR$1,INDIRECT("Table!A"&amp;$BJ71):INDIRECT("Table!" &amp; $BV$88 &amp; $BJ71),0)),"",INDIRECT(CONCATENATE("Table!",ADDRESS($BN71,MATCH(AR$1,INDIRECT("Table!A" &amp; $BJ71):INDIRECT("Table!" &amp; $BV$88 &amp; $BJ71),0)))))/1024</f>
        <v>81.0927734375</v>
      </c>
      <c r="AS71" s="709"/>
      <c r="AT71" s="709"/>
      <c r="AU71" s="709">
        <f ca="1">IF(ISERROR(MATCH(AU$1,INDIRECT("Table!A"&amp;$BJ71):INDIRECT("Table!" &amp; $BV$88 &amp; $BJ71),0)),"",INDIRECT(CONCATENATE("Table!",ADDRESS($BN71,MATCH(AU$1,INDIRECT("Table!A" &amp; $BJ71):INDIRECT("Table!" &amp; $BV$88 &amp; $BJ71),0)))))/1024</f>
        <v>53.8583984375</v>
      </c>
      <c r="AV71" s="709">
        <f ca="1">IF(ISERROR(MATCH(AV$1,INDIRECT("Table!A"&amp;$BJ71):INDIRECT("Table!" &amp; $BV$88 &amp; $BJ71),0)),"",INDIRECT(CONCATENATE("Table!",ADDRESS($BN71,MATCH(AV$1,INDIRECT("Table!A" &amp; $BJ71):INDIRECT("Table!" &amp; $BV$88 &amp; $BJ71),0)))))/1024</f>
        <v>32.31494140625</v>
      </c>
      <c r="AW71" s="709"/>
      <c r="AX71" s="909"/>
      <c r="AY71" s="909"/>
      <c r="AZ71" s="909"/>
      <c r="BA71" s="909"/>
      <c r="BB71" s="909"/>
      <c r="BC71" s="909"/>
      <c r="BD71" s="909"/>
      <c r="BE71" s="909"/>
      <c r="BF71" s="704">
        <f>MATCH($A71,Table!$A:$A,0)+$BH$2-1</f>
        <v>883</v>
      </c>
      <c r="BG71" s="705"/>
      <c r="BH71" s="705"/>
      <c r="BI71" s="705"/>
      <c r="BJ71" s="717">
        <f>MATCH($A71,Table!$A:$A,0)+$BL$2-1</f>
        <v>881</v>
      </c>
      <c r="BK71" s="705"/>
      <c r="BL71" s="705"/>
      <c r="BM71" s="705"/>
      <c r="BN71" s="704">
        <f>MATCH($A71,Table!$A:$A,0)+$BP$2-1</f>
        <v>882</v>
      </c>
      <c r="BO71" s="705"/>
      <c r="BP71" s="705"/>
      <c r="BQ71" s="705"/>
      <c r="BR71" s="717">
        <f>MATCH($A71,Table!$A:$A,0)+$BL$2-1</f>
        <v>881</v>
      </c>
      <c r="BS71" s="705"/>
      <c r="BT71" s="705"/>
      <c r="BU71" s="705"/>
      <c r="BV71" s="711" t="s">
        <v>284</v>
      </c>
      <c r="BW71" s="712">
        <f t="shared" ca="1" si="47"/>
        <v>1920.96142578125</v>
      </c>
      <c r="BX71" s="712">
        <f t="shared" ca="1" si="46"/>
        <v>937.5342773437502</v>
      </c>
      <c r="BY71" s="712">
        <f t="shared" ca="1" si="43"/>
        <v>983.4271484374998</v>
      </c>
      <c r="BZ71" s="718">
        <f t="shared" ca="1" si="44"/>
        <v>0.48805471300000597</v>
      </c>
      <c r="CA71" s="712">
        <f>SUMIF('Alloc Feed'!A:A,A:A,'Alloc Feed'!I:I)</f>
        <v>0</v>
      </c>
      <c r="CB71" s="718">
        <f t="shared" ca="1" si="42"/>
        <v>0</v>
      </c>
    </row>
    <row r="72" spans="1:80" s="267" customFormat="1" x14ac:dyDescent="0.25">
      <c r="A72" s="703">
        <v>41341</v>
      </c>
      <c r="B72" s="709">
        <f ca="1">IF(ISERROR(MATCH(B$1,INDIRECT("Table!A"&amp;$BJ72):INDIRECT("Table!" &amp; $BV$88 &amp; $BJ72),0)),"",INDIRECT(CONCATENATE("Table!",ADDRESS($BF72,MATCH(B$1,INDIRECT("Table!A" &amp; $BJ72):INDIRECT("Table!" &amp; $BV$88 &amp; $BJ72),0)))))/1024</f>
        <v>40.440722656250003</v>
      </c>
      <c r="C72" s="709">
        <f ca="1">IF(ISERROR(MATCH(C$1,INDIRECT("Table!A"&amp;$BJ72):INDIRECT("Table!" &amp; $BV$88 &amp; $BJ72),0)),"",INDIRECT(CONCATENATE("Table!",ADDRESS($BF72,MATCH(C$1,INDIRECT("Table!A" &amp; $BJ72):INDIRECT("Table!" &amp; $BV$88 &amp; $BJ72),0)))))/1024</f>
        <v>75.371484374999994</v>
      </c>
      <c r="D72" s="709">
        <f ca="1">IF(ISERROR(MATCH(D$1,INDIRECT("Table!A"&amp;$BJ72):INDIRECT("Table!" &amp; $BV$88 &amp; $BJ72),0)),"",INDIRECT(CONCATENATE("Table!",ADDRESS($BF72,MATCH(D$1,INDIRECT("Table!A" &amp; $BJ72):INDIRECT("Table!" &amp; $BV$88 &amp; $BJ72),0)))))/1024</f>
        <v>76.752832031249994</v>
      </c>
      <c r="E72" s="709">
        <f ca="1">IF(ISERROR(MATCH(E$1,INDIRECT("Table!A"&amp;$BJ72):INDIRECT("Table!" &amp; $BV$88 &amp; $BJ72),0)),"",INDIRECT(CONCATENATE("Table!",ADDRESS($BF72,MATCH(E$1,INDIRECT("Table!A" &amp; $BJ72):INDIRECT("Table!" &amp; $BV$88 &amp; $BJ72),0)))))/1024</f>
        <v>152.28515625</v>
      </c>
      <c r="F72" s="709">
        <f ca="1">IF(ISERROR(MATCH(F$1,INDIRECT("Table!A"&amp;$BJ72):INDIRECT("Table!" &amp; $BV$88 &amp; $BJ72),0)),"",INDIRECT(CONCATENATE("Table!",ADDRESS($BF72,MATCH(F$1,INDIRECT("Table!A" &amp; $BJ72):INDIRECT("Table!" &amp; $BV$88 &amp; $BJ72),0)))))/1024</f>
        <v>82.733105468749997</v>
      </c>
      <c r="G72" s="709">
        <f ca="1">IF(ISERROR(MATCH(G$1,INDIRECT("Table!A"&amp;$BJ72):INDIRECT("Table!" &amp; $BV$88 &amp; $BJ72),0)),"",INDIRECT(CONCATENATE("Table!",ADDRESS($BF72,MATCH(G$1,INDIRECT("Table!A" &amp; $BJ72):INDIRECT("Table!" &amp; $BV$88 &amp; $BJ72),0)))))/1024</f>
        <v>42.640332031249997</v>
      </c>
      <c r="H72" s="709">
        <f ca="1">IF(ISERROR(MATCH(H$1,INDIRECT("Table!A"&amp;$BJ72):INDIRECT("Table!" &amp; $BV$88 &amp; $BJ72),0)),"",INDIRECT(CONCATENATE("Table!",ADDRESS($BF72,MATCH(H$1,INDIRECT("Table!A" &amp; $BJ72):INDIRECT("Table!" &amp; $BV$88 &amp; $BJ72),0)))))/1024</f>
        <v>64.7158203125</v>
      </c>
      <c r="I72" s="709">
        <f ca="1">IF(ISERROR(MATCH(I$1,INDIRECT("Table!A"&amp;$BJ72):INDIRECT("Table!" &amp; $BV$88 &amp; $BJ72),0)),"",INDIRECT(CONCATENATE("Table!",ADDRESS($BF72,MATCH(I$1,INDIRECT("Table!A" &amp; $BJ72):INDIRECT("Table!" &amp; $BV$88 &amp; $BJ72),0)))))/1024</f>
        <v>3.8097656249999998</v>
      </c>
      <c r="J72" s="709"/>
      <c r="K72" s="709"/>
      <c r="L72" s="709">
        <f ca="1">IF(ISERROR(MATCH(L$1,INDIRECT("Table!A"&amp;$BJ72):INDIRECT("Table!" &amp; $BV$88 &amp; $BJ72),0)),"",INDIRECT(CONCATENATE("Table!",ADDRESS($BF72,MATCH(L$1,INDIRECT("Table!A" &amp; $BJ72):INDIRECT("Table!" &amp; $BV$88 &amp; $BJ72),0)))))/1024</f>
        <v>151.37236328124999</v>
      </c>
      <c r="M72" s="709">
        <f ca="1">IF(ISERROR(MATCH(M$1,INDIRECT("Table!A"&amp;$BJ72):INDIRECT("Table!" &amp; $BV$88 &amp; $BJ72),0)),"",INDIRECT(CONCATENATE("Table!",ADDRESS($BF72,MATCH(M$1,INDIRECT("Table!A" &amp; $BJ72):INDIRECT("Table!" &amp; $BV$88 &amp; $BJ72),0)))))/1024</f>
        <v>51.195507812499997</v>
      </c>
      <c r="N72" s="709">
        <f ca="1">IF(ISERROR(MATCH(N$1,INDIRECT("Table!A"&amp;$BJ72):INDIRECT("Table!" &amp; $BV$88 &amp; $BJ72),0)),"",INDIRECT(CONCATENATE("Table!",ADDRESS($BF72,MATCH(N$1,INDIRECT("Table!A" &amp; $BJ72):INDIRECT("Table!" &amp; $BV$88 &amp; $BJ72),0)))))/1024</f>
        <v>42.8857421875</v>
      </c>
      <c r="O72" s="709">
        <f ca="1">IF(ISERROR(MATCH(O$1,INDIRECT("Table!A"&amp;$BJ72):INDIRECT("Table!" &amp; $BV$88 &amp; $BJ72),0)),"",INDIRECT(CONCATENATE("Table!",ADDRESS($BF72,MATCH(O$1,INDIRECT("Table!A" &amp; $BJ72):INDIRECT("Table!" &amp; $BV$88 &amp; $BJ72),0)))))/1024</f>
        <v>126.396484375</v>
      </c>
      <c r="P72" s="709">
        <f ca="1">IF(ISERROR(MATCH(P$1,INDIRECT("Table!A"&amp;$BJ72):INDIRECT("Table!" &amp; $BV$88 &amp; $BJ72),0)),"",INDIRECT(CONCATENATE("Table!",ADDRESS($BF72,MATCH(P$1,INDIRECT("Table!A" &amp; $BJ72):INDIRECT("Table!" &amp; $BV$88 &amp; $BJ72),0)))))/1024</f>
        <v>7.4412109375000002</v>
      </c>
      <c r="Q72" s="709"/>
      <c r="R72" s="709"/>
      <c r="S72" s="709">
        <f ca="1">IF(ISERROR(MATCH(S$1,INDIRECT("Table!A"&amp;$BJ72):INDIRECT("Table!" &amp; $BV$43 &amp; $BJ72),0)),"",INDIRECT(CONCATENATE("Table!",ADDRESS($BF72,MATCH(S$1,INDIRECT("Table!A" &amp; $BJ72):INDIRECT("Table!" &amp; $BV$43 &amp; $BJ72),0)))))/1024</f>
        <v>4.1267578125000002</v>
      </c>
      <c r="T72" s="709">
        <f ca="1">IF(ISERROR(MATCH(T$1,INDIRECT("Table!A"&amp;$BJ72):INDIRECT("Table!" &amp; $BV$43 &amp; $BJ72),0)),"",INDIRECT(CONCATENATE("Table!",ADDRESS($BF72,MATCH(T$1,INDIRECT("Table!A" &amp; $BJ72):INDIRECT("Table!" &amp; $BV$43 &amp; $BJ72),0)))))/1024</f>
        <v>2.0006835937499998</v>
      </c>
      <c r="U72" s="709"/>
      <c r="V72" s="909"/>
      <c r="W72" s="909"/>
      <c r="X72" s="909"/>
      <c r="Y72" s="909"/>
      <c r="Z72" s="909"/>
      <c r="AA72" s="909"/>
      <c r="AB72" s="909"/>
      <c r="AC72" s="709" t="str">
        <f ca="1">IF(ISERROR(MATCH(AC$1,INDIRECT("Table!A"&amp;$BJ72):INDIRECT("Table!" &amp; $BV$88 &amp; $BJ72),0)),"",INDIRECT(CONCATENATE("Table!",ADDRESS($BF72,MATCH(AC$1,INDIRECT("Table!A" &amp; $BJ72):INDIRECT("Table!" &amp; $BV$88 &amp; $BJ72),0)))))</f>
        <v/>
      </c>
      <c r="AD72" s="709">
        <f ca="1">IF(ISERROR(MATCH(AD$1,INDIRECT("Table!A"&amp;$BJ72):INDIRECT("Table!" &amp; $BV$88 &amp; $BJ72),0)),"",INDIRECT(CONCATENATE("Table!",ADDRESS($BN72,MATCH(AD$1,INDIRECT("Table!A" &amp; $BJ72):INDIRECT("Table!" &amp; $BV$88 &amp; $BJ72),0)))))/1024</f>
        <v>140.03144531250001</v>
      </c>
      <c r="AE72" s="709">
        <f ca="1">IF(ISERROR(MATCH(AE$1,INDIRECT("Table!A"&amp;$BJ72):INDIRECT("Table!" &amp; $BV$88 &amp; $BJ72),0)),"",INDIRECT(CONCATENATE("Table!",ADDRESS($BN72,MATCH(AE$1,INDIRECT("Table!A" &amp; $BJ72):INDIRECT("Table!" &amp; $BV$88 &amp; $BJ72),0)))))/1024</f>
        <v>146.98808593749999</v>
      </c>
      <c r="AF72" s="709">
        <f ca="1">IF(ISERROR(MATCH(AF$1,INDIRECT("Table!A"&amp;$BJ72):INDIRECT("Table!" &amp; $BV$88 &amp; $BJ72),0)),"",INDIRECT(CONCATENATE("Table!",ADDRESS($BN72,MATCH(AF$1,INDIRECT("Table!A" &amp; $BJ72):INDIRECT("Table!" &amp; $BV$88 &amp; $BJ72),0)))))/1024</f>
        <v>146.98808593749999</v>
      </c>
      <c r="AG72" s="709">
        <f ca="1">IF(ISERROR(MATCH(AG$1,INDIRECT("Table!A"&amp;$BJ72):INDIRECT("Table!" &amp; $BV$88 &amp; $BJ72),0)),"",INDIRECT(CONCATENATE("Table!",ADDRESS($BN72,MATCH(AG$1,INDIRECT("Table!A" &amp; $BJ72):INDIRECT("Table!" &amp; $BV$88 &amp; $BJ72),0)))))/1024</f>
        <v>177.73222656249999</v>
      </c>
      <c r="AH72" s="709">
        <f ca="1">IF(ISERROR(MATCH(AH$1,INDIRECT("Table!A"&amp;$BJ72):INDIRECT("Table!" &amp; $BV$88 &amp; $BJ72),0)),"",INDIRECT(CONCATENATE("Table!",ADDRESS($BN72,MATCH(AH$1,INDIRECT("Table!A" &amp; $BJ72):INDIRECT("Table!" &amp; $BV$88 &amp; $BJ72),0)))))/1024</f>
        <v>161.57470703125</v>
      </c>
      <c r="AI72" s="709">
        <f ca="1">IF(ISERROR(MATCH(AI$1,INDIRECT("Table!A"&amp;$BJ72):INDIRECT("Table!" &amp; $BV$88 &amp; $BJ72),0)),"",INDIRECT(CONCATENATE("Table!",ADDRESS($BN72,MATCH(AI$1,INDIRECT("Table!A" &amp; $BJ72):INDIRECT("Table!" &amp; $BV$88 &amp; $BJ72),0)))))/1024</f>
        <v>129.03515625</v>
      </c>
      <c r="AJ72" s="709">
        <f ca="1">IF(ISERROR(MATCH(AJ$1,INDIRECT("Table!A"&amp;$BJ72):INDIRECT("Table!" &amp; $BV$88 &amp; $BJ72),0)),"",INDIRECT(CONCATENATE("Table!",ADDRESS($BN72,MATCH(AJ$1,INDIRECT("Table!A" &amp; $BJ72):INDIRECT("Table!" &amp; $BV$88 &amp; $BJ72),0)))))/1024</f>
        <v>118.4880859375</v>
      </c>
      <c r="AK72" s="709">
        <f ca="1">IF(ISERROR(MATCH(AK$1,INDIRECT("Table!A"&amp;$BJ72):INDIRECT("Table!" &amp; $BV$88 &amp; $BJ72),0)),"",INDIRECT(CONCATENATE("Table!",ADDRESS($BN72,MATCH(AK$1,INDIRECT("Table!A" &amp; $BJ72):INDIRECT("Table!" &amp; $BV$88 &amp; $BJ72),0)))))/1024</f>
        <v>162.18544921874999</v>
      </c>
      <c r="AL72" s="709"/>
      <c r="AM72" s="709"/>
      <c r="AN72" s="709">
        <f ca="1">IF(ISERROR(MATCH(AN$1,INDIRECT("Table!A"&amp;$BJ72):INDIRECT("Table!" &amp; $BV$88 &amp; $BJ72),0)),"",INDIRECT(CONCATENATE("Table!",ADDRESS($BN72,MATCH(AN$1,INDIRECT("Table!A" &amp; $BJ72):INDIRECT("Table!" &amp; $BV$88 &amp; $BJ72),0)))))/1024</f>
        <v>188.5029296875</v>
      </c>
      <c r="AO72" s="709">
        <f ca="1">IF(ISERROR(MATCH(AO$1,INDIRECT("Table!A"&amp;$BJ72):INDIRECT("Table!" &amp; $BV$88 &amp; $BJ72),0)),"",INDIRECT(CONCATENATE("Table!",ADDRESS($BN72,MATCH(AO$1,INDIRECT("Table!A" &amp; $BJ72):INDIRECT("Table!" &amp; $BV$88 &amp; $BJ72),0)))))/1024</f>
        <v>129.03535156250001</v>
      </c>
      <c r="AP72" s="709">
        <f ca="1">IF(ISERROR(MATCH(AP$1,INDIRECT("Table!A"&amp;$BJ72):INDIRECT("Table!" &amp; $BV$88 &amp; $BJ72),0)),"",INDIRECT(CONCATENATE("Table!",ADDRESS($BN72,MATCH(AP$1,INDIRECT("Table!A" &amp; $BJ72):INDIRECT("Table!" &amp; $BV$88 &amp; $BJ72),0)))))/1024</f>
        <v>80.787402343750003</v>
      </c>
      <c r="AQ72" s="709">
        <f ca="1">IF(ISERROR(MATCH(AQ$1,INDIRECT("Table!A"&amp;$BJ72):INDIRECT("Table!" &amp; $BV$88 &amp; $BJ72),0)),"",INDIRECT(CONCATENATE("Table!",ADDRESS($BN72,MATCH(AQ$1,INDIRECT("Table!A" &amp; $BJ72):INDIRECT("Table!" &amp; $BV$88 &amp; $BJ72),0)))))/1024</f>
        <v>172.34638671875001</v>
      </c>
      <c r="AR72" s="709">
        <f ca="1">IF(ISERROR(MATCH(AR$1,INDIRECT("Table!A"&amp;$BJ72):INDIRECT("Table!" &amp; $BV$88 &amp; $BJ72),0)),"",INDIRECT(CONCATENATE("Table!",ADDRESS($BN72,MATCH(AR$1,INDIRECT("Table!A" &amp; $BJ72):INDIRECT("Table!" &amp; $BV$88 &amp; $BJ72),0)))))/1024</f>
        <v>81.0927734375</v>
      </c>
      <c r="AS72" s="709"/>
      <c r="AT72" s="709"/>
      <c r="AU72" s="709">
        <f ca="1">IF(ISERROR(MATCH(AU$1,INDIRECT("Table!A"&amp;$BJ72):INDIRECT("Table!" &amp; $BV$88 &amp; $BJ72),0)),"",INDIRECT(CONCATENATE("Table!",ADDRESS($BN72,MATCH(AU$1,INDIRECT("Table!A" &amp; $BJ72):INDIRECT("Table!" &amp; $BV$88 &amp; $BJ72),0)))))/1024</f>
        <v>53.8583984375</v>
      </c>
      <c r="AV72" s="709">
        <f ca="1">IF(ISERROR(MATCH(AV$1,INDIRECT("Table!A"&amp;$BJ72):INDIRECT("Table!" &amp; $BV$88 &amp; $BJ72),0)),"",INDIRECT(CONCATENATE("Table!",ADDRESS($BN72,MATCH(AV$1,INDIRECT("Table!A" &amp; $BJ72):INDIRECT("Table!" &amp; $BV$88 &amp; $BJ72),0)))))/1024</f>
        <v>32.31494140625</v>
      </c>
      <c r="AW72" s="709"/>
      <c r="AX72" s="909"/>
      <c r="AY72" s="909"/>
      <c r="AZ72" s="909"/>
      <c r="BA72" s="909"/>
      <c r="BB72" s="909"/>
      <c r="BC72" s="909"/>
      <c r="BD72" s="909"/>
      <c r="BE72" s="909"/>
      <c r="BF72" s="704">
        <f>MATCH($A72,Table!$A:$A,0)+$BH$2-1</f>
        <v>895</v>
      </c>
      <c r="BG72" s="705"/>
      <c r="BH72" s="705"/>
      <c r="BI72" s="705"/>
      <c r="BJ72" s="717">
        <f>MATCH($A72,Table!$A:$A,0)+$BL$2-1</f>
        <v>893</v>
      </c>
      <c r="BK72" s="705"/>
      <c r="BL72" s="705"/>
      <c r="BM72" s="705"/>
      <c r="BN72" s="704">
        <f>MATCH($A72,Table!$A:$A,0)+$BP$2-1</f>
        <v>894</v>
      </c>
      <c r="BO72" s="705"/>
      <c r="BP72" s="705"/>
      <c r="BQ72" s="705"/>
      <c r="BR72" s="717">
        <f>MATCH($A72,Table!$A:$A,0)+$BL$2-1</f>
        <v>893</v>
      </c>
      <c r="BS72" s="705"/>
      <c r="BT72" s="705"/>
      <c r="BU72" s="705"/>
      <c r="BV72" s="711" t="s">
        <v>284</v>
      </c>
      <c r="BW72" s="712">
        <f t="shared" ca="1" si="47"/>
        <v>1920.96142578125</v>
      </c>
      <c r="BX72" s="712">
        <f t="shared" ca="1" si="46"/>
        <v>924.16796875</v>
      </c>
      <c r="BY72" s="712">
        <f t="shared" ca="1" si="43"/>
        <v>996.79345703125</v>
      </c>
      <c r="BZ72" s="718">
        <f t="shared" ca="1" si="44"/>
        <v>0.48109657817524537</v>
      </c>
      <c r="CA72" s="712">
        <f>SUMIF('Alloc Feed'!A:A,A:A,'Alloc Feed'!I:I)</f>
        <v>0</v>
      </c>
      <c r="CB72" s="718">
        <f t="shared" ca="1" si="42"/>
        <v>0</v>
      </c>
    </row>
    <row r="73" spans="1:80" s="267" customFormat="1" x14ac:dyDescent="0.25">
      <c r="A73" s="703">
        <v>41340</v>
      </c>
      <c r="B73" s="709">
        <f ca="1">IF(ISERROR(MATCH(B$1,INDIRECT("Table!A"&amp;$BJ73):INDIRECT("Table!" &amp; $BV$88 &amp; $BJ73),0)),"",INDIRECT(CONCATENATE("Table!",ADDRESS($BF73,MATCH(B$1,INDIRECT("Table!A" &amp; $BJ73):INDIRECT("Table!" &amp; $BV$88 &amp; $BJ73),0)))))/1024</f>
        <v>40.6318359375</v>
      </c>
      <c r="C73" s="709">
        <f ca="1">IF(ISERROR(MATCH(C$1,INDIRECT("Table!A"&amp;$BJ73):INDIRECT("Table!" &amp; $BV$88 &amp; $BJ73),0)),"",INDIRECT(CONCATENATE("Table!",ADDRESS($BF73,MATCH(C$1,INDIRECT("Table!A" &amp; $BJ73):INDIRECT("Table!" &amp; $BV$88 &amp; $BJ73),0)))))/1024</f>
        <v>75.336035156250006</v>
      </c>
      <c r="D73" s="709">
        <f ca="1">IF(ISERROR(MATCH(D$1,INDIRECT("Table!A"&amp;$BJ73):INDIRECT("Table!" &amp; $BV$88 &amp; $BJ73),0)),"",INDIRECT(CONCATENATE("Table!",ADDRESS($BF73,MATCH(D$1,INDIRECT("Table!A" &amp; $BJ73):INDIRECT("Table!" &amp; $BV$88 &amp; $BJ73),0)))))/1024</f>
        <v>76.744921875000003</v>
      </c>
      <c r="E73" s="709">
        <f ca="1">IF(ISERROR(MATCH(E$1,INDIRECT("Table!A"&amp;$BJ73):INDIRECT("Table!" &amp; $BV$88 &amp; $BJ73),0)),"",INDIRECT(CONCATENATE("Table!",ADDRESS($BF73,MATCH(E$1,INDIRECT("Table!A" &amp; $BJ73):INDIRECT("Table!" &amp; $BV$88 &amp; $BJ73),0)))))/1024</f>
        <v>152.07822265625001</v>
      </c>
      <c r="F73" s="709">
        <f ca="1">IF(ISERROR(MATCH(F$1,INDIRECT("Table!A"&amp;$BJ73):INDIRECT("Table!" &amp; $BV$88 &amp; $BJ73),0)),"",INDIRECT(CONCATENATE("Table!",ADDRESS($BF73,MATCH(F$1,INDIRECT("Table!A" &amp; $BJ73):INDIRECT("Table!" &amp; $BV$88 &amp; $BJ73),0)))))/1024</f>
        <v>82.639355468749997</v>
      </c>
      <c r="G73" s="709">
        <f ca="1">IF(ISERROR(MATCH(G$1,INDIRECT("Table!A"&amp;$BJ73):INDIRECT("Table!" &amp; $BV$88 &amp; $BJ73),0)),"",INDIRECT(CONCATENATE("Table!",ADDRESS($BF73,MATCH(G$1,INDIRECT("Table!A" &amp; $BJ73):INDIRECT("Table!" &amp; $BV$88 &amp; $BJ73),0)))))/1024</f>
        <v>43.3896484375</v>
      </c>
      <c r="H73" s="709">
        <f ca="1">IF(ISERROR(MATCH(H$1,INDIRECT("Table!A"&amp;$BJ73):INDIRECT("Table!" &amp; $BV$88 &amp; $BJ73),0)),"",INDIRECT(CONCATENATE("Table!",ADDRESS($BF73,MATCH(H$1,INDIRECT("Table!A" &amp; $BJ73):INDIRECT("Table!" &amp; $BV$88 &amp; $BJ73),0)))))/1024</f>
        <v>64.677734375</v>
      </c>
      <c r="I73" s="709">
        <f ca="1">IF(ISERROR(MATCH(I$1,INDIRECT("Table!A"&amp;$BJ73):INDIRECT("Table!" &amp; $BV$88 &amp; $BJ73),0)),"",INDIRECT(CONCATENATE("Table!",ADDRESS($BF73,MATCH(I$1,INDIRECT("Table!A" &amp; $BJ73):INDIRECT("Table!" &amp; $BV$88 &amp; $BJ73),0)))))/1024</f>
        <v>3.8097656249999998</v>
      </c>
      <c r="J73" s="709"/>
      <c r="K73" s="709"/>
      <c r="L73" s="709">
        <f ca="1">IF(ISERROR(MATCH(L$1,INDIRECT("Table!A"&amp;$BJ73):INDIRECT("Table!" &amp; $BV$88 &amp; $BJ73),0)),"",INDIRECT(CONCATENATE("Table!",ADDRESS($BF73,MATCH(L$1,INDIRECT("Table!A" &amp; $BJ73):INDIRECT("Table!" &amp; $BV$88 &amp; $BJ73),0)))))/1024</f>
        <v>151.29374999999999</v>
      </c>
      <c r="M73" s="709">
        <f ca="1">IF(ISERROR(MATCH(M$1,INDIRECT("Table!A"&amp;$BJ73):INDIRECT("Table!" &amp; $BV$88 &amp; $BJ73),0)),"",INDIRECT(CONCATENATE("Table!",ADDRESS($BF73,MATCH(M$1,INDIRECT("Table!A" &amp; $BJ73):INDIRECT("Table!" &amp; $BV$88 &amp; $BJ73),0)))))/1024</f>
        <v>51.931933593750003</v>
      </c>
      <c r="N73" s="709">
        <f ca="1">IF(ISERROR(MATCH(N$1,INDIRECT("Table!A"&amp;$BJ73):INDIRECT("Table!" &amp; $BV$88 &amp; $BJ73),0)),"",INDIRECT(CONCATENATE("Table!",ADDRESS($BF73,MATCH(N$1,INDIRECT("Table!A" &amp; $BJ73):INDIRECT("Table!" &amp; $BV$88 &amp; $BJ73),0)))))/1024</f>
        <v>42.838671875000003</v>
      </c>
      <c r="O73" s="709">
        <f ca="1">IF(ISERROR(MATCH(O$1,INDIRECT("Table!A"&amp;$BJ73):INDIRECT("Table!" &amp; $BV$88 &amp; $BJ73),0)),"",INDIRECT(CONCATENATE("Table!",ADDRESS($BF73,MATCH(O$1,INDIRECT("Table!A" &amp; $BJ73):INDIRECT("Table!" &amp; $BV$88 &amp; $BJ73),0)))))/1024</f>
        <v>126.33876953124999</v>
      </c>
      <c r="P73" s="709">
        <f ca="1">IF(ISERROR(MATCH(P$1,INDIRECT("Table!A"&amp;$BJ73):INDIRECT("Table!" &amp; $BV$88 &amp; $BJ73),0)),"",INDIRECT(CONCATENATE("Table!",ADDRESS($BF73,MATCH(P$1,INDIRECT("Table!A" &amp; $BJ73):INDIRECT("Table!" &amp; $BV$88 &amp; $BJ73),0)))))/1024</f>
        <v>7.4412109375000002</v>
      </c>
      <c r="Q73" s="709"/>
      <c r="R73" s="709"/>
      <c r="S73" s="709">
        <f ca="1">IF(ISERROR(MATCH(S$1,INDIRECT("Table!A"&amp;$BJ73):INDIRECT("Table!" &amp; $BV$43 &amp; $BJ73),0)),"",INDIRECT(CONCATENATE("Table!",ADDRESS($BF73,MATCH(S$1,INDIRECT("Table!A" &amp; $BJ73):INDIRECT("Table!" &amp; $BV$43 &amp; $BJ73),0)))))/1024</f>
        <v>2.9207031250000002</v>
      </c>
      <c r="T73" s="709">
        <f ca="1">IF(ISERROR(MATCH(T$1,INDIRECT("Table!A"&amp;$BJ73):INDIRECT("Table!" &amp; $BV$43 &amp; $BJ73),0)),"",INDIRECT(CONCATENATE("Table!",ADDRESS($BF73,MATCH(T$1,INDIRECT("Table!A" &amp; $BJ73):INDIRECT("Table!" &amp; $BV$43 &amp; $BJ73),0)))))/1024</f>
        <v>1.9149414062500001</v>
      </c>
      <c r="U73" s="709"/>
      <c r="V73" s="909"/>
      <c r="W73" s="909"/>
      <c r="X73" s="909"/>
      <c r="Y73" s="909"/>
      <c r="Z73" s="909"/>
      <c r="AA73" s="909"/>
      <c r="AB73" s="909"/>
      <c r="AC73" s="709" t="str">
        <f ca="1">IF(ISERROR(MATCH(AC$1,INDIRECT("Table!A"&amp;$BJ73):INDIRECT("Table!" &amp; $BV$88 &amp; $BJ73),0)),"",INDIRECT(CONCATENATE("Table!",ADDRESS($BF73,MATCH(AC$1,INDIRECT("Table!A" &amp; $BJ73):INDIRECT("Table!" &amp; $BV$88 &amp; $BJ73),0)))))</f>
        <v/>
      </c>
      <c r="AD73" s="709">
        <f ca="1">IF(ISERROR(MATCH(AD$1,INDIRECT("Table!A"&amp;$BJ73):INDIRECT("Table!" &amp; $BV$88 &amp; $BJ73),0)),"",INDIRECT(CONCATENATE("Table!",ADDRESS($BN73,MATCH(AD$1,INDIRECT("Table!A" &amp; $BJ73):INDIRECT("Table!" &amp; $BV$88 &amp; $BJ73),0)))))/1024</f>
        <v>140.03144531250001</v>
      </c>
      <c r="AE73" s="709">
        <f ca="1">IF(ISERROR(MATCH(AE$1,INDIRECT("Table!A"&amp;$BJ73):INDIRECT("Table!" &amp; $BV$88 &amp; $BJ73),0)),"",INDIRECT(CONCATENATE("Table!",ADDRESS($BN73,MATCH(AE$1,INDIRECT("Table!A" &amp; $BJ73):INDIRECT("Table!" &amp; $BV$88 &amp; $BJ73),0)))))/1024</f>
        <v>146.98808593749999</v>
      </c>
      <c r="AF73" s="709">
        <f ca="1">IF(ISERROR(MATCH(AF$1,INDIRECT("Table!A"&amp;$BJ73):INDIRECT("Table!" &amp; $BV$88 &amp; $BJ73),0)),"",INDIRECT(CONCATENATE("Table!",ADDRESS($BN73,MATCH(AF$1,INDIRECT("Table!A" &amp; $BJ73):INDIRECT("Table!" &amp; $BV$88 &amp; $BJ73),0)))))/1024</f>
        <v>146.98808593749999</v>
      </c>
      <c r="AG73" s="709">
        <f ca="1">IF(ISERROR(MATCH(AG$1,INDIRECT("Table!A"&amp;$BJ73):INDIRECT("Table!" &amp; $BV$88 &amp; $BJ73),0)),"",INDIRECT(CONCATENATE("Table!",ADDRESS($BN73,MATCH(AG$1,INDIRECT("Table!A" &amp; $BJ73):INDIRECT("Table!" &amp; $BV$88 &amp; $BJ73),0)))))/1024</f>
        <v>177.73222656249999</v>
      </c>
      <c r="AH73" s="709">
        <f ca="1">IF(ISERROR(MATCH(AH$1,INDIRECT("Table!A"&amp;$BJ73):INDIRECT("Table!" &amp; $BV$88 &amp; $BJ73),0)),"",INDIRECT(CONCATENATE("Table!",ADDRESS($BN73,MATCH(AH$1,INDIRECT("Table!A" &amp; $BJ73):INDIRECT("Table!" &amp; $BV$88 &amp; $BJ73),0)))))/1024</f>
        <v>161.57470703125</v>
      </c>
      <c r="AI73" s="709">
        <f ca="1">IF(ISERROR(MATCH(AI$1,INDIRECT("Table!A"&amp;$BJ73):INDIRECT("Table!" &amp; $BV$88 &amp; $BJ73),0)),"",INDIRECT(CONCATENATE("Table!",ADDRESS($BN73,MATCH(AI$1,INDIRECT("Table!A" &amp; $BJ73):INDIRECT("Table!" &amp; $BV$88 &amp; $BJ73),0)))))/1024</f>
        <v>129.03515625</v>
      </c>
      <c r="AJ73" s="709">
        <f ca="1">IF(ISERROR(MATCH(AJ$1,INDIRECT("Table!A"&amp;$BJ73):INDIRECT("Table!" &amp; $BV$88 &amp; $BJ73),0)),"",INDIRECT(CONCATENATE("Table!",ADDRESS($BN73,MATCH(AJ$1,INDIRECT("Table!A" &amp; $BJ73):INDIRECT("Table!" &amp; $BV$88 &amp; $BJ73),0)))))/1024</f>
        <v>118.4880859375</v>
      </c>
      <c r="AK73" s="709">
        <f ca="1">IF(ISERROR(MATCH(AK$1,INDIRECT("Table!A"&amp;$BJ73):INDIRECT("Table!" &amp; $BV$88 &amp; $BJ73),0)),"",INDIRECT(CONCATENATE("Table!",ADDRESS($BN73,MATCH(AK$1,INDIRECT("Table!A" &amp; $BJ73):INDIRECT("Table!" &amp; $BV$88 &amp; $BJ73),0)))))/1024</f>
        <v>162.18544921874999</v>
      </c>
      <c r="AL73" s="709"/>
      <c r="AM73" s="709"/>
      <c r="AN73" s="709">
        <f ca="1">IF(ISERROR(MATCH(AN$1,INDIRECT("Table!A"&amp;$BJ73):INDIRECT("Table!" &amp; $BV$88 &amp; $BJ73),0)),"",INDIRECT(CONCATENATE("Table!",ADDRESS($BN73,MATCH(AN$1,INDIRECT("Table!A" &amp; $BJ73):INDIRECT("Table!" &amp; $BV$88 &amp; $BJ73),0)))))/1024</f>
        <v>188.5029296875</v>
      </c>
      <c r="AO73" s="709">
        <f ca="1">IF(ISERROR(MATCH(AO$1,INDIRECT("Table!A"&amp;$BJ73):INDIRECT("Table!" &amp; $BV$88 &amp; $BJ73),0)),"",INDIRECT(CONCATENATE("Table!",ADDRESS($BN73,MATCH(AO$1,INDIRECT("Table!A" &amp; $BJ73):INDIRECT("Table!" &amp; $BV$88 &amp; $BJ73),0)))))/1024</f>
        <v>129.03535156250001</v>
      </c>
      <c r="AP73" s="709">
        <f ca="1">IF(ISERROR(MATCH(AP$1,INDIRECT("Table!A"&amp;$BJ73):INDIRECT("Table!" &amp; $BV$88 &amp; $BJ73),0)),"",INDIRECT(CONCATENATE("Table!",ADDRESS($BN73,MATCH(AP$1,INDIRECT("Table!A" &amp; $BJ73):INDIRECT("Table!" &amp; $BV$88 &amp; $BJ73),0)))))/1024</f>
        <v>80.787402343750003</v>
      </c>
      <c r="AQ73" s="709">
        <f ca="1">IF(ISERROR(MATCH(AQ$1,INDIRECT("Table!A"&amp;$BJ73):INDIRECT("Table!" &amp; $BV$88 &amp; $BJ73),0)),"",INDIRECT(CONCATENATE("Table!",ADDRESS($BN73,MATCH(AQ$1,INDIRECT("Table!A" &amp; $BJ73):INDIRECT("Table!" &amp; $BV$88 &amp; $BJ73),0)))))/1024</f>
        <v>172.34638671875001</v>
      </c>
      <c r="AR73" s="709">
        <f ca="1">IF(ISERROR(MATCH(AR$1,INDIRECT("Table!A"&amp;$BJ73):INDIRECT("Table!" &amp; $BV$88 &amp; $BJ73),0)),"",INDIRECT(CONCATENATE("Table!",ADDRESS($BN73,MATCH(AR$1,INDIRECT("Table!A" &amp; $BJ73):INDIRECT("Table!" &amp; $BV$88 &amp; $BJ73),0)))))/1024</f>
        <v>81.0927734375</v>
      </c>
      <c r="AS73" s="709"/>
      <c r="AT73" s="709"/>
      <c r="AU73" s="709">
        <f ca="1">IF(ISERROR(MATCH(AU$1,INDIRECT("Table!A"&amp;$BJ73):INDIRECT("Table!" &amp; $BV$88 &amp; $BJ73),0)),"",INDIRECT(CONCATENATE("Table!",ADDRESS($BN73,MATCH(AU$1,INDIRECT("Table!A" &amp; $BJ73):INDIRECT("Table!" &amp; $BV$88 &amp; $BJ73),0)))))/1024</f>
        <v>53.8583984375</v>
      </c>
      <c r="AV73" s="709">
        <f ca="1">IF(ISERROR(MATCH(AV$1,INDIRECT("Table!A"&amp;$BJ73):INDIRECT("Table!" &amp; $BV$88 &amp; $BJ73),0)),"",INDIRECT(CONCATENATE("Table!",ADDRESS($BN73,MATCH(AV$1,INDIRECT("Table!A" &amp; $BJ73):INDIRECT("Table!" &amp; $BV$88 &amp; $BJ73),0)))))/1024</f>
        <v>32.31494140625</v>
      </c>
      <c r="AW73" s="709"/>
      <c r="AX73" s="909"/>
      <c r="AY73" s="909"/>
      <c r="AZ73" s="909"/>
      <c r="BA73" s="909"/>
      <c r="BB73" s="909"/>
      <c r="BC73" s="909"/>
      <c r="BD73" s="909"/>
      <c r="BE73" s="909"/>
      <c r="BF73" s="704">
        <f>MATCH($A73,Table!$A:$A,0)+$BH$2-1</f>
        <v>907</v>
      </c>
      <c r="BG73" s="705"/>
      <c r="BH73" s="705"/>
      <c r="BI73" s="705"/>
      <c r="BJ73" s="717">
        <f>MATCH($A73,Table!$A:$A,0)+$BL$2-1</f>
        <v>905</v>
      </c>
      <c r="BK73" s="705"/>
      <c r="BL73" s="705"/>
      <c r="BM73" s="705"/>
      <c r="BN73" s="704">
        <f>MATCH($A73,Table!$A:$A,0)+$BP$2-1</f>
        <v>906</v>
      </c>
      <c r="BO73" s="705"/>
      <c r="BP73" s="705"/>
      <c r="BQ73" s="705"/>
      <c r="BR73" s="717">
        <f>MATCH($A73,Table!$A:$A,0)+$BL$2-1</f>
        <v>905</v>
      </c>
      <c r="BS73" s="705"/>
      <c r="BT73" s="705"/>
      <c r="BU73" s="705"/>
      <c r="BV73" s="711" t="s">
        <v>284</v>
      </c>
      <c r="BW73" s="712">
        <f t="shared" ca="1" si="47"/>
        <v>1920.96142578125</v>
      </c>
      <c r="BX73" s="712">
        <f t="shared" ca="1" si="46"/>
        <v>923.98750000000018</v>
      </c>
      <c r="BY73" s="712">
        <f t="shared" ca="1" si="43"/>
        <v>996.97392578124982</v>
      </c>
      <c r="BZ73" s="718">
        <f t="shared" ca="1" si="44"/>
        <v>0.48100263107793373</v>
      </c>
      <c r="CA73" s="712">
        <f>SUMIF('Alloc Feed'!A:A,A:A,'Alloc Feed'!I:I)</f>
        <v>0</v>
      </c>
      <c r="CB73" s="718">
        <f t="shared" ca="1" si="42"/>
        <v>0</v>
      </c>
    </row>
    <row r="74" spans="1:80" s="267" customFormat="1" x14ac:dyDescent="0.25">
      <c r="A74" s="703">
        <v>41337</v>
      </c>
      <c r="B74" s="709">
        <f ca="1">IF(ISERROR(MATCH(B$1,INDIRECT("Table!A"&amp;$BJ74):INDIRECT("Table!" &amp; $BV$88 &amp; $BJ74),0)),"",INDIRECT(CONCATENATE("Table!",ADDRESS($BF74,MATCH(B$1,INDIRECT("Table!A" &amp; $BJ74):INDIRECT("Table!" &amp; $BV$88 &amp; $BJ74),0)))))/1024</f>
        <v>39.122167968749999</v>
      </c>
      <c r="C74" s="709">
        <f ca="1">IF(ISERROR(MATCH(C$1,INDIRECT("Table!A"&amp;$BJ74):INDIRECT("Table!" &amp; $BV$88 &amp; $BJ74),0)),"",INDIRECT(CONCATENATE("Table!",ADDRESS($BF74,MATCH(C$1,INDIRECT("Table!A" &amp; $BJ74):INDIRECT("Table!" &amp; $BV$88 &amp; $BJ74),0)))))/1024</f>
        <v>75.336035156250006</v>
      </c>
      <c r="D74" s="709">
        <f ca="1">IF(ISERROR(MATCH(D$1,INDIRECT("Table!A"&amp;$BJ74):INDIRECT("Table!" &amp; $BV$88 &amp; $BJ74),0)),"",INDIRECT(CONCATENATE("Table!",ADDRESS($BF74,MATCH(D$1,INDIRECT("Table!A" &amp; $BJ74):INDIRECT("Table!" &amp; $BV$88 &amp; $BJ74),0)))))/1024</f>
        <v>76.717187499999994</v>
      </c>
      <c r="E74" s="709">
        <f ca="1">IF(ISERROR(MATCH(E$1,INDIRECT("Table!A"&amp;$BJ74):INDIRECT("Table!" &amp; $BV$88 &amp; $BJ74),0)),"",INDIRECT(CONCATENATE("Table!",ADDRESS($BF74,MATCH(E$1,INDIRECT("Table!A" &amp; $BJ74):INDIRECT("Table!" &amp; $BV$88 &amp; $BJ74),0)))))/1024</f>
        <v>152.03330078125001</v>
      </c>
      <c r="F74" s="709">
        <f ca="1">IF(ISERROR(MATCH(F$1,INDIRECT("Table!A"&amp;$BJ74):INDIRECT("Table!" &amp; $BV$88 &amp; $BJ74),0)),"",INDIRECT(CONCATENATE("Table!",ADDRESS($BF74,MATCH(F$1,INDIRECT("Table!A" &amp; $BJ74):INDIRECT("Table!" &amp; $BV$88 &amp; $BJ74),0)))))/1024</f>
        <v>82.197656249999994</v>
      </c>
      <c r="G74" s="709">
        <f ca="1">IF(ISERROR(MATCH(G$1,INDIRECT("Table!A"&amp;$BJ74):INDIRECT("Table!" &amp; $BV$88 &amp; $BJ74),0)),"",INDIRECT(CONCATENATE("Table!",ADDRESS($BF74,MATCH(G$1,INDIRECT("Table!A" &amp; $BJ74):INDIRECT("Table!" &amp; $BV$88 &amp; $BJ74),0)))))/1024</f>
        <v>44.185546875</v>
      </c>
      <c r="H74" s="709">
        <f ca="1">IF(ISERROR(MATCH(H$1,INDIRECT("Table!A"&amp;$BJ74):INDIRECT("Table!" &amp; $BV$88 &amp; $BJ74),0)),"",INDIRECT(CONCATENATE("Table!",ADDRESS($BF74,MATCH(H$1,INDIRECT("Table!A" &amp; $BJ74):INDIRECT("Table!" &amp; $BV$88 &amp; $BJ74),0)))))/1024</f>
        <v>64.599316406249997</v>
      </c>
      <c r="I74" s="709">
        <f ca="1">IF(ISERROR(MATCH(I$1,INDIRECT("Table!A"&amp;$BJ74):INDIRECT("Table!" &amp; $BV$88 &amp; $BJ74),0)),"",INDIRECT(CONCATENATE("Table!",ADDRESS($BF74,MATCH(I$1,INDIRECT("Table!A" &amp; $BJ74):INDIRECT("Table!" &amp; $BV$88 &amp; $BJ74),0)))))/1024</f>
        <v>3.6421874999999999</v>
      </c>
      <c r="J74" s="709"/>
      <c r="K74" s="709"/>
      <c r="L74" s="709">
        <f ca="1">IF(ISERROR(MATCH(L$1,INDIRECT("Table!A"&amp;$BJ74):INDIRECT("Table!" &amp; $BV$88 &amp; $BJ74),0)),"",INDIRECT(CONCATENATE("Table!",ADDRESS($BF74,MATCH(L$1,INDIRECT("Table!A" &amp; $BJ74):INDIRECT("Table!" &amp; $BV$88 &amp; $BJ74),0)))))/1024</f>
        <v>151.13710937499999</v>
      </c>
      <c r="M74" s="709">
        <f ca="1">IF(ISERROR(MATCH(M$1,INDIRECT("Table!A"&amp;$BJ74):INDIRECT("Table!" &amp; $BV$88 &amp; $BJ74),0)),"",INDIRECT(CONCATENATE("Table!",ADDRESS($BF74,MATCH(M$1,INDIRECT("Table!A" &amp; $BJ74):INDIRECT("Table!" &amp; $BV$88 &amp; $BJ74),0)))))/1024</f>
        <v>50.7607421875</v>
      </c>
      <c r="N74" s="709">
        <f ca="1">IF(ISERROR(MATCH(N$1,INDIRECT("Table!A"&amp;$BJ74):INDIRECT("Table!" &amp; $BV$88 &amp; $BJ74),0)),"",INDIRECT(CONCATENATE("Table!",ADDRESS($BF74,MATCH(N$1,INDIRECT("Table!A" &amp; $BJ74):INDIRECT("Table!" &amp; $BV$88 &amp; $BJ74),0)))))/1024</f>
        <v>42.496679687499999</v>
      </c>
      <c r="O74" s="709">
        <f ca="1">IF(ISERROR(MATCH(O$1,INDIRECT("Table!A"&amp;$BJ74):INDIRECT("Table!" &amp; $BV$88 &amp; $BJ74),0)),"",INDIRECT(CONCATENATE("Table!",ADDRESS($BF74,MATCH(O$1,INDIRECT("Table!A" &amp; $BJ74):INDIRECT("Table!" &amp; $BV$88 &amp; $BJ74),0)))))/1024</f>
        <v>126.280078125</v>
      </c>
      <c r="P74" s="709">
        <f ca="1">IF(ISERROR(MATCH(P$1,INDIRECT("Table!A"&amp;$BJ74):INDIRECT("Table!" &amp; $BV$88 &amp; $BJ74),0)),"",INDIRECT(CONCATENATE("Table!",ADDRESS($BF74,MATCH(P$1,INDIRECT("Table!A" &amp; $BJ74):INDIRECT("Table!" &amp; $BV$88 &amp; $BJ74),0)))))/1024</f>
        <v>7.1061523437499998</v>
      </c>
      <c r="Q74" s="709"/>
      <c r="R74" s="709"/>
      <c r="S74" s="709"/>
      <c r="T74" s="709"/>
      <c r="U74" s="709"/>
      <c r="V74" s="909"/>
      <c r="W74" s="909"/>
      <c r="X74" s="909"/>
      <c r="Y74" s="909"/>
      <c r="Z74" s="909"/>
      <c r="AA74" s="909"/>
      <c r="AB74" s="909"/>
      <c r="AC74" s="709" t="str">
        <f ca="1">IF(ISERROR(MATCH(AC$1,INDIRECT("Table!A"&amp;$BJ74):INDIRECT("Table!" &amp; $BV$88 &amp; $BJ74),0)),"",INDIRECT(CONCATENATE("Table!",ADDRESS($BF74,MATCH(AC$1,INDIRECT("Table!A" &amp; $BJ74):INDIRECT("Table!" &amp; $BV$88 &amp; $BJ74),0)))))</f>
        <v/>
      </c>
      <c r="AD74" s="709">
        <f ca="1">IF(ISERROR(MATCH(AD$1,INDIRECT("Table!A"&amp;$BJ74):INDIRECT("Table!" &amp; $BV$88 &amp; $BJ74),0)),"",INDIRECT(CONCATENATE("Table!",ADDRESS($BN74,MATCH(AD$1,INDIRECT("Table!A" &amp; $BJ74):INDIRECT("Table!" &amp; $BV$88 &amp; $BJ74),0)))))/1024</f>
        <v>140.03144531250001</v>
      </c>
      <c r="AE74" s="709">
        <f ca="1">IF(ISERROR(MATCH(AE$1,INDIRECT("Table!A"&amp;$BJ74):INDIRECT("Table!" &amp; $BV$88 &amp; $BJ74),0)),"",INDIRECT(CONCATENATE("Table!",ADDRESS($BN74,MATCH(AE$1,INDIRECT("Table!A" &amp; $BJ74):INDIRECT("Table!" &amp; $BV$88 &amp; $BJ74),0)))))/1024</f>
        <v>146.98808593749999</v>
      </c>
      <c r="AF74" s="709">
        <f ca="1">IF(ISERROR(MATCH(AF$1,INDIRECT("Table!A"&amp;$BJ74):INDIRECT("Table!" &amp; $BV$88 &amp; $BJ74),0)),"",INDIRECT(CONCATENATE("Table!",ADDRESS($BN74,MATCH(AF$1,INDIRECT("Table!A" &amp; $BJ74):INDIRECT("Table!" &amp; $BV$88 &amp; $BJ74),0)))))/1024</f>
        <v>146.98808593749999</v>
      </c>
      <c r="AG74" s="709">
        <f ca="1">IF(ISERROR(MATCH(AG$1,INDIRECT("Table!A"&amp;$BJ74):INDIRECT("Table!" &amp; $BV$88 &amp; $BJ74),0)),"",INDIRECT(CONCATENATE("Table!",ADDRESS($BN74,MATCH(AG$1,INDIRECT("Table!A" &amp; $BJ74):INDIRECT("Table!" &amp; $BV$88 &amp; $BJ74),0)))))/1024</f>
        <v>177.73222656249999</v>
      </c>
      <c r="AH74" s="709">
        <f ca="1">IF(ISERROR(MATCH(AH$1,INDIRECT("Table!A"&amp;$BJ74):INDIRECT("Table!" &amp; $BV$88 &amp; $BJ74),0)),"",INDIRECT(CONCATENATE("Table!",ADDRESS($BN74,MATCH(AH$1,INDIRECT("Table!A" &amp; $BJ74):INDIRECT("Table!" &amp; $BV$88 &amp; $BJ74),0)))))/1024</f>
        <v>161.57470703125</v>
      </c>
      <c r="AI74" s="709">
        <f ca="1">IF(ISERROR(MATCH(AI$1,INDIRECT("Table!A"&amp;$BJ74):INDIRECT("Table!" &amp; $BV$88 &amp; $BJ74),0)),"",INDIRECT(CONCATENATE("Table!",ADDRESS($BN74,MATCH(AI$1,INDIRECT("Table!A" &amp; $BJ74):INDIRECT("Table!" &amp; $BV$88 &amp; $BJ74),0)))))/1024</f>
        <v>129.03515625</v>
      </c>
      <c r="AJ74" s="709">
        <f ca="1">IF(ISERROR(MATCH(AJ$1,INDIRECT("Table!A"&amp;$BJ74):INDIRECT("Table!" &amp; $BV$88 &amp; $BJ74),0)),"",INDIRECT(CONCATENATE("Table!",ADDRESS($BN74,MATCH(AJ$1,INDIRECT("Table!A" &amp; $BJ74):INDIRECT("Table!" &amp; $BV$88 &amp; $BJ74),0)))))/1024</f>
        <v>118.4880859375</v>
      </c>
      <c r="AK74" s="709">
        <f ca="1">IF(ISERROR(MATCH(AK$1,INDIRECT("Table!A"&amp;$BJ74):INDIRECT("Table!" &amp; $BV$88 &amp; $BJ74),0)),"",INDIRECT(CONCATENATE("Table!",ADDRESS($BN74,MATCH(AK$1,INDIRECT("Table!A" &amp; $BJ74):INDIRECT("Table!" &amp; $BV$88 &amp; $BJ74),0)))))/1024</f>
        <v>162.18544921874999</v>
      </c>
      <c r="AL74" s="709"/>
      <c r="AM74" s="709"/>
      <c r="AN74" s="709">
        <f ca="1">IF(ISERROR(MATCH(AN$1,INDIRECT("Table!A"&amp;$BJ74):INDIRECT("Table!" &amp; $BV$88 &amp; $BJ74),0)),"",INDIRECT(CONCATENATE("Table!",ADDRESS($BN74,MATCH(AN$1,INDIRECT("Table!A" &amp; $BJ74):INDIRECT("Table!" &amp; $BV$88 &amp; $BJ74),0)))))/1024</f>
        <v>188.5029296875</v>
      </c>
      <c r="AO74" s="709">
        <f ca="1">IF(ISERROR(MATCH(AO$1,INDIRECT("Table!A"&amp;$BJ74):INDIRECT("Table!" &amp; $BV$88 &amp; $BJ74),0)),"",INDIRECT(CONCATENATE("Table!",ADDRESS($BN74,MATCH(AO$1,INDIRECT("Table!A" &amp; $BJ74):INDIRECT("Table!" &amp; $BV$88 &amp; $BJ74),0)))))/1024</f>
        <v>129.03535156250001</v>
      </c>
      <c r="AP74" s="709">
        <f ca="1">IF(ISERROR(MATCH(AP$1,INDIRECT("Table!A"&amp;$BJ74):INDIRECT("Table!" &amp; $BV$88 &amp; $BJ74),0)),"",INDIRECT(CONCATENATE("Table!",ADDRESS($BN74,MATCH(AP$1,INDIRECT("Table!A" &amp; $BJ74):INDIRECT("Table!" &amp; $BV$88 &amp; $BJ74),0)))))/1024</f>
        <v>80.787402343750003</v>
      </c>
      <c r="AQ74" s="709">
        <f ca="1">IF(ISERROR(MATCH(AQ$1,INDIRECT("Table!A"&amp;$BJ74):INDIRECT("Table!" &amp; $BV$88 &amp; $BJ74),0)),"",INDIRECT(CONCATENATE("Table!",ADDRESS($BN74,MATCH(AQ$1,INDIRECT("Table!A" &amp; $BJ74):INDIRECT("Table!" &amp; $BV$88 &amp; $BJ74),0)))))/1024</f>
        <v>172.34638671875001</v>
      </c>
      <c r="AR74" s="709">
        <f ca="1">IF(ISERROR(MATCH(AR$1,INDIRECT("Table!A"&amp;$BJ74):INDIRECT("Table!" &amp; $BV$88 &amp; $BJ74),0)),"",INDIRECT(CONCATENATE("Table!",ADDRESS($BN74,MATCH(AR$1,INDIRECT("Table!A" &amp; $BJ74):INDIRECT("Table!" &amp; $BV$88 &amp; $BJ74),0)))))/1024</f>
        <v>81.0927734375</v>
      </c>
      <c r="AS74" s="709"/>
      <c r="AT74" s="709"/>
      <c r="AU74" s="709"/>
      <c r="AV74" s="709"/>
      <c r="AW74" s="709"/>
      <c r="AX74" s="909"/>
      <c r="AY74" s="909"/>
      <c r="AZ74" s="909"/>
      <c r="BA74" s="909"/>
      <c r="BB74" s="909"/>
      <c r="BC74" s="909"/>
      <c r="BD74" s="909"/>
      <c r="BE74" s="909"/>
      <c r="BF74" s="704">
        <f>MATCH($A74,Table!$A:$A,0)+$BH$2-1</f>
        <v>919</v>
      </c>
      <c r="BG74" s="705"/>
      <c r="BH74" s="705"/>
      <c r="BI74" s="705"/>
      <c r="BJ74" s="717">
        <f>MATCH($A74,Table!$A:$A,0)+$BL$2-1</f>
        <v>917</v>
      </c>
      <c r="BK74" s="705"/>
      <c r="BL74" s="705"/>
      <c r="BM74" s="705"/>
      <c r="BN74" s="704">
        <f>MATCH($A74,Table!$A:$A,0)+$BP$2-1</f>
        <v>918</v>
      </c>
      <c r="BO74" s="705"/>
      <c r="BP74" s="705"/>
      <c r="BQ74" s="705"/>
      <c r="BR74" s="717">
        <f>MATCH($A74,Table!$A:$A,0)+$BL$2-1</f>
        <v>917</v>
      </c>
      <c r="BS74" s="705"/>
      <c r="BT74" s="705"/>
      <c r="BU74" s="705"/>
      <c r="BV74" s="711" t="s">
        <v>284</v>
      </c>
      <c r="BW74" s="712">
        <f t="shared" ca="1" si="47"/>
        <v>1834.7880859375</v>
      </c>
      <c r="BX74" s="712">
        <f t="shared" ca="1" si="46"/>
        <v>915.61416015624991</v>
      </c>
      <c r="BY74" s="712">
        <f t="shared" ca="1" si="43"/>
        <v>919.17392578125009</v>
      </c>
      <c r="BZ74" s="718">
        <f t="shared" ca="1" si="44"/>
        <v>0.49902992458576456</v>
      </c>
      <c r="CA74" s="712">
        <f>SUMIF('Alloc Feed'!A:A,A:A,'Alloc Feed'!I:I)</f>
        <v>0</v>
      </c>
      <c r="CB74" s="718">
        <f t="shared" ca="1" si="42"/>
        <v>0</v>
      </c>
    </row>
    <row r="75" spans="1:80" s="267" customFormat="1" x14ac:dyDescent="0.25">
      <c r="A75" s="703">
        <v>41334</v>
      </c>
      <c r="B75" s="709">
        <f ca="1">IF(ISERROR(MATCH(B$1,INDIRECT("Table!A"&amp;$BJ75):INDIRECT("Table!" &amp; $BV$88 &amp; $BJ75),0)),"",INDIRECT(CONCATENATE("Table!",ADDRESS($BF75,MATCH(B$1,INDIRECT("Table!A" &amp; $BJ75):INDIRECT("Table!" &amp; $BV$88 &amp; $BJ75),0)))))/1024</f>
        <v>41.118066406250001</v>
      </c>
      <c r="C75" s="709">
        <f ca="1">IF(ISERROR(MATCH(C$1,INDIRECT("Table!A"&amp;$BJ75):INDIRECT("Table!" &amp; $BV$88 &amp; $BJ75),0)),"",INDIRECT(CONCATENATE("Table!",ADDRESS($BF75,MATCH(C$1,INDIRECT("Table!A" &amp; $BJ75):INDIRECT("Table!" &amp; $BV$88 &amp; $BJ75),0)))))/1024</f>
        <v>75.27587890625</v>
      </c>
      <c r="D75" s="709">
        <f ca="1">IF(ISERROR(MATCH(D$1,INDIRECT("Table!A"&amp;$BJ75):INDIRECT("Table!" &amp; $BV$88 &amp; $BJ75),0)),"",INDIRECT(CONCATENATE("Table!",ADDRESS($BF75,MATCH(D$1,INDIRECT("Table!A" &amp; $BJ75):INDIRECT("Table!" &amp; $BV$88 &amp; $BJ75),0)))))/1024</f>
        <v>76.657128906249994</v>
      </c>
      <c r="E75" s="709">
        <f ca="1">IF(ISERROR(MATCH(E$1,INDIRECT("Table!A"&amp;$BJ75):INDIRECT("Table!" &amp; $BV$88 &amp; $BJ75),0)),"",INDIRECT(CONCATENATE("Table!",ADDRESS($BF75,MATCH(E$1,INDIRECT("Table!A" &amp; $BJ75):INDIRECT("Table!" &amp; $BV$88 &amp; $BJ75),0)))))/1024</f>
        <v>151.07587890625001</v>
      </c>
      <c r="F75" s="709">
        <f ca="1">IF(ISERROR(MATCH(F$1,INDIRECT("Table!A"&amp;$BJ75):INDIRECT("Table!" &amp; $BV$88 &amp; $BJ75),0)),"",INDIRECT(CONCATENATE("Table!",ADDRESS($BF75,MATCH(F$1,INDIRECT("Table!A" &amp; $BJ75):INDIRECT("Table!" &amp; $BV$88 &amp; $BJ75),0)))))/1024</f>
        <v>81.535058593749994</v>
      </c>
      <c r="G75" s="709">
        <f ca="1">IF(ISERROR(MATCH(G$1,INDIRECT("Table!A"&amp;$BJ75):INDIRECT("Table!" &amp; $BV$88 &amp; $BJ75),0)),"",INDIRECT(CONCATENATE("Table!",ADDRESS($BF75,MATCH(G$1,INDIRECT("Table!A" &amp; $BJ75):INDIRECT("Table!" &amp; $BV$88 &amp; $BJ75),0)))))/1024</f>
        <v>38.643457031250001</v>
      </c>
      <c r="H75" s="709">
        <f ca="1">IF(ISERROR(MATCH(H$1,INDIRECT("Table!A"&amp;$BJ75):INDIRECT("Table!" &amp; $BV$88 &amp; $BJ75),0)),"",INDIRECT(CONCATENATE("Table!",ADDRESS($BF75,MATCH(H$1,INDIRECT("Table!A" &amp; $BJ75):INDIRECT("Table!" &amp; $BV$88 &amp; $BJ75),0)))))/1024</f>
        <v>64.529882812500006</v>
      </c>
      <c r="I75" s="709"/>
      <c r="J75" s="709"/>
      <c r="K75" s="709"/>
      <c r="L75" s="709">
        <f ca="1">IF(ISERROR(MATCH(L$1,INDIRECT("Table!A"&amp;$BJ75):INDIRECT("Table!" &amp; $BV$88 &amp; $BJ75),0)),"",INDIRECT(CONCATENATE("Table!",ADDRESS($BF75,MATCH(L$1,INDIRECT("Table!A" &amp; $BJ75):INDIRECT("Table!" &amp; $BV$88 &amp; $BJ75),0)))))/1024</f>
        <v>150.4970703125</v>
      </c>
      <c r="M75" s="709">
        <f ca="1">IF(ISERROR(MATCH(M$1,INDIRECT("Table!A"&amp;$BJ75):INDIRECT("Table!" &amp; $BV$88 &amp; $BJ75),0)),"",INDIRECT(CONCATENATE("Table!",ADDRESS($BF75,MATCH(M$1,INDIRECT("Table!A" &amp; $BJ75):INDIRECT("Table!" &amp; $BV$88 &amp; $BJ75),0)))))/1024</f>
        <v>50.913964843750001</v>
      </c>
      <c r="N75" s="709">
        <f ca="1">IF(ISERROR(MATCH(N$1,INDIRECT("Table!A"&amp;$BJ75):INDIRECT("Table!" &amp; $BV$88 &amp; $BJ75),0)),"",INDIRECT(CONCATENATE("Table!",ADDRESS($BF75,MATCH(N$1,INDIRECT("Table!A" &amp; $BJ75):INDIRECT("Table!" &amp; $BV$88 &amp; $BJ75),0)))))/1024</f>
        <v>42.139550781250001</v>
      </c>
      <c r="O75" s="709">
        <f ca="1">IF(ISERROR(MATCH(O$1,INDIRECT("Table!A"&amp;$BJ75):INDIRECT("Table!" &amp; $BV$88 &amp; $BJ75),0)),"",INDIRECT(CONCATENATE("Table!",ADDRESS($BF75,MATCH(O$1,INDIRECT("Table!A" &amp; $BJ75):INDIRECT("Table!" &amp; $BV$88 &amp; $BJ75),0)))))/1024</f>
        <v>125.76298828125</v>
      </c>
      <c r="P75" s="709"/>
      <c r="Q75" s="709"/>
      <c r="R75" s="709"/>
      <c r="S75" s="709"/>
      <c r="T75" s="709"/>
      <c r="U75" s="709"/>
      <c r="V75" s="909"/>
      <c r="W75" s="909"/>
      <c r="X75" s="909"/>
      <c r="Y75" s="909"/>
      <c r="Z75" s="909"/>
      <c r="AA75" s="909"/>
      <c r="AB75" s="909"/>
      <c r="AC75" s="709" t="str">
        <f ca="1">IF(ISERROR(MATCH(AC$1,INDIRECT("Table!A"&amp;$BJ75):INDIRECT("Table!" &amp; $BV$88 &amp; $BJ75),0)),"",INDIRECT(CONCATENATE("Table!",ADDRESS($BF75,MATCH(AC$1,INDIRECT("Table!A" &amp; $BJ75):INDIRECT("Table!" &amp; $BV$88 &amp; $BJ75),0)))))</f>
        <v/>
      </c>
      <c r="AD75" s="709">
        <f ca="1">IF(ISERROR(MATCH(AD$1,INDIRECT("Table!A"&amp;$BJ75):INDIRECT("Table!" &amp; $BV$88 &amp; $BJ75),0)),"",INDIRECT(CONCATENATE("Table!",ADDRESS($BN75,MATCH(AD$1,INDIRECT("Table!A" &amp; $BJ75):INDIRECT("Table!" &amp; $BV$88 &amp; $BJ75),0)))))/1024</f>
        <v>140.03144531250001</v>
      </c>
      <c r="AE75" s="709">
        <f ca="1">IF(ISERROR(MATCH(AE$1,INDIRECT("Table!A"&amp;$BJ75):INDIRECT("Table!" &amp; $BV$88 &amp; $BJ75),0)),"",INDIRECT(CONCATENATE("Table!",ADDRESS($BN75,MATCH(AE$1,INDIRECT("Table!A" &amp; $BJ75):INDIRECT("Table!" &amp; $BV$88 &amp; $BJ75),0)))))/1024</f>
        <v>146.98808593749999</v>
      </c>
      <c r="AF75" s="709">
        <f ca="1">IF(ISERROR(MATCH(AF$1,INDIRECT("Table!A"&amp;$BJ75):INDIRECT("Table!" &amp; $BV$88 &amp; $BJ75),0)),"",INDIRECT(CONCATENATE("Table!",ADDRESS($BN75,MATCH(AF$1,INDIRECT("Table!A" &amp; $BJ75):INDIRECT("Table!" &amp; $BV$88 &amp; $BJ75),0)))))/1024</f>
        <v>146.98808593749999</v>
      </c>
      <c r="AG75" s="709">
        <f ca="1">IF(ISERROR(MATCH(AG$1,INDIRECT("Table!A"&amp;$BJ75):INDIRECT("Table!" &amp; $BV$88 &amp; $BJ75),0)),"",INDIRECT(CONCATENATE("Table!",ADDRESS($BN75,MATCH(AG$1,INDIRECT("Table!A" &amp; $BJ75):INDIRECT("Table!" &amp; $BV$88 &amp; $BJ75),0)))))/1024</f>
        <v>177.73222656249999</v>
      </c>
      <c r="AH75" s="709">
        <f ca="1">IF(ISERROR(MATCH(AH$1,INDIRECT("Table!A"&amp;$BJ75):INDIRECT("Table!" &amp; $BV$88 &amp; $BJ75),0)),"",INDIRECT(CONCATENATE("Table!",ADDRESS($BN75,MATCH(AH$1,INDIRECT("Table!A" &amp; $BJ75):INDIRECT("Table!" &amp; $BV$88 &amp; $BJ75),0)))))/1024</f>
        <v>161.57470703125</v>
      </c>
      <c r="AI75" s="709">
        <f ca="1">IF(ISERROR(MATCH(AI$1,INDIRECT("Table!A"&amp;$BJ75):INDIRECT("Table!" &amp; $BV$88 &amp; $BJ75),0)),"",INDIRECT(CONCATENATE("Table!",ADDRESS($BN75,MATCH(AI$1,INDIRECT("Table!A" &amp; $BJ75):INDIRECT("Table!" &amp; $BV$88 &amp; $BJ75),0)))))/1024</f>
        <v>129.03515625</v>
      </c>
      <c r="AJ75" s="709">
        <f ca="1">IF(ISERROR(MATCH(AJ$1,INDIRECT("Table!A"&amp;$BJ75):INDIRECT("Table!" &amp; $BV$88 &amp; $BJ75),0)),"",INDIRECT(CONCATENATE("Table!",ADDRESS($BN75,MATCH(AJ$1,INDIRECT("Table!A" &amp; $BJ75):INDIRECT("Table!" &amp; $BV$88 &amp; $BJ75),0)))))/1024</f>
        <v>118.4880859375</v>
      </c>
      <c r="AK75" s="709"/>
      <c r="AL75" s="709"/>
      <c r="AM75" s="709"/>
      <c r="AN75" s="709">
        <f ca="1">IF(ISERROR(MATCH(AN$1,INDIRECT("Table!A"&amp;$BJ75):INDIRECT("Table!" &amp; $BV$88 &amp; $BJ75),0)),"",INDIRECT(CONCATENATE("Table!",ADDRESS($BN75,MATCH(AN$1,INDIRECT("Table!A" &amp; $BJ75):INDIRECT("Table!" &amp; $BV$88 &amp; $BJ75),0)))))/1024</f>
        <v>188.5029296875</v>
      </c>
      <c r="AO75" s="709">
        <f ca="1">IF(ISERROR(MATCH(AO$1,INDIRECT("Table!A"&amp;$BJ75):INDIRECT("Table!" &amp; $BV$88 &amp; $BJ75),0)),"",INDIRECT(CONCATENATE("Table!",ADDRESS($BN75,MATCH(AO$1,INDIRECT("Table!A" &amp; $BJ75):INDIRECT("Table!" &amp; $BV$88 &amp; $BJ75),0)))))/1024</f>
        <v>129.03535156250001</v>
      </c>
      <c r="AP75" s="709">
        <f ca="1">IF(ISERROR(MATCH(AP$1,INDIRECT("Table!A"&amp;$BJ75):INDIRECT("Table!" &amp; $BV$88 &amp; $BJ75),0)),"",INDIRECT(CONCATENATE("Table!",ADDRESS($BN75,MATCH(AP$1,INDIRECT("Table!A" &amp; $BJ75):INDIRECT("Table!" &amp; $BV$88 &amp; $BJ75),0)))))/1024</f>
        <v>80.787402343750003</v>
      </c>
      <c r="AQ75" s="709">
        <f ca="1">IF(ISERROR(MATCH(AQ$1,INDIRECT("Table!A"&amp;$BJ75):INDIRECT("Table!" &amp; $BV$88 &amp; $BJ75),0)),"",INDIRECT(CONCATENATE("Table!",ADDRESS($BN75,MATCH(AQ$1,INDIRECT("Table!A" &amp; $BJ75):INDIRECT("Table!" &amp; $BV$88 &amp; $BJ75),0)))))/1024</f>
        <v>172.34638671875001</v>
      </c>
      <c r="AR75" s="709"/>
      <c r="AS75" s="709"/>
      <c r="AT75" s="709"/>
      <c r="AU75" s="709"/>
      <c r="AV75" s="704"/>
      <c r="AW75" s="709"/>
      <c r="AX75" s="909"/>
      <c r="AY75" s="909"/>
      <c r="AZ75" s="909"/>
      <c r="BA75" s="909"/>
      <c r="BB75" s="909"/>
      <c r="BC75" s="909"/>
      <c r="BD75" s="909"/>
      <c r="BE75" s="909"/>
      <c r="BF75" s="704">
        <f>MATCH($A75,Table!$A:$A,0)+$BH$2-1</f>
        <v>931</v>
      </c>
      <c r="BG75" s="705"/>
      <c r="BH75" s="705"/>
      <c r="BI75" s="705"/>
      <c r="BJ75" s="717">
        <f>MATCH($A75,Table!$A:$A,0)+$BL$2-1</f>
        <v>929</v>
      </c>
      <c r="BK75" s="705"/>
      <c r="BL75" s="705"/>
      <c r="BM75" s="705"/>
      <c r="BN75" s="704">
        <f>MATCH($A75,Table!$A:$A,0)+$BP$2-1</f>
        <v>930</v>
      </c>
      <c r="BO75" s="705"/>
      <c r="BP75" s="705"/>
      <c r="BQ75" s="705"/>
      <c r="BR75" s="717">
        <f>MATCH($A75,Table!$A:$A,0)+$BL$2-1</f>
        <v>929</v>
      </c>
      <c r="BS75" s="705"/>
      <c r="BT75" s="705"/>
      <c r="BU75" s="705"/>
      <c r="BV75" s="711" t="s">
        <v>284</v>
      </c>
      <c r="BW75" s="712">
        <f t="shared" ca="1" si="47"/>
        <v>1591.5098632812499</v>
      </c>
      <c r="BX75" s="712">
        <f t="shared" ca="1" si="46"/>
        <v>898.14892578125011</v>
      </c>
      <c r="BY75" s="712">
        <f t="shared" ca="1" si="43"/>
        <v>693.36093749999975</v>
      </c>
      <c r="BZ75" s="718">
        <f t="shared" ca="1" si="44"/>
        <v>0.56433764345608095</v>
      </c>
      <c r="CA75" s="712">
        <f>SUMIF('Alloc Feed'!A:A,A:A,'Alloc Feed'!I:I)</f>
        <v>0</v>
      </c>
      <c r="CB75" s="718">
        <f t="shared" ca="1" si="42"/>
        <v>0</v>
      </c>
    </row>
    <row r="76" spans="1:80" x14ac:dyDescent="0.25">
      <c r="A76" s="703">
        <v>41330</v>
      </c>
      <c r="B76" s="709">
        <f ca="1">IF(ISERROR(MATCH(B$1,INDIRECT("Table!A"&amp;$BJ76):INDIRECT("Table!" &amp; $BV$88 &amp; $BJ76),0)),"",INDIRECT(CONCATENATE("Table!",ADDRESS($BF76,MATCH(B$1,INDIRECT("Table!A" &amp; $BJ76):INDIRECT("Table!" &amp; $BV$88 &amp; $BJ76),0)))))/1024</f>
        <v>43.072949218749997</v>
      </c>
      <c r="C76" s="709">
        <f ca="1">IF(ISERROR(MATCH(C$1,INDIRECT("Table!A"&amp;$BJ76):INDIRECT("Table!" &amp; $BV$88 &amp; $BJ76),0)),"",INDIRECT(CONCATENATE("Table!",ADDRESS($BF76,MATCH(C$1,INDIRECT("Table!A" &amp; $BJ76):INDIRECT("Table!" &amp; $BV$88 &amp; $BJ76),0)))))/1024</f>
        <v>75.235937500000006</v>
      </c>
      <c r="D76" s="709">
        <f ca="1">IF(ISERROR(MATCH(D$1,INDIRECT("Table!A"&amp;$BJ76):INDIRECT("Table!" &amp; $BV$88 &amp; $BJ76),0)),"",INDIRECT(CONCATENATE("Table!",ADDRESS($BF76,MATCH(D$1,INDIRECT("Table!A" &amp; $BJ76):INDIRECT("Table!" &amp; $BV$88 &amp; $BJ76),0)))))/1024</f>
        <v>76.616992187500003</v>
      </c>
      <c r="E76" s="709">
        <f ca="1">IF(ISERROR(MATCH(E$1,INDIRECT("Table!A"&amp;$BJ76):INDIRECT("Table!" &amp; $BV$88 &amp; $BJ76),0)),"",INDIRECT(CONCATENATE("Table!",ADDRESS($BF76,MATCH(E$1,INDIRECT("Table!A" &amp; $BJ76):INDIRECT("Table!" &amp; $BV$88 &amp; $BJ76),0)))))/1024</f>
        <v>150.84746093749999</v>
      </c>
      <c r="F76" s="709">
        <f ca="1">IF(ISERROR(MATCH(F$1,INDIRECT("Table!A"&amp;$BJ76):INDIRECT("Table!" &amp; $BV$88 &amp; $BJ76),0)),"",INDIRECT(CONCATENATE("Table!",ADDRESS($BF76,MATCH(F$1,INDIRECT("Table!A" &amp; $BJ76):INDIRECT("Table!" &amp; $BV$88 &amp; $BJ76),0)))))/1024</f>
        <v>80.898144531249997</v>
      </c>
      <c r="G76" s="709">
        <f ca="1">IF(ISERROR(MATCH(G$1,INDIRECT("Table!A"&amp;$BJ76):INDIRECT("Table!" &amp; $BV$88 &amp; $BJ76),0)),"",INDIRECT(CONCATENATE("Table!",ADDRESS($BF76,MATCH(G$1,INDIRECT("Table!A" &amp; $BJ76):INDIRECT("Table!" &amp; $BV$88 &amp; $BJ76),0)))))/1024</f>
        <v>40.475488281250001</v>
      </c>
      <c r="H76" s="709">
        <f ca="1">IF(ISERROR(MATCH(H$1,INDIRECT("Table!A"&amp;$BJ76):INDIRECT("Table!" &amp; $BV$88 &amp; $BJ76),0)),"",INDIRECT(CONCATENATE("Table!",ADDRESS($BF76,MATCH(H$1,INDIRECT("Table!A" &amp; $BJ76):INDIRECT("Table!" &amp; $BV$88 &amp; $BJ76),0)))))/1024</f>
        <v>63.561328125000003</v>
      </c>
      <c r="I76" s="709"/>
      <c r="J76" s="709"/>
      <c r="K76" s="709"/>
      <c r="L76" s="709">
        <f ca="1">IF(ISERROR(MATCH(L$1,INDIRECT("Table!A"&amp;$BJ76):INDIRECT("Table!" &amp; $BV$88 &amp; $BJ76),0)),"",INDIRECT(CONCATENATE("Table!",ADDRESS($BF76,MATCH(L$1,INDIRECT("Table!A" &amp; $BJ76):INDIRECT("Table!" &amp; $BV$88 &amp; $BJ76),0)))))/1024</f>
        <v>150.07314453124999</v>
      </c>
      <c r="M76" s="709">
        <f ca="1">IF(ISERROR(MATCH(M$1,INDIRECT("Table!A"&amp;$BJ76):INDIRECT("Table!" &amp; $BV$88 &amp; $BJ76),0)),"",INDIRECT(CONCATENATE("Table!",ADDRESS($BF76,MATCH(M$1,INDIRECT("Table!A" &amp; $BJ76):INDIRECT("Table!" &amp; $BV$88 &amp; $BJ76),0)))))/1024</f>
        <v>50.0009765625</v>
      </c>
      <c r="N76" s="709">
        <f ca="1">IF(ISERROR(MATCH(N$1,INDIRECT("Table!A"&amp;$BJ76):INDIRECT("Table!" &amp; $BV$88 &amp; $BJ76),0)),"",INDIRECT(CONCATENATE("Table!",ADDRESS($BF76,MATCH(N$1,INDIRECT("Table!A" &amp; $BJ76):INDIRECT("Table!" &amp; $BV$88 &amp; $BJ76),0)))))/1024</f>
        <v>41.821093750000003</v>
      </c>
      <c r="O76" s="709">
        <f ca="1">IF(ISERROR(MATCH(O$1,INDIRECT("Table!A"&amp;$BJ76):INDIRECT("Table!" &amp; $BV$88 &amp; $BJ76),0)),"",INDIRECT(CONCATENATE("Table!",ADDRESS($BF76,MATCH(O$1,INDIRECT("Table!A" &amp; $BJ76):INDIRECT("Table!" &amp; $BV$88 &amp; $BJ76),0)))))/1024</f>
        <v>125.47763671875001</v>
      </c>
      <c r="P76" s="709"/>
      <c r="Q76" s="709"/>
      <c r="R76" s="709"/>
      <c r="S76" s="709"/>
      <c r="T76" s="709"/>
      <c r="U76" s="709"/>
      <c r="V76" s="909"/>
      <c r="W76" s="909"/>
      <c r="X76" s="909"/>
      <c r="Y76" s="909"/>
      <c r="Z76" s="909"/>
      <c r="AA76" s="909"/>
      <c r="AB76" s="909"/>
      <c r="AC76" s="709" t="str">
        <f ca="1">IF(ISERROR(MATCH(AC$1,INDIRECT("Table!A"&amp;$BJ76):INDIRECT("Table!" &amp; $BV$88 &amp; $BJ76),0)),"",INDIRECT(CONCATENATE("Table!",ADDRESS($BF76,MATCH(AC$1,INDIRECT("Table!A" &amp; $BJ76):INDIRECT("Table!" &amp; $BV$88 &amp; $BJ76),0)))))</f>
        <v/>
      </c>
      <c r="AD76" s="709">
        <f ca="1">IF(ISERROR(MATCH(AD$1,INDIRECT("Table!A"&amp;$BJ76):INDIRECT("Table!" &amp; $BV$88 &amp; $BJ76),0)),"",INDIRECT(CONCATENATE("Table!",ADDRESS($BN76,MATCH(AD$1,INDIRECT("Table!A" &amp; $BJ76):INDIRECT("Table!" &amp; $BV$88 &amp; $BJ76),0)))))/1024</f>
        <v>140.03144531250001</v>
      </c>
      <c r="AE76" s="709">
        <f ca="1">IF(ISERROR(MATCH(AE$1,INDIRECT("Table!A"&amp;$BJ76):INDIRECT("Table!" &amp; $BV$88 &amp; $BJ76),0)),"",INDIRECT(CONCATENATE("Table!",ADDRESS($BN76,MATCH(AE$1,INDIRECT("Table!A" &amp; $BJ76):INDIRECT("Table!" &amp; $BV$88 &amp; $BJ76),0)))))/1024</f>
        <v>146.98808593749999</v>
      </c>
      <c r="AF76" s="709">
        <f ca="1">IF(ISERROR(MATCH(AF$1,INDIRECT("Table!A"&amp;$BJ76):INDIRECT("Table!" &amp; $BV$88 &amp; $BJ76),0)),"",INDIRECT(CONCATENATE("Table!",ADDRESS($BN76,MATCH(AF$1,INDIRECT("Table!A" &amp; $BJ76):INDIRECT("Table!" &amp; $BV$88 &amp; $BJ76),0)))))/1024</f>
        <v>146.98808593749999</v>
      </c>
      <c r="AG76" s="709">
        <f ca="1">IF(ISERROR(MATCH(AG$1,INDIRECT("Table!A"&amp;$BJ76):INDIRECT("Table!" &amp; $BV$88 &amp; $BJ76),0)),"",INDIRECT(CONCATENATE("Table!",ADDRESS($BN76,MATCH(AG$1,INDIRECT("Table!A" &amp; $BJ76):INDIRECT("Table!" &amp; $BV$88 &amp; $BJ76),0)))))/1024</f>
        <v>177.73222656249999</v>
      </c>
      <c r="AH76" s="709">
        <f ca="1">IF(ISERROR(MATCH(AH$1,INDIRECT("Table!A"&amp;$BJ76):INDIRECT("Table!" &amp; $BV$88 &amp; $BJ76),0)),"",INDIRECT(CONCATENATE("Table!",ADDRESS($BN76,MATCH(AH$1,INDIRECT("Table!A" &amp; $BJ76):INDIRECT("Table!" &amp; $BV$88 &amp; $BJ76),0)))))/1024</f>
        <v>161.57470703125</v>
      </c>
      <c r="AI76" s="709">
        <f ca="1">IF(ISERROR(MATCH(AI$1,INDIRECT("Table!A"&amp;$BJ76):INDIRECT("Table!" &amp; $BV$88 &amp; $BJ76),0)),"",INDIRECT(CONCATENATE("Table!",ADDRESS($BN76,MATCH(AI$1,INDIRECT("Table!A" &amp; $BJ76):INDIRECT("Table!" &amp; $BV$88 &amp; $BJ76),0)))))/1024</f>
        <v>129.03515625</v>
      </c>
      <c r="AJ76" s="709">
        <f ca="1">IF(ISERROR(MATCH(AJ$1,INDIRECT("Table!A"&amp;$BJ76):INDIRECT("Table!" &amp; $BV$88 &amp; $BJ76),0)),"",INDIRECT(CONCATENATE("Table!",ADDRESS($BN76,MATCH(AJ$1,INDIRECT("Table!A" &amp; $BJ76):INDIRECT("Table!" &amp; $BV$88 &amp; $BJ76),0)))))/1024</f>
        <v>118.4880859375</v>
      </c>
      <c r="AK76" s="709"/>
      <c r="AL76" s="709"/>
      <c r="AM76" s="709"/>
      <c r="AN76" s="709">
        <f ca="1">IF(ISERROR(MATCH(AN$1,INDIRECT("Table!A"&amp;$BJ76):INDIRECT("Table!" &amp; $BV$88 &amp; $BJ76),0)),"",INDIRECT(CONCATENATE("Table!",ADDRESS($BN76,MATCH(AN$1,INDIRECT("Table!A" &amp; $BJ76):INDIRECT("Table!" &amp; $BV$88 &amp; $BJ76),0)))))/1024</f>
        <v>188.5029296875</v>
      </c>
      <c r="AO76" s="709">
        <f ca="1">IF(ISERROR(MATCH(AO$1,INDIRECT("Table!A"&amp;$BJ76):INDIRECT("Table!" &amp; $BV$88 &amp; $BJ76),0)),"",INDIRECT(CONCATENATE("Table!",ADDRESS($BN76,MATCH(AO$1,INDIRECT("Table!A" &amp; $BJ76):INDIRECT("Table!" &amp; $BV$88 &amp; $BJ76),0)))))/1024</f>
        <v>129.03535156250001</v>
      </c>
      <c r="AP76" s="709">
        <f ca="1">IF(ISERROR(MATCH(AP$1,INDIRECT("Table!A"&amp;$BJ76):INDIRECT("Table!" &amp; $BV$88 &amp; $BJ76),0)),"",INDIRECT(CONCATENATE("Table!",ADDRESS($BN76,MATCH(AP$1,INDIRECT("Table!A" &amp; $BJ76):INDIRECT("Table!" &amp; $BV$88 &amp; $BJ76),0)))))/1024</f>
        <v>80.787402343750003</v>
      </c>
      <c r="AQ76" s="709">
        <f ca="1">IF(ISERROR(MATCH(AQ$1,INDIRECT("Table!A"&amp;$BJ76):INDIRECT("Table!" &amp; $BV$88 &amp; $BJ76),0)),"",INDIRECT(CONCATENATE("Table!",ADDRESS($BN76,MATCH(AQ$1,INDIRECT("Table!A" &amp; $BJ76):INDIRECT("Table!" &amp; $BV$88 &amp; $BJ76),0)))))/1024</f>
        <v>172.34638671875001</v>
      </c>
      <c r="AR76" s="709"/>
      <c r="AS76" s="709"/>
      <c r="AT76" s="709"/>
      <c r="AU76" s="709"/>
      <c r="AV76" s="704"/>
      <c r="AW76" s="709"/>
      <c r="AX76" s="909"/>
      <c r="AY76" s="909"/>
      <c r="AZ76" s="909"/>
      <c r="BA76" s="909"/>
      <c r="BB76" s="909"/>
      <c r="BC76" s="909"/>
      <c r="BD76" s="909"/>
      <c r="BE76" s="909"/>
      <c r="BF76" s="704">
        <f>MATCH($A76,Table!$A:$A,0)+$BH$2-1</f>
        <v>943</v>
      </c>
      <c r="BG76" s="705"/>
      <c r="BH76" s="705"/>
      <c r="BI76" s="705"/>
      <c r="BJ76" s="717">
        <f>MATCH($A76,Table!$A:$A,0)+$BL$2-1</f>
        <v>941</v>
      </c>
      <c r="BK76" s="705"/>
      <c r="BL76" s="705"/>
      <c r="BM76" s="705"/>
      <c r="BN76" s="704">
        <f>MATCH($A76,Table!$A:$A,0)+$BP$2-1</f>
        <v>942</v>
      </c>
      <c r="BO76" s="705"/>
      <c r="BP76" s="705"/>
      <c r="BQ76" s="705"/>
      <c r="BR76" s="717">
        <f>MATCH($A76,Table!$A:$A,0)+$BL$2-1</f>
        <v>941</v>
      </c>
      <c r="BS76" s="705"/>
      <c r="BT76" s="705"/>
      <c r="BU76" s="705"/>
      <c r="BV76" s="711" t="s">
        <v>284</v>
      </c>
      <c r="BW76" s="712">
        <f t="shared" ca="1" si="47"/>
        <v>1591.5098632812499</v>
      </c>
      <c r="BX76" s="712">
        <f t="shared" ca="1" si="46"/>
        <v>898.08115234375009</v>
      </c>
      <c r="BY76" s="712">
        <f t="shared" ca="1" si="43"/>
        <v>693.42871093749977</v>
      </c>
      <c r="BZ76" s="718">
        <f t="shared" ca="1" si="44"/>
        <v>0.56429505909071587</v>
      </c>
      <c r="CA76" s="712">
        <f>SUMIF('Alloc Feed'!A:A,A:A,'Alloc Feed'!I:I)</f>
        <v>0</v>
      </c>
      <c r="CB76" s="718">
        <f t="shared" ca="1" si="42"/>
        <v>0</v>
      </c>
    </row>
    <row r="77" spans="1:80" x14ac:dyDescent="0.25">
      <c r="A77" s="703">
        <v>41327</v>
      </c>
      <c r="B77" s="709">
        <f ca="1">IF(ISERROR(MATCH(B$1,INDIRECT("Table!A"&amp;$BJ77):INDIRECT("Table!" &amp; $BV$88 &amp; $BJ77),0)),"",INDIRECT(CONCATENATE("Table!",ADDRESS($BF77,MATCH(B$1,INDIRECT("Table!A" &amp; $BJ77):INDIRECT("Table!" &amp; $BV$88 &amp; $BJ77),0)))))/1024</f>
        <v>42.998437500000001</v>
      </c>
      <c r="C77" s="709">
        <f ca="1">IF(ISERROR(MATCH(C$1,INDIRECT("Table!A"&amp;$BJ77):INDIRECT("Table!" &amp; $BV$88 &amp; $BJ77),0)),"",INDIRECT(CONCATENATE("Table!",ADDRESS($BF77,MATCH(C$1,INDIRECT("Table!A" &amp; $BJ77):INDIRECT("Table!" &amp; $BV$88 &amp; $BJ77),0)))))/1024</f>
        <v>75.220507812500003</v>
      </c>
      <c r="D77" s="709">
        <f ca="1">IF(ISERROR(MATCH(D$1,INDIRECT("Table!A"&amp;$BJ77):INDIRECT("Table!" &amp; $BV$88 &amp; $BJ77),0)),"",INDIRECT(CONCATENATE("Table!",ADDRESS($BF77,MATCH(D$1,INDIRECT("Table!A" &amp; $BJ77):INDIRECT("Table!" &amp; $BV$88 &amp; $BJ77),0)))))/1024</f>
        <v>76.601660156250006</v>
      </c>
      <c r="E77" s="709">
        <f ca="1">IF(ISERROR(MATCH(E$1,INDIRECT("Table!A"&amp;$BJ77):INDIRECT("Table!" &amp; $BV$88 &amp; $BJ77),0)),"",INDIRECT(CONCATENATE("Table!",ADDRESS($BF77,MATCH(E$1,INDIRECT("Table!A" &amp; $BJ77):INDIRECT("Table!" &amp; $BV$88 &amp; $BJ77),0)))))/1024</f>
        <v>150.75390625</v>
      </c>
      <c r="F77" s="709">
        <f ca="1">IF(ISERROR(MATCH(F$1,INDIRECT("Table!A"&amp;$BJ77):INDIRECT("Table!" &amp; $BV$88 &amp; $BJ77),0)),"",INDIRECT(CONCATENATE("Table!",ADDRESS($BF77,MATCH(F$1,INDIRECT("Table!A" &amp; $BJ77):INDIRECT("Table!" &amp; $BV$88 &amp; $BJ77),0)))))/1024</f>
        <v>79.837207031250003</v>
      </c>
      <c r="G77" s="709">
        <f ca="1">IF(ISERROR(MATCH(G$1,INDIRECT("Table!A"&amp;$BJ77):INDIRECT("Table!" &amp; $BV$88 &amp; $BJ77),0)),"",INDIRECT(CONCATENATE("Table!",ADDRESS($BF77,MATCH(G$1,INDIRECT("Table!A" &amp; $BJ77):INDIRECT("Table!" &amp; $BV$88 &amp; $BJ77),0)))))/1024</f>
        <v>39.251855468750001</v>
      </c>
      <c r="H77" s="709">
        <f ca="1">IF(ISERROR(MATCH(H$1,INDIRECT("Table!A"&amp;$BJ77):INDIRECT("Table!" &amp; $BV$88 &amp; $BJ77),0)),"",INDIRECT(CONCATENATE("Table!",ADDRESS($BF77,MATCH(H$1,INDIRECT("Table!A" &amp; $BJ77):INDIRECT("Table!" &amp; $BV$88 &amp; $BJ77),0)))))/1024</f>
        <v>63.317187500000003</v>
      </c>
      <c r="I77" s="709"/>
      <c r="J77" s="709"/>
      <c r="K77" s="709"/>
      <c r="L77" s="709">
        <f ca="1">IF(ISERROR(MATCH(L$1,INDIRECT("Table!A"&amp;$BJ77):INDIRECT("Table!" &amp; $BV$88 &amp; $BJ77),0)),"",INDIRECT(CONCATENATE("Table!",ADDRESS($BF77,MATCH(L$1,INDIRECT("Table!A" &amp; $BJ77):INDIRECT("Table!" &amp; $BV$88 &amp; $BJ77),0)))))/1024</f>
        <v>149.73369140624999</v>
      </c>
      <c r="M77" s="709">
        <f ca="1">IF(ISERROR(MATCH(M$1,INDIRECT("Table!A"&amp;$BJ77):INDIRECT("Table!" &amp; $BV$88 &amp; $BJ77),0)),"",INDIRECT(CONCATENATE("Table!",ADDRESS($BF77,MATCH(M$1,INDIRECT("Table!A" &amp; $BJ77):INDIRECT("Table!" &amp; $BV$88 &amp; $BJ77),0)))))/1024</f>
        <v>49.338476562499999</v>
      </c>
      <c r="N77" s="709">
        <f ca="1">IF(ISERROR(MATCH(N$1,INDIRECT("Table!A"&amp;$BJ77):INDIRECT("Table!" &amp; $BV$88 &amp; $BJ77),0)),"",INDIRECT(CONCATENATE("Table!",ADDRESS($BF77,MATCH(N$1,INDIRECT("Table!A" &amp; $BJ77):INDIRECT("Table!" &amp; $BV$88 &amp; $BJ77),0)))))/1024</f>
        <v>41.715917968749999</v>
      </c>
      <c r="O77" s="709">
        <f ca="1">IF(ISERROR(MATCH(O$1,INDIRECT("Table!A"&amp;$BJ77):INDIRECT("Table!" &amp; $BV$88 &amp; $BJ77),0)),"",INDIRECT(CONCATENATE("Table!",ADDRESS($BF77,MATCH(O$1,INDIRECT("Table!A" &amp; $BJ77):INDIRECT("Table!" &amp; $BV$88 &amp; $BJ77),0)))))/1024</f>
        <v>124.99062499999999</v>
      </c>
      <c r="P77" s="709"/>
      <c r="Q77" s="709"/>
      <c r="R77" s="709"/>
      <c r="S77" s="709"/>
      <c r="T77" s="709"/>
      <c r="U77" s="709"/>
      <c r="V77" s="909"/>
      <c r="W77" s="909"/>
      <c r="X77" s="909"/>
      <c r="Y77" s="909"/>
      <c r="Z77" s="909"/>
      <c r="AA77" s="909"/>
      <c r="AB77" s="909"/>
      <c r="AC77" s="709" t="str">
        <f ca="1">IF(ISERROR(MATCH(AC$1,INDIRECT("Table!A"&amp;$BJ77):INDIRECT("Table!" &amp; $BV$88 &amp; $BJ77),0)),"",INDIRECT(CONCATENATE("Table!",ADDRESS($BF77,MATCH(AC$1,INDIRECT("Table!A" &amp; $BJ77):INDIRECT("Table!" &amp; $BV$88 &amp; $BJ77),0)))))</f>
        <v/>
      </c>
      <c r="AD77" s="709">
        <f ca="1">IF(ISERROR(MATCH(AD$1,INDIRECT("Table!A"&amp;$BJ77):INDIRECT("Table!" &amp; $BV$88 &amp; $BJ77),0)),"",INDIRECT(CONCATENATE("Table!",ADDRESS($BN77,MATCH(AD$1,INDIRECT("Table!A" &amp; $BJ77):INDIRECT("Table!" &amp; $BV$88 &amp; $BJ77),0)))))/1024</f>
        <v>140.03144531250001</v>
      </c>
      <c r="AE77" s="709">
        <f ca="1">IF(ISERROR(MATCH(AE$1,INDIRECT("Table!A"&amp;$BJ77):INDIRECT("Table!" &amp; $BV$88 &amp; $BJ77),0)),"",INDIRECT(CONCATENATE("Table!",ADDRESS($BN77,MATCH(AE$1,INDIRECT("Table!A" &amp; $BJ77):INDIRECT("Table!" &amp; $BV$88 &amp; $BJ77),0)))))/1024</f>
        <v>146.98808593749999</v>
      </c>
      <c r="AF77" s="709">
        <f ca="1">IF(ISERROR(MATCH(AF$1,INDIRECT("Table!A"&amp;$BJ77):INDIRECT("Table!" &amp; $BV$88 &amp; $BJ77),0)),"",INDIRECT(CONCATENATE("Table!",ADDRESS($BN77,MATCH(AF$1,INDIRECT("Table!A" &amp; $BJ77):INDIRECT("Table!" &amp; $BV$88 &amp; $BJ77),0)))))/1024</f>
        <v>146.98808593749999</v>
      </c>
      <c r="AG77" s="709">
        <f ca="1">IF(ISERROR(MATCH(AG$1,INDIRECT("Table!A"&amp;$BJ77):INDIRECT("Table!" &amp; $BV$88 &amp; $BJ77),0)),"",INDIRECT(CONCATENATE("Table!",ADDRESS($BN77,MATCH(AG$1,INDIRECT("Table!A" &amp; $BJ77):INDIRECT("Table!" &amp; $BV$88 &amp; $BJ77),0)))))/1024</f>
        <v>177.73222656249999</v>
      </c>
      <c r="AH77" s="709">
        <f ca="1">IF(ISERROR(MATCH(AH$1,INDIRECT("Table!A"&amp;$BJ77):INDIRECT("Table!" &amp; $BV$88 &amp; $BJ77),0)),"",INDIRECT(CONCATENATE("Table!",ADDRESS($BN77,MATCH(AH$1,INDIRECT("Table!A" &amp; $BJ77):INDIRECT("Table!" &amp; $BV$88 &amp; $BJ77),0)))))/1024</f>
        <v>161.57470703125</v>
      </c>
      <c r="AI77" s="709">
        <f ca="1">IF(ISERROR(MATCH(AI$1,INDIRECT("Table!A"&amp;$BJ77):INDIRECT("Table!" &amp; $BV$88 &amp; $BJ77),0)),"",INDIRECT(CONCATENATE("Table!",ADDRESS($BN77,MATCH(AI$1,INDIRECT("Table!A" &amp; $BJ77):INDIRECT("Table!" &amp; $BV$88 &amp; $BJ77),0)))))/1024</f>
        <v>129.03515625</v>
      </c>
      <c r="AJ77" s="709">
        <f ca="1">IF(ISERROR(MATCH(AJ$1,INDIRECT("Table!A"&amp;$BJ77):INDIRECT("Table!" &amp; $BV$88 &amp; $BJ77),0)),"",INDIRECT(CONCATENATE("Table!",ADDRESS($BN77,MATCH(AJ$1,INDIRECT("Table!A" &amp; $BJ77):INDIRECT("Table!" &amp; $BV$88 &amp; $BJ77),0)))))/1024</f>
        <v>118.4880859375</v>
      </c>
      <c r="AK77" s="709"/>
      <c r="AL77" s="709"/>
      <c r="AM77" s="709"/>
      <c r="AN77" s="709">
        <f ca="1">IF(ISERROR(MATCH(AN$1,INDIRECT("Table!A"&amp;$BJ77):INDIRECT("Table!" &amp; $BV$88 &amp; $BJ77),0)),"",INDIRECT(CONCATENATE("Table!",ADDRESS($BN77,MATCH(AN$1,INDIRECT("Table!A" &amp; $BJ77):INDIRECT("Table!" &amp; $BV$88 &amp; $BJ77),0)))))/1024</f>
        <v>188.5029296875</v>
      </c>
      <c r="AO77" s="709">
        <f ca="1">IF(ISERROR(MATCH(AO$1,INDIRECT("Table!A"&amp;$BJ77):INDIRECT("Table!" &amp; $BV$88 &amp; $BJ77),0)),"",INDIRECT(CONCATENATE("Table!",ADDRESS($BN77,MATCH(AO$1,INDIRECT("Table!A" &amp; $BJ77):INDIRECT("Table!" &amp; $BV$88 &amp; $BJ77),0)))))/1024</f>
        <v>129.03535156250001</v>
      </c>
      <c r="AP77" s="709">
        <f ca="1">IF(ISERROR(MATCH(AP$1,INDIRECT("Table!A"&amp;$BJ77):INDIRECT("Table!" &amp; $BV$88 &amp; $BJ77),0)),"",INDIRECT(CONCATENATE("Table!",ADDRESS($BN77,MATCH(AP$1,INDIRECT("Table!A" &amp; $BJ77):INDIRECT("Table!" &amp; $BV$88 &amp; $BJ77),0)))))/1024</f>
        <v>80.787402343750003</v>
      </c>
      <c r="AQ77" s="709">
        <f ca="1">IF(ISERROR(MATCH(AQ$1,INDIRECT("Table!A"&amp;$BJ77):INDIRECT("Table!" &amp; $BV$88 &amp; $BJ77),0)),"",INDIRECT(CONCATENATE("Table!",ADDRESS($BN77,MATCH(AQ$1,INDIRECT("Table!A" &amp; $BJ77):INDIRECT("Table!" &amp; $BV$88 &amp; $BJ77),0)))))/1024</f>
        <v>172.34638671875001</v>
      </c>
      <c r="AR77" s="709"/>
      <c r="AS77" s="709"/>
      <c r="AT77" s="709"/>
      <c r="AU77" s="709"/>
      <c r="AV77" s="704"/>
      <c r="AW77" s="709"/>
      <c r="AX77" s="909"/>
      <c r="AY77" s="909"/>
      <c r="AZ77" s="909"/>
      <c r="BA77" s="909"/>
      <c r="BB77" s="909"/>
      <c r="BC77" s="909"/>
      <c r="BD77" s="909"/>
      <c r="BE77" s="909"/>
      <c r="BF77" s="704">
        <f>MATCH($A77,Table!$A:$A,0)+$BH$2-1</f>
        <v>955</v>
      </c>
      <c r="BG77" s="705"/>
      <c r="BH77" s="705"/>
      <c r="BI77" s="705"/>
      <c r="BJ77" s="717">
        <f>MATCH($A77,Table!$A:$A,0)+$BL$2-1</f>
        <v>953</v>
      </c>
      <c r="BK77" s="705"/>
      <c r="BL77" s="705"/>
      <c r="BM77" s="705"/>
      <c r="BN77" s="704">
        <f>MATCH($A77,Table!$A:$A,0)+$BP$2-1</f>
        <v>954</v>
      </c>
      <c r="BO77" s="705"/>
      <c r="BP77" s="705"/>
      <c r="BQ77" s="705"/>
      <c r="BR77" s="717">
        <f>MATCH($A77,Table!$A:$A,0)+$BL$2-1</f>
        <v>953</v>
      </c>
      <c r="BS77" s="705"/>
      <c r="BT77" s="705"/>
      <c r="BU77" s="705"/>
      <c r="BV77" s="711" t="s">
        <v>284</v>
      </c>
      <c r="BW77" s="712">
        <f t="shared" ca="1" si="47"/>
        <v>1591.5098632812499</v>
      </c>
      <c r="BX77" s="712">
        <f t="shared" ca="1" si="46"/>
        <v>893.75947265625007</v>
      </c>
      <c r="BY77" s="712">
        <f t="shared" ca="1" si="43"/>
        <v>697.7503906249998</v>
      </c>
      <c r="BZ77" s="718">
        <f t="shared" ca="1" si="44"/>
        <v>0.56157960014999031</v>
      </c>
      <c r="CA77" s="712">
        <f>SUMIF('Alloc Feed'!A:A,A:A,'Alloc Feed'!I:I)</f>
        <v>0</v>
      </c>
      <c r="CB77" s="718">
        <f t="shared" ca="1" si="42"/>
        <v>0</v>
      </c>
    </row>
    <row r="78" spans="1:80" x14ac:dyDescent="0.25">
      <c r="A78" s="703">
        <v>41326</v>
      </c>
      <c r="B78" s="709">
        <f ca="1">IF(ISERROR(MATCH(B$1,INDIRECT("Table!A"&amp;$BJ78):INDIRECT("Table!" &amp; $BV$88 &amp; $BJ78),0)),"",INDIRECT(CONCATENATE("Table!",ADDRESS($BF78,MATCH(B$1,INDIRECT("Table!A" &amp; $BJ78):INDIRECT("Table!" &amp; $BV$88 &amp; $BJ78),0)))))/1024</f>
        <v>42.943261718750001</v>
      </c>
      <c r="C78" s="709">
        <f ca="1">IF(ISERROR(MATCH(C$1,INDIRECT("Table!A"&amp;$BJ78):INDIRECT("Table!" &amp; $BV$88 &amp; $BJ78),0)),"",INDIRECT(CONCATENATE("Table!",ADDRESS($BF78,MATCH(C$1,INDIRECT("Table!A" &amp; $BJ78):INDIRECT("Table!" &amp; $BV$88 &amp; $BJ78),0)))))/1024</f>
        <v>75.214453125000006</v>
      </c>
      <c r="D78" s="709">
        <f ca="1">IF(ISERROR(MATCH(D$1,INDIRECT("Table!A"&amp;$BJ78):INDIRECT("Table!" &amp; $BV$88 &amp; $BJ78),0)),"",INDIRECT(CONCATENATE("Table!",ADDRESS($BF78,MATCH(D$1,INDIRECT("Table!A" &amp; $BJ78):INDIRECT("Table!" &amp; $BV$88 &amp; $BJ78),0)))))/1024</f>
        <v>76.234570312499997</v>
      </c>
      <c r="E78" s="709">
        <f ca="1">IF(ISERROR(MATCH(E$1,INDIRECT("Table!A"&amp;$BJ78):INDIRECT("Table!" &amp; $BV$88 &amp; $BJ78),0)),"",INDIRECT(CONCATENATE("Table!",ADDRESS($BF78,MATCH(E$1,INDIRECT("Table!A" &amp; $BJ78):INDIRECT("Table!" &amp; $BV$88 &amp; $BJ78),0)))))/1024</f>
        <v>150.51191406250001</v>
      </c>
      <c r="F78" s="709">
        <f ca="1">IF(ISERROR(MATCH(F$1,INDIRECT("Table!A"&amp;$BJ78):INDIRECT("Table!" &amp; $BV$88 &amp; $BJ78),0)),"",INDIRECT(CONCATENATE("Table!",ADDRESS($BF78,MATCH(F$1,INDIRECT("Table!A" &amp; $BJ78):INDIRECT("Table!" &amp; $BV$88 &amp; $BJ78),0)))))/1024</f>
        <v>79.837207031250003</v>
      </c>
      <c r="G78" s="709">
        <f ca="1">IF(ISERROR(MATCH(G$1,INDIRECT("Table!A"&amp;$BJ78):INDIRECT("Table!" &amp; $BV$88 &amp; $BJ78),0)),"",INDIRECT(CONCATENATE("Table!",ADDRESS($BF78,MATCH(G$1,INDIRECT("Table!A" &amp; $BJ78):INDIRECT("Table!" &amp; $BV$88 &amp; $BJ78),0)))))/1024</f>
        <v>39.291894531250001</v>
      </c>
      <c r="H78" s="709">
        <f ca="1">IF(ISERROR(MATCH(H$1,INDIRECT("Table!A"&amp;$BJ78):INDIRECT("Table!" &amp; $BV$88 &amp; $BJ78),0)),"",INDIRECT(CONCATENATE("Table!",ADDRESS($BF78,MATCH(H$1,INDIRECT("Table!A" &amp; $BJ78):INDIRECT("Table!" &amp; $BV$88 &amp; $BJ78),0)))))/1024</f>
        <v>63.23193359375</v>
      </c>
      <c r="I78" s="709"/>
      <c r="J78" s="709"/>
      <c r="K78" s="709"/>
      <c r="L78" s="709">
        <f ca="1">IF(ISERROR(MATCH(L$1,INDIRECT("Table!A"&amp;$BJ78):INDIRECT("Table!" &amp; $BV$88 &amp; $BJ78),0)),"",INDIRECT(CONCATENATE("Table!",ADDRESS($BF78,MATCH(L$1,INDIRECT("Table!A" &amp; $BJ78):INDIRECT("Table!" &amp; $BV$88 &amp; $BJ78),0)))))/1024</f>
        <v>149.60312500000001</v>
      </c>
      <c r="M78" s="709">
        <f ca="1">IF(ISERROR(MATCH(M$1,INDIRECT("Table!A"&amp;$BJ78):INDIRECT("Table!" &amp; $BV$88 &amp; $BJ78),0)),"",INDIRECT(CONCATENATE("Table!",ADDRESS($BF78,MATCH(M$1,INDIRECT("Table!A" &amp; $BJ78):INDIRECT("Table!" &amp; $BV$88 &amp; $BJ78),0)))))/1024</f>
        <v>49.151171875000003</v>
      </c>
      <c r="N78" s="709">
        <f ca="1">IF(ISERROR(MATCH(N$1,INDIRECT("Table!A"&amp;$BJ78):INDIRECT("Table!" &amp; $BV$88 &amp; $BJ78),0)),"",INDIRECT(CONCATENATE("Table!",ADDRESS($BF78,MATCH(N$1,INDIRECT("Table!A" &amp; $BJ78):INDIRECT("Table!" &amp; $BV$88 &amp; $BJ78),0)))))/1024</f>
        <v>41.246972656250001</v>
      </c>
      <c r="O78" s="709">
        <f ca="1">IF(ISERROR(MATCH(O$1,INDIRECT("Table!A"&amp;$BJ78):INDIRECT("Table!" &amp; $BV$88 &amp; $BJ78),0)),"",INDIRECT(CONCATENATE("Table!",ADDRESS($BF78,MATCH(O$1,INDIRECT("Table!A" &amp; $BJ78):INDIRECT("Table!" &amp; $BV$88 &amp; $BJ78),0)))))/1024</f>
        <v>124.83339843749999</v>
      </c>
      <c r="P78" s="709"/>
      <c r="Q78" s="709"/>
      <c r="R78" s="709"/>
      <c r="S78" s="709"/>
      <c r="T78" s="709"/>
      <c r="U78" s="709"/>
      <c r="V78" s="909"/>
      <c r="W78" s="909"/>
      <c r="X78" s="909"/>
      <c r="Y78" s="909"/>
      <c r="Z78" s="909"/>
      <c r="AA78" s="909"/>
      <c r="AB78" s="909"/>
      <c r="AC78" s="709" t="str">
        <f ca="1">IF(ISERROR(MATCH(AC$1,INDIRECT("Table!A"&amp;$BJ78):INDIRECT("Table!" &amp; $BV$88 &amp; $BJ78),0)),"",INDIRECT(CONCATENATE("Table!",ADDRESS($BF78,MATCH(AC$1,INDIRECT("Table!A" &amp; $BJ78):INDIRECT("Table!" &amp; $BV$88 &amp; $BJ78),0)))))</f>
        <v/>
      </c>
      <c r="AD78" s="709">
        <f ca="1">IF(ISERROR(MATCH(AD$1,INDIRECT("Table!A"&amp;$BJ78):INDIRECT("Table!" &amp; $BV$88 &amp; $BJ78),0)),"",INDIRECT(CONCATENATE("Table!",ADDRESS($BN78,MATCH(AD$1,INDIRECT("Table!A" &amp; $BJ78):INDIRECT("Table!" &amp; $BV$88 &amp; $BJ78),0)))))/1024</f>
        <v>140.03144531250001</v>
      </c>
      <c r="AE78" s="709">
        <f ca="1">IF(ISERROR(MATCH(AE$1,INDIRECT("Table!A"&amp;$BJ78):INDIRECT("Table!" &amp; $BV$88 &amp; $BJ78),0)),"",INDIRECT(CONCATENATE("Table!",ADDRESS($BN78,MATCH(AE$1,INDIRECT("Table!A" &amp; $BJ78):INDIRECT("Table!" &amp; $BV$88 &amp; $BJ78),0)))))/1024</f>
        <v>146.98808593749999</v>
      </c>
      <c r="AF78" s="709">
        <f ca="1">IF(ISERROR(MATCH(AF$1,INDIRECT("Table!A"&amp;$BJ78):INDIRECT("Table!" &amp; $BV$88 &amp; $BJ78),0)),"",INDIRECT(CONCATENATE("Table!",ADDRESS($BN78,MATCH(AF$1,INDIRECT("Table!A" &amp; $BJ78):INDIRECT("Table!" &amp; $BV$88 &amp; $BJ78),0)))))/1024</f>
        <v>146.98808593749999</v>
      </c>
      <c r="AG78" s="709">
        <f ca="1">IF(ISERROR(MATCH(AG$1,INDIRECT("Table!A"&amp;$BJ78):INDIRECT("Table!" &amp; $BV$88 &amp; $BJ78),0)),"",INDIRECT(CONCATENATE("Table!",ADDRESS($BN78,MATCH(AG$1,INDIRECT("Table!A" &amp; $BJ78):INDIRECT("Table!" &amp; $BV$88 &amp; $BJ78),0)))))/1024</f>
        <v>177.73222656249999</v>
      </c>
      <c r="AH78" s="709">
        <f ca="1">IF(ISERROR(MATCH(AH$1,INDIRECT("Table!A"&amp;$BJ78):INDIRECT("Table!" &amp; $BV$88 &amp; $BJ78),0)),"",INDIRECT(CONCATENATE("Table!",ADDRESS($BN78,MATCH(AH$1,INDIRECT("Table!A" &amp; $BJ78):INDIRECT("Table!" &amp; $BV$88 &amp; $BJ78),0)))))/1024</f>
        <v>161.57470703125</v>
      </c>
      <c r="AI78" s="709">
        <f ca="1">IF(ISERROR(MATCH(AI$1,INDIRECT("Table!A"&amp;$BJ78):INDIRECT("Table!" &amp; $BV$88 &amp; $BJ78),0)),"",INDIRECT(CONCATENATE("Table!",ADDRESS($BN78,MATCH(AI$1,INDIRECT("Table!A" &amp; $BJ78):INDIRECT("Table!" &amp; $BV$88 &amp; $BJ78),0)))))/1024</f>
        <v>129.03515625</v>
      </c>
      <c r="AJ78" s="709">
        <f ca="1">IF(ISERROR(MATCH(AJ$1,INDIRECT("Table!A"&amp;$BJ78):INDIRECT("Table!" &amp; $BV$88 &amp; $BJ78),0)),"",INDIRECT(CONCATENATE("Table!",ADDRESS($BN78,MATCH(AJ$1,INDIRECT("Table!A" &amp; $BJ78):INDIRECT("Table!" &amp; $BV$88 &amp; $BJ78),0)))))/1024</f>
        <v>118.4880859375</v>
      </c>
      <c r="AK78" s="709"/>
      <c r="AL78" s="709"/>
      <c r="AM78" s="709"/>
      <c r="AN78" s="709">
        <f ca="1">IF(ISERROR(MATCH(AN$1,INDIRECT("Table!A"&amp;$BJ78):INDIRECT("Table!" &amp; $BV$88 &amp; $BJ78),0)),"",INDIRECT(CONCATENATE("Table!",ADDRESS($BN78,MATCH(AN$1,INDIRECT("Table!A" &amp; $BJ78):INDIRECT("Table!" &amp; $BV$88 &amp; $BJ78),0)))))/1024</f>
        <v>188.5029296875</v>
      </c>
      <c r="AO78" s="709">
        <f ca="1">IF(ISERROR(MATCH(AO$1,INDIRECT("Table!A"&amp;$BJ78):INDIRECT("Table!" &amp; $BV$88 &amp; $BJ78),0)),"",INDIRECT(CONCATENATE("Table!",ADDRESS($BN78,MATCH(AO$1,INDIRECT("Table!A" &amp; $BJ78):INDIRECT("Table!" &amp; $BV$88 &amp; $BJ78),0)))))/1024</f>
        <v>129.03535156250001</v>
      </c>
      <c r="AP78" s="709">
        <f ca="1">IF(ISERROR(MATCH(AP$1,INDIRECT("Table!A"&amp;$BJ78):INDIRECT("Table!" &amp; $BV$88 &amp; $BJ78),0)),"",INDIRECT(CONCATENATE("Table!",ADDRESS($BN78,MATCH(AP$1,INDIRECT("Table!A" &amp; $BJ78):INDIRECT("Table!" &amp; $BV$88 &amp; $BJ78),0)))))/1024</f>
        <v>80.787402343750003</v>
      </c>
      <c r="AQ78" s="709">
        <f ca="1">IF(ISERROR(MATCH(AQ$1,INDIRECT("Table!A"&amp;$BJ78):INDIRECT("Table!" &amp; $BV$88 &amp; $BJ78),0)),"",INDIRECT(CONCATENATE("Table!",ADDRESS($BN78,MATCH(AQ$1,INDIRECT("Table!A" &amp; $BJ78):INDIRECT("Table!" &amp; $BV$88 &amp; $BJ78),0)))))/1024</f>
        <v>172.34638671875001</v>
      </c>
      <c r="AR78" s="709"/>
      <c r="AS78" s="709"/>
      <c r="AT78" s="709"/>
      <c r="AU78" s="709"/>
      <c r="AV78" s="704"/>
      <c r="AW78" s="709"/>
      <c r="AX78" s="909"/>
      <c r="AY78" s="909"/>
      <c r="AZ78" s="909"/>
      <c r="BA78" s="909"/>
      <c r="BB78" s="909"/>
      <c r="BC78" s="909"/>
      <c r="BD78" s="909"/>
      <c r="BE78" s="909"/>
      <c r="BF78" s="704">
        <f>MATCH($A78,Table!$A:$A,0)+$BH$2-1</f>
        <v>967</v>
      </c>
      <c r="BG78" s="705"/>
      <c r="BH78" s="705"/>
      <c r="BI78" s="705"/>
      <c r="BJ78" s="717">
        <f>MATCH($A78,Table!$A:$A,0)+$BL$2-1</f>
        <v>965</v>
      </c>
      <c r="BK78" s="705"/>
      <c r="BL78" s="705"/>
      <c r="BM78" s="705"/>
      <c r="BN78" s="704">
        <f>MATCH($A78,Table!$A:$A,0)+$BP$2-1</f>
        <v>966</v>
      </c>
      <c r="BO78" s="705"/>
      <c r="BP78" s="705"/>
      <c r="BQ78" s="705"/>
      <c r="BR78" s="717">
        <f>MATCH($A78,Table!$A:$A,0)+$BL$2-1</f>
        <v>965</v>
      </c>
      <c r="BS78" s="705"/>
      <c r="BT78" s="705"/>
      <c r="BU78" s="705"/>
      <c r="BV78" s="711" t="s">
        <v>284</v>
      </c>
      <c r="BW78" s="712">
        <f t="shared" ca="1" si="47"/>
        <v>1591.5098632812499</v>
      </c>
      <c r="BX78" s="712">
        <f t="shared" ca="1" si="46"/>
        <v>892.09990234375016</v>
      </c>
      <c r="BY78" s="712">
        <f t="shared" ca="1" si="43"/>
        <v>699.4099609374997</v>
      </c>
      <c r="BZ78" s="718">
        <f t="shared" ca="1" si="44"/>
        <v>0.56053683544536048</v>
      </c>
      <c r="CA78" s="712">
        <f>SUMIF('Alloc Feed'!A:A,A:A,'Alloc Feed'!I:I)</f>
        <v>0</v>
      </c>
      <c r="CB78" s="718">
        <f t="shared" ca="1" si="42"/>
        <v>0</v>
      </c>
    </row>
    <row r="79" spans="1:80" x14ac:dyDescent="0.25">
      <c r="A79" s="703">
        <v>41323</v>
      </c>
      <c r="B79" s="709">
        <f ca="1">IF(ISERROR(MATCH(B$1,INDIRECT("Table!A"&amp;$BJ79):INDIRECT("Table!" &amp; $BV$88 &amp; $BJ79),0)),"",INDIRECT(CONCATENATE("Table!",ADDRESS($BF79,MATCH(B$1,INDIRECT("Table!A" &amp; $BJ79):INDIRECT("Table!" &amp; $BV$88 &amp; $BJ79),0)))))/1024</f>
        <v>42.153710937500001</v>
      </c>
      <c r="C79" s="709">
        <f ca="1">IF(ISERROR(MATCH(C$1,INDIRECT("Table!A"&amp;$BJ79):INDIRECT("Table!" &amp; $BV$88 &amp; $BJ79),0)),"",INDIRECT(CONCATENATE("Table!",ADDRESS($BF79,MATCH(C$1,INDIRECT("Table!A" &amp; $BJ79):INDIRECT("Table!" &amp; $BV$88 &amp; $BJ79),0)))))/1024</f>
        <v>74.853417968749994</v>
      </c>
      <c r="D79" s="709">
        <f ca="1">IF(ISERROR(MATCH(D$1,INDIRECT("Table!A"&amp;$BJ79):INDIRECT("Table!" &amp; $BV$88 &amp; $BJ79),0)),"",INDIRECT(CONCATENATE("Table!",ADDRESS($BF79,MATCH(D$1,INDIRECT("Table!A" &amp; $BJ79):INDIRECT("Table!" &amp; $BV$88 &amp; $BJ79),0)))))/1024</f>
        <v>76.234570312499997</v>
      </c>
      <c r="E79" s="709">
        <f ca="1">IF(ISERROR(MATCH(E$1,INDIRECT("Table!A"&amp;$BJ79):INDIRECT("Table!" &amp; $BV$88 &amp; $BJ79),0)),"",INDIRECT(CONCATENATE("Table!",ADDRESS($BF79,MATCH(E$1,INDIRECT("Table!A" &amp; $BJ79):INDIRECT("Table!" &amp; $BV$88 &amp; $BJ79),0)))))/1024</f>
        <v>150.51191406250001</v>
      </c>
      <c r="F79" s="709">
        <f ca="1">IF(ISERROR(MATCH(F$1,INDIRECT("Table!A"&amp;$BJ79):INDIRECT("Table!" &amp; $BV$88 &amp; $BJ79),0)),"",INDIRECT(CONCATENATE("Table!",ADDRESS($BF79,MATCH(F$1,INDIRECT("Table!A" &amp; $BJ79):INDIRECT("Table!" &amp; $BV$88 &amp; $BJ79),0)))))/1024</f>
        <v>79.837207031250003</v>
      </c>
      <c r="G79" s="709">
        <f ca="1">IF(ISERROR(MATCH(G$1,INDIRECT("Table!A"&amp;$BJ79):INDIRECT("Table!" &amp; $BV$88 &amp; $BJ79),0)),"",INDIRECT(CONCATENATE("Table!",ADDRESS($BF79,MATCH(G$1,INDIRECT("Table!A" &amp; $BJ79):INDIRECT("Table!" &amp; $BV$88 &amp; $BJ79),0)))))/1024</f>
        <v>39.291894531250001</v>
      </c>
      <c r="H79" s="709">
        <f ca="1">IF(ISERROR(MATCH(H$1,INDIRECT("Table!A"&amp;$BJ79):INDIRECT("Table!" &amp; $BV$88 &amp; $BJ79),0)),"",INDIRECT(CONCATENATE("Table!",ADDRESS($BF79,MATCH(H$1,INDIRECT("Table!A" &amp; $BJ79):INDIRECT("Table!" &amp; $BV$88 &amp; $BJ79),0)))))/1024</f>
        <v>63.23193359375</v>
      </c>
      <c r="I79" s="709"/>
      <c r="J79" s="709"/>
      <c r="K79" s="709"/>
      <c r="L79" s="709">
        <f ca="1">IF(ISERROR(MATCH(L$1,INDIRECT("Table!A"&amp;$BJ79):INDIRECT("Table!" &amp; $BV$88 &amp; $BJ79),0)),"",INDIRECT(CONCATENATE("Table!",ADDRESS($BF79,MATCH(L$1,INDIRECT("Table!A" &amp; $BJ79):INDIRECT("Table!" &amp; $BV$88 &amp; $BJ79),0)))))/1024</f>
        <v>149.60312500000001</v>
      </c>
      <c r="M79" s="709">
        <f ca="1">IF(ISERROR(MATCH(M$1,INDIRECT("Table!A"&amp;$BJ79):INDIRECT("Table!" &amp; $BV$88 &amp; $BJ79),0)),"",INDIRECT(CONCATENATE("Table!",ADDRESS($BF79,MATCH(M$1,INDIRECT("Table!A" &amp; $BJ79):INDIRECT("Table!" &amp; $BV$88 &amp; $BJ79),0)))))/1024</f>
        <v>49.151171875000003</v>
      </c>
      <c r="N79" s="709">
        <f ca="1">IF(ISERROR(MATCH(N$1,INDIRECT("Table!A"&amp;$BJ79):INDIRECT("Table!" &amp; $BV$88 &amp; $BJ79),0)),"",INDIRECT(CONCATENATE("Table!",ADDRESS($BF79,MATCH(N$1,INDIRECT("Table!A" &amp; $BJ79):INDIRECT("Table!" &amp; $BV$88 &amp; $BJ79),0)))))/1024</f>
        <v>41.246972656250001</v>
      </c>
      <c r="O79" s="709">
        <f ca="1">IF(ISERROR(MATCH(O$1,INDIRECT("Table!A"&amp;$BJ79):INDIRECT("Table!" &amp; $BV$88 &amp; $BJ79),0)),"",INDIRECT(CONCATENATE("Table!",ADDRESS($BF79,MATCH(O$1,INDIRECT("Table!A" &amp; $BJ79):INDIRECT("Table!" &amp; $BV$88 &amp; $BJ79),0)))))/1024</f>
        <v>124.83339843749999</v>
      </c>
      <c r="P79" s="709"/>
      <c r="Q79" s="709"/>
      <c r="R79" s="709"/>
      <c r="S79" s="709"/>
      <c r="T79" s="709"/>
      <c r="U79" s="709"/>
      <c r="V79" s="909"/>
      <c r="W79" s="909"/>
      <c r="X79" s="909"/>
      <c r="Y79" s="909"/>
      <c r="Z79" s="909"/>
      <c r="AA79" s="909"/>
      <c r="AB79" s="909"/>
      <c r="AC79" s="709" t="str">
        <f ca="1">IF(ISERROR(MATCH(AC$1,INDIRECT("Table!A"&amp;$BJ79):INDIRECT("Table!" &amp; $BV$88 &amp; $BJ79),0)),"",INDIRECT(CONCATENATE("Table!",ADDRESS($BF79,MATCH(AC$1,INDIRECT("Table!A" &amp; $BJ79):INDIRECT("Table!" &amp; $BV$88 &amp; $BJ79),0)))))</f>
        <v/>
      </c>
      <c r="AD79" s="709">
        <f ca="1">IF(ISERROR(MATCH(AD$1,INDIRECT("Table!A"&amp;$BJ79):INDIRECT("Table!" &amp; $BV$88 &amp; $BJ79),0)),"",INDIRECT(CONCATENATE("Table!",ADDRESS($BN79,MATCH(AD$1,INDIRECT("Table!A" &amp; $BJ79):INDIRECT("Table!" &amp; $BV$88 &amp; $BJ79),0)))))/1024</f>
        <v>140.03144531250001</v>
      </c>
      <c r="AE79" s="709">
        <f ca="1">IF(ISERROR(MATCH(AE$1,INDIRECT("Table!A"&amp;$BJ79):INDIRECT("Table!" &amp; $BV$88 &amp; $BJ79),0)),"",INDIRECT(CONCATENATE("Table!",ADDRESS($BN79,MATCH(AE$1,INDIRECT("Table!A" &amp; $BJ79):INDIRECT("Table!" &amp; $BV$88 &amp; $BJ79),0)))))/1024</f>
        <v>146.98808593749999</v>
      </c>
      <c r="AF79" s="709">
        <f ca="1">IF(ISERROR(MATCH(AF$1,INDIRECT("Table!A"&amp;$BJ79):INDIRECT("Table!" &amp; $BV$88 &amp; $BJ79),0)),"",INDIRECT(CONCATENATE("Table!",ADDRESS($BN79,MATCH(AF$1,INDIRECT("Table!A" &amp; $BJ79):INDIRECT("Table!" &amp; $BV$88 &amp; $BJ79),0)))))/1024</f>
        <v>146.98808593749999</v>
      </c>
      <c r="AG79" s="709">
        <f ca="1">IF(ISERROR(MATCH(AG$1,INDIRECT("Table!A"&amp;$BJ79):INDIRECT("Table!" &amp; $BV$88 &amp; $BJ79),0)),"",INDIRECT(CONCATENATE("Table!",ADDRESS($BN79,MATCH(AG$1,INDIRECT("Table!A" &amp; $BJ79):INDIRECT("Table!" &amp; $BV$88 &amp; $BJ79),0)))))/1024</f>
        <v>177.73222656249999</v>
      </c>
      <c r="AH79" s="709">
        <f ca="1">IF(ISERROR(MATCH(AH$1,INDIRECT("Table!A"&amp;$BJ79):INDIRECT("Table!" &amp; $BV$88 &amp; $BJ79),0)),"",INDIRECT(CONCATENATE("Table!",ADDRESS($BN79,MATCH(AH$1,INDIRECT("Table!A" &amp; $BJ79):INDIRECT("Table!" &amp; $BV$88 &amp; $BJ79),0)))))/1024</f>
        <v>161.57470703125</v>
      </c>
      <c r="AI79" s="709">
        <f ca="1">IF(ISERROR(MATCH(AI$1,INDIRECT("Table!A"&amp;$BJ79):INDIRECT("Table!" &amp; $BV$88 &amp; $BJ79),0)),"",INDIRECT(CONCATENATE("Table!",ADDRESS($BN79,MATCH(AI$1,INDIRECT("Table!A" &amp; $BJ79):INDIRECT("Table!" &amp; $BV$88 &amp; $BJ79),0)))))/1024</f>
        <v>129.03515625</v>
      </c>
      <c r="AJ79" s="709">
        <f ca="1">IF(ISERROR(MATCH(AJ$1,INDIRECT("Table!A"&amp;$BJ79):INDIRECT("Table!" &amp; $BV$88 &amp; $BJ79),0)),"",INDIRECT(CONCATENATE("Table!",ADDRESS($BN79,MATCH(AJ$1,INDIRECT("Table!A" &amp; $BJ79):INDIRECT("Table!" &amp; $BV$88 &amp; $BJ79),0)))))/1024</f>
        <v>118.4880859375</v>
      </c>
      <c r="AK79" s="709"/>
      <c r="AL79" s="709"/>
      <c r="AM79" s="709"/>
      <c r="AN79" s="709">
        <f ca="1">IF(ISERROR(MATCH(AN$1,INDIRECT("Table!A"&amp;$BJ79):INDIRECT("Table!" &amp; $BV$88 &amp; $BJ79),0)),"",INDIRECT(CONCATENATE("Table!",ADDRESS($BN79,MATCH(AN$1,INDIRECT("Table!A" &amp; $BJ79):INDIRECT("Table!" &amp; $BV$88 &amp; $BJ79),0)))))/1024</f>
        <v>188.5029296875</v>
      </c>
      <c r="AO79" s="709">
        <f ca="1">IF(ISERROR(MATCH(AO$1,INDIRECT("Table!A"&amp;$BJ79):INDIRECT("Table!" &amp; $BV$88 &amp; $BJ79),0)),"",INDIRECT(CONCATENATE("Table!",ADDRESS($BN79,MATCH(AO$1,INDIRECT("Table!A" &amp; $BJ79):INDIRECT("Table!" &amp; $BV$88 &amp; $BJ79),0)))))/1024</f>
        <v>129.03535156250001</v>
      </c>
      <c r="AP79" s="709">
        <f ca="1">IF(ISERROR(MATCH(AP$1,INDIRECT("Table!A"&amp;$BJ79):INDIRECT("Table!" &amp; $BV$88 &amp; $BJ79),0)),"",INDIRECT(CONCATENATE("Table!",ADDRESS($BN79,MATCH(AP$1,INDIRECT("Table!A" &amp; $BJ79):INDIRECT("Table!" &amp; $BV$88 &amp; $BJ79),0)))))/1024</f>
        <v>80.787402343750003</v>
      </c>
      <c r="AQ79" s="709">
        <f ca="1">IF(ISERROR(MATCH(AQ$1,INDIRECT("Table!A"&amp;$BJ79):INDIRECT("Table!" &amp; $BV$88 &amp; $BJ79),0)),"",INDIRECT(CONCATENATE("Table!",ADDRESS($BN79,MATCH(AQ$1,INDIRECT("Table!A" &amp; $BJ79):INDIRECT("Table!" &amp; $BV$88 &amp; $BJ79),0)))))/1024</f>
        <v>172.34638671875001</v>
      </c>
      <c r="AR79" s="709"/>
      <c r="AS79" s="709"/>
      <c r="AT79" s="709"/>
      <c r="AU79" s="709"/>
      <c r="AV79" s="704"/>
      <c r="AW79" s="709"/>
      <c r="AX79" s="909"/>
      <c r="AY79" s="909"/>
      <c r="AZ79" s="909"/>
      <c r="BA79" s="909"/>
      <c r="BB79" s="909"/>
      <c r="BC79" s="909"/>
      <c r="BD79" s="909"/>
      <c r="BE79" s="909"/>
      <c r="BF79" s="704">
        <f>MATCH($A79,Table!$A:$A,0)+$BH$2-1</f>
        <v>979</v>
      </c>
      <c r="BG79" s="705"/>
      <c r="BH79" s="705"/>
      <c r="BI79" s="705"/>
      <c r="BJ79" s="717">
        <f>MATCH($A79,Table!$A:$A,0)+$BL$2-1</f>
        <v>977</v>
      </c>
      <c r="BK79" s="705"/>
      <c r="BL79" s="705"/>
      <c r="BM79" s="705"/>
      <c r="BN79" s="704">
        <f>MATCH($A79,Table!$A:$A,0)+$BP$2-1</f>
        <v>978</v>
      </c>
      <c r="BO79" s="705"/>
      <c r="BP79" s="705"/>
      <c r="BQ79" s="705"/>
      <c r="BR79" s="717">
        <f>MATCH($A79,Table!$A:$A,0)+$BL$2-1</f>
        <v>977</v>
      </c>
      <c r="BS79" s="705"/>
      <c r="BT79" s="705"/>
      <c r="BU79" s="705"/>
      <c r="BV79" s="711" t="s">
        <v>284</v>
      </c>
      <c r="BW79" s="712">
        <f t="shared" ca="1" si="47"/>
        <v>1591.5098632812499</v>
      </c>
      <c r="BX79" s="712">
        <f t="shared" ca="1" si="46"/>
        <v>890.94931640625009</v>
      </c>
      <c r="BY79" s="712">
        <f t="shared" ca="1" si="43"/>
        <v>700.56054687499977</v>
      </c>
      <c r="BZ79" s="718">
        <f t="shared" ca="1" si="44"/>
        <v>0.55981388300626733</v>
      </c>
      <c r="CA79" s="712">
        <f>SUMIF('Alloc Feed'!A:A,A:A,'Alloc Feed'!I:I)</f>
        <v>0</v>
      </c>
      <c r="CB79" s="718">
        <f t="shared" ca="1" si="42"/>
        <v>0</v>
      </c>
    </row>
    <row r="80" spans="1:80" x14ac:dyDescent="0.25">
      <c r="A80" s="703">
        <v>41310</v>
      </c>
      <c r="B80" s="709">
        <f ca="1">IF(ISERROR(MATCH(B$1,INDIRECT("Table!A"&amp;$BJ80):INDIRECT("Table!" &amp; $BV$88 &amp; $BJ80),0)),"",INDIRECT(CONCATENATE("Table!",ADDRESS($BF80,MATCH(B$1,INDIRECT("Table!A" &amp; $BJ80):INDIRECT("Table!" &amp; $BV$88 &amp; $BJ80),0)))))/1024</f>
        <v>42.112499999999997</v>
      </c>
      <c r="C80" s="709">
        <f ca="1">IF(ISERROR(MATCH(C$1,INDIRECT("Table!A"&amp;$BJ80):INDIRECT("Table!" &amp; $BV$88 &amp; $BJ80),0)),"",INDIRECT(CONCATENATE("Table!",ADDRESS($BF80,MATCH(C$1,INDIRECT("Table!A" &amp; $BJ80):INDIRECT("Table!" &amp; $BV$88 &amp; $BJ80),0)))))/1024</f>
        <v>74.623046875</v>
      </c>
      <c r="D80" s="709">
        <f ca="1">IF(ISERROR(MATCH(D$1,INDIRECT("Table!A"&amp;$BJ80):INDIRECT("Table!" &amp; $BV$88 &amp; $BJ80),0)),"",INDIRECT(CONCATENATE("Table!",ADDRESS($BF80,MATCH(D$1,INDIRECT("Table!A" &amp; $BJ80):INDIRECT("Table!" &amp; $BV$88 &amp; $BJ80),0)))))/1024</f>
        <v>76.00390625</v>
      </c>
      <c r="E80" s="709">
        <f ca="1">IF(ISERROR(MATCH(E$1,INDIRECT("Table!A"&amp;$BJ80):INDIRECT("Table!" &amp; $BV$88 &amp; $BJ80),0)),"",INDIRECT(CONCATENATE("Table!",ADDRESS($BF80,MATCH(E$1,INDIRECT("Table!A" &amp; $BJ80):INDIRECT("Table!" &amp; $BV$88 &amp; $BJ80),0)))))/1024</f>
        <v>149.92753906249999</v>
      </c>
      <c r="F80" s="709">
        <f ca="1">IF(ISERROR(MATCH(F$1,INDIRECT("Table!A"&amp;$BJ80):INDIRECT("Table!" &amp; $BV$88 &amp; $BJ80),0)),"",INDIRECT(CONCATENATE("Table!",ADDRESS($BF80,MATCH(F$1,INDIRECT("Table!A" &amp; $BJ80):INDIRECT("Table!" &amp; $BV$88 &amp; $BJ80),0)))))/1024</f>
        <v>77.374121093750006</v>
      </c>
      <c r="G80" s="709">
        <f ca="1">IF(ISERROR(MATCH(G$1,INDIRECT("Table!A"&amp;$BJ80):INDIRECT("Table!" &amp; $BV$88 &amp; $BJ80),0)),"",INDIRECT(CONCATENATE("Table!",ADDRESS($BF80,MATCH(G$1,INDIRECT("Table!A" &amp; $BJ80):INDIRECT("Table!" &amp; $BV$88 &amp; $BJ80),0)))))/1024</f>
        <v>37.427148437500001</v>
      </c>
      <c r="H80" s="709">
        <f ca="1">IF(ISERROR(MATCH(H$1,INDIRECT("Table!A"&amp;$BJ80):INDIRECT("Table!" &amp; $BV$88 &amp; $BJ80),0)),"",INDIRECT(CONCATENATE("Table!",ADDRESS($BF80,MATCH(H$1,INDIRECT("Table!A" &amp; $BJ80):INDIRECT("Table!" &amp; $BV$88 &amp; $BJ80),0)))))/1024</f>
        <v>59.985937499999999</v>
      </c>
      <c r="I80" s="709"/>
      <c r="J80" s="709"/>
      <c r="K80" s="709"/>
      <c r="L80" s="709">
        <f ca="1">IF(ISERROR(MATCH(L$1,INDIRECT("Table!A"&amp;$BJ80):INDIRECT("Table!" &amp; $BV$88 &amp; $BJ80),0)),"",INDIRECT(CONCATENATE("Table!",ADDRESS($BF80,MATCH(L$1,INDIRECT("Table!A" &amp; $BJ80):INDIRECT("Table!" &amp; $BV$88 &amp; $BJ80),0)))))/1024</f>
        <v>148.64042968749999</v>
      </c>
      <c r="M80" s="709">
        <f ca="1">IF(ISERROR(MATCH(M$1,INDIRECT("Table!A"&amp;$BJ80):INDIRECT("Table!" &amp; $BV$88 &amp; $BJ80),0)),"",INDIRECT(CONCATENATE("Table!",ADDRESS($BF80,MATCH(M$1,INDIRECT("Table!A" &amp; $BJ80):INDIRECT("Table!" &amp; $BV$88 &amp; $BJ80),0)))))/1024</f>
        <v>48.874414062500001</v>
      </c>
      <c r="N80" s="709">
        <f ca="1">IF(ISERROR(MATCH(N$1,INDIRECT("Table!A"&amp;$BJ80):INDIRECT("Table!" &amp; $BV$88 &amp; $BJ80),0)),"",INDIRECT(CONCATENATE("Table!",ADDRESS($BF80,MATCH(N$1,INDIRECT("Table!A" &amp; $BJ80):INDIRECT("Table!" &amp; $BV$88 &amp; $BJ80),0)))))/1024</f>
        <v>39.971777343749999</v>
      </c>
      <c r="O80" s="709">
        <f ca="1">IF(ISERROR(MATCH(O$1,INDIRECT("Table!A"&amp;$BJ80):INDIRECT("Table!" &amp; $BV$88 &amp; $BJ80),0)),"",INDIRECT(CONCATENATE("Table!",ADDRESS($BF80,MATCH(O$1,INDIRECT("Table!A" &amp; $BJ80):INDIRECT("Table!" &amp; $BV$88 &amp; $BJ80),0)))))/1024</f>
        <v>120.4794921875</v>
      </c>
      <c r="P80" s="709"/>
      <c r="Q80" s="709"/>
      <c r="R80" s="709"/>
      <c r="S80" s="709"/>
      <c r="T80" s="709"/>
      <c r="U80" s="709"/>
      <c r="V80" s="909"/>
      <c r="W80" s="909"/>
      <c r="X80" s="909"/>
      <c r="Y80" s="909"/>
      <c r="Z80" s="909"/>
      <c r="AA80" s="909"/>
      <c r="AB80" s="909"/>
      <c r="AC80" s="709" t="str">
        <f ca="1">IF(ISERROR(MATCH(AC$1,INDIRECT("Table!A"&amp;$BJ80):INDIRECT("Table!" &amp; $BV$88 &amp; $BJ80),0)),"",INDIRECT(CONCATENATE("Table!",ADDRESS($BF80,MATCH(AC$1,INDIRECT("Table!A" &amp; $BJ80):INDIRECT("Table!" &amp; $BV$88 &amp; $BJ80),0)))))</f>
        <v/>
      </c>
      <c r="AD80" s="709">
        <f ca="1">IF(ISERROR(MATCH(AD$1,INDIRECT("Table!A"&amp;$BJ80):INDIRECT("Table!" &amp; $BV$88 &amp; $BJ80),0)),"",INDIRECT(CONCATENATE("Table!",ADDRESS($BN80,MATCH(AD$1,INDIRECT("Table!A" &amp; $BJ80):INDIRECT("Table!" &amp; $BV$88 &amp; $BJ80),0)))))/1024</f>
        <v>140.03144531250001</v>
      </c>
      <c r="AE80" s="709">
        <f ca="1">IF(ISERROR(MATCH(AE$1,INDIRECT("Table!A"&amp;$BJ80):INDIRECT("Table!" &amp; $BV$88 &amp; $BJ80),0)),"",INDIRECT(CONCATENATE("Table!",ADDRESS($BN80,MATCH(AE$1,INDIRECT("Table!A" &amp; $BJ80):INDIRECT("Table!" &amp; $BV$88 &amp; $BJ80),0)))))/1024</f>
        <v>146.98808593749999</v>
      </c>
      <c r="AF80" s="709">
        <f ca="1">IF(ISERROR(MATCH(AF$1,INDIRECT("Table!A"&amp;$BJ80):INDIRECT("Table!" &amp; $BV$88 &amp; $BJ80),0)),"",INDIRECT(CONCATENATE("Table!",ADDRESS($BN80,MATCH(AF$1,INDIRECT("Table!A" &amp; $BJ80):INDIRECT("Table!" &amp; $BV$88 &amp; $BJ80),0)))))/1024</f>
        <v>146.98808593749999</v>
      </c>
      <c r="AG80" s="709">
        <f ca="1">IF(ISERROR(MATCH(AG$1,INDIRECT("Table!A"&amp;$BJ80):INDIRECT("Table!" &amp; $BV$88 &amp; $BJ80),0)),"",INDIRECT(CONCATENATE("Table!",ADDRESS($BN80,MATCH(AG$1,INDIRECT("Table!A" &amp; $BJ80):INDIRECT("Table!" &amp; $BV$88 &amp; $BJ80),0)))))/1024</f>
        <v>177.73222656249999</v>
      </c>
      <c r="AH80" s="709">
        <f ca="1">IF(ISERROR(MATCH(AH$1,INDIRECT("Table!A"&amp;$BJ80):INDIRECT("Table!" &amp; $BV$88 &amp; $BJ80),0)),"",INDIRECT(CONCATENATE("Table!",ADDRESS($BN80,MATCH(AH$1,INDIRECT("Table!A" &amp; $BJ80):INDIRECT("Table!" &amp; $BV$88 &amp; $BJ80),0)))))/1024</f>
        <v>161.57470703125</v>
      </c>
      <c r="AI80" s="709">
        <f ca="1">IF(ISERROR(MATCH(AI$1,INDIRECT("Table!A"&amp;$BJ80):INDIRECT("Table!" &amp; $BV$88 &amp; $BJ80),0)),"",INDIRECT(CONCATENATE("Table!",ADDRESS($BN80,MATCH(AI$1,INDIRECT("Table!A" &amp; $BJ80):INDIRECT("Table!" &amp; $BV$88 &amp; $BJ80),0)))))/1024</f>
        <v>129.03515625</v>
      </c>
      <c r="AJ80" s="709">
        <f ca="1">IF(ISERROR(MATCH(AJ$1,INDIRECT("Table!A"&amp;$BJ80):INDIRECT("Table!" &amp; $BV$88 &amp; $BJ80),0)),"",INDIRECT(CONCATENATE("Table!",ADDRESS($BN80,MATCH(AJ$1,INDIRECT("Table!A" &amp; $BJ80):INDIRECT("Table!" &amp; $BV$88 &amp; $BJ80),0)))))/1024</f>
        <v>118.4880859375</v>
      </c>
      <c r="AK80" s="709"/>
      <c r="AL80" s="709"/>
      <c r="AM80" s="709"/>
      <c r="AN80" s="709">
        <f ca="1">IF(ISERROR(MATCH(AN$1,INDIRECT("Table!A"&amp;$BJ80):INDIRECT("Table!" &amp; $BV$88 &amp; $BJ80),0)),"",INDIRECT(CONCATENATE("Table!",ADDRESS($BN80,MATCH(AN$1,INDIRECT("Table!A" &amp; $BJ80):INDIRECT("Table!" &amp; $BV$88 &amp; $BJ80),0)))))/1024</f>
        <v>188.5029296875</v>
      </c>
      <c r="AO80" s="709">
        <f ca="1">IF(ISERROR(MATCH(AO$1,INDIRECT("Table!A"&amp;$BJ80):INDIRECT("Table!" &amp; $BV$88 &amp; $BJ80),0)),"",INDIRECT(CONCATENATE("Table!",ADDRESS($BN80,MATCH(AO$1,INDIRECT("Table!A" &amp; $BJ80):INDIRECT("Table!" &amp; $BV$88 &amp; $BJ80),0)))))/1024</f>
        <v>129.03535156250001</v>
      </c>
      <c r="AP80" s="709">
        <f ca="1">IF(ISERROR(MATCH(AP$1,INDIRECT("Table!A"&amp;$BJ80):INDIRECT("Table!" &amp; $BV$88 &amp; $BJ80),0)),"",INDIRECT(CONCATENATE("Table!",ADDRESS($BN80,MATCH(AP$1,INDIRECT("Table!A" &amp; $BJ80):INDIRECT("Table!" &amp; $BV$88 &amp; $BJ80),0)))))/1024</f>
        <v>80.787402343750003</v>
      </c>
      <c r="AQ80" s="709">
        <f ca="1">IF(ISERROR(MATCH(AQ$1,INDIRECT("Table!A"&amp;$BJ80):INDIRECT("Table!" &amp; $BV$88 &amp; $BJ80),0)),"",INDIRECT(CONCATENATE("Table!",ADDRESS($BN80,MATCH(AQ$1,INDIRECT("Table!A" &amp; $BJ80):INDIRECT("Table!" &amp; $BV$88 &amp; $BJ80),0)))))/1024</f>
        <v>172.34638671875001</v>
      </c>
      <c r="AR80" s="709"/>
      <c r="AS80" s="709"/>
      <c r="AT80" s="709"/>
      <c r="AU80" s="709"/>
      <c r="AV80" s="704"/>
      <c r="AW80" s="709"/>
      <c r="AX80" s="909"/>
      <c r="AY80" s="909"/>
      <c r="AZ80" s="909"/>
      <c r="BA80" s="909"/>
      <c r="BB80" s="909"/>
      <c r="BC80" s="909"/>
      <c r="BD80" s="909"/>
      <c r="BE80" s="909"/>
      <c r="BF80" s="704">
        <f>MATCH($A80,Table!$A:$A,0)+$BH$2-1</f>
        <v>991</v>
      </c>
      <c r="BG80" s="705"/>
      <c r="BH80" s="705"/>
      <c r="BI80" s="705"/>
      <c r="BJ80" s="717">
        <f>MATCH($A80,Table!$A:$A,0)+$BL$2-1</f>
        <v>989</v>
      </c>
      <c r="BK80" s="705"/>
      <c r="BL80" s="705"/>
      <c r="BM80" s="705"/>
      <c r="BN80" s="704">
        <f>MATCH($A80,Table!$A:$A,0)+$BP$2-1</f>
        <v>990</v>
      </c>
      <c r="BO80" s="705"/>
      <c r="BP80" s="705"/>
      <c r="BQ80" s="705"/>
      <c r="BR80" s="717">
        <f>MATCH($A80,Table!$A:$A,0)+$BL$2-1</f>
        <v>989</v>
      </c>
      <c r="BS80" s="705"/>
      <c r="BT80" s="705"/>
      <c r="BU80" s="705"/>
      <c r="BV80" s="711" t="s">
        <v>284</v>
      </c>
      <c r="BW80" s="712">
        <f t="shared" ca="1" si="47"/>
        <v>1591.5098632812499</v>
      </c>
      <c r="BX80" s="712">
        <f t="shared" ca="1" si="46"/>
        <v>875.42031249999991</v>
      </c>
      <c r="BY80" s="712">
        <f t="shared" ca="1" si="43"/>
        <v>716.08955078124995</v>
      </c>
      <c r="BZ80" s="718">
        <f t="shared" ca="1" si="44"/>
        <v>0.55005647950879</v>
      </c>
      <c r="CA80" s="712">
        <f>SUMIF('Alloc Feed'!A:A,A:A,'Alloc Feed'!I:I)</f>
        <v>0</v>
      </c>
      <c r="CB80" s="718">
        <f t="shared" ca="1" si="42"/>
        <v>0</v>
      </c>
    </row>
    <row r="81" spans="1:80" x14ac:dyDescent="0.25">
      <c r="A81" s="703">
        <v>41304</v>
      </c>
      <c r="B81" s="709">
        <f ca="1">IF(ISERROR(MATCH(B$1,INDIRECT("Table!A"&amp;$BJ81):INDIRECT("Table!" &amp; $BV$88 &amp; $BJ81),0)),"",INDIRECT(CONCATENATE("Table!",ADDRESS($BF81,MATCH(B$1,INDIRECT("Table!A" &amp; $BJ81):INDIRECT("Table!" &amp; $BV$88 &amp; $BJ81),0)))))/1024</f>
        <v>41.427148437500001</v>
      </c>
      <c r="C81" s="709">
        <f ca="1">IF(ISERROR(MATCH(C$1,INDIRECT("Table!A"&amp;$BJ81):INDIRECT("Table!" &amp; $BV$88 &amp; $BJ81),0)),"",INDIRECT(CONCATENATE("Table!",ADDRESS($BF81,MATCH(C$1,INDIRECT("Table!A" &amp; $BJ81):INDIRECT("Table!" &amp; $BV$88 &amp; $BJ81),0)))))/1024</f>
        <v>74.590039062499997</v>
      </c>
      <c r="D81" s="709">
        <f ca="1">IF(ISERROR(MATCH(D$1,INDIRECT("Table!A"&amp;$BJ81):INDIRECT("Table!" &amp; $BV$88 &amp; $BJ81),0)),"",INDIRECT(CONCATENATE("Table!",ADDRESS($BF81,MATCH(D$1,INDIRECT("Table!A" &amp; $BJ81):INDIRECT("Table!" &amp; $BV$88 &amp; $BJ81),0)))))/1024</f>
        <v>75.970996093750003</v>
      </c>
      <c r="E81" s="709">
        <f ca="1">IF(ISERROR(MATCH(E$1,INDIRECT("Table!A"&amp;$BJ81):INDIRECT("Table!" &amp; $BV$88 &amp; $BJ81),0)),"",INDIRECT(CONCATENATE("Table!",ADDRESS($BF81,MATCH(E$1,INDIRECT("Table!A" &amp; $BJ81):INDIRECT("Table!" &amp; $BV$88 &amp; $BJ81),0)))))/1024</f>
        <v>149.76191406250001</v>
      </c>
      <c r="F81" s="709">
        <f ca="1">IF(ISERROR(MATCH(F$1,INDIRECT("Table!A"&amp;$BJ81):INDIRECT("Table!" &amp; $BV$88 &amp; $BJ81),0)),"",INDIRECT(CONCATENATE("Table!",ADDRESS($BF81,MATCH(F$1,INDIRECT("Table!A" &amp; $BJ81):INDIRECT("Table!" &amp; $BV$88 &amp; $BJ81),0)))))/1024</f>
        <v>75.521874999999994</v>
      </c>
      <c r="G81" s="709">
        <f ca="1">IF(ISERROR(MATCH(G$1,INDIRECT("Table!A"&amp;$BJ81):INDIRECT("Table!" &amp; $BV$88 &amp; $BJ81),0)),"",INDIRECT(CONCATENATE("Table!",ADDRESS($BF81,MATCH(G$1,INDIRECT("Table!A" &amp; $BJ81):INDIRECT("Table!" &amp; $BV$88 &amp; $BJ81),0)))))/1024</f>
        <v>36.910839843749997</v>
      </c>
      <c r="H81" s="709">
        <f ca="1">IF(ISERROR(MATCH(H$1,INDIRECT("Table!A"&amp;$BJ81):INDIRECT("Table!" &amp; $BV$88 &amp; $BJ81),0)),"",INDIRECT(CONCATENATE("Table!",ADDRESS($BF81,MATCH(H$1,INDIRECT("Table!A" &amp; $BJ81):INDIRECT("Table!" &amp; $BV$88 &amp; $BJ81),0)))))/1024</f>
        <v>55.088183593750003</v>
      </c>
      <c r="I81" s="709"/>
      <c r="J81" s="709"/>
      <c r="K81" s="709"/>
      <c r="L81" s="709">
        <f ca="1">IF(ISERROR(MATCH(L$1,INDIRECT("Table!A"&amp;$BJ81):INDIRECT("Table!" &amp; $BV$88 &amp; $BJ81),0)),"",INDIRECT(CONCATENATE("Table!",ADDRESS($BF81,MATCH(L$1,INDIRECT("Table!A" &amp; $BJ81):INDIRECT("Table!" &amp; $BV$88 &amp; $BJ81),0)))))/1024</f>
        <v>148.47158203124999</v>
      </c>
      <c r="M81" s="709">
        <f ca="1">IF(ISERROR(MATCH(M$1,INDIRECT("Table!A"&amp;$BJ81):INDIRECT("Table!" &amp; $BV$88 &amp; $BJ81),0)),"",INDIRECT(CONCATENATE("Table!",ADDRESS($BF81,MATCH(M$1,INDIRECT("Table!A" &amp; $BJ81):INDIRECT("Table!" &amp; $BV$88 &amp; $BJ81),0)))))/1024</f>
        <v>46.58837890625</v>
      </c>
      <c r="N81" s="709">
        <f ca="1">IF(ISERROR(MATCH(N$1,INDIRECT("Table!A"&amp;$BJ81):INDIRECT("Table!" &amp; $BV$88 &amp; $BJ81),0)),"",INDIRECT(CONCATENATE("Table!",ADDRESS($BF81,MATCH(N$1,INDIRECT("Table!A" &amp; $BJ81):INDIRECT("Table!" &amp; $BV$88 &amp; $BJ81),0)))))/1024</f>
        <v>38.963671875000003</v>
      </c>
      <c r="O81" s="709">
        <f ca="1">IF(ISERROR(MATCH(O$1,INDIRECT("Table!A"&amp;$BJ81):INDIRECT("Table!" &amp; $BV$88 &amp; $BJ81),0)),"",INDIRECT(CONCATENATE("Table!",ADDRESS($BF81,MATCH(O$1,INDIRECT("Table!A" &amp; $BJ81):INDIRECT("Table!" &amp; $BV$88 &amp; $BJ81),0)))))/1024</f>
        <v>108.74375000000001</v>
      </c>
      <c r="P81" s="709"/>
      <c r="Q81" s="709"/>
      <c r="R81" s="709"/>
      <c r="S81" s="709"/>
      <c r="T81" s="709"/>
      <c r="U81" s="709"/>
      <c r="V81" s="909"/>
      <c r="W81" s="909"/>
      <c r="X81" s="909"/>
      <c r="Y81" s="909"/>
      <c r="Z81" s="909"/>
      <c r="AA81" s="909"/>
      <c r="AB81" s="909"/>
      <c r="AC81" s="709" t="str">
        <f ca="1">IF(ISERROR(MATCH(AC$1,INDIRECT("Table!A"&amp;$BJ81):INDIRECT("Table!" &amp; $BV$88 &amp; $BJ81),0)),"",INDIRECT(CONCATENATE("Table!",ADDRESS($BF81,MATCH(AC$1,INDIRECT("Table!A" &amp; $BJ81):INDIRECT("Table!" &amp; $BV$88 &amp; $BJ81),0)))))</f>
        <v/>
      </c>
      <c r="AD81" s="709">
        <f ca="1">IF(ISERROR(MATCH(AD$1,INDIRECT("Table!A"&amp;$BJ81):INDIRECT("Table!" &amp; $BV$88 &amp; $BJ81),0)),"",INDIRECT(CONCATENATE("Table!",ADDRESS($BN81,MATCH(AD$1,INDIRECT("Table!A" &amp; $BJ81):INDIRECT("Table!" &amp; $BV$88 &amp; $BJ81),0)))))/1024</f>
        <v>140.03144531250001</v>
      </c>
      <c r="AE81" s="709">
        <f ca="1">IF(ISERROR(MATCH(AE$1,INDIRECT("Table!A"&amp;$BJ81):INDIRECT("Table!" &amp; $BV$88 &amp; $BJ81),0)),"",INDIRECT(CONCATENATE("Table!",ADDRESS($BN81,MATCH(AE$1,INDIRECT("Table!A" &amp; $BJ81):INDIRECT("Table!" &amp; $BV$88 &amp; $BJ81),0)))))/1024</f>
        <v>146.98808593749999</v>
      </c>
      <c r="AF81" s="709">
        <f ca="1">IF(ISERROR(MATCH(AF$1,INDIRECT("Table!A"&amp;$BJ81):INDIRECT("Table!" &amp; $BV$88 &amp; $BJ81),0)),"",INDIRECT(CONCATENATE("Table!",ADDRESS($BN81,MATCH(AF$1,INDIRECT("Table!A" &amp; $BJ81):INDIRECT("Table!" &amp; $BV$88 &amp; $BJ81),0)))))/1024</f>
        <v>146.98808593749999</v>
      </c>
      <c r="AG81" s="709">
        <f ca="1">IF(ISERROR(MATCH(AG$1,INDIRECT("Table!A"&amp;$BJ81):INDIRECT("Table!" &amp; $BV$88 &amp; $BJ81),0)),"",INDIRECT(CONCATENATE("Table!",ADDRESS($BN81,MATCH(AG$1,INDIRECT("Table!A" &amp; $BJ81):INDIRECT("Table!" &amp; $BV$88 &amp; $BJ81),0)))))/1024</f>
        <v>177.73222656249999</v>
      </c>
      <c r="AH81" s="709">
        <f ca="1">IF(ISERROR(MATCH(AH$1,INDIRECT("Table!A"&amp;$BJ81):INDIRECT("Table!" &amp; $BV$88 &amp; $BJ81),0)),"",INDIRECT(CONCATENATE("Table!",ADDRESS($BN81,MATCH(AH$1,INDIRECT("Table!A" &amp; $BJ81):INDIRECT("Table!" &amp; $BV$88 &amp; $BJ81),0)))))/1024</f>
        <v>161.57470703125</v>
      </c>
      <c r="AI81" s="709">
        <f ca="1">IF(ISERROR(MATCH(AI$1,INDIRECT("Table!A"&amp;$BJ81):INDIRECT("Table!" &amp; $BV$88 &amp; $BJ81),0)),"",INDIRECT(CONCATENATE("Table!",ADDRESS($BN81,MATCH(AI$1,INDIRECT("Table!A" &amp; $BJ81):INDIRECT("Table!" &amp; $BV$88 &amp; $BJ81),0)))))/1024</f>
        <v>129.03515625</v>
      </c>
      <c r="AJ81" s="709">
        <f ca="1">IF(ISERROR(MATCH(AJ$1,INDIRECT("Table!A"&amp;$BJ81):INDIRECT("Table!" &amp; $BV$88 &amp; $BJ81),0)),"",INDIRECT(CONCATENATE("Table!",ADDRESS($BN81,MATCH(AJ$1,INDIRECT("Table!A" &amp; $BJ81):INDIRECT("Table!" &amp; $BV$88 &amp; $BJ81),0)))))/1024</f>
        <v>118.4880859375</v>
      </c>
      <c r="AK81" s="709"/>
      <c r="AL81" s="709"/>
      <c r="AM81" s="709"/>
      <c r="AN81" s="709">
        <f ca="1">IF(ISERROR(MATCH(AN$1,INDIRECT("Table!A"&amp;$BJ81):INDIRECT("Table!" &amp; $BV$88 &amp; $BJ81),0)),"",INDIRECT(CONCATENATE("Table!",ADDRESS($BN81,MATCH(AN$1,INDIRECT("Table!A" &amp; $BJ81):INDIRECT("Table!" &amp; $BV$88 &amp; $BJ81),0)))))/1024</f>
        <v>188.5029296875</v>
      </c>
      <c r="AO81" s="709">
        <f ca="1">IF(ISERROR(MATCH(AO$1,INDIRECT("Table!A"&amp;$BJ81):INDIRECT("Table!" &amp; $BV$88 &amp; $BJ81),0)),"",INDIRECT(CONCATENATE("Table!",ADDRESS($BN81,MATCH(AO$1,INDIRECT("Table!A" &amp; $BJ81):INDIRECT("Table!" &amp; $BV$88 &amp; $BJ81),0)))))/1024</f>
        <v>129.03535156250001</v>
      </c>
      <c r="AP81" s="709">
        <f ca="1">IF(ISERROR(MATCH(AP$1,INDIRECT("Table!A"&amp;$BJ81):INDIRECT("Table!" &amp; $BV$88 &amp; $BJ81),0)),"",INDIRECT(CONCATENATE("Table!",ADDRESS($BN81,MATCH(AP$1,INDIRECT("Table!A" &amp; $BJ81):INDIRECT("Table!" &amp; $BV$88 &amp; $BJ81),0)))))/1024</f>
        <v>80.787402343750003</v>
      </c>
      <c r="AQ81" s="709">
        <f ca="1">IF(ISERROR(MATCH(AQ$1,INDIRECT("Table!A"&amp;$BJ81):INDIRECT("Table!" &amp; $BV$88 &amp; $BJ81),0)),"",INDIRECT(CONCATENATE("Table!",ADDRESS($BN81,MATCH(AQ$1,INDIRECT("Table!A" &amp; $BJ81):INDIRECT("Table!" &amp; $BV$88 &amp; $BJ81),0)))))/1024</f>
        <v>172.34638671875001</v>
      </c>
      <c r="AR81" s="709"/>
      <c r="AS81" s="709"/>
      <c r="AT81" s="709"/>
      <c r="AU81" s="709"/>
      <c r="AV81" s="704"/>
      <c r="AW81" s="709"/>
      <c r="AX81" s="909"/>
      <c r="AY81" s="909"/>
      <c r="AZ81" s="909"/>
      <c r="BA81" s="909"/>
      <c r="BB81" s="909"/>
      <c r="BC81" s="909"/>
      <c r="BD81" s="909"/>
      <c r="BE81" s="909"/>
      <c r="BF81" s="704">
        <f>MATCH($A81,Table!$A:$A,0)+$BH$2-1</f>
        <v>1003</v>
      </c>
      <c r="BG81" s="705"/>
      <c r="BH81" s="705"/>
      <c r="BI81" s="705"/>
      <c r="BJ81" s="717">
        <f>MATCH($A81,Table!$A:$A,0)+$BL$2-1</f>
        <v>1001</v>
      </c>
      <c r="BK81" s="705"/>
      <c r="BL81" s="705"/>
      <c r="BM81" s="705"/>
      <c r="BN81" s="704">
        <f>MATCH($A81,Table!$A:$A,0)+$BP$2-1</f>
        <v>1002</v>
      </c>
      <c r="BO81" s="705"/>
      <c r="BP81" s="705"/>
      <c r="BQ81" s="705"/>
      <c r="BR81" s="717">
        <f>MATCH($A81,Table!$A:$A,0)+$BL$2-1</f>
        <v>1001</v>
      </c>
      <c r="BS81" s="705"/>
      <c r="BT81" s="705"/>
      <c r="BU81" s="705"/>
      <c r="BV81" s="711" t="s">
        <v>284</v>
      </c>
      <c r="BW81" s="712">
        <f t="shared" ca="1" si="47"/>
        <v>1591.5098632812499</v>
      </c>
      <c r="BX81" s="712">
        <f t="shared" ca="1" si="46"/>
        <v>852.03837890625005</v>
      </c>
      <c r="BY81" s="712">
        <f t="shared" ca="1" si="43"/>
        <v>739.47148437499982</v>
      </c>
      <c r="BZ81" s="718">
        <f t="shared" ca="1" si="44"/>
        <v>0.53536481209710152</v>
      </c>
      <c r="CA81" s="712">
        <f>SUMIF('Alloc Feed'!A:A,A:A,'Alloc Feed'!I:I)</f>
        <v>0</v>
      </c>
      <c r="CB81" s="718">
        <f t="shared" ca="1" si="42"/>
        <v>0</v>
      </c>
    </row>
    <row r="82" spans="1:80" x14ac:dyDescent="0.25">
      <c r="A82" s="703">
        <v>41297</v>
      </c>
      <c r="B82" s="709">
        <f ca="1">IF(ISERROR(MATCH(B$1,INDIRECT("Table!A"&amp;$BJ82):INDIRECT("Table!" &amp; $BV$88 &amp; $BJ82),0)),"",INDIRECT(CONCATENATE("Table!",ADDRESS($BF82,MATCH(B$1,INDIRECT("Table!A" &amp; $BJ82):INDIRECT("Table!" &amp; $BV$88 &amp; $BJ82),0)))))/1024</f>
        <v>41.076757812499999</v>
      </c>
      <c r="C82" s="709">
        <f ca="1">IF(ISERROR(MATCH(C$1,INDIRECT("Table!A"&amp;$BJ82):INDIRECT("Table!" &amp; $BV$88 &amp; $BJ82),0)),"",INDIRECT(CONCATENATE("Table!",ADDRESS($BF82,MATCH(C$1,INDIRECT("Table!A" &amp; $BJ82):INDIRECT("Table!" &amp; $BV$88 &amp; $BJ82),0)))))/1024</f>
        <v>74.56787109375</v>
      </c>
      <c r="D82" s="709">
        <f ca="1">IF(ISERROR(MATCH(D$1,INDIRECT("Table!A"&amp;$BJ82):INDIRECT("Table!" &amp; $BV$88 &amp; $BJ82),0)),"",INDIRECT(CONCATENATE("Table!",ADDRESS($BF82,MATCH(D$1,INDIRECT("Table!A" &amp; $BJ82):INDIRECT("Table!" &amp; $BV$88 &amp; $BJ82),0)))))/1024</f>
        <v>75.94873046875</v>
      </c>
      <c r="E82" s="709">
        <f ca="1">IF(ISERROR(MATCH(E$1,INDIRECT("Table!A"&amp;$BJ82):INDIRECT("Table!" &amp; $BV$88 &amp; $BJ82),0)),"",INDIRECT(CONCATENATE("Table!",ADDRESS($BF82,MATCH(E$1,INDIRECT("Table!A" &amp; $BJ82):INDIRECT("Table!" &amp; $BV$88 &amp; $BJ82),0)))))/1024</f>
        <v>159.10195312499999</v>
      </c>
      <c r="F82" s="709">
        <f ca="1">IF(ISERROR(MATCH(F$1,INDIRECT("Table!A"&amp;$BJ82):INDIRECT("Table!" &amp; $BV$88 &amp; $BJ82),0)),"",INDIRECT(CONCATENATE("Table!",ADDRESS($BF82,MATCH(F$1,INDIRECT("Table!A" &amp; $BJ82):INDIRECT("Table!" &amp; $BV$88 &amp; $BJ82),0)))))/1024</f>
        <v>75.369531249999994</v>
      </c>
      <c r="G82" s="709">
        <f ca="1">IF(ISERROR(MATCH(G$1,INDIRECT("Table!A"&amp;$BJ82):INDIRECT("Table!" &amp; $BV$88 &amp; $BJ82),0)),"",INDIRECT(CONCATENATE("Table!",ADDRESS($BF82,MATCH(G$1,INDIRECT("Table!A" &amp; $BJ82):INDIRECT("Table!" &amp; $BV$88 &amp; $BJ82),0)))))/1024</f>
        <v>37.582128906249999</v>
      </c>
      <c r="H82" s="709">
        <f ca="1">IF(ISERROR(MATCH(H$1,INDIRECT("Table!A"&amp;$BJ82):INDIRECT("Table!" &amp; $BV$88 &amp; $BJ82),0)),"",INDIRECT(CONCATENATE("Table!",ADDRESS($BF82,MATCH(H$1,INDIRECT("Table!A" &amp; $BJ82):INDIRECT("Table!" &amp; $BV$88 &amp; $BJ82),0)))))/1024</f>
        <v>54.588964843749999</v>
      </c>
      <c r="I82" s="709"/>
      <c r="J82" s="709"/>
      <c r="K82" s="709"/>
      <c r="L82" s="709">
        <f ca="1">IF(ISERROR(MATCH(L$1,INDIRECT("Table!A"&amp;$BJ82):INDIRECT("Table!" &amp; $BV$88 &amp; $BJ82),0)),"",INDIRECT(CONCATENATE("Table!",ADDRESS($BF82,MATCH(L$1,INDIRECT("Table!A" &amp; $BJ82):INDIRECT("Table!" &amp; $BV$88 &amp; $BJ82),0)))))/1024</f>
        <v>148.31923828124999</v>
      </c>
      <c r="M82" s="709">
        <f ca="1">IF(ISERROR(MATCH(M$1,INDIRECT("Table!A"&amp;$BJ82):INDIRECT("Table!" &amp; $BV$88 &amp; $BJ82),0)),"",INDIRECT(CONCATENATE("Table!",ADDRESS($BF82,MATCH(M$1,INDIRECT("Table!A" &amp; $BJ82):INDIRECT("Table!" &amp; $BV$88 &amp; $BJ82),0)))))/1024</f>
        <v>46.034570312500001</v>
      </c>
      <c r="N82" s="709">
        <f ca="1">IF(ISERROR(MATCH(N$1,INDIRECT("Table!A"&amp;$BJ82):INDIRECT("Table!" &amp; $BV$88 &amp; $BJ82),0)),"",INDIRECT(CONCATENATE("Table!",ADDRESS($BF82,MATCH(N$1,INDIRECT("Table!A" &amp; $BJ82):INDIRECT("Table!" &amp; $BV$88 &amp; $BJ82),0)))))/1024</f>
        <v>38.898535156249999</v>
      </c>
      <c r="O82" s="709">
        <f ca="1">IF(ISERROR(MATCH(O$1,INDIRECT("Table!A"&amp;$BJ82):INDIRECT("Table!" &amp; $BV$88 &amp; $BJ82),0)),"",INDIRECT(CONCATENATE("Table!",ADDRESS($BF82,MATCH(O$1,INDIRECT("Table!A" &amp; $BJ82):INDIRECT("Table!" &amp; $BV$88 &amp; $BJ82),0)))))/1024</f>
        <v>107.7470703125</v>
      </c>
      <c r="P82" s="709"/>
      <c r="Q82" s="709"/>
      <c r="R82" s="709"/>
      <c r="S82" s="709"/>
      <c r="T82" s="709"/>
      <c r="U82" s="709"/>
      <c r="V82" s="909"/>
      <c r="W82" s="909"/>
      <c r="X82" s="909"/>
      <c r="Y82" s="909"/>
      <c r="Z82" s="909"/>
      <c r="AA82" s="909"/>
      <c r="AB82" s="909"/>
      <c r="AC82" s="709" t="str">
        <f ca="1">IF(ISERROR(MATCH(AC$1,INDIRECT("Table!A"&amp;$BJ82):INDIRECT("Table!" &amp; $BV$88 &amp; $BJ82),0)),"",INDIRECT(CONCATENATE("Table!",ADDRESS($BF82,MATCH(AC$1,INDIRECT("Table!A" &amp; $BJ82):INDIRECT("Table!" &amp; $BV$88 &amp; $BJ82),0)))))</f>
        <v/>
      </c>
      <c r="AD82" s="709">
        <f ca="1">IF(ISERROR(MATCH(AD$1,INDIRECT("Table!A"&amp;$BJ82):INDIRECT("Table!" &amp; $BV$88 &amp; $BJ82),0)),"",INDIRECT(CONCATENATE("Table!",ADDRESS($BN82,MATCH(AD$1,INDIRECT("Table!A" &amp; $BJ82):INDIRECT("Table!" &amp; $BV$88 &amp; $BJ82),0)))))/1024</f>
        <v>140.03144531250001</v>
      </c>
      <c r="AE82" s="709">
        <f ca="1">IF(ISERROR(MATCH(AE$1,INDIRECT("Table!A"&amp;$BJ82):INDIRECT("Table!" &amp; $BV$88 &amp; $BJ82),0)),"",INDIRECT(CONCATENATE("Table!",ADDRESS($BN82,MATCH(AE$1,INDIRECT("Table!A" &amp; $BJ82):INDIRECT("Table!" &amp; $BV$88 &amp; $BJ82),0)))))/1024</f>
        <v>146.98808593749999</v>
      </c>
      <c r="AF82" s="709">
        <f ca="1">IF(ISERROR(MATCH(AF$1,INDIRECT("Table!A"&amp;$BJ82):INDIRECT("Table!" &amp; $BV$88 &amp; $BJ82),0)),"",INDIRECT(CONCATENATE("Table!",ADDRESS($BN82,MATCH(AF$1,INDIRECT("Table!A" &amp; $BJ82):INDIRECT("Table!" &amp; $BV$88 &amp; $BJ82),0)))))/1024</f>
        <v>146.98808593749999</v>
      </c>
      <c r="AG82" s="709">
        <f ca="1">IF(ISERROR(MATCH(AG$1,INDIRECT("Table!A"&amp;$BJ82):INDIRECT("Table!" &amp; $BV$88 &amp; $BJ82),0)),"",INDIRECT(CONCATENATE("Table!",ADDRESS($BN82,MATCH(AG$1,INDIRECT("Table!A" &amp; $BJ82):INDIRECT("Table!" &amp; $BV$88 &amp; $BJ82),0)))))/1024</f>
        <v>177.73222656249999</v>
      </c>
      <c r="AH82" s="709">
        <f ca="1">IF(ISERROR(MATCH(AH$1,INDIRECT("Table!A"&amp;$BJ82):INDIRECT("Table!" &amp; $BV$88 &amp; $BJ82),0)),"",INDIRECT(CONCATENATE("Table!",ADDRESS($BN82,MATCH(AH$1,INDIRECT("Table!A" &amp; $BJ82):INDIRECT("Table!" &amp; $BV$88 &amp; $BJ82),0)))))/1024</f>
        <v>161.57470703125</v>
      </c>
      <c r="AI82" s="709">
        <f ca="1">IF(ISERROR(MATCH(AI$1,INDIRECT("Table!A"&amp;$BJ82):INDIRECT("Table!" &amp; $BV$88 &amp; $BJ82),0)),"",INDIRECT(CONCATENATE("Table!",ADDRESS($BN82,MATCH(AI$1,INDIRECT("Table!A" &amp; $BJ82):INDIRECT("Table!" &amp; $BV$88 &amp; $BJ82),0)))))/1024</f>
        <v>129.03515625</v>
      </c>
      <c r="AJ82" s="709">
        <f ca="1">IF(ISERROR(MATCH(AJ$1,INDIRECT("Table!A"&amp;$BJ82):INDIRECT("Table!" &amp; $BV$88 &amp; $BJ82),0)),"",INDIRECT(CONCATENATE("Table!",ADDRESS($BN82,MATCH(AJ$1,INDIRECT("Table!A" &amp; $BJ82):INDIRECT("Table!" &amp; $BV$88 &amp; $BJ82),0)))))/1024</f>
        <v>118.4880859375</v>
      </c>
      <c r="AK82" s="709"/>
      <c r="AL82" s="709"/>
      <c r="AM82" s="709"/>
      <c r="AN82" s="709">
        <f ca="1">IF(ISERROR(MATCH(AN$1,INDIRECT("Table!A"&amp;$BJ82):INDIRECT("Table!" &amp; $BV$88 &amp; $BJ82),0)),"",INDIRECT(CONCATENATE("Table!",ADDRESS($BN82,MATCH(AN$1,INDIRECT("Table!A" &amp; $BJ82):INDIRECT("Table!" &amp; $BV$88 &amp; $BJ82),0)))))/1024</f>
        <v>188.5029296875</v>
      </c>
      <c r="AO82" s="709">
        <f ca="1">IF(ISERROR(MATCH(AO$1,INDIRECT("Table!A"&amp;$BJ82):INDIRECT("Table!" &amp; $BV$88 &amp; $BJ82),0)),"",INDIRECT(CONCATENATE("Table!",ADDRESS($BN82,MATCH(AO$1,INDIRECT("Table!A" &amp; $BJ82):INDIRECT("Table!" &amp; $BV$88 &amp; $BJ82),0)))))/1024</f>
        <v>129.03535156250001</v>
      </c>
      <c r="AP82" s="709">
        <f ca="1">IF(ISERROR(MATCH(AP$1,INDIRECT("Table!A"&amp;$BJ82):INDIRECT("Table!" &amp; $BV$88 &amp; $BJ82),0)),"",INDIRECT(CONCATENATE("Table!",ADDRESS($BN82,MATCH(AP$1,INDIRECT("Table!A" &amp; $BJ82):INDIRECT("Table!" &amp; $BV$88 &amp; $BJ82),0)))))/1024</f>
        <v>80.787402343750003</v>
      </c>
      <c r="AQ82" s="709">
        <f ca="1">IF(ISERROR(MATCH(AQ$1,INDIRECT("Table!A"&amp;$BJ82):INDIRECT("Table!" &amp; $BV$88 &amp; $BJ82),0)),"",INDIRECT(CONCATENATE("Table!",ADDRESS($BN82,MATCH(AQ$1,INDIRECT("Table!A" &amp; $BJ82):INDIRECT("Table!" &amp; $BV$88 &amp; $BJ82),0)))))/1024</f>
        <v>172.34638671875001</v>
      </c>
      <c r="AR82" s="709"/>
      <c r="AS82" s="709"/>
      <c r="AT82" s="709"/>
      <c r="AU82" s="709"/>
      <c r="AV82" s="704"/>
      <c r="AW82" s="709"/>
      <c r="AX82" s="909"/>
      <c r="AY82" s="909"/>
      <c r="AZ82" s="909"/>
      <c r="BA82" s="909"/>
      <c r="BB82" s="909"/>
      <c r="BC82" s="909"/>
      <c r="BD82" s="909"/>
      <c r="BE82" s="909"/>
      <c r="BF82" s="704">
        <f>MATCH($A82,Table!$A:$A,0)+$BH$2-1</f>
        <v>1015</v>
      </c>
      <c r="BG82" s="705"/>
      <c r="BH82" s="705"/>
      <c r="BI82" s="705"/>
      <c r="BJ82" s="717">
        <f>MATCH($A82,Table!$A:$A,0)+$BL$2-1</f>
        <v>1013</v>
      </c>
      <c r="BK82" s="705"/>
      <c r="BL82" s="705"/>
      <c r="BM82" s="705"/>
      <c r="BN82" s="704">
        <f>MATCH($A82,Table!$A:$A,0)+$BP$2-1</f>
        <v>1014</v>
      </c>
      <c r="BO82" s="705"/>
      <c r="BP82" s="705"/>
      <c r="BQ82" s="705"/>
      <c r="BR82" s="717">
        <f>MATCH($A82,Table!$A:$A,0)+$BL$2-1</f>
        <v>1013</v>
      </c>
      <c r="BS82" s="705"/>
      <c r="BT82" s="705"/>
      <c r="BU82" s="705"/>
      <c r="BV82" s="711" t="s">
        <v>284</v>
      </c>
      <c r="BW82" s="712">
        <f t="shared" ca="1" si="47"/>
        <v>1591.5098632812499</v>
      </c>
      <c r="BX82" s="712">
        <f t="shared" ca="1" si="46"/>
        <v>859.2353515625</v>
      </c>
      <c r="BY82" s="712">
        <f t="shared" ca="1" si="43"/>
        <v>732.27451171874986</v>
      </c>
      <c r="BZ82" s="718">
        <f t="shared" ca="1" si="44"/>
        <v>0.53988691580647585</v>
      </c>
      <c r="CA82" s="712">
        <f>SUMIF('Alloc Feed'!A:A,A:A,'Alloc Feed'!I:I)</f>
        <v>0</v>
      </c>
      <c r="CB82" s="718">
        <f t="shared" ca="1" si="42"/>
        <v>0</v>
      </c>
    </row>
    <row r="83" spans="1:80" x14ac:dyDescent="0.25">
      <c r="A83" s="703">
        <v>41296</v>
      </c>
      <c r="B83" s="709">
        <f ca="1">IF(ISERROR(MATCH(B$1,INDIRECT("Table!A"&amp;$BJ83):INDIRECT("Table!" &amp; $BV$88 &amp; $BJ83),0)),"",INDIRECT(CONCATENATE("Table!",ADDRESS($BF83,MATCH(B$1,INDIRECT("Table!A" &amp; $BJ83):INDIRECT("Table!" &amp; $BV$88 &amp; $BJ83),0)))))/1024</f>
        <v>41.658984375000003</v>
      </c>
      <c r="C83" s="709">
        <f ca="1">IF(ISERROR(MATCH(C$1,INDIRECT("Table!A"&amp;$BJ83):INDIRECT("Table!" &amp; $BV$88 &amp; $BJ83),0)),"",INDIRECT(CONCATENATE("Table!",ADDRESS($BF83,MATCH(C$1,INDIRECT("Table!A" &amp; $BJ83):INDIRECT("Table!" &amp; $BV$88 &amp; $BJ83),0)))))/1024</f>
        <v>74.542871093749994</v>
      </c>
      <c r="D83" s="709">
        <f ca="1">IF(ISERROR(MATCH(D$1,INDIRECT("Table!A"&amp;$BJ83):INDIRECT("Table!" &amp; $BV$88 &amp; $BJ83),0)),"",INDIRECT(CONCATENATE("Table!",ADDRESS($BF83,MATCH(D$1,INDIRECT("Table!A" &amp; $BJ83):INDIRECT("Table!" &amp; $BV$88 &amp; $BJ83),0)))))/1024</f>
        <v>75.923925781250006</v>
      </c>
      <c r="E83" s="709">
        <f ca="1">IF(ISERROR(MATCH(E$1,INDIRECT("Table!A"&amp;$BJ83):INDIRECT("Table!" &amp; $BV$88 &amp; $BJ83),0)),"",INDIRECT(CONCATENATE("Table!",ADDRESS($BF83,MATCH(E$1,INDIRECT("Table!A" &amp; $BJ83):INDIRECT("Table!" &amp; $BV$88 &amp; $BJ83),0)))))/1024</f>
        <v>158.89736328124999</v>
      </c>
      <c r="F83" s="709">
        <f ca="1">IF(ISERROR(MATCH(F$1,INDIRECT("Table!A"&amp;$BJ83):INDIRECT("Table!" &amp; $BV$88 &amp; $BJ83),0)),"",INDIRECT(CONCATENATE("Table!",ADDRESS($BF83,MATCH(F$1,INDIRECT("Table!A" &amp; $BJ83):INDIRECT("Table!" &amp; $BV$88 &amp; $BJ83),0)))))/1024</f>
        <v>74.704882812500003</v>
      </c>
      <c r="G83" s="709">
        <f ca="1">IF(ISERROR(MATCH(G$1,INDIRECT("Table!A"&amp;$BJ83):INDIRECT("Table!" &amp; $BV$88 &amp; $BJ83),0)),"",INDIRECT(CONCATENATE("Table!",ADDRESS($BF83,MATCH(G$1,INDIRECT("Table!A" &amp; $BJ83):INDIRECT("Table!" &amp; $BV$88 &amp; $BJ83),0)))))/1024</f>
        <v>34.120410156250003</v>
      </c>
      <c r="H83" s="709">
        <f ca="1">IF(ISERROR(MATCH(H$1,INDIRECT("Table!A"&amp;$BJ83):INDIRECT("Table!" &amp; $BV$88 &amp; $BJ83),0)),"",INDIRECT(CONCATENATE("Table!",ADDRESS($BF83,MATCH(H$1,INDIRECT("Table!A" &amp; $BJ83):INDIRECT("Table!" &amp; $BV$88 &amp; $BJ83),0)))))/1024</f>
        <v>52.8779296875</v>
      </c>
      <c r="I83" s="709"/>
      <c r="J83" s="709"/>
      <c r="K83" s="709"/>
      <c r="L83" s="709">
        <f ca="1">IF(ISERROR(MATCH(L$1,INDIRECT("Table!A"&amp;$BJ83):INDIRECT("Table!" &amp; $BV$88 &amp; $BJ83),0)),"",INDIRECT(CONCATENATE("Table!",ADDRESS($BF83,MATCH(L$1,INDIRECT("Table!A" &amp; $BJ83):INDIRECT("Table!" &amp; $BV$88 &amp; $BJ83),0)))))/1024</f>
        <v>147.76972656250001</v>
      </c>
      <c r="M83" s="709">
        <f ca="1">IF(ISERROR(MATCH(M$1,INDIRECT("Table!A"&amp;$BJ83):INDIRECT("Table!" &amp; $BV$88 &amp; $BJ83),0)),"",INDIRECT(CONCATENATE("Table!",ADDRESS($BF83,MATCH(M$1,INDIRECT("Table!A" &amp; $BJ83):INDIRECT("Table!" &amp; $BV$88 &amp; $BJ83),0)))))/1024</f>
        <v>45.696874999999999</v>
      </c>
      <c r="N83" s="709">
        <f ca="1">IF(ISERROR(MATCH(N$1,INDIRECT("Table!A"&amp;$BJ83):INDIRECT("Table!" &amp; $BV$88 &amp; $BJ83),0)),"",INDIRECT(CONCATENATE("Table!",ADDRESS($BF83,MATCH(N$1,INDIRECT("Table!A" &amp; $BJ83):INDIRECT("Table!" &amp; $BV$88 &amp; $BJ83),0)))))/1024</f>
        <v>38.544531249999999</v>
      </c>
      <c r="O83" s="709">
        <f ca="1">IF(ISERROR(MATCH(O$1,INDIRECT("Table!A"&amp;$BJ83):INDIRECT("Table!" &amp; $BV$88 &amp; $BJ83),0)),"",INDIRECT(CONCATENATE("Table!",ADDRESS($BF83,MATCH(O$1,INDIRECT("Table!A" &amp; $BJ83):INDIRECT("Table!" &amp; $BV$88 &amp; $BJ83),0)))))/1024</f>
        <v>106.3048828125</v>
      </c>
      <c r="P83" s="709"/>
      <c r="Q83" s="709"/>
      <c r="R83" s="709"/>
      <c r="S83" s="709"/>
      <c r="T83" s="709"/>
      <c r="U83" s="709"/>
      <c r="V83" s="909"/>
      <c r="W83" s="909"/>
      <c r="X83" s="909"/>
      <c r="Y83" s="909"/>
      <c r="Z83" s="909"/>
      <c r="AA83" s="909"/>
      <c r="AB83" s="909"/>
      <c r="AC83" s="709" t="str">
        <f ca="1">IF(ISERROR(MATCH(AC$1,INDIRECT("Table!A"&amp;$BJ83):INDIRECT("Table!" &amp; $BV$88 &amp; $BJ83),0)),"",INDIRECT(CONCATENATE("Table!",ADDRESS($BF83,MATCH(AC$1,INDIRECT("Table!A" &amp; $BJ83):INDIRECT("Table!" &amp; $BV$88 &amp; $BJ83),0)))))</f>
        <v/>
      </c>
      <c r="AD83" s="709">
        <f ca="1">IF(ISERROR(MATCH(AD$1,INDIRECT("Table!A"&amp;$BJ83):INDIRECT("Table!" &amp; $BV$88 &amp; $BJ83),0)),"",INDIRECT(CONCATENATE("Table!",ADDRESS($BN83,MATCH(AD$1,INDIRECT("Table!A" &amp; $BJ83):INDIRECT("Table!" &amp; $BV$88 &amp; $BJ83),0)))))/1024</f>
        <v>140.03144531250001</v>
      </c>
      <c r="AE83" s="709">
        <f ca="1">IF(ISERROR(MATCH(AE$1,INDIRECT("Table!A"&amp;$BJ83):INDIRECT("Table!" &amp; $BV$88 &amp; $BJ83),0)),"",INDIRECT(CONCATENATE("Table!",ADDRESS($BN83,MATCH(AE$1,INDIRECT("Table!A" &amp; $BJ83):INDIRECT("Table!" &amp; $BV$88 &amp; $BJ83),0)))))/1024</f>
        <v>146.98808593749999</v>
      </c>
      <c r="AF83" s="709">
        <f ca="1">IF(ISERROR(MATCH(AF$1,INDIRECT("Table!A"&amp;$BJ83):INDIRECT("Table!" &amp; $BV$88 &amp; $BJ83),0)),"",INDIRECT(CONCATENATE("Table!",ADDRESS($BN83,MATCH(AF$1,INDIRECT("Table!A" &amp; $BJ83):INDIRECT("Table!" &amp; $BV$88 &amp; $BJ83),0)))))/1024</f>
        <v>146.98808593749999</v>
      </c>
      <c r="AG83" s="709">
        <f ca="1">IF(ISERROR(MATCH(AG$1,INDIRECT("Table!A"&amp;$BJ83):INDIRECT("Table!" &amp; $BV$88 &amp; $BJ83),0)),"",INDIRECT(CONCATENATE("Table!",ADDRESS($BN83,MATCH(AG$1,INDIRECT("Table!A" &amp; $BJ83):INDIRECT("Table!" &amp; $BV$88 &amp; $BJ83),0)))))/1024</f>
        <v>177.73222656249999</v>
      </c>
      <c r="AH83" s="709">
        <f ca="1">IF(ISERROR(MATCH(AH$1,INDIRECT("Table!A"&amp;$BJ83):INDIRECT("Table!" &amp; $BV$88 &amp; $BJ83),0)),"",INDIRECT(CONCATENATE("Table!",ADDRESS($BN83,MATCH(AH$1,INDIRECT("Table!A" &amp; $BJ83):INDIRECT("Table!" &amp; $BV$88 &amp; $BJ83),0)))))/1024</f>
        <v>161.57470703125</v>
      </c>
      <c r="AI83" s="709">
        <f ca="1">IF(ISERROR(MATCH(AI$1,INDIRECT("Table!A"&amp;$BJ83):INDIRECT("Table!" &amp; $BV$88 &amp; $BJ83),0)),"",INDIRECT(CONCATENATE("Table!",ADDRESS($BN83,MATCH(AI$1,INDIRECT("Table!A" &amp; $BJ83):INDIRECT("Table!" &amp; $BV$88 &amp; $BJ83),0)))))/1024</f>
        <v>129.03515625</v>
      </c>
      <c r="AJ83" s="709">
        <f ca="1">IF(ISERROR(MATCH(AJ$1,INDIRECT("Table!A"&amp;$BJ83):INDIRECT("Table!" &amp; $BV$88 &amp; $BJ83),0)),"",INDIRECT(CONCATENATE("Table!",ADDRESS($BN83,MATCH(AJ$1,INDIRECT("Table!A" &amp; $BJ83):INDIRECT("Table!" &amp; $BV$88 &amp; $BJ83),0)))))/1024</f>
        <v>118.4880859375</v>
      </c>
      <c r="AK83" s="709"/>
      <c r="AL83" s="709"/>
      <c r="AM83" s="709"/>
      <c r="AN83" s="709">
        <f ca="1">IF(ISERROR(MATCH(AN$1,INDIRECT("Table!A"&amp;$BJ83):INDIRECT("Table!" &amp; $BV$88 &amp; $BJ83),0)),"",INDIRECT(CONCATENATE("Table!",ADDRESS($BN83,MATCH(AN$1,INDIRECT("Table!A" &amp; $BJ83):INDIRECT("Table!" &amp; $BV$88 &amp; $BJ83),0)))))/1024</f>
        <v>188.5029296875</v>
      </c>
      <c r="AO83" s="709">
        <f ca="1">IF(ISERROR(MATCH(AO$1,INDIRECT("Table!A"&amp;$BJ83):INDIRECT("Table!" &amp; $BV$88 &amp; $BJ83),0)),"",INDIRECT(CONCATENATE("Table!",ADDRESS($BN83,MATCH(AO$1,INDIRECT("Table!A" &amp; $BJ83):INDIRECT("Table!" &amp; $BV$88 &amp; $BJ83),0)))))/1024</f>
        <v>129.03535156250001</v>
      </c>
      <c r="AP83" s="709">
        <f ca="1">IF(ISERROR(MATCH(AP$1,INDIRECT("Table!A"&amp;$BJ83):INDIRECT("Table!" &amp; $BV$88 &amp; $BJ83),0)),"",INDIRECT(CONCATENATE("Table!",ADDRESS($BN83,MATCH(AP$1,INDIRECT("Table!A" &amp; $BJ83):INDIRECT("Table!" &amp; $BV$88 &amp; $BJ83),0)))))/1024</f>
        <v>80.787402343750003</v>
      </c>
      <c r="AQ83" s="709">
        <f ca="1">IF(ISERROR(MATCH(AQ$1,INDIRECT("Table!A"&amp;$BJ83):INDIRECT("Table!" &amp; $BV$88 &amp; $BJ83),0)),"",INDIRECT(CONCATENATE("Table!",ADDRESS($BN83,MATCH(AQ$1,INDIRECT("Table!A" &amp; $BJ83):INDIRECT("Table!" &amp; $BV$88 &amp; $BJ83),0)))))/1024</f>
        <v>172.34638671875001</v>
      </c>
      <c r="AR83" s="709"/>
      <c r="AS83" s="709"/>
      <c r="AT83" s="709"/>
      <c r="AU83" s="709"/>
      <c r="AV83" s="704"/>
      <c r="AW83" s="709"/>
      <c r="AX83" s="909"/>
      <c r="AY83" s="909"/>
      <c r="AZ83" s="909"/>
      <c r="BA83" s="909"/>
      <c r="BB83" s="909"/>
      <c r="BC83" s="909"/>
      <c r="BD83" s="909"/>
      <c r="BE83" s="909"/>
      <c r="BF83" s="704">
        <f>MATCH($A83,Table!$A:$A,0)+$BH$2-1</f>
        <v>1027</v>
      </c>
      <c r="BG83" s="705"/>
      <c r="BH83" s="705"/>
      <c r="BI83" s="705"/>
      <c r="BJ83" s="717">
        <f>MATCH($A83,Table!$A:$A,0)+$BL$2-1</f>
        <v>1025</v>
      </c>
      <c r="BK83" s="705"/>
      <c r="BL83" s="705"/>
      <c r="BM83" s="705"/>
      <c r="BN83" s="704">
        <f>MATCH($A83,Table!$A:$A,0)+$BP$2-1</f>
        <v>1026</v>
      </c>
      <c r="BO83" s="705"/>
      <c r="BP83" s="705"/>
      <c r="BQ83" s="705"/>
      <c r="BR83" s="717">
        <f>MATCH($A83,Table!$A:$A,0)+$BL$2-1</f>
        <v>1025</v>
      </c>
      <c r="BS83" s="705"/>
      <c r="BT83" s="705"/>
      <c r="BU83" s="705"/>
      <c r="BV83" s="711" t="s">
        <v>284</v>
      </c>
      <c r="BW83" s="712">
        <f t="shared" ca="1" si="47"/>
        <v>1591.5098632812499</v>
      </c>
      <c r="BX83" s="712">
        <f t="shared" ca="1" si="46"/>
        <v>851.04238281249991</v>
      </c>
      <c r="BY83" s="712">
        <f t="shared" ca="1" si="43"/>
        <v>740.46748046874995</v>
      </c>
      <c r="BZ83" s="718">
        <f t="shared" ca="1" si="44"/>
        <v>0.53473899373635525</v>
      </c>
      <c r="CA83" s="712">
        <f>SUMIF('Alloc Feed'!A:A,A:A,'Alloc Feed'!I:I)</f>
        <v>0</v>
      </c>
      <c r="CB83" s="718">
        <f t="shared" ca="1" si="42"/>
        <v>0</v>
      </c>
    </row>
    <row r="84" spans="1:80" x14ac:dyDescent="0.25">
      <c r="A84" s="703">
        <v>41292</v>
      </c>
      <c r="B84" s="709">
        <f ca="1">IF(ISERROR(MATCH(B$1,INDIRECT("Table!A"&amp;$BJ84):INDIRECT("Table!" &amp; $BV$88 &amp; $BJ84),0)),"",INDIRECT(CONCATENATE("Table!",ADDRESS($BF84,MATCH(B$1,INDIRECT("Table!A" &amp; $BJ84):INDIRECT("Table!" &amp; $BV$88 &amp; $BJ84),0)))))/1024</f>
        <v>41.570507812499997</v>
      </c>
      <c r="C84" s="709">
        <f ca="1">IF(ISERROR(MATCH(C$1,INDIRECT("Table!A"&amp;$BJ84):INDIRECT("Table!" &amp; $BV$88 &amp; $BJ84),0)),"",INDIRECT(CONCATENATE("Table!",ADDRESS($BF84,MATCH(C$1,INDIRECT("Table!A" &amp; $BJ84):INDIRECT("Table!" &amp; $BV$88 &amp; $BJ84),0)))))/1024</f>
        <v>74.41796875</v>
      </c>
      <c r="D84" s="709">
        <f ca="1">IF(ISERROR(MATCH(D$1,INDIRECT("Table!A"&amp;$BJ84):INDIRECT("Table!" &amp; $BV$88 &amp; $BJ84),0)),"",INDIRECT(CONCATENATE("Table!",ADDRESS($BF84,MATCH(D$1,INDIRECT("Table!A" &amp; $BJ84):INDIRECT("Table!" &amp; $BV$88 &amp; $BJ84),0)))))/1024</f>
        <v>75.799121093750003</v>
      </c>
      <c r="E84" s="709">
        <f ca="1">IF(ISERROR(MATCH(E$1,INDIRECT("Table!A"&amp;$BJ84):INDIRECT("Table!" &amp; $BV$88 &amp; $BJ84),0)),"",INDIRECT(CONCATENATE("Table!",ADDRESS($BF84,MATCH(E$1,INDIRECT("Table!A" &amp; $BJ84):INDIRECT("Table!" &amp; $BV$88 &amp; $BJ84),0)))))/1024</f>
        <v>158.64638671874999</v>
      </c>
      <c r="F84" s="709">
        <f ca="1">IF(ISERROR(MATCH(F$1,INDIRECT("Table!A"&amp;$BJ84):INDIRECT("Table!" &amp; $BV$88 &amp; $BJ84),0)),"",INDIRECT(CONCATENATE("Table!",ADDRESS($BF84,MATCH(F$1,INDIRECT("Table!A" &amp; $BJ84):INDIRECT("Table!" &amp; $BV$88 &amp; $BJ84),0)))))/1024</f>
        <v>74.519921874999994</v>
      </c>
      <c r="G84" s="709">
        <f ca="1">IF(ISERROR(MATCH(G$1,INDIRECT("Table!A"&amp;$BJ84):INDIRECT("Table!" &amp; $BV$88 &amp; $BJ84),0)),"",INDIRECT(CONCATENATE("Table!",ADDRESS($BF84,MATCH(G$1,INDIRECT("Table!A" &amp; $BJ84):INDIRECT("Table!" &amp; $BV$88 &amp; $BJ84),0)))))/1024</f>
        <v>32.347558593750001</v>
      </c>
      <c r="H84" s="709">
        <f ca="1">IF(ISERROR(MATCH(H$1,INDIRECT("Table!A"&amp;$BJ84):INDIRECT("Table!" &amp; $BV$88 &amp; $BJ84),0)),"",INDIRECT(CONCATENATE("Table!",ADDRESS($BF84,MATCH(H$1,INDIRECT("Table!A" &amp; $BJ84):INDIRECT("Table!" &amp; $BV$88 &amp; $BJ84),0)))))/1024</f>
        <v>52.561621093749999</v>
      </c>
      <c r="I84" s="709"/>
      <c r="J84" s="709"/>
      <c r="K84" s="709"/>
      <c r="L84" s="709">
        <f ca="1">IF(ISERROR(MATCH(L$1,INDIRECT("Table!A"&amp;$BJ84):INDIRECT("Table!" &amp; $BV$88 &amp; $BJ84),0)),"",INDIRECT(CONCATENATE("Table!",ADDRESS($BF84,MATCH(L$1,INDIRECT("Table!A" &amp; $BJ84):INDIRECT("Table!" &amp; $BV$88 &amp; $BJ84),0)))))/1024</f>
        <v>147.69912109374999</v>
      </c>
      <c r="M84" s="709">
        <f ca="1">IF(ISERROR(MATCH(M$1,INDIRECT("Table!A"&amp;$BJ84):INDIRECT("Table!" &amp; $BV$88 &amp; $BJ84),0)),"",INDIRECT(CONCATENATE("Table!",ADDRESS($BF84,MATCH(M$1,INDIRECT("Table!A" &amp; $BJ84):INDIRECT("Table!" &amp; $BV$88 &amp; $BJ84),0)))))/1024</f>
        <v>41.232031249999999</v>
      </c>
      <c r="N84" s="709">
        <f ca="1">IF(ISERROR(MATCH(N$1,INDIRECT("Table!A"&amp;$BJ84):INDIRECT("Table!" &amp; $BV$88 &amp; $BJ84),0)),"",INDIRECT(CONCATENATE("Table!",ADDRESS($BF84,MATCH(N$1,INDIRECT("Table!A" &amp; $BJ84):INDIRECT("Table!" &amp; $BV$88 &amp; $BJ84),0)))))/1024</f>
        <v>38.446972656249997</v>
      </c>
      <c r="O84" s="709">
        <f ca="1">IF(ISERROR(MATCH(O$1,INDIRECT("Table!A"&amp;$BJ84):INDIRECT("Table!" &amp; $BV$88 &amp; $BJ84),0)),"",INDIRECT(CONCATENATE("Table!",ADDRESS($BF84,MATCH(O$1,INDIRECT("Table!A" &amp; $BJ84):INDIRECT("Table!" &amp; $BV$88 &amp; $BJ84),0)))))/1024</f>
        <v>105.71621093749999</v>
      </c>
      <c r="P84" s="709"/>
      <c r="Q84" s="709"/>
      <c r="R84" s="709"/>
      <c r="S84" s="709"/>
      <c r="T84" s="709"/>
      <c r="U84" s="709"/>
      <c r="V84" s="909"/>
      <c r="W84" s="909"/>
      <c r="X84" s="909"/>
      <c r="Y84" s="909"/>
      <c r="Z84" s="909"/>
      <c r="AA84" s="909"/>
      <c r="AB84" s="909"/>
      <c r="AC84" s="709" t="str">
        <f ca="1">IF(ISERROR(MATCH(AC$1,INDIRECT("Table!A"&amp;$BJ84):INDIRECT("Table!" &amp; $BV$88 &amp; $BJ84),0)),"",INDIRECT(CONCATENATE("Table!",ADDRESS($BF84,MATCH(AC$1,INDIRECT("Table!A" &amp; $BJ84):INDIRECT("Table!" &amp; $BV$88 &amp; $BJ84),0)))))</f>
        <v/>
      </c>
      <c r="AD84" s="709">
        <f ca="1">IF(ISERROR(MATCH(AD$1,INDIRECT("Table!A"&amp;$BJ84):INDIRECT("Table!" &amp; $BV$88 &amp; $BJ84),0)),"",INDIRECT(CONCATENATE("Table!",ADDRESS($BN84,MATCH(AD$1,INDIRECT("Table!A" &amp; $BJ84):INDIRECT("Table!" &amp; $BV$88 &amp; $BJ84),0)))))/1024</f>
        <v>140.03144531250001</v>
      </c>
      <c r="AE84" s="709">
        <f ca="1">IF(ISERROR(MATCH(AE$1,INDIRECT("Table!A"&amp;$BJ84):INDIRECT("Table!" &amp; $BV$88 &amp; $BJ84),0)),"",INDIRECT(CONCATENATE("Table!",ADDRESS($BN84,MATCH(AE$1,INDIRECT("Table!A" &amp; $BJ84):INDIRECT("Table!" &amp; $BV$88 &amp; $BJ84),0)))))/1024</f>
        <v>146.98808593749999</v>
      </c>
      <c r="AF84" s="709">
        <f ca="1">IF(ISERROR(MATCH(AF$1,INDIRECT("Table!A"&amp;$BJ84):INDIRECT("Table!" &amp; $BV$88 &amp; $BJ84),0)),"",INDIRECT(CONCATENATE("Table!",ADDRESS($BN84,MATCH(AF$1,INDIRECT("Table!A" &amp; $BJ84):INDIRECT("Table!" &amp; $BV$88 &amp; $BJ84),0)))))/1024</f>
        <v>146.98808593749999</v>
      </c>
      <c r="AG84" s="709">
        <f ca="1">IF(ISERROR(MATCH(AG$1,INDIRECT("Table!A"&amp;$BJ84):INDIRECT("Table!" &amp; $BV$88 &amp; $BJ84),0)),"",INDIRECT(CONCATENATE("Table!",ADDRESS($BN84,MATCH(AG$1,INDIRECT("Table!A" &amp; $BJ84):INDIRECT("Table!" &amp; $BV$88 &amp; $BJ84),0)))))/1024</f>
        <v>177.73222656249999</v>
      </c>
      <c r="AH84" s="709">
        <f ca="1">IF(ISERROR(MATCH(AH$1,INDIRECT("Table!A"&amp;$BJ84):INDIRECT("Table!" &amp; $BV$88 &amp; $BJ84),0)),"",INDIRECT(CONCATENATE("Table!",ADDRESS($BN84,MATCH(AH$1,INDIRECT("Table!A" &amp; $BJ84):INDIRECT("Table!" &amp; $BV$88 &amp; $BJ84),0)))))/1024</f>
        <v>161.57470703125</v>
      </c>
      <c r="AI84" s="709">
        <f ca="1">IF(ISERROR(MATCH(AI$1,INDIRECT("Table!A"&amp;$BJ84):INDIRECT("Table!" &amp; $BV$88 &amp; $BJ84),0)),"",INDIRECT(CONCATENATE("Table!",ADDRESS($BN84,MATCH(AI$1,INDIRECT("Table!A" &amp; $BJ84):INDIRECT("Table!" &amp; $BV$88 &amp; $BJ84),0)))))/1024</f>
        <v>129.03515625</v>
      </c>
      <c r="AJ84" s="709">
        <f ca="1">IF(ISERROR(MATCH(AJ$1,INDIRECT("Table!A"&amp;$BJ84):INDIRECT("Table!" &amp; $BV$88 &amp; $BJ84),0)),"",INDIRECT(CONCATENATE("Table!",ADDRESS($BN84,MATCH(AJ$1,INDIRECT("Table!A" &amp; $BJ84):INDIRECT("Table!" &amp; $BV$88 &amp; $BJ84),0)))))/1024</f>
        <v>118.4880859375</v>
      </c>
      <c r="AK84" s="709"/>
      <c r="AL84" s="709"/>
      <c r="AM84" s="709"/>
      <c r="AN84" s="709">
        <f ca="1">IF(ISERROR(MATCH(AN$1,INDIRECT("Table!A"&amp;$BJ84):INDIRECT("Table!" &amp; $BV$88 &amp; $BJ84),0)),"",INDIRECT(CONCATENATE("Table!",ADDRESS($BN84,MATCH(AN$1,INDIRECT("Table!A" &amp; $BJ84):INDIRECT("Table!" &amp; $BV$88 &amp; $BJ84),0)))))/1024</f>
        <v>188.5029296875</v>
      </c>
      <c r="AO84" s="709">
        <f ca="1">IF(ISERROR(MATCH(AO$1,INDIRECT("Table!A"&amp;$BJ84):INDIRECT("Table!" &amp; $BV$88 &amp; $BJ84),0)),"",INDIRECT(CONCATENATE("Table!",ADDRESS($BN84,MATCH(AO$1,INDIRECT("Table!A" &amp; $BJ84):INDIRECT("Table!" &amp; $BV$88 &amp; $BJ84),0)))))/1024</f>
        <v>129.03535156250001</v>
      </c>
      <c r="AP84" s="709">
        <f ca="1">IF(ISERROR(MATCH(AP$1,INDIRECT("Table!A"&amp;$BJ84):INDIRECT("Table!" &amp; $BV$88 &amp; $BJ84),0)),"",INDIRECT(CONCATENATE("Table!",ADDRESS($BN84,MATCH(AP$1,INDIRECT("Table!A" &amp; $BJ84):INDIRECT("Table!" &amp; $BV$88 &amp; $BJ84),0)))))/1024</f>
        <v>80.787402343750003</v>
      </c>
      <c r="AQ84" s="709">
        <f ca="1">IF(ISERROR(MATCH(AQ$1,INDIRECT("Table!A"&amp;$BJ84):INDIRECT("Table!" &amp; $BV$88 &amp; $BJ84),0)),"",INDIRECT(CONCATENATE("Table!",ADDRESS($BN84,MATCH(AQ$1,INDIRECT("Table!A" &amp; $BJ84):INDIRECT("Table!" &amp; $BV$88 &amp; $BJ84),0)))))/1024</f>
        <v>172.34638671875001</v>
      </c>
      <c r="AR84" s="709"/>
      <c r="AS84" s="709"/>
      <c r="AT84" s="709"/>
      <c r="AU84" s="709"/>
      <c r="AV84" s="704"/>
      <c r="AW84" s="709"/>
      <c r="AX84" s="909"/>
      <c r="AY84" s="909"/>
      <c r="AZ84" s="909"/>
      <c r="BA84" s="909"/>
      <c r="BB84" s="909"/>
      <c r="BC84" s="909"/>
      <c r="BD84" s="909"/>
      <c r="BE84" s="909"/>
      <c r="BF84" s="704">
        <f>MATCH($A84,Table!$A:$A,0)+$BH$2-1</f>
        <v>1039</v>
      </c>
      <c r="BG84" s="705"/>
      <c r="BH84" s="705"/>
      <c r="BI84" s="705"/>
      <c r="BJ84" s="717">
        <f>MATCH($A84,Table!$A:$A,0)+$BL$2-1</f>
        <v>1037</v>
      </c>
      <c r="BK84" s="705"/>
      <c r="BL84" s="705"/>
      <c r="BM84" s="705"/>
      <c r="BN84" s="704">
        <f>MATCH($A84,Table!$A:$A,0)+$BP$2-1</f>
        <v>1038</v>
      </c>
      <c r="BO84" s="705"/>
      <c r="BP84" s="705"/>
      <c r="BQ84" s="705"/>
      <c r="BR84" s="717">
        <f>MATCH($A84,Table!$A:$A,0)+$BL$2-1</f>
        <v>1037</v>
      </c>
      <c r="BS84" s="705"/>
      <c r="BT84" s="705"/>
      <c r="BU84" s="705"/>
      <c r="BV84" s="711" t="s">
        <v>284</v>
      </c>
      <c r="BW84" s="712">
        <f t="shared" ca="1" si="47"/>
        <v>1591.5098632812499</v>
      </c>
      <c r="BX84" s="712">
        <f t="shared" ca="1" si="46"/>
        <v>842.95742187500002</v>
      </c>
      <c r="BY84" s="712">
        <f t="shared" ca="1" si="43"/>
        <v>748.55244140624984</v>
      </c>
      <c r="BZ84" s="718">
        <f t="shared" ca="1" si="44"/>
        <v>0.52965893666348807</v>
      </c>
      <c r="CA84" s="712">
        <f>SUMIF('Alloc Feed'!A:A,A:A,'Alloc Feed'!I:I)</f>
        <v>0</v>
      </c>
      <c r="CB84" s="718">
        <f t="shared" ref="CB84:CB88" ca="1" si="48">CA84/BW84</f>
        <v>0</v>
      </c>
    </row>
    <row r="85" spans="1:80" x14ac:dyDescent="0.25">
      <c r="A85" s="703">
        <v>41289</v>
      </c>
      <c r="B85" s="709">
        <f ca="1">IF(ISERROR(MATCH(B$1,INDIRECT("Table!A"&amp;$BJ85):INDIRECT("Table!" &amp; $BV$88 &amp; $BJ85),0)),"",INDIRECT(CONCATENATE("Table!",ADDRESS($BF85,MATCH(B$1,INDIRECT("Table!A" &amp; $BJ85):INDIRECT("Table!" &amp; $BV$88 &amp; $BJ85),0)))))/1024</f>
        <v>42.352148437499999</v>
      </c>
      <c r="C85" s="709">
        <f ca="1">IF(ISERROR(MATCH(C$1,INDIRECT("Table!A"&amp;$BJ85):INDIRECT("Table!" &amp; $BV$88 &amp; $BJ85),0)),"",INDIRECT(CONCATENATE("Table!",ADDRESS($BF85,MATCH(C$1,INDIRECT("Table!A" &amp; $BJ85):INDIRECT("Table!" &amp; $BV$88 &amp; $BJ85),0)))))/1024</f>
        <v>74.395117187500006</v>
      </c>
      <c r="D85" s="709">
        <f ca="1">IF(ISERROR(MATCH(D$1,INDIRECT("Table!A"&amp;$BJ85):INDIRECT("Table!" &amp; $BV$88 &amp; $BJ85),0)),"",INDIRECT(CONCATENATE("Table!",ADDRESS($BF85,MATCH(D$1,INDIRECT("Table!A" &amp; $BJ85):INDIRECT("Table!" &amp; $BV$88 &amp; $BJ85),0)))))/1024</f>
        <v>75.776269531249994</v>
      </c>
      <c r="E85" s="709">
        <f ca="1">IF(ISERROR(MATCH(E$1,INDIRECT("Table!A"&amp;$BJ85):INDIRECT("Table!" &amp; $BV$88 &amp; $BJ85),0)),"",INDIRECT(CONCATENATE("Table!",ADDRESS($BF85,MATCH(E$1,INDIRECT("Table!A" &amp; $BJ85):INDIRECT("Table!" &amp; $BV$88 &amp; $BJ85),0)))))/1024</f>
        <v>158.54062500000001</v>
      </c>
      <c r="F85" s="709">
        <f ca="1">IF(ISERROR(MATCH(F$1,INDIRECT("Table!A"&amp;$BJ85):INDIRECT("Table!" &amp; $BV$88 &amp; $BJ85),0)),"",INDIRECT(CONCATENATE("Table!",ADDRESS($BF85,MATCH(F$1,INDIRECT("Table!A" &amp; $BJ85):INDIRECT("Table!" &amp; $BV$88 &amp; $BJ85),0)))))/1024</f>
        <v>73.849707031250006</v>
      </c>
      <c r="G85" s="709">
        <f ca="1">IF(ISERROR(MATCH(G$1,INDIRECT("Table!A"&amp;$BJ85):INDIRECT("Table!" &amp; $BV$88 &amp; $BJ85),0)),"",INDIRECT(CONCATENATE("Table!",ADDRESS($BF85,MATCH(G$1,INDIRECT("Table!A" &amp; $BJ85):INDIRECT("Table!" &amp; $BV$88 &amp; $BJ85),0)))))/1024</f>
        <v>33.705273437499997</v>
      </c>
      <c r="H85" s="709">
        <f ca="1">IF(ISERROR(MATCH(H$1,INDIRECT("Table!A"&amp;$BJ85):INDIRECT("Table!" &amp; $BV$88 &amp; $BJ85),0)),"",INDIRECT(CONCATENATE("Table!",ADDRESS($BF85,MATCH(H$1,INDIRECT("Table!A" &amp; $BJ85):INDIRECT("Table!" &amp; $BV$88 &amp; $BJ85),0)))))/1024</f>
        <v>52.436816406250003</v>
      </c>
      <c r="I85" s="709"/>
      <c r="J85" s="709"/>
      <c r="K85" s="709"/>
      <c r="L85" s="709">
        <f ca="1">IF(ISERROR(MATCH(L$1,INDIRECT("Table!A"&amp;$BJ85):INDIRECT("Table!" &amp; $BV$88 &amp; $BJ85),0)),"",INDIRECT(CONCATENATE("Table!",ADDRESS($BF85,MATCH(L$1,INDIRECT("Table!A" &amp; $BJ85):INDIRECT("Table!" &amp; $BV$88 &amp; $BJ85),0)))))/1024</f>
        <v>147.35781249999999</v>
      </c>
      <c r="M85" s="709">
        <f ca="1">IF(ISERROR(MATCH(M$1,INDIRECT("Table!A"&amp;$BJ85):INDIRECT("Table!" &amp; $BV$88 &amp; $BJ85),0)),"",INDIRECT(CONCATENATE("Table!",ADDRESS($BF85,MATCH(M$1,INDIRECT("Table!A" &amp; $BJ85):INDIRECT("Table!" &amp; $BV$88 &amp; $BJ85),0)))))/1024</f>
        <v>40.573632812500001</v>
      </c>
      <c r="N85" s="709">
        <f ca="1">IF(ISERROR(MATCH(N$1,INDIRECT("Table!A"&amp;$BJ85):INDIRECT("Table!" &amp; $BV$88 &amp; $BJ85),0)),"",INDIRECT(CONCATENATE("Table!",ADDRESS($BF85,MATCH(N$1,INDIRECT("Table!A" &amp; $BJ85):INDIRECT("Table!" &amp; $BV$88 &amp; $BJ85),0)))))/1024</f>
        <v>38.103417968750001</v>
      </c>
      <c r="O85" s="709">
        <f ca="1">IF(ISERROR(MATCH(O$1,INDIRECT("Table!A"&amp;$BJ85):INDIRECT("Table!" &amp; $BV$88 &amp; $BJ85),0)),"",INDIRECT(CONCATENATE("Table!",ADDRESS($BF85,MATCH(O$1,INDIRECT("Table!A" &amp; $BJ85):INDIRECT("Table!" &amp; $BV$88 &amp; $BJ85),0)))))/1024</f>
        <v>105.47080078125001</v>
      </c>
      <c r="P85" s="709"/>
      <c r="Q85" s="709"/>
      <c r="R85" s="709"/>
      <c r="S85" s="709"/>
      <c r="T85" s="709"/>
      <c r="U85" s="709"/>
      <c r="V85" s="909"/>
      <c r="W85" s="909"/>
      <c r="X85" s="909"/>
      <c r="Y85" s="909"/>
      <c r="Z85" s="909"/>
      <c r="AA85" s="909"/>
      <c r="AB85" s="909"/>
      <c r="AC85" s="709" t="str">
        <f ca="1">IF(ISERROR(MATCH(AC$1,INDIRECT("Table!A"&amp;$BJ85):INDIRECT("Table!" &amp; $BV$88 &amp; $BJ85),0)),"",INDIRECT(CONCATENATE("Table!",ADDRESS($BF85,MATCH(AC$1,INDIRECT("Table!A" &amp; $BJ85):INDIRECT("Table!" &amp; $BV$88 &amp; $BJ85),0)))))</f>
        <v/>
      </c>
      <c r="AD85" s="709">
        <f ca="1">IF(ISERROR(MATCH(AD$1,INDIRECT("Table!A"&amp;$BJ85):INDIRECT("Table!" &amp; $BV$88 &amp; $BJ85),0)),"",INDIRECT(CONCATENATE("Table!",ADDRESS($BN85,MATCH(AD$1,INDIRECT("Table!A" &amp; $BJ85):INDIRECT("Table!" &amp; $BV$88 &amp; $BJ85),0)))))/1024</f>
        <v>140.03144531250001</v>
      </c>
      <c r="AE85" s="709">
        <f ca="1">IF(ISERROR(MATCH(AE$1,INDIRECT("Table!A"&amp;$BJ85):INDIRECT("Table!" &amp; $BV$88 &amp; $BJ85),0)),"",INDIRECT(CONCATENATE("Table!",ADDRESS($BN85,MATCH(AE$1,INDIRECT("Table!A" &amp; $BJ85):INDIRECT("Table!" &amp; $BV$88 &amp; $BJ85),0)))))/1024</f>
        <v>146.98808593749999</v>
      </c>
      <c r="AF85" s="709">
        <f ca="1">IF(ISERROR(MATCH(AF$1,INDIRECT("Table!A"&amp;$BJ85):INDIRECT("Table!" &amp; $BV$88 &amp; $BJ85),0)),"",INDIRECT(CONCATENATE("Table!",ADDRESS($BN85,MATCH(AF$1,INDIRECT("Table!A" &amp; $BJ85):INDIRECT("Table!" &amp; $BV$88 &amp; $BJ85),0)))))/1024</f>
        <v>146.98808593749999</v>
      </c>
      <c r="AG85" s="709">
        <f ca="1">IF(ISERROR(MATCH(AG$1,INDIRECT("Table!A"&amp;$BJ85):INDIRECT("Table!" &amp; $BV$88 &amp; $BJ85),0)),"",INDIRECT(CONCATENATE("Table!",ADDRESS($BN85,MATCH(AG$1,INDIRECT("Table!A" &amp; $BJ85):INDIRECT("Table!" &amp; $BV$88 &amp; $BJ85),0)))))/1024</f>
        <v>177.73222656249999</v>
      </c>
      <c r="AH85" s="709">
        <f ca="1">IF(ISERROR(MATCH(AH$1,INDIRECT("Table!A"&amp;$BJ85):INDIRECT("Table!" &amp; $BV$88 &amp; $BJ85),0)),"",INDIRECT(CONCATENATE("Table!",ADDRESS($BN85,MATCH(AH$1,INDIRECT("Table!A" &amp; $BJ85):INDIRECT("Table!" &amp; $BV$88 &amp; $BJ85),0)))))/1024</f>
        <v>161.57470703125</v>
      </c>
      <c r="AI85" s="709">
        <f ca="1">IF(ISERROR(MATCH(AI$1,INDIRECT("Table!A"&amp;$BJ85):INDIRECT("Table!" &amp; $BV$88 &amp; $BJ85),0)),"",INDIRECT(CONCATENATE("Table!",ADDRESS($BN85,MATCH(AI$1,INDIRECT("Table!A" &amp; $BJ85):INDIRECT("Table!" &amp; $BV$88 &amp; $BJ85),0)))))/1024</f>
        <v>129.03515625</v>
      </c>
      <c r="AJ85" s="709">
        <f ca="1">IF(ISERROR(MATCH(AJ$1,INDIRECT("Table!A"&amp;$BJ85):INDIRECT("Table!" &amp; $BV$88 &amp; $BJ85),0)),"",INDIRECT(CONCATENATE("Table!",ADDRESS($BN85,MATCH(AJ$1,INDIRECT("Table!A" &amp; $BJ85):INDIRECT("Table!" &amp; $BV$88 &amp; $BJ85),0)))))/1024</f>
        <v>118.4880859375</v>
      </c>
      <c r="AK85" s="709"/>
      <c r="AL85" s="709"/>
      <c r="AM85" s="709"/>
      <c r="AN85" s="709">
        <f ca="1">IF(ISERROR(MATCH(AN$1,INDIRECT("Table!A"&amp;$BJ85):INDIRECT("Table!" &amp; $BV$88 &amp; $BJ85),0)),"",INDIRECT(CONCATENATE("Table!",ADDRESS($BN85,MATCH(AN$1,INDIRECT("Table!A" &amp; $BJ85):INDIRECT("Table!" &amp; $BV$88 &amp; $BJ85),0)))))/1024</f>
        <v>188.5029296875</v>
      </c>
      <c r="AO85" s="709">
        <f ca="1">IF(ISERROR(MATCH(AO$1,INDIRECT("Table!A"&amp;$BJ85):INDIRECT("Table!" &amp; $BV$88 &amp; $BJ85),0)),"",INDIRECT(CONCATENATE("Table!",ADDRESS($BN85,MATCH(AO$1,INDIRECT("Table!A" &amp; $BJ85):INDIRECT("Table!" &amp; $BV$88 &amp; $BJ85),0)))))/1024</f>
        <v>129.03535156250001</v>
      </c>
      <c r="AP85" s="709">
        <f ca="1">IF(ISERROR(MATCH(AP$1,INDIRECT("Table!A"&amp;$BJ85):INDIRECT("Table!" &amp; $BV$88 &amp; $BJ85),0)),"",INDIRECT(CONCATENATE("Table!",ADDRESS($BN85,MATCH(AP$1,INDIRECT("Table!A" &amp; $BJ85):INDIRECT("Table!" &amp; $BV$88 &amp; $BJ85),0)))))/1024</f>
        <v>80.787402343750003</v>
      </c>
      <c r="AQ85" s="709">
        <f ca="1">IF(ISERROR(MATCH(AQ$1,INDIRECT("Table!A"&amp;$BJ85):INDIRECT("Table!" &amp; $BV$88 &amp; $BJ85),0)),"",INDIRECT(CONCATENATE("Table!",ADDRESS($BN85,MATCH(AQ$1,INDIRECT("Table!A" &amp; $BJ85):INDIRECT("Table!" &amp; $BV$88 &amp; $BJ85),0)))))/1024</f>
        <v>172.34638671875001</v>
      </c>
      <c r="AR85" s="709"/>
      <c r="AS85" s="709"/>
      <c r="AT85" s="709"/>
      <c r="AU85" s="709"/>
      <c r="AV85" s="704"/>
      <c r="AW85" s="709"/>
      <c r="AX85" s="909"/>
      <c r="AY85" s="909"/>
      <c r="AZ85" s="909"/>
      <c r="BA85" s="909"/>
      <c r="BB85" s="909"/>
      <c r="BC85" s="909"/>
      <c r="BD85" s="909"/>
      <c r="BE85" s="909"/>
      <c r="BF85" s="704">
        <f>MATCH($A85,Table!$A:$A,0)+$BH$2-1</f>
        <v>1051</v>
      </c>
      <c r="BG85" s="705"/>
      <c r="BH85" s="705"/>
      <c r="BI85" s="705"/>
      <c r="BJ85" s="717">
        <f>MATCH($A85,Table!$A:$A,0)+$BL$2-1</f>
        <v>1049</v>
      </c>
      <c r="BK85" s="705"/>
      <c r="BL85" s="705"/>
      <c r="BM85" s="705"/>
      <c r="BN85" s="704">
        <f>MATCH($A85,Table!$A:$A,0)+$BP$2-1</f>
        <v>1050</v>
      </c>
      <c r="BO85" s="705"/>
      <c r="BP85" s="705"/>
      <c r="BQ85" s="705"/>
      <c r="BR85" s="717">
        <f>MATCH($A85,Table!$A:$A,0)+$BL$2-1</f>
        <v>1049</v>
      </c>
      <c r="BS85" s="705"/>
      <c r="BT85" s="705"/>
      <c r="BU85" s="705"/>
      <c r="BV85" s="711" t="s">
        <v>284</v>
      </c>
      <c r="BW85" s="712">
        <f t="shared" ca="1" si="47"/>
        <v>1591.5098632812499</v>
      </c>
      <c r="BX85" s="712">
        <f t="shared" ca="1" si="46"/>
        <v>842.56162109375009</v>
      </c>
      <c r="BY85" s="712">
        <f t="shared" ref="BY85:BY88" ca="1" si="49">BW85-BX85</f>
        <v>748.94824218749977</v>
      </c>
      <c r="BZ85" s="718">
        <f t="shared" ref="BZ85:BZ88" ca="1" si="50">BX85/BW85</f>
        <v>0.52941024151532612</v>
      </c>
      <c r="CA85" s="712">
        <f>SUMIF('Alloc Feed'!A:A,A:A,'Alloc Feed'!I:I)</f>
        <v>0</v>
      </c>
      <c r="CB85" s="718">
        <f t="shared" ca="1" si="48"/>
        <v>0</v>
      </c>
    </row>
    <row r="86" spans="1:80" x14ac:dyDescent="0.25">
      <c r="A86" s="703">
        <v>41285</v>
      </c>
      <c r="B86" s="709">
        <f ca="1">IF(ISERROR(MATCH(B$1,INDIRECT("Table!A"&amp;$BJ86):INDIRECT("Table!" &amp; $BV$88 &amp; $BJ86),0)),"",INDIRECT(CONCATENATE("Table!",ADDRESS($BF86,MATCH(B$1,INDIRECT("Table!A" &amp; $BJ86):INDIRECT("Table!" &amp; $BV$88 &amp; $BJ86),0)))))/1024</f>
        <v>41.707226562499997</v>
      </c>
      <c r="C86" s="709">
        <f ca="1">IF(ISERROR(MATCH(C$1,INDIRECT("Table!A"&amp;$BJ86):INDIRECT("Table!" &amp; $BV$88 &amp; $BJ86),0)),"",INDIRECT(CONCATENATE("Table!",ADDRESS($BF86,MATCH(C$1,INDIRECT("Table!A" &amp; $BJ86):INDIRECT("Table!" &amp; $BV$88 &amp; $BJ86),0)))))/1024</f>
        <v>74.3466796875</v>
      </c>
      <c r="D86" s="709">
        <f ca="1">IF(ISERROR(MATCH(D$1,INDIRECT("Table!A"&amp;$BJ86):INDIRECT("Table!" &amp; $BV$88 &amp; $BJ86),0)),"",INDIRECT(CONCATENATE("Table!",ADDRESS($BF86,MATCH(D$1,INDIRECT("Table!A" &amp; $BJ86):INDIRECT("Table!" &amp; $BV$88 &amp; $BJ86),0)))))/1024</f>
        <v>75.727832031250003</v>
      </c>
      <c r="E86" s="709">
        <f ca="1">IF(ISERROR(MATCH(E$1,INDIRECT("Table!A"&amp;$BJ86):INDIRECT("Table!" &amp; $BV$88 &amp; $BJ86),0)),"",INDIRECT(CONCATENATE("Table!",ADDRESS($BF86,MATCH(E$1,INDIRECT("Table!A" &amp; $BJ86):INDIRECT("Table!" &amp; $BV$88 &amp; $BJ86),0)))))/1024</f>
        <v>158.11093750000001</v>
      </c>
      <c r="F86" s="709">
        <f ca="1">IF(ISERROR(MATCH(F$1,INDIRECT("Table!A"&amp;$BJ86):INDIRECT("Table!" &amp; $BV$88 &amp; $BJ86),0)),"",INDIRECT(CONCATENATE("Table!",ADDRESS($BF86,MATCH(F$1,INDIRECT("Table!A" &amp; $BJ86):INDIRECT("Table!" &amp; $BV$88 &amp; $BJ86),0)))))/1024</f>
        <v>73.48291015625</v>
      </c>
      <c r="G86" s="709">
        <f ca="1">IF(ISERROR(MATCH(G$1,INDIRECT("Table!A"&amp;$BJ86):INDIRECT("Table!" &amp; $BV$88 &amp; $BJ86),0)),"",INDIRECT(CONCATENATE("Table!",ADDRESS($BF86,MATCH(G$1,INDIRECT("Table!A" &amp; $BJ86):INDIRECT("Table!" &amp; $BV$88 &amp; $BJ86),0)))))/1024</f>
        <v>31.025390625</v>
      </c>
      <c r="H86" s="709">
        <f ca="1">IF(ISERROR(MATCH(H$1,INDIRECT("Table!A"&amp;$BJ86):INDIRECT("Table!" &amp; $BV$88 &amp; $BJ86),0)),"",INDIRECT(CONCATENATE("Table!",ADDRESS($BF86,MATCH(H$1,INDIRECT("Table!A" &amp; $BJ86):INDIRECT("Table!" &amp; $BV$88 &amp; $BJ86),0)))))/1024</f>
        <v>52.34619140625</v>
      </c>
      <c r="I86" s="709"/>
      <c r="J86" s="709"/>
      <c r="K86" s="709"/>
      <c r="L86" s="709">
        <f ca="1">IF(ISERROR(MATCH(L$1,INDIRECT("Table!A"&amp;$BJ86):INDIRECT("Table!" &amp; $BV$88 &amp; $BJ86),0)),"",INDIRECT(CONCATENATE("Table!",ADDRESS($BF86,MATCH(L$1,INDIRECT("Table!A" &amp; $BJ86):INDIRECT("Table!" &amp; $BV$88 &amp; $BJ86),0)))))/1024</f>
        <v>147.24941406249999</v>
      </c>
      <c r="M86" s="709">
        <f ca="1">IF(ISERROR(MATCH(M$1,INDIRECT("Table!A"&amp;$BJ86):INDIRECT("Table!" &amp; $BV$88 &amp; $BJ86),0)),"",INDIRECT(CONCATENATE("Table!",ADDRESS($BF86,MATCH(M$1,INDIRECT("Table!A" &amp; $BJ86):INDIRECT("Table!" &amp; $BV$88 &amp; $BJ86),0)))))/1024</f>
        <v>40.164453125000001</v>
      </c>
      <c r="N86" s="709">
        <f ca="1">IF(ISERROR(MATCH(N$1,INDIRECT("Table!A"&amp;$BJ86):INDIRECT("Table!" &amp; $BV$88 &amp; $BJ86),0)),"",INDIRECT(CONCATENATE("Table!",ADDRESS($BF86,MATCH(N$1,INDIRECT("Table!A" &amp; $BJ86):INDIRECT("Table!" &amp; $BV$88 &amp; $BJ86),0)))))/1024</f>
        <v>37.911425781250003</v>
      </c>
      <c r="O86" s="709">
        <f ca="1">IF(ISERROR(MATCH(O$1,INDIRECT("Table!A"&amp;$BJ86):INDIRECT("Table!" &amp; $BV$88 &amp; $BJ86),0)),"",INDIRECT(CONCATENATE("Table!",ADDRESS($BF86,MATCH(O$1,INDIRECT("Table!A" &amp; $BJ86):INDIRECT("Table!" &amp; $BV$88 &amp; $BJ86),0)))))/1024</f>
        <v>105.29482421874999</v>
      </c>
      <c r="P86" s="709"/>
      <c r="Q86" s="709"/>
      <c r="R86" s="709"/>
      <c r="S86" s="709"/>
      <c r="T86" s="709"/>
      <c r="U86" s="709"/>
      <c r="V86" s="909"/>
      <c r="W86" s="909"/>
      <c r="X86" s="909"/>
      <c r="Y86" s="909"/>
      <c r="Z86" s="909"/>
      <c r="AA86" s="909"/>
      <c r="AB86" s="909"/>
      <c r="AC86" s="709" t="str">
        <f ca="1">IF(ISERROR(MATCH(AC$1,INDIRECT("Table!A"&amp;$BJ86):INDIRECT("Table!" &amp; $BV$88 &amp; $BJ86),0)),"",INDIRECT(CONCATENATE("Table!",ADDRESS($BF86,MATCH(AC$1,INDIRECT("Table!A" &amp; $BJ86):INDIRECT("Table!" &amp; $BV$88 &amp; $BJ86),0)))))</f>
        <v/>
      </c>
      <c r="AD86" s="709">
        <f ca="1">IF(ISERROR(MATCH(AD$1,INDIRECT("Table!A"&amp;$BJ86):INDIRECT("Table!" &amp; $BV$88 &amp; $BJ86),0)),"",INDIRECT(CONCATENATE("Table!",ADDRESS($BN86,MATCH(AD$1,INDIRECT("Table!A" &amp; $BJ86):INDIRECT("Table!" &amp; $BV$88 &amp; $BJ86),0)))))/1024</f>
        <v>140.03144531250001</v>
      </c>
      <c r="AE86" s="709">
        <f ca="1">IF(ISERROR(MATCH(AE$1,INDIRECT("Table!A"&amp;$BJ86):INDIRECT("Table!" &amp; $BV$88 &amp; $BJ86),0)),"",INDIRECT(CONCATENATE("Table!",ADDRESS($BN86,MATCH(AE$1,INDIRECT("Table!A" &amp; $BJ86):INDIRECT("Table!" &amp; $BV$88 &amp; $BJ86),0)))))/1024</f>
        <v>146.98808593749999</v>
      </c>
      <c r="AF86" s="709">
        <f ca="1">IF(ISERROR(MATCH(AF$1,INDIRECT("Table!A"&amp;$BJ86):INDIRECT("Table!" &amp; $BV$88 &amp; $BJ86),0)),"",INDIRECT(CONCATENATE("Table!",ADDRESS($BN86,MATCH(AF$1,INDIRECT("Table!A" &amp; $BJ86):INDIRECT("Table!" &amp; $BV$88 &amp; $BJ86),0)))))/1024</f>
        <v>146.98808593749999</v>
      </c>
      <c r="AG86" s="709">
        <f ca="1">IF(ISERROR(MATCH(AG$1,INDIRECT("Table!A"&amp;$BJ86):INDIRECT("Table!" &amp; $BV$88 &amp; $BJ86),0)),"",INDIRECT(CONCATENATE("Table!",ADDRESS($BN86,MATCH(AG$1,INDIRECT("Table!A" &amp; $BJ86):INDIRECT("Table!" &amp; $BV$88 &amp; $BJ86),0)))))/1024</f>
        <v>177.73222656249999</v>
      </c>
      <c r="AH86" s="709">
        <f ca="1">IF(ISERROR(MATCH(AH$1,INDIRECT("Table!A"&amp;$BJ86):INDIRECT("Table!" &amp; $BV$88 &amp; $BJ86),0)),"",INDIRECT(CONCATENATE("Table!",ADDRESS($BN86,MATCH(AH$1,INDIRECT("Table!A" &amp; $BJ86):INDIRECT("Table!" &amp; $BV$88 &amp; $BJ86),0)))))/1024</f>
        <v>161.57470703125</v>
      </c>
      <c r="AI86" s="709">
        <f ca="1">IF(ISERROR(MATCH(AI$1,INDIRECT("Table!A"&amp;$BJ86):INDIRECT("Table!" &amp; $BV$88 &amp; $BJ86),0)),"",INDIRECT(CONCATENATE("Table!",ADDRESS($BN86,MATCH(AI$1,INDIRECT("Table!A" &amp; $BJ86):INDIRECT("Table!" &amp; $BV$88 &amp; $BJ86),0)))))/1024</f>
        <v>129.03515625</v>
      </c>
      <c r="AJ86" s="709">
        <f ca="1">IF(ISERROR(MATCH(AJ$1,INDIRECT("Table!A"&amp;$BJ86):INDIRECT("Table!" &amp; $BV$88 &amp; $BJ86),0)),"",INDIRECT(CONCATENATE("Table!",ADDRESS($BN86,MATCH(AJ$1,INDIRECT("Table!A" &amp; $BJ86):INDIRECT("Table!" &amp; $BV$88 &amp; $BJ86),0)))))/1024</f>
        <v>118.4880859375</v>
      </c>
      <c r="AK86" s="709"/>
      <c r="AL86" s="709"/>
      <c r="AM86" s="709"/>
      <c r="AN86" s="709">
        <f ca="1">IF(ISERROR(MATCH(AN$1,INDIRECT("Table!A"&amp;$BJ86):INDIRECT("Table!" &amp; $BV$88 &amp; $BJ86),0)),"",INDIRECT(CONCATENATE("Table!",ADDRESS($BN86,MATCH(AN$1,INDIRECT("Table!A" &amp; $BJ86):INDIRECT("Table!" &amp; $BV$88 &amp; $BJ86),0)))))/1024</f>
        <v>188.5029296875</v>
      </c>
      <c r="AO86" s="709">
        <f ca="1">IF(ISERROR(MATCH(AO$1,INDIRECT("Table!A"&amp;$BJ86):INDIRECT("Table!" &amp; $BV$88 &amp; $BJ86),0)),"",INDIRECT(CONCATENATE("Table!",ADDRESS($BN86,MATCH(AO$1,INDIRECT("Table!A" &amp; $BJ86):INDIRECT("Table!" &amp; $BV$88 &amp; $BJ86),0)))))/1024</f>
        <v>129.03535156250001</v>
      </c>
      <c r="AP86" s="709">
        <f ca="1">IF(ISERROR(MATCH(AP$1,INDIRECT("Table!A"&amp;$BJ86):INDIRECT("Table!" &amp; $BV$88 &amp; $BJ86),0)),"",INDIRECT(CONCATENATE("Table!",ADDRESS($BN86,MATCH(AP$1,INDIRECT("Table!A" &amp; $BJ86):INDIRECT("Table!" &amp; $BV$88 &amp; $BJ86),0)))))/1024</f>
        <v>80.787402343750003</v>
      </c>
      <c r="AQ86" s="709">
        <f ca="1">IF(ISERROR(MATCH(AQ$1,INDIRECT("Table!A"&amp;$BJ86):INDIRECT("Table!" &amp; $BV$88 &amp; $BJ86),0)),"",INDIRECT(CONCATENATE("Table!",ADDRESS($BN86,MATCH(AQ$1,INDIRECT("Table!A" &amp; $BJ86):INDIRECT("Table!" &amp; $BV$88 &amp; $BJ86),0)))))/1024</f>
        <v>172.34638671875001</v>
      </c>
      <c r="AR86" s="709"/>
      <c r="AS86" s="709"/>
      <c r="AT86" s="709"/>
      <c r="AU86" s="709"/>
      <c r="AV86" s="704"/>
      <c r="AW86" s="709"/>
      <c r="AX86" s="909"/>
      <c r="AY86" s="909"/>
      <c r="AZ86" s="909"/>
      <c r="BA86" s="909"/>
      <c r="BB86" s="909"/>
      <c r="BC86" s="909"/>
      <c r="BD86" s="909"/>
      <c r="BE86" s="909"/>
      <c r="BF86" s="704">
        <f>MATCH($A86,Table!$A:$A,0)+$BH$2-1</f>
        <v>1063</v>
      </c>
      <c r="BG86" s="705"/>
      <c r="BH86" s="705"/>
      <c r="BI86" s="705"/>
      <c r="BJ86" s="717">
        <f>MATCH($A86,Table!$A:$A,0)+$BL$2-1</f>
        <v>1061</v>
      </c>
      <c r="BK86" s="705"/>
      <c r="BL86" s="705"/>
      <c r="BM86" s="705"/>
      <c r="BN86" s="704">
        <f>MATCH($A86,Table!$A:$A,0)+$BP$2-1</f>
        <v>1062</v>
      </c>
      <c r="BO86" s="705"/>
      <c r="BP86" s="705"/>
      <c r="BQ86" s="705"/>
      <c r="BR86" s="717">
        <f>MATCH($A86,Table!$A:$A,0)+$BL$2-1</f>
        <v>1061</v>
      </c>
      <c r="BS86" s="705"/>
      <c r="BT86" s="705"/>
      <c r="BU86" s="705"/>
      <c r="BV86" s="711" t="s">
        <v>284</v>
      </c>
      <c r="BW86" s="712">
        <f t="shared" ca="1" si="47"/>
        <v>1591.5098632812499</v>
      </c>
      <c r="BX86" s="712">
        <f t="shared" ca="1" si="46"/>
        <v>837.36728515625009</v>
      </c>
      <c r="BY86" s="712">
        <f t="shared" ca="1" si="49"/>
        <v>754.14257812499977</v>
      </c>
      <c r="BZ86" s="718">
        <f t="shared" ca="1" si="50"/>
        <v>0.52614646284995814</v>
      </c>
      <c r="CA86" s="712">
        <f>SUMIF('Alloc Feed'!A:A,A:A,'Alloc Feed'!I:I)</f>
        <v>0</v>
      </c>
      <c r="CB86" s="718">
        <f t="shared" ca="1" si="48"/>
        <v>0</v>
      </c>
    </row>
    <row r="87" spans="1:80" x14ac:dyDescent="0.25">
      <c r="A87" s="703">
        <v>41283</v>
      </c>
      <c r="B87" s="709">
        <f ca="1">IF(ISERROR(MATCH(B$1,INDIRECT("Table!A"&amp;$BJ87):INDIRECT("Table!" &amp; $BV$88 &amp; $BJ87),0)),"",INDIRECT(CONCATENATE("Table!",ADDRESS($BF87,MATCH(B$1,INDIRECT("Table!A" &amp; $BJ87):INDIRECT("Table!" &amp; $BV$88 &amp; $BJ87),0)))))/1024</f>
        <v>41.028906249999999</v>
      </c>
      <c r="C87" s="709">
        <f ca="1">IF(ISERROR(MATCH(C$1,INDIRECT("Table!A"&amp;$BJ87):INDIRECT("Table!" &amp; $BV$88 &amp; $BJ87),0)),"",INDIRECT(CONCATENATE("Table!",ADDRESS($BF87,MATCH(C$1,INDIRECT("Table!A" &amp; $BJ87):INDIRECT("Table!" &amp; $BV$88 &amp; $BJ87),0)))))/1024</f>
        <v>74.333105468750006</v>
      </c>
      <c r="D87" s="709">
        <f ca="1">IF(ISERROR(MATCH(D$1,INDIRECT("Table!A"&amp;$BJ87):INDIRECT("Table!" &amp; $BV$88 &amp; $BJ87),0)),"",INDIRECT(CONCATENATE("Table!",ADDRESS($BF87,MATCH(D$1,INDIRECT("Table!A" &amp; $BJ87):INDIRECT("Table!" &amp; $BV$88 &amp; $BJ87),0)))))/1024</f>
        <v>75.714257812499994</v>
      </c>
      <c r="E87" s="709">
        <f ca="1">IF(ISERROR(MATCH(E$1,INDIRECT("Table!A"&amp;$BJ87):INDIRECT("Table!" &amp; $BV$88 &amp; $BJ87),0)),"",INDIRECT(CONCATENATE("Table!",ADDRESS($BF87,MATCH(E$1,INDIRECT("Table!A" &amp; $BJ87):INDIRECT("Table!" &amp; $BV$88 &amp; $BJ87),0)))))/1024</f>
        <v>158.03583984375001</v>
      </c>
      <c r="F87" s="709">
        <f ca="1">IF(ISERROR(MATCH(F$1,INDIRECT("Table!A"&amp;$BJ87):INDIRECT("Table!" &amp; $BV$88 &amp; $BJ87),0)),"",INDIRECT(CONCATENATE("Table!",ADDRESS($BF87,MATCH(F$1,INDIRECT("Table!A" &amp; $BJ87):INDIRECT("Table!" &amp; $BV$88 &amp; $BJ87),0)))))/1024</f>
        <v>72.965722656249994</v>
      </c>
      <c r="G87" s="709">
        <f ca="1">IF(ISERROR(MATCH(G$1,INDIRECT("Table!A"&amp;$BJ87):INDIRECT("Table!" &amp; $BV$88 &amp; $BJ87),0)),"",INDIRECT(CONCATENATE("Table!",ADDRESS($BF87,MATCH(G$1,INDIRECT("Table!A" &amp; $BJ87):INDIRECT("Table!" &amp; $BV$88 &amp; $BJ87),0)))))/1024</f>
        <v>30.301367187499999</v>
      </c>
      <c r="H87" s="709">
        <f ca="1">IF(ISERROR(MATCH(H$1,INDIRECT("Table!A"&amp;$BJ87):INDIRECT("Table!" &amp; $BV$88 &amp; $BJ87),0)),"",INDIRECT(CONCATENATE("Table!",ADDRESS($BF87,MATCH(H$1,INDIRECT("Table!A" &amp; $BJ87):INDIRECT("Table!" &amp; $BV$88 &amp; $BJ87),0)))))/1024</f>
        <v>52.180761718749999</v>
      </c>
      <c r="I87" s="709"/>
      <c r="J87" s="709"/>
      <c r="K87" s="709"/>
      <c r="L87" s="709">
        <f ca="1">IF(ISERROR(MATCH(L$1,INDIRECT("Table!A"&amp;$BJ87):INDIRECT("Table!" &amp; $BV$88 &amp; $BJ87),0)),"",INDIRECT(CONCATENATE("Table!",ADDRESS($BF87,MATCH(L$1,INDIRECT("Table!A" &amp; $BJ87):INDIRECT("Table!" &amp; $BV$88 &amp; $BJ87),0)))))/1024</f>
        <v>147.13759765624999</v>
      </c>
      <c r="M87" s="709">
        <f ca="1">IF(ISERROR(MATCH(M$1,INDIRECT("Table!A"&amp;$BJ87):INDIRECT("Table!" &amp; $BV$88 &amp; $BJ87),0)),"",INDIRECT(CONCATENATE("Table!",ADDRESS($BF87,MATCH(M$1,INDIRECT("Table!A" &amp; $BJ87):INDIRECT("Table!" &amp; $BV$88 &amp; $BJ87),0)))))/1024</f>
        <v>40.971582031250001</v>
      </c>
      <c r="N87" s="709">
        <f ca="1">IF(ISERROR(MATCH(N$1,INDIRECT("Table!A"&amp;$BJ87):INDIRECT("Table!" &amp; $BV$88 &amp; $BJ87),0)),"",INDIRECT(CONCATENATE("Table!",ADDRESS($BF87,MATCH(N$1,INDIRECT("Table!A" &amp; $BJ87):INDIRECT("Table!" &amp; $BV$88 &amp; $BJ87),0)))))/1024</f>
        <v>37.646679687499997</v>
      </c>
      <c r="O87" s="709">
        <f ca="1">IF(ISERROR(MATCH(O$1,INDIRECT("Table!A"&amp;$BJ87):INDIRECT("Table!" &amp; $BV$88 &amp; $BJ87),0)),"",INDIRECT(CONCATENATE("Table!",ADDRESS($BF87,MATCH(O$1,INDIRECT("Table!A" &amp; $BJ87):INDIRECT("Table!" &amp; $BV$88 &amp; $BJ87),0)))))/1024</f>
        <v>104.9814453125</v>
      </c>
      <c r="P87" s="709"/>
      <c r="Q87" s="709"/>
      <c r="R87" s="709"/>
      <c r="S87" s="709"/>
      <c r="T87" s="709"/>
      <c r="U87" s="709"/>
      <c r="V87" s="909"/>
      <c r="W87" s="909"/>
      <c r="X87" s="909"/>
      <c r="Y87" s="909"/>
      <c r="Z87" s="909"/>
      <c r="AA87" s="909"/>
      <c r="AB87" s="909"/>
      <c r="AC87" s="709" t="str">
        <f ca="1">IF(ISERROR(MATCH(AC$1,INDIRECT("Table!A"&amp;$BJ87):INDIRECT("Table!" &amp; $BV$88 &amp; $BJ87),0)),"",INDIRECT(CONCATENATE("Table!",ADDRESS($BF87,MATCH(AC$1,INDIRECT("Table!A" &amp; $BJ87):INDIRECT("Table!" &amp; $BV$88 &amp; $BJ87),0)))))</f>
        <v/>
      </c>
      <c r="AD87" s="709">
        <f ca="1">IF(ISERROR(MATCH(AD$1,INDIRECT("Table!A"&amp;$BJ87):INDIRECT("Table!" &amp; $BV$88 &amp; $BJ87),0)),"",INDIRECT(CONCATENATE("Table!",ADDRESS($BN87,MATCH(AD$1,INDIRECT("Table!A" &amp; $BJ87):INDIRECT("Table!" &amp; $BV$88 &amp; $BJ87),0)))))/1024</f>
        <v>140.03144531250001</v>
      </c>
      <c r="AE87" s="709">
        <f ca="1">IF(ISERROR(MATCH(AE$1,INDIRECT("Table!A"&amp;$BJ87):INDIRECT("Table!" &amp; $BV$88 &amp; $BJ87),0)),"",INDIRECT(CONCATENATE("Table!",ADDRESS($BN87,MATCH(AE$1,INDIRECT("Table!A" &amp; $BJ87):INDIRECT("Table!" &amp; $BV$88 &amp; $BJ87),0)))))/1024</f>
        <v>146.98808593749999</v>
      </c>
      <c r="AF87" s="709">
        <f ca="1">IF(ISERROR(MATCH(AF$1,INDIRECT("Table!A"&amp;$BJ87):INDIRECT("Table!" &amp; $BV$88 &amp; $BJ87),0)),"",INDIRECT(CONCATENATE("Table!",ADDRESS($BN87,MATCH(AF$1,INDIRECT("Table!A" &amp; $BJ87):INDIRECT("Table!" &amp; $BV$88 &amp; $BJ87),0)))))/1024</f>
        <v>146.98808593749999</v>
      </c>
      <c r="AG87" s="709">
        <f ca="1">IF(ISERROR(MATCH(AG$1,INDIRECT("Table!A"&amp;$BJ87):INDIRECT("Table!" &amp; $BV$88 &amp; $BJ87),0)),"",INDIRECT(CONCATENATE("Table!",ADDRESS($BN87,MATCH(AG$1,INDIRECT("Table!A" &amp; $BJ87):INDIRECT("Table!" &amp; $BV$88 &amp; $BJ87),0)))))/1024</f>
        <v>177.73222656249999</v>
      </c>
      <c r="AH87" s="709">
        <f ca="1">IF(ISERROR(MATCH(AH$1,INDIRECT("Table!A"&amp;$BJ87):INDIRECT("Table!" &amp; $BV$88 &amp; $BJ87),0)),"",INDIRECT(CONCATENATE("Table!",ADDRESS($BN87,MATCH(AH$1,INDIRECT("Table!A" &amp; $BJ87):INDIRECT("Table!" &amp; $BV$88 &amp; $BJ87),0)))))/1024</f>
        <v>161.57470703125</v>
      </c>
      <c r="AI87" s="709">
        <f ca="1">IF(ISERROR(MATCH(AI$1,INDIRECT("Table!A"&amp;$BJ87):INDIRECT("Table!" &amp; $BV$88 &amp; $BJ87),0)),"",INDIRECT(CONCATENATE("Table!",ADDRESS($BN87,MATCH(AI$1,INDIRECT("Table!A" &amp; $BJ87):INDIRECT("Table!" &amp; $BV$88 &amp; $BJ87),0)))))/1024</f>
        <v>129.03515625</v>
      </c>
      <c r="AJ87" s="709">
        <f ca="1">IF(ISERROR(MATCH(AJ$1,INDIRECT("Table!A"&amp;$BJ87):INDIRECT("Table!" &amp; $BV$88 &amp; $BJ87),0)),"",INDIRECT(CONCATENATE("Table!",ADDRESS($BN87,MATCH(AJ$1,INDIRECT("Table!A" &amp; $BJ87):INDIRECT("Table!" &amp; $BV$88 &amp; $BJ87),0)))))/1024</f>
        <v>118.4880859375</v>
      </c>
      <c r="AK87" s="709"/>
      <c r="AL87" s="709"/>
      <c r="AM87" s="709"/>
      <c r="AN87" s="709">
        <f ca="1">IF(ISERROR(MATCH(AN$1,INDIRECT("Table!A"&amp;$BJ87):INDIRECT("Table!" &amp; $BV$88 &amp; $BJ87),0)),"",INDIRECT(CONCATENATE("Table!",ADDRESS($BN87,MATCH(AN$1,INDIRECT("Table!A" &amp; $BJ87):INDIRECT("Table!" &amp; $BV$88 &amp; $BJ87),0)))))/1024</f>
        <v>188.5029296875</v>
      </c>
      <c r="AO87" s="709">
        <f ca="1">IF(ISERROR(MATCH(AO$1,INDIRECT("Table!A"&amp;$BJ87):INDIRECT("Table!" &amp; $BV$88 &amp; $BJ87),0)),"",INDIRECT(CONCATENATE("Table!",ADDRESS($BN87,MATCH(AO$1,INDIRECT("Table!A" &amp; $BJ87):INDIRECT("Table!" &amp; $BV$88 &amp; $BJ87),0)))))/1024</f>
        <v>129.03535156250001</v>
      </c>
      <c r="AP87" s="709">
        <f ca="1">IF(ISERROR(MATCH(AP$1,INDIRECT("Table!A"&amp;$BJ87):INDIRECT("Table!" &amp; $BV$88 &amp; $BJ87),0)),"",INDIRECT(CONCATENATE("Table!",ADDRESS($BN87,MATCH(AP$1,INDIRECT("Table!A" &amp; $BJ87):INDIRECT("Table!" &amp; $BV$88 &amp; $BJ87),0)))))/1024</f>
        <v>80.787402343750003</v>
      </c>
      <c r="AQ87" s="709">
        <f ca="1">IF(ISERROR(MATCH(AQ$1,INDIRECT("Table!A"&amp;$BJ87):INDIRECT("Table!" &amp; $BV$88 &amp; $BJ87),0)),"",INDIRECT(CONCATENATE("Table!",ADDRESS($BN87,MATCH(AQ$1,INDIRECT("Table!A" &amp; $BJ87):INDIRECT("Table!" &amp; $BV$88 &amp; $BJ87),0)))))/1024</f>
        <v>172.34638671875001</v>
      </c>
      <c r="AR87" s="709"/>
      <c r="AS87" s="709"/>
      <c r="AT87" s="709"/>
      <c r="AU87" s="709"/>
      <c r="AV87" s="704"/>
      <c r="AW87" s="709"/>
      <c r="AX87" s="909"/>
      <c r="AY87" s="909"/>
      <c r="AZ87" s="909"/>
      <c r="BA87" s="909"/>
      <c r="BB87" s="909"/>
      <c r="BC87" s="909"/>
      <c r="BD87" s="909"/>
      <c r="BE87" s="909"/>
      <c r="BF87" s="704">
        <f>MATCH($A87,Table!$A:$A,0)+$BH$2-1</f>
        <v>1075</v>
      </c>
      <c r="BG87" s="705"/>
      <c r="BH87" s="705"/>
      <c r="BI87" s="705"/>
      <c r="BJ87" s="717">
        <f>MATCH($A87,Table!$A:$A,0)+$BL$2-1</f>
        <v>1073</v>
      </c>
      <c r="BK87" s="705"/>
      <c r="BL87" s="705"/>
      <c r="BM87" s="705"/>
      <c r="BN87" s="704">
        <f>MATCH($A87,Table!$A:$A,0)+$BP$2-1</f>
        <v>1074</v>
      </c>
      <c r="BO87" s="705"/>
      <c r="BP87" s="705"/>
      <c r="BQ87" s="705"/>
      <c r="BR87" s="717">
        <f>MATCH($A87,Table!$A:$A,0)+$BL$2-1</f>
        <v>1073</v>
      </c>
      <c r="BS87" s="705"/>
      <c r="BT87" s="705"/>
      <c r="BU87" s="705"/>
      <c r="BV87" s="711" t="s">
        <v>284</v>
      </c>
      <c r="BW87" s="712">
        <f t="shared" ca="1" si="47"/>
        <v>1591.5098632812499</v>
      </c>
      <c r="BX87" s="712">
        <f t="shared" ca="1" si="46"/>
        <v>835.29726562500002</v>
      </c>
      <c r="BY87" s="712">
        <f t="shared" ca="1" si="49"/>
        <v>756.21259765624984</v>
      </c>
      <c r="BZ87" s="718">
        <f t="shared" ca="1" si="50"/>
        <v>0.52484579888361471</v>
      </c>
      <c r="CA87" s="712">
        <f>SUMIF('Alloc Feed'!A:A,A:A,'Alloc Feed'!I:I)</f>
        <v>0</v>
      </c>
      <c r="CB87" s="718">
        <f t="shared" ca="1" si="48"/>
        <v>0</v>
      </c>
    </row>
    <row r="88" spans="1:80" x14ac:dyDescent="0.25">
      <c r="A88" s="703">
        <v>41281</v>
      </c>
      <c r="B88" s="709">
        <f ca="1">IF(ISERROR(MATCH(B$1,INDIRECT("Table!A"&amp;$BJ88):INDIRECT("Table!" &amp; $BV$88 &amp; $BJ88),0)),"",INDIRECT(CONCATENATE("Table!",ADDRESS($BF88,MATCH(B$1,INDIRECT("Table!A" &amp; $BJ88):INDIRECT("Table!" &amp; $BV$88 &amp; $BJ88),0)))))/1024</f>
        <v>39.268652343749999</v>
      </c>
      <c r="C88" s="709">
        <f ca="1">IF(ISERROR(MATCH(C$1,INDIRECT("Table!A"&amp;$BJ88):INDIRECT("Table!" &amp; $BV$88 &amp; $BJ88),0)),"",INDIRECT(CONCATENATE("Table!",ADDRESS($BF88,MATCH(C$1,INDIRECT("Table!A" &amp; $BJ88):INDIRECT("Table!" &amp; $BV$88 &amp; $BJ88),0)))))/1024</f>
        <v>74.3076171875</v>
      </c>
      <c r="D88" s="709">
        <f ca="1">IF(ISERROR(MATCH(D$1,INDIRECT("Table!A"&amp;$BJ88):INDIRECT("Table!" &amp; $BV$88 &amp; $BJ88),0)),"",INDIRECT(CONCATENATE("Table!",ADDRESS($BF88,MATCH(D$1,INDIRECT("Table!A" &amp; $BJ88):INDIRECT("Table!" &amp; $BV$88 &amp; $BJ88),0)))))/1024</f>
        <v>75.688867187499994</v>
      </c>
      <c r="E88" s="709">
        <f ca="1">IF(ISERROR(MATCH(E$1,INDIRECT("Table!A"&amp;$BJ88):INDIRECT("Table!" &amp; $BV$88 &amp; $BJ88),0)),"",INDIRECT(CONCATENATE("Table!",ADDRESS($BF88,MATCH(E$1,INDIRECT("Table!A" &amp; $BJ88):INDIRECT("Table!" &amp; $BV$88 &amp; $BJ88),0)))))/1024</f>
        <v>157.95976562499999</v>
      </c>
      <c r="F88" s="709">
        <f ca="1">IF(ISERROR(MATCH(F$1,INDIRECT("Table!A"&amp;$BJ88):INDIRECT("Table!" &amp; $BV$88 &amp; $BJ88),0)),"",INDIRECT(CONCATENATE("Table!",ADDRESS($BF88,MATCH(F$1,INDIRECT("Table!A" &amp; $BJ88):INDIRECT("Table!" &amp; $BV$88 &amp; $BJ88),0)))))/1024</f>
        <v>72.280371093750006</v>
      </c>
      <c r="G88" s="709">
        <f ca="1">IF(ISERROR(MATCH(G$1,INDIRECT("Table!A"&amp;$BJ88):INDIRECT("Table!" &amp; $BV$88 &amp; $BJ88),0)),"",INDIRECT(CONCATENATE("Table!",ADDRESS($BF88,MATCH(G$1,INDIRECT("Table!A" &amp; $BJ88):INDIRECT("Table!" &amp; $BV$88 &amp; $BJ88),0)))))/1024</f>
        <v>30.283203125</v>
      </c>
      <c r="H88" s="709">
        <f ca="1">IF(ISERROR(MATCH(H$1,INDIRECT("Table!A"&amp;$BJ88):INDIRECT("Table!" &amp; $BV$88 &amp; $BJ88),0)),"",INDIRECT(CONCATENATE("Table!",ADDRESS($BF88,MATCH(H$1,INDIRECT("Table!A" &amp; $BJ88):INDIRECT("Table!" &amp; $BV$88 &amp; $BJ88),0)))))/1024</f>
        <v>52.158496093750003</v>
      </c>
      <c r="I88" s="709"/>
      <c r="J88" s="709"/>
      <c r="K88" s="709"/>
      <c r="L88" s="709">
        <f ca="1">IF(ISERROR(MATCH(L$1,INDIRECT("Table!A"&amp;$BJ88):INDIRECT("Table!" &amp; $BV$88 &amp; $BJ88),0)),"",INDIRECT(CONCATENATE("Table!",ADDRESS($BF88,MATCH(L$1,INDIRECT("Table!A" &amp; $BJ88):INDIRECT("Table!" &amp; $BV$88 &amp; $BJ88),0)))))/1024</f>
        <v>146.97724609375001</v>
      </c>
      <c r="M88" s="709">
        <f ca="1">IF(ISERROR(MATCH(M$1,INDIRECT("Table!A"&amp;$BJ88):INDIRECT("Table!" &amp; $BV$88 &amp; $BJ88),0)),"",INDIRECT(CONCATENATE("Table!",ADDRESS($BF88,MATCH(M$1,INDIRECT("Table!A" &amp; $BJ88):INDIRECT("Table!" &amp; $BV$88 &amp; $BJ88),0)))))/1024</f>
        <v>40.655371093749999</v>
      </c>
      <c r="N88" s="709">
        <f ca="1">IF(ISERROR(MATCH(N$1,INDIRECT("Table!A"&amp;$BJ88):INDIRECT("Table!" &amp; $BV$88 &amp; $BJ88),0)),"",INDIRECT(CONCATENATE("Table!",ADDRESS($BF88,MATCH(N$1,INDIRECT("Table!A" &amp; $BJ88):INDIRECT("Table!" &amp; $BV$88 &amp; $BJ88),0)))))/1024</f>
        <v>37.3037109375</v>
      </c>
      <c r="O88" s="709">
        <f ca="1">IF(ISERROR(MATCH(O$1,INDIRECT("Table!A"&amp;$BJ88):INDIRECT("Table!" &amp; $BV$88 &amp; $BJ88),0)),"",INDIRECT(CONCATENATE("Table!",ADDRESS($BF88,MATCH(O$1,INDIRECT("Table!A" &amp; $BJ88):INDIRECT("Table!" &amp; $BV$88 &amp; $BJ88),0)))))/1024</f>
        <v>104.936328125</v>
      </c>
      <c r="P88" s="709"/>
      <c r="Q88" s="709"/>
      <c r="R88" s="709"/>
      <c r="S88" s="709"/>
      <c r="T88" s="709"/>
      <c r="U88" s="709"/>
      <c r="V88" s="909"/>
      <c r="W88" s="909"/>
      <c r="X88" s="909"/>
      <c r="Y88" s="909"/>
      <c r="Z88" s="909"/>
      <c r="AA88" s="909"/>
      <c r="AB88" s="909"/>
      <c r="AC88" s="709" t="str">
        <f ca="1">IF(ISERROR(MATCH(AC$1,INDIRECT("Table!A"&amp;$BJ88):INDIRECT("Table!" &amp; $BV$88 &amp; $BJ88),0)),"",INDIRECT(CONCATENATE("Table!",ADDRESS($BF88,MATCH(AC$1,INDIRECT("Table!A" &amp; $BJ88):INDIRECT("Table!" &amp; $BV$88 &amp; $BJ88),0)))))</f>
        <v/>
      </c>
      <c r="AD88" s="709">
        <f ca="1">IF(ISERROR(MATCH(AD$1,INDIRECT("Table!A"&amp;$BJ88):INDIRECT("Table!" &amp; $BV$88 &amp; $BJ88),0)),"",INDIRECT(CONCATENATE("Table!",ADDRESS($BN88,MATCH(AD$1,INDIRECT("Table!A" &amp; $BJ88):INDIRECT("Table!" &amp; $BV$88 &amp; $BJ88),0)))))/1024</f>
        <v>140.03144531250001</v>
      </c>
      <c r="AE88" s="709">
        <f ca="1">IF(ISERROR(MATCH(AE$1,INDIRECT("Table!A"&amp;$BJ88):INDIRECT("Table!" &amp; $BV$88 &amp; $BJ88),0)),"",INDIRECT(CONCATENATE("Table!",ADDRESS($BN88,MATCH(AE$1,INDIRECT("Table!A" &amp; $BJ88):INDIRECT("Table!" &amp; $BV$88 &amp; $BJ88),0)))))/1024</f>
        <v>146.98808593749999</v>
      </c>
      <c r="AF88" s="709">
        <f ca="1">IF(ISERROR(MATCH(AF$1,INDIRECT("Table!A"&amp;$BJ88):INDIRECT("Table!" &amp; $BV$88 &amp; $BJ88),0)),"",INDIRECT(CONCATENATE("Table!",ADDRESS($BN88,MATCH(AF$1,INDIRECT("Table!A" &amp; $BJ88):INDIRECT("Table!" &amp; $BV$88 &amp; $BJ88),0)))))/1024</f>
        <v>146.98808593749999</v>
      </c>
      <c r="AG88" s="709">
        <f ca="1">IF(ISERROR(MATCH(AG$1,INDIRECT("Table!A"&amp;$BJ88):INDIRECT("Table!" &amp; $BV$88 &amp; $BJ88),0)),"",INDIRECT(CONCATENATE("Table!",ADDRESS($BN88,MATCH(AG$1,INDIRECT("Table!A" &amp; $BJ88):INDIRECT("Table!" &amp; $BV$88 &amp; $BJ88),0)))))/1024</f>
        <v>177.73222656249999</v>
      </c>
      <c r="AH88" s="709">
        <f ca="1">IF(ISERROR(MATCH(AH$1,INDIRECT("Table!A"&amp;$BJ88):INDIRECT("Table!" &amp; $BV$88 &amp; $BJ88),0)),"",INDIRECT(CONCATENATE("Table!",ADDRESS($BN88,MATCH(AH$1,INDIRECT("Table!A" &amp; $BJ88):INDIRECT("Table!" &amp; $BV$88 &amp; $BJ88),0)))))/1024</f>
        <v>161.57470703125</v>
      </c>
      <c r="AI88" s="709">
        <f ca="1">IF(ISERROR(MATCH(AI$1,INDIRECT("Table!A"&amp;$BJ88):INDIRECT("Table!" &amp; $BV$88 &amp; $BJ88),0)),"",INDIRECT(CONCATENATE("Table!",ADDRESS($BN88,MATCH(AI$1,INDIRECT("Table!A" &amp; $BJ88):INDIRECT("Table!" &amp; $BV$88 &amp; $BJ88),0)))))/1024</f>
        <v>129.03515625</v>
      </c>
      <c r="AJ88" s="709">
        <f ca="1">IF(ISERROR(MATCH(AJ$1,INDIRECT("Table!A"&amp;$BJ88):INDIRECT("Table!" &amp; $BV$88 &amp; $BJ88),0)),"",INDIRECT(CONCATENATE("Table!",ADDRESS($BN88,MATCH(AJ$1,INDIRECT("Table!A" &amp; $BJ88):INDIRECT("Table!" &amp; $BV$88 &amp; $BJ88),0)))))/1024</f>
        <v>118.4880859375</v>
      </c>
      <c r="AK88" s="709"/>
      <c r="AL88" s="709"/>
      <c r="AM88" s="709"/>
      <c r="AN88" s="709">
        <f ca="1">IF(ISERROR(MATCH(AN$1,INDIRECT("Table!A"&amp;$BJ88):INDIRECT("Table!" &amp; $BV$88 &amp; $BJ88),0)),"",INDIRECT(CONCATENATE("Table!",ADDRESS($BN88,MATCH(AN$1,INDIRECT("Table!A" &amp; $BJ88):INDIRECT("Table!" &amp; $BV$88 &amp; $BJ88),0)))))/1024</f>
        <v>188.5029296875</v>
      </c>
      <c r="AO88" s="709">
        <f ca="1">IF(ISERROR(MATCH(AO$1,INDIRECT("Table!A"&amp;$BJ88):INDIRECT("Table!" &amp; $BV$88 &amp; $BJ88),0)),"",INDIRECT(CONCATENATE("Table!",ADDRESS($BN88,MATCH(AO$1,INDIRECT("Table!A" &amp; $BJ88):INDIRECT("Table!" &amp; $BV$88 &amp; $BJ88),0)))))/1024</f>
        <v>129.03535156250001</v>
      </c>
      <c r="AP88" s="709">
        <f ca="1">IF(ISERROR(MATCH(AP$1,INDIRECT("Table!A"&amp;$BJ88):INDIRECT("Table!" &amp; $BV$88 &amp; $BJ88),0)),"",INDIRECT(CONCATENATE("Table!",ADDRESS($BN88,MATCH(AP$1,INDIRECT("Table!A" &amp; $BJ88):INDIRECT("Table!" &amp; $BV$88 &amp; $BJ88),0)))))/1024</f>
        <v>80.787402343750003</v>
      </c>
      <c r="AQ88" s="709">
        <f ca="1">IF(ISERROR(MATCH(AQ$1,INDIRECT("Table!A"&amp;$BJ88):INDIRECT("Table!" &amp; $BV$88 &amp; $BJ88),0)),"",INDIRECT(CONCATENATE("Table!",ADDRESS($BN88,MATCH(AQ$1,INDIRECT("Table!A" &amp; $BJ88):INDIRECT("Table!" &amp; $BV$88 &amp; $BJ88),0)))))/1024</f>
        <v>172.34638671875001</v>
      </c>
      <c r="AR88" s="709"/>
      <c r="AS88" s="709"/>
      <c r="AT88" s="709"/>
      <c r="AU88" s="709"/>
      <c r="AV88" s="704"/>
      <c r="AW88" s="709"/>
      <c r="AX88" s="909"/>
      <c r="AY88" s="909"/>
      <c r="AZ88" s="909"/>
      <c r="BA88" s="909"/>
      <c r="BB88" s="909"/>
      <c r="BC88" s="909"/>
      <c r="BD88" s="909"/>
      <c r="BE88" s="909"/>
      <c r="BF88" s="704">
        <f>MATCH($A88,Table!$A:$A,0)+$BH$2-1</f>
        <v>1087</v>
      </c>
      <c r="BG88" s="705"/>
      <c r="BH88" s="705"/>
      <c r="BI88" s="705"/>
      <c r="BJ88" s="717">
        <f>MATCH($A88,Table!$A:$A,0)+$BL$2-1</f>
        <v>1085</v>
      </c>
      <c r="BK88" s="705"/>
      <c r="BL88" s="705"/>
      <c r="BM88" s="705"/>
      <c r="BN88" s="704">
        <f>MATCH($A88,Table!$A:$A,0)+$BP$2-1</f>
        <v>1086</v>
      </c>
      <c r="BO88" s="705"/>
      <c r="BP88" s="705"/>
      <c r="BQ88" s="705"/>
      <c r="BR88" s="717">
        <f>MATCH($A88,Table!$A:$A,0)+$BL$2-1</f>
        <v>1085</v>
      </c>
      <c r="BS88" s="705"/>
      <c r="BT88" s="705"/>
      <c r="BU88" s="705"/>
      <c r="BV88" s="711" t="s">
        <v>284</v>
      </c>
      <c r="BW88" s="712">
        <f t="shared" ca="1" si="47"/>
        <v>1591.5098632812499</v>
      </c>
      <c r="BX88" s="712">
        <f t="shared" ca="1" si="46"/>
        <v>831.81962890625005</v>
      </c>
      <c r="BY88" s="712">
        <f t="shared" ca="1" si="49"/>
        <v>759.69023437499982</v>
      </c>
      <c r="BZ88" s="718">
        <f t="shared" ca="1" si="50"/>
        <v>0.5226606809657276</v>
      </c>
      <c r="CA88" s="712">
        <f>SUMIF('Alloc Feed'!A:A,A:A,'Alloc Feed'!I:I)</f>
        <v>0</v>
      </c>
      <c r="CB88" s="718">
        <f t="shared" ca="1" si="48"/>
        <v>0</v>
      </c>
    </row>
    <row r="89" spans="1:80" x14ac:dyDescent="0.25">
      <c r="A89" s="4"/>
      <c r="B89" s="26"/>
      <c r="C89" s="26"/>
      <c r="D89" s="26"/>
      <c r="E89" s="26"/>
      <c r="F89" s="26"/>
      <c r="G89" s="26"/>
      <c r="H89" s="26"/>
      <c r="I89" s="274"/>
      <c r="J89" s="274"/>
      <c r="K89" s="26"/>
      <c r="L89" s="26"/>
      <c r="M89" s="26"/>
      <c r="N89" s="26"/>
      <c r="O89" s="274"/>
      <c r="P89" s="274"/>
      <c r="Q89" s="274"/>
      <c r="R89" s="274"/>
      <c r="S89" s="597"/>
      <c r="T89" s="597"/>
      <c r="U89" s="26"/>
      <c r="V89" s="597"/>
      <c r="W89" s="597"/>
      <c r="X89" s="597"/>
      <c r="Y89" s="597"/>
      <c r="Z89" s="597"/>
      <c r="AA89" s="597"/>
      <c r="AB89" s="597"/>
      <c r="AC89" s="26"/>
      <c r="AD89" s="26"/>
      <c r="AE89" s="26"/>
      <c r="AF89" s="26"/>
      <c r="AG89" s="26"/>
      <c r="AH89" s="26"/>
      <c r="AI89" s="274"/>
      <c r="AJ89" s="274"/>
      <c r="AK89" s="26"/>
      <c r="AL89" s="26"/>
      <c r="AM89" s="26"/>
      <c r="AN89" s="26"/>
      <c r="AO89" s="26"/>
      <c r="AP89" s="274"/>
      <c r="AQ89" s="274"/>
      <c r="AR89" s="10"/>
      <c r="AS89" s="10"/>
      <c r="BF89" s="22"/>
      <c r="BJ89" s="10"/>
      <c r="BN89" s="22"/>
      <c r="BR89" s="51"/>
    </row>
    <row r="90" spans="1:80" x14ac:dyDescent="0.25">
      <c r="A90" s="4"/>
      <c r="B90" s="26"/>
      <c r="C90" s="26"/>
      <c r="D90" s="26"/>
      <c r="E90" s="26"/>
      <c r="F90" s="26"/>
      <c r="G90" s="26"/>
      <c r="H90" s="26"/>
      <c r="I90" s="274"/>
      <c r="J90" s="274"/>
      <c r="K90" s="26"/>
      <c r="L90" s="26"/>
      <c r="M90" s="26"/>
      <c r="N90" s="26"/>
      <c r="O90" s="274"/>
      <c r="P90" s="274"/>
      <c r="Q90" s="274"/>
      <c r="R90" s="274"/>
      <c r="S90" s="597"/>
      <c r="T90" s="597"/>
      <c r="U90" s="26"/>
      <c r="V90" s="597"/>
      <c r="W90" s="597"/>
      <c r="X90" s="597"/>
      <c r="Y90" s="597"/>
      <c r="Z90" s="597"/>
      <c r="AA90" s="597"/>
      <c r="AB90" s="597"/>
      <c r="AC90" s="26"/>
      <c r="AD90" s="26"/>
      <c r="AE90" s="26"/>
      <c r="AF90" s="26"/>
      <c r="AG90" s="26"/>
      <c r="AH90" s="26"/>
      <c r="AI90" s="274"/>
      <c r="AJ90" s="274"/>
      <c r="AK90" s="26"/>
      <c r="AL90" s="26"/>
      <c r="AM90" s="26"/>
      <c r="AN90" s="26"/>
      <c r="AO90" s="26"/>
      <c r="AP90" s="274"/>
      <c r="AQ90" s="274"/>
      <c r="AR90" s="10"/>
      <c r="AS90" s="10"/>
      <c r="BF90" s="22"/>
      <c r="BJ90" s="10"/>
      <c r="BN90" s="22"/>
      <c r="BR90" s="50"/>
    </row>
    <row r="91" spans="1:80" x14ac:dyDescent="0.25">
      <c r="A91" s="4"/>
      <c r="B91" s="26"/>
      <c r="C91" s="26"/>
      <c r="D91" s="26"/>
      <c r="E91" s="26"/>
      <c r="F91" s="26"/>
      <c r="G91" s="26"/>
      <c r="H91" s="26"/>
      <c r="I91" s="274"/>
      <c r="J91" s="274"/>
      <c r="K91" s="26"/>
      <c r="L91" s="26"/>
      <c r="M91" s="26"/>
      <c r="N91" s="26"/>
      <c r="O91" s="274"/>
      <c r="P91" s="274"/>
      <c r="Q91" s="274"/>
      <c r="R91" s="274"/>
      <c r="S91" s="597"/>
      <c r="T91" s="597"/>
      <c r="U91" s="26"/>
      <c r="V91" s="597"/>
      <c r="W91" s="597"/>
      <c r="X91" s="597"/>
      <c r="Y91" s="597"/>
      <c r="Z91" s="597"/>
      <c r="AA91" s="597"/>
      <c r="AB91" s="597"/>
      <c r="AC91" s="26"/>
      <c r="AD91" s="26"/>
      <c r="AE91" s="26"/>
      <c r="AF91" s="26"/>
      <c r="AG91" s="26"/>
      <c r="AH91" s="26"/>
      <c r="AI91" s="274"/>
      <c r="AJ91" s="274"/>
      <c r="AK91" s="26"/>
      <c r="AL91" s="26"/>
      <c r="AM91" s="26"/>
      <c r="AN91" s="26"/>
      <c r="AO91" s="26"/>
      <c r="AP91" s="274"/>
      <c r="AQ91" s="274"/>
      <c r="AR91" s="10"/>
      <c r="AS91" s="10"/>
      <c r="BF91" s="22"/>
      <c r="BJ91" s="10"/>
      <c r="BN91" s="22"/>
      <c r="BR91" s="49"/>
    </row>
    <row r="92" spans="1:80" x14ac:dyDescent="0.25">
      <c r="A92" s="4"/>
      <c r="B92" s="26"/>
      <c r="C92" s="26"/>
      <c r="D92" s="26"/>
      <c r="E92" s="26"/>
      <c r="F92" s="26"/>
      <c r="G92" s="26"/>
      <c r="H92" s="26"/>
      <c r="I92" s="274"/>
      <c r="J92" s="274"/>
      <c r="K92" s="26"/>
      <c r="L92" s="26"/>
      <c r="M92" s="26"/>
      <c r="N92" s="26"/>
      <c r="O92" s="274"/>
      <c r="P92" s="274"/>
      <c r="Q92" s="274"/>
      <c r="R92" s="274"/>
      <c r="S92" s="597"/>
      <c r="T92" s="597"/>
      <c r="U92" s="26"/>
      <c r="V92" s="597"/>
      <c r="W92" s="597"/>
      <c r="X92" s="597"/>
      <c r="Y92" s="597"/>
      <c r="Z92" s="597"/>
      <c r="AA92" s="597"/>
      <c r="AB92" s="597"/>
      <c r="AC92" s="26"/>
      <c r="AD92" s="26"/>
      <c r="AE92" s="26"/>
      <c r="AF92" s="26"/>
      <c r="AG92" s="26"/>
      <c r="AH92" s="26"/>
      <c r="AI92" s="274"/>
      <c r="AJ92" s="274"/>
      <c r="AK92" s="26"/>
      <c r="AL92" s="26"/>
      <c r="AM92" s="26"/>
      <c r="AN92" s="26"/>
      <c r="AO92" s="26"/>
      <c r="AP92" s="274"/>
      <c r="AQ92" s="274"/>
      <c r="AR92" s="10"/>
      <c r="AS92" s="10"/>
      <c r="BF92" s="22"/>
      <c r="BJ92" s="10"/>
      <c r="BN92" s="22"/>
      <c r="BR92" s="48"/>
    </row>
    <row r="93" spans="1:80" x14ac:dyDescent="0.25">
      <c r="A93" s="4"/>
      <c r="B93" s="26"/>
      <c r="C93" s="26"/>
      <c r="D93" s="26"/>
      <c r="E93" s="26"/>
      <c r="F93" s="26"/>
      <c r="G93" s="26"/>
      <c r="H93" s="26"/>
      <c r="I93" s="274"/>
      <c r="J93" s="274"/>
      <c r="K93" s="26"/>
      <c r="L93" s="26"/>
      <c r="M93" s="26"/>
      <c r="N93" s="26"/>
      <c r="O93" s="274"/>
      <c r="P93" s="274"/>
      <c r="Q93" s="274"/>
      <c r="R93" s="274"/>
      <c r="S93" s="597"/>
      <c r="T93" s="597"/>
      <c r="U93" s="26"/>
      <c r="V93" s="597"/>
      <c r="W93" s="597"/>
      <c r="X93" s="597"/>
      <c r="Y93" s="597"/>
      <c r="Z93" s="597"/>
      <c r="AA93" s="597"/>
      <c r="AB93" s="597"/>
      <c r="AC93" s="26"/>
      <c r="AD93" s="26"/>
      <c r="AE93" s="26"/>
      <c r="AF93" s="26"/>
      <c r="AG93" s="26"/>
      <c r="AH93" s="26"/>
      <c r="AI93" s="274"/>
      <c r="AJ93" s="274"/>
      <c r="AK93" s="26"/>
      <c r="AL93" s="26"/>
      <c r="AM93" s="26"/>
      <c r="AN93" s="26"/>
      <c r="AO93" s="26"/>
      <c r="AP93" s="274"/>
      <c r="AQ93" s="274"/>
      <c r="AR93" s="10"/>
      <c r="AS93" s="10"/>
      <c r="BF93" s="22"/>
      <c r="BJ93" s="10"/>
      <c r="BN93" s="22"/>
      <c r="BR93" s="47"/>
    </row>
    <row r="94" spans="1:80" x14ac:dyDescent="0.25">
      <c r="A94" s="4"/>
      <c r="B94" s="26"/>
      <c r="C94" s="26"/>
      <c r="D94" s="26"/>
      <c r="E94" s="26"/>
      <c r="F94" s="26"/>
      <c r="G94" s="26"/>
      <c r="H94" s="26"/>
      <c r="I94" s="274"/>
      <c r="J94" s="274"/>
      <c r="K94" s="26"/>
      <c r="L94" s="26"/>
      <c r="M94" s="26"/>
      <c r="N94" s="26"/>
      <c r="O94" s="274"/>
      <c r="P94" s="274"/>
      <c r="Q94" s="274"/>
      <c r="R94" s="274"/>
      <c r="S94" s="597"/>
      <c r="T94" s="597"/>
      <c r="U94" s="26"/>
      <c r="V94" s="597"/>
      <c r="W94" s="597"/>
      <c r="X94" s="597"/>
      <c r="Y94" s="597"/>
      <c r="Z94" s="597"/>
      <c r="AA94" s="597"/>
      <c r="AB94" s="597"/>
      <c r="AC94" s="26"/>
      <c r="AD94" s="26"/>
      <c r="AE94" s="26"/>
      <c r="AF94" s="26"/>
      <c r="AG94" s="26"/>
      <c r="AH94" s="26"/>
      <c r="AI94" s="274"/>
      <c r="AJ94" s="274"/>
      <c r="AK94" s="26"/>
      <c r="AL94" s="26"/>
      <c r="AM94" s="26"/>
      <c r="AN94" s="26"/>
      <c r="AO94" s="26"/>
      <c r="AP94" s="274"/>
      <c r="AQ94" s="274"/>
      <c r="AR94" s="10"/>
      <c r="AS94" s="10"/>
      <c r="BF94" s="22"/>
      <c r="BJ94" s="10"/>
      <c r="BN94" s="22"/>
      <c r="BR94" s="46"/>
    </row>
    <row r="95" spans="1:80" x14ac:dyDescent="0.25">
      <c r="A95" s="4"/>
      <c r="B95" s="26"/>
      <c r="C95" s="26"/>
      <c r="D95" s="26"/>
      <c r="E95" s="26"/>
      <c r="F95" s="26"/>
      <c r="G95" s="26"/>
      <c r="H95" s="26"/>
      <c r="I95" s="274"/>
      <c r="J95" s="274"/>
      <c r="K95" s="26"/>
      <c r="L95" s="26"/>
      <c r="M95" s="26"/>
      <c r="N95" s="26"/>
      <c r="O95" s="274"/>
      <c r="P95" s="274"/>
      <c r="Q95" s="274"/>
      <c r="R95" s="274"/>
      <c r="S95" s="597"/>
      <c r="T95" s="597"/>
      <c r="U95" s="26"/>
      <c r="V95" s="597"/>
      <c r="W95" s="597"/>
      <c r="X95" s="597"/>
      <c r="Y95" s="597"/>
      <c r="Z95" s="597"/>
      <c r="AA95" s="597"/>
      <c r="AB95" s="597"/>
      <c r="AC95" s="26"/>
      <c r="AD95" s="26"/>
      <c r="AE95" s="26"/>
      <c r="AF95" s="26"/>
      <c r="AG95" s="26"/>
      <c r="AH95" s="26"/>
      <c r="AI95" s="274"/>
      <c r="AJ95" s="274"/>
      <c r="AK95" s="26"/>
      <c r="AL95" s="26"/>
      <c r="AM95" s="26"/>
      <c r="AN95" s="26"/>
      <c r="AO95" s="26"/>
      <c r="AP95" s="274"/>
      <c r="AQ95" s="274"/>
      <c r="AR95" s="10"/>
      <c r="AS95" s="10"/>
      <c r="BF95" s="22"/>
      <c r="BJ95" s="10"/>
      <c r="BN95" s="22"/>
      <c r="BR95" s="45"/>
    </row>
    <row r="96" spans="1:80" x14ac:dyDescent="0.25">
      <c r="A96" s="4"/>
      <c r="B96" s="26"/>
      <c r="C96" s="26"/>
      <c r="D96" s="26"/>
      <c r="E96" s="26"/>
      <c r="F96" s="26"/>
      <c r="G96" s="26"/>
      <c r="H96" s="26"/>
      <c r="I96" s="274"/>
      <c r="J96" s="274"/>
      <c r="K96" s="26"/>
      <c r="L96" s="26"/>
      <c r="M96" s="26"/>
      <c r="N96" s="26"/>
      <c r="O96" s="274"/>
      <c r="P96" s="274"/>
      <c r="Q96" s="274"/>
      <c r="R96" s="274"/>
      <c r="S96" s="597"/>
      <c r="T96" s="597"/>
      <c r="U96" s="26"/>
      <c r="V96" s="597"/>
      <c r="W96" s="597"/>
      <c r="X96" s="597"/>
      <c r="Y96" s="597"/>
      <c r="Z96" s="597"/>
      <c r="AA96" s="597"/>
      <c r="AB96" s="597"/>
      <c r="AC96" s="26"/>
      <c r="AD96" s="26"/>
      <c r="AE96" s="26"/>
      <c r="AF96" s="26"/>
      <c r="AG96" s="26"/>
      <c r="AH96" s="26"/>
      <c r="AI96" s="274"/>
      <c r="AJ96" s="274"/>
      <c r="AK96" s="26"/>
      <c r="AL96" s="26"/>
      <c r="AM96" s="26"/>
      <c r="AN96" s="26"/>
      <c r="AO96" s="26"/>
      <c r="AP96" s="274"/>
      <c r="AQ96" s="274"/>
      <c r="AR96" s="10"/>
      <c r="AS96" s="10"/>
      <c r="BF96" s="22"/>
      <c r="BJ96" s="10"/>
      <c r="BN96" s="22"/>
      <c r="BR96" s="45"/>
    </row>
    <row r="97" spans="1:70" x14ac:dyDescent="0.25">
      <c r="A97" s="4"/>
      <c r="B97" s="26"/>
      <c r="C97" s="26"/>
      <c r="D97" s="26"/>
      <c r="E97" s="26"/>
      <c r="F97" s="26"/>
      <c r="G97" s="26"/>
      <c r="H97" s="26"/>
      <c r="I97" s="274"/>
      <c r="J97" s="274"/>
      <c r="K97" s="26"/>
      <c r="L97" s="26"/>
      <c r="M97" s="26"/>
      <c r="N97" s="26"/>
      <c r="O97" s="274"/>
      <c r="P97" s="274"/>
      <c r="Q97" s="274"/>
      <c r="R97" s="274"/>
      <c r="S97" s="597"/>
      <c r="T97" s="597"/>
      <c r="U97" s="26"/>
      <c r="V97" s="597"/>
      <c r="W97" s="597"/>
      <c r="X97" s="597"/>
      <c r="Y97" s="597"/>
      <c r="Z97" s="597"/>
      <c r="AA97" s="597"/>
      <c r="AB97" s="597"/>
      <c r="AC97" s="26"/>
      <c r="AD97" s="26"/>
      <c r="AE97" s="26"/>
      <c r="AF97" s="26"/>
      <c r="AG97" s="26"/>
      <c r="AH97" s="26"/>
      <c r="AI97" s="274"/>
      <c r="AJ97" s="274"/>
      <c r="AK97" s="26"/>
      <c r="AL97" s="26"/>
      <c r="AM97" s="26"/>
      <c r="AN97" s="26"/>
      <c r="AO97" s="26"/>
      <c r="AP97" s="274"/>
      <c r="AQ97" s="274"/>
      <c r="AR97" s="10"/>
      <c r="AS97" s="10"/>
      <c r="BF97" s="22"/>
      <c r="BJ97" s="10"/>
      <c r="BN97" s="22"/>
      <c r="BR97" s="44"/>
    </row>
    <row r="98" spans="1:70" x14ac:dyDescent="0.25">
      <c r="A98" s="4"/>
      <c r="B98" s="26"/>
      <c r="C98" s="26"/>
      <c r="D98" s="26"/>
      <c r="E98" s="26"/>
      <c r="F98" s="26"/>
      <c r="G98" s="26"/>
      <c r="H98" s="26"/>
      <c r="I98" s="274"/>
      <c r="J98" s="274"/>
      <c r="K98" s="26"/>
      <c r="L98" s="26"/>
      <c r="M98" s="26"/>
      <c r="N98" s="26"/>
      <c r="O98" s="274"/>
      <c r="P98" s="274"/>
      <c r="Q98" s="274"/>
      <c r="R98" s="274"/>
      <c r="S98" s="597"/>
      <c r="T98" s="597"/>
      <c r="U98" s="26"/>
      <c r="V98" s="597"/>
      <c r="W98" s="597"/>
      <c r="X98" s="597"/>
      <c r="Y98" s="597"/>
      <c r="Z98" s="597"/>
      <c r="AA98" s="597"/>
      <c r="AB98" s="597"/>
      <c r="AC98" s="26"/>
      <c r="AD98" s="26"/>
      <c r="AE98" s="26"/>
      <c r="AF98" s="26"/>
      <c r="AG98" s="26"/>
      <c r="AH98" s="26"/>
      <c r="AI98" s="274"/>
      <c r="AJ98" s="274"/>
      <c r="AK98" s="26"/>
      <c r="AL98" s="26"/>
      <c r="AM98" s="26"/>
      <c r="AN98" s="26"/>
      <c r="AO98" s="26"/>
      <c r="AP98" s="274"/>
      <c r="AQ98" s="274"/>
      <c r="AR98" s="10"/>
      <c r="AS98" s="10"/>
      <c r="BF98" s="22"/>
      <c r="BJ98" s="10"/>
      <c r="BN98" s="22"/>
      <c r="BR98" s="43"/>
    </row>
    <row r="99" spans="1:70" x14ac:dyDescent="0.25">
      <c r="A99" s="4"/>
      <c r="B99" s="26"/>
      <c r="C99" s="26"/>
      <c r="D99" s="26"/>
      <c r="E99" s="26"/>
      <c r="F99" s="26"/>
      <c r="G99" s="26"/>
      <c r="H99" s="26"/>
      <c r="I99" s="274"/>
      <c r="J99" s="274"/>
      <c r="K99" s="26"/>
      <c r="L99" s="26"/>
      <c r="M99" s="26"/>
      <c r="N99" s="26"/>
      <c r="O99" s="274"/>
      <c r="P99" s="274"/>
      <c r="Q99" s="274"/>
      <c r="R99" s="274"/>
      <c r="S99" s="597"/>
      <c r="T99" s="597"/>
      <c r="U99" s="26"/>
      <c r="V99" s="597"/>
      <c r="W99" s="597"/>
      <c r="X99" s="597"/>
      <c r="Y99" s="597"/>
      <c r="Z99" s="597"/>
      <c r="AA99" s="597"/>
      <c r="AB99" s="597"/>
      <c r="AC99" s="26"/>
      <c r="AD99" s="26"/>
      <c r="AE99" s="26"/>
      <c r="AF99" s="26"/>
      <c r="AG99" s="26"/>
      <c r="AH99" s="26"/>
      <c r="AI99" s="274"/>
      <c r="AJ99" s="274"/>
      <c r="AK99" s="26"/>
      <c r="AL99" s="26"/>
      <c r="AM99" s="26"/>
      <c r="AN99" s="26"/>
      <c r="AO99" s="26"/>
      <c r="AP99" s="274"/>
      <c r="AQ99" s="274"/>
      <c r="AR99" s="10"/>
      <c r="AS99" s="10"/>
      <c r="BF99" s="22"/>
      <c r="BJ99" s="10"/>
      <c r="BN99" s="22"/>
      <c r="BR99" s="43"/>
    </row>
    <row r="100" spans="1:70" x14ac:dyDescent="0.25">
      <c r="A100" s="4"/>
      <c r="B100" s="26"/>
      <c r="C100" s="26"/>
      <c r="D100" s="26"/>
      <c r="E100" s="26"/>
      <c r="F100" s="26"/>
      <c r="G100" s="26"/>
      <c r="H100" s="26"/>
      <c r="I100" s="274"/>
      <c r="J100" s="274"/>
      <c r="K100" s="26"/>
      <c r="L100" s="26"/>
      <c r="M100" s="26"/>
      <c r="N100" s="26"/>
      <c r="O100" s="274"/>
      <c r="P100" s="274"/>
      <c r="Q100" s="274"/>
      <c r="R100" s="274"/>
      <c r="S100" s="597"/>
      <c r="T100" s="597"/>
      <c r="U100" s="26"/>
      <c r="V100" s="597"/>
      <c r="W100" s="597"/>
      <c r="X100" s="597"/>
      <c r="Y100" s="597"/>
      <c r="Z100" s="597"/>
      <c r="AA100" s="597"/>
      <c r="AB100" s="597"/>
      <c r="AC100" s="26"/>
      <c r="AD100" s="26"/>
      <c r="AE100" s="26"/>
      <c r="AF100" s="26"/>
      <c r="AG100" s="26"/>
      <c r="AH100" s="26"/>
      <c r="AI100" s="274"/>
      <c r="AJ100" s="274"/>
      <c r="AK100" s="26"/>
      <c r="AL100" s="26"/>
      <c r="AM100" s="26"/>
      <c r="AN100" s="26"/>
      <c r="AO100" s="26"/>
      <c r="AP100" s="274"/>
      <c r="AQ100" s="274"/>
      <c r="AR100" s="10"/>
      <c r="AS100" s="10"/>
      <c r="BF100" s="22"/>
      <c r="BJ100" s="10"/>
      <c r="BN100" s="22"/>
      <c r="BR100" s="42"/>
    </row>
    <row r="101" spans="1:70" x14ac:dyDescent="0.25">
      <c r="A101" s="4"/>
      <c r="B101" s="26"/>
      <c r="C101" s="26"/>
      <c r="D101" s="26"/>
      <c r="E101" s="26"/>
      <c r="F101" s="26"/>
      <c r="G101" s="26"/>
      <c r="H101" s="26"/>
      <c r="I101" s="274"/>
      <c r="J101" s="274"/>
      <c r="K101" s="26"/>
      <c r="L101" s="26"/>
      <c r="M101" s="26"/>
      <c r="N101" s="26"/>
      <c r="O101" s="274"/>
      <c r="P101" s="274"/>
      <c r="Q101" s="274"/>
      <c r="R101" s="274"/>
      <c r="S101" s="597"/>
      <c r="T101" s="597"/>
      <c r="U101" s="26"/>
      <c r="V101" s="597"/>
      <c r="W101" s="597"/>
      <c r="X101" s="597"/>
      <c r="Y101" s="597"/>
      <c r="Z101" s="597"/>
      <c r="AA101" s="597"/>
      <c r="AB101" s="597"/>
      <c r="AC101" s="26"/>
      <c r="AD101" s="26"/>
      <c r="AE101" s="26"/>
      <c r="AF101" s="26"/>
      <c r="AG101" s="26"/>
      <c r="AH101" s="26"/>
      <c r="AI101" s="274"/>
      <c r="AJ101" s="274"/>
      <c r="AK101" s="26"/>
      <c r="AL101" s="26"/>
      <c r="AM101" s="26"/>
      <c r="AN101" s="26"/>
      <c r="AO101" s="26"/>
      <c r="AP101" s="274"/>
      <c r="AQ101" s="274"/>
      <c r="AR101" s="10"/>
      <c r="AS101" s="10"/>
      <c r="BF101" s="22"/>
      <c r="BJ101" s="10"/>
      <c r="BN101" s="22"/>
      <c r="BR101" s="41"/>
    </row>
    <row r="102" spans="1:70" x14ac:dyDescent="0.25">
      <c r="A102" s="4"/>
      <c r="B102" s="26"/>
      <c r="C102" s="26"/>
      <c r="D102" s="26"/>
      <c r="E102" s="26"/>
      <c r="F102" s="26"/>
      <c r="G102" s="26"/>
      <c r="H102" s="26"/>
      <c r="I102" s="274"/>
      <c r="J102" s="274"/>
      <c r="K102" s="26"/>
      <c r="L102" s="26"/>
      <c r="M102" s="26"/>
      <c r="N102" s="26"/>
      <c r="O102" s="274"/>
      <c r="P102" s="274"/>
      <c r="Q102" s="274"/>
      <c r="R102" s="274"/>
      <c r="S102" s="597"/>
      <c r="T102" s="597"/>
      <c r="U102" s="26"/>
      <c r="V102" s="597"/>
      <c r="W102" s="597"/>
      <c r="X102" s="597"/>
      <c r="Y102" s="597"/>
      <c r="Z102" s="597"/>
      <c r="AA102" s="597"/>
      <c r="AB102" s="597"/>
      <c r="AC102" s="26"/>
      <c r="AD102" s="26"/>
      <c r="AE102" s="26"/>
      <c r="AF102" s="26"/>
      <c r="AG102" s="26"/>
      <c r="AH102" s="26"/>
      <c r="AI102" s="274"/>
      <c r="AJ102" s="274"/>
      <c r="AK102" s="26"/>
      <c r="AL102" s="26"/>
      <c r="AM102" s="26"/>
      <c r="AN102" s="26"/>
      <c r="AO102" s="26"/>
      <c r="AP102" s="274"/>
      <c r="AQ102" s="274"/>
      <c r="AR102" s="10"/>
      <c r="AS102" s="10"/>
      <c r="BF102" s="22"/>
      <c r="BJ102" s="10"/>
      <c r="BN102" s="22"/>
      <c r="BR102" s="40"/>
    </row>
    <row r="103" spans="1:70" x14ac:dyDescent="0.25">
      <c r="A103" s="4"/>
      <c r="B103" s="26"/>
      <c r="C103" s="26"/>
      <c r="D103" s="26"/>
      <c r="E103" s="26"/>
      <c r="F103" s="26"/>
      <c r="G103" s="26"/>
      <c r="H103" s="26"/>
      <c r="I103" s="274"/>
      <c r="J103" s="274"/>
      <c r="K103" s="26"/>
      <c r="L103" s="26"/>
      <c r="M103" s="26"/>
      <c r="N103" s="26"/>
      <c r="O103" s="274"/>
      <c r="P103" s="274"/>
      <c r="Q103" s="274"/>
      <c r="R103" s="274"/>
      <c r="S103" s="597"/>
      <c r="T103" s="597"/>
      <c r="U103" s="26"/>
      <c r="V103" s="597"/>
      <c r="W103" s="597"/>
      <c r="X103" s="597"/>
      <c r="Y103" s="597"/>
      <c r="Z103" s="597"/>
      <c r="AA103" s="597"/>
      <c r="AB103" s="597"/>
      <c r="AC103" s="26"/>
      <c r="AD103" s="26"/>
      <c r="AE103" s="26"/>
      <c r="AF103" s="26"/>
      <c r="AG103" s="26"/>
      <c r="AH103" s="26"/>
      <c r="AI103" s="274"/>
      <c r="AJ103" s="274"/>
      <c r="AK103" s="26"/>
      <c r="AL103" s="26"/>
      <c r="AM103" s="26"/>
      <c r="AN103" s="26"/>
      <c r="AO103" s="26"/>
      <c r="AP103" s="274"/>
      <c r="AQ103" s="274"/>
      <c r="AR103" s="10"/>
      <c r="AS103" s="10"/>
      <c r="BF103" s="22"/>
      <c r="BJ103" s="10"/>
      <c r="BN103" s="22"/>
      <c r="BR103" s="39"/>
    </row>
    <row r="104" spans="1:70" x14ac:dyDescent="0.25">
      <c r="A104" s="4"/>
      <c r="B104" s="26"/>
      <c r="C104" s="26"/>
      <c r="D104" s="26"/>
      <c r="E104" s="26"/>
      <c r="F104" s="26"/>
      <c r="G104" s="26"/>
      <c r="H104" s="26"/>
      <c r="I104" s="274"/>
      <c r="J104" s="274"/>
      <c r="K104" s="26"/>
      <c r="L104" s="26"/>
      <c r="M104" s="26"/>
      <c r="N104" s="26"/>
      <c r="O104" s="274"/>
      <c r="P104" s="274"/>
      <c r="Q104" s="274"/>
      <c r="R104" s="274"/>
      <c r="S104" s="597"/>
      <c r="T104" s="597"/>
      <c r="U104" s="26"/>
      <c r="V104" s="597"/>
      <c r="W104" s="597"/>
      <c r="X104" s="597"/>
      <c r="Y104" s="597"/>
      <c r="Z104" s="597"/>
      <c r="AA104" s="597"/>
      <c r="AB104" s="597"/>
      <c r="AC104" s="26"/>
      <c r="AD104" s="26"/>
      <c r="AE104" s="26"/>
      <c r="AF104" s="26"/>
      <c r="AG104" s="26"/>
      <c r="AH104" s="26"/>
      <c r="AI104" s="274"/>
      <c r="AJ104" s="274"/>
      <c r="AK104" s="26"/>
      <c r="AL104" s="26"/>
      <c r="AM104" s="26"/>
      <c r="AN104" s="26"/>
      <c r="AO104" s="26"/>
      <c r="AP104" s="274"/>
      <c r="AQ104" s="274"/>
      <c r="AR104" s="10"/>
      <c r="AS104" s="10"/>
      <c r="BF104" s="22"/>
      <c r="BJ104" s="10"/>
      <c r="BN104" s="22"/>
      <c r="BR104" s="36"/>
    </row>
    <row r="105" spans="1:70" x14ac:dyDescent="0.25">
      <c r="A105" s="4"/>
      <c r="B105" s="26"/>
      <c r="C105" s="26"/>
      <c r="D105" s="26"/>
      <c r="E105" s="26"/>
      <c r="F105" s="26"/>
      <c r="G105" s="26"/>
      <c r="H105" s="26"/>
      <c r="I105" s="274"/>
      <c r="J105" s="274"/>
      <c r="K105" s="26"/>
      <c r="L105" s="26"/>
      <c r="M105" s="26"/>
      <c r="N105" s="26"/>
      <c r="O105" s="274"/>
      <c r="P105" s="274"/>
      <c r="Q105" s="274"/>
      <c r="R105" s="274"/>
      <c r="S105" s="597"/>
      <c r="T105" s="597"/>
      <c r="U105" s="26"/>
      <c r="V105" s="597"/>
      <c r="W105" s="597"/>
      <c r="X105" s="597"/>
      <c r="Y105" s="597"/>
      <c r="Z105" s="597"/>
      <c r="AA105" s="597"/>
      <c r="AB105" s="597"/>
      <c r="AC105" s="26"/>
      <c r="AD105" s="26"/>
      <c r="AE105" s="26"/>
      <c r="AF105" s="26"/>
      <c r="AG105" s="26"/>
      <c r="AH105" s="26"/>
      <c r="AI105" s="274"/>
      <c r="AJ105" s="274"/>
      <c r="AK105" s="26"/>
      <c r="AL105" s="26"/>
      <c r="AM105" s="26"/>
      <c r="AN105" s="26"/>
      <c r="AO105" s="26"/>
      <c r="AP105" s="274"/>
      <c r="AQ105" s="274"/>
      <c r="AR105" s="10"/>
      <c r="AS105" s="10"/>
      <c r="BF105" s="22"/>
      <c r="BJ105" s="10"/>
      <c r="BN105" s="22"/>
      <c r="BR105" s="33"/>
    </row>
    <row r="106" spans="1:70" x14ac:dyDescent="0.25">
      <c r="A106" s="4"/>
      <c r="B106" s="26"/>
      <c r="C106" s="26"/>
      <c r="D106" s="26"/>
      <c r="E106" s="26"/>
      <c r="F106" s="26"/>
      <c r="G106" s="26"/>
      <c r="H106" s="26"/>
      <c r="I106" s="274"/>
      <c r="J106" s="274"/>
      <c r="K106" s="26"/>
      <c r="L106" s="26"/>
      <c r="M106" s="26"/>
      <c r="N106" s="26"/>
      <c r="O106" s="274"/>
      <c r="P106" s="274"/>
      <c r="Q106" s="274"/>
      <c r="R106" s="274"/>
      <c r="S106" s="597"/>
      <c r="T106" s="597"/>
      <c r="U106" s="26"/>
      <c r="V106" s="597"/>
      <c r="W106" s="597"/>
      <c r="X106" s="597"/>
      <c r="Y106" s="597"/>
      <c r="Z106" s="597"/>
      <c r="AA106" s="597"/>
      <c r="AB106" s="597"/>
      <c r="AC106" s="26"/>
      <c r="AD106" s="26"/>
      <c r="AE106" s="26"/>
      <c r="AF106" s="26"/>
      <c r="AG106" s="26"/>
      <c r="AH106" s="26"/>
      <c r="AI106" s="274"/>
      <c r="AJ106" s="274"/>
      <c r="AK106" s="26"/>
      <c r="AL106" s="26"/>
      <c r="AM106" s="26"/>
      <c r="AN106" s="26"/>
      <c r="AO106" s="26"/>
      <c r="AP106" s="274"/>
      <c r="AQ106" s="274"/>
      <c r="AR106" s="10"/>
      <c r="AS106" s="10"/>
      <c r="BF106" s="22"/>
      <c r="BJ106" s="10"/>
      <c r="BN106" s="22"/>
      <c r="BR106" s="31"/>
    </row>
    <row r="107" spans="1:70" x14ac:dyDescent="0.25">
      <c r="A107" s="4"/>
      <c r="B107" s="26"/>
      <c r="C107" s="26"/>
      <c r="D107" s="26"/>
      <c r="E107" s="26"/>
      <c r="F107" s="26"/>
      <c r="G107" s="26"/>
      <c r="H107" s="26"/>
      <c r="I107" s="274"/>
      <c r="J107" s="274"/>
      <c r="K107" s="26"/>
      <c r="L107" s="26"/>
      <c r="M107" s="26"/>
      <c r="N107" s="26"/>
      <c r="O107" s="274"/>
      <c r="P107" s="274"/>
      <c r="Q107" s="274"/>
      <c r="R107" s="274"/>
      <c r="S107" s="597"/>
      <c r="T107" s="597"/>
      <c r="U107" s="26"/>
      <c r="V107" s="597"/>
      <c r="W107" s="597"/>
      <c r="X107" s="597"/>
      <c r="Y107" s="597"/>
      <c r="Z107" s="597"/>
      <c r="AA107" s="597"/>
      <c r="AB107" s="597"/>
      <c r="AC107" s="26"/>
      <c r="AD107" s="26"/>
      <c r="AE107" s="26"/>
      <c r="AF107" s="26"/>
      <c r="AG107" s="26"/>
      <c r="AH107" s="26"/>
      <c r="AI107" s="274"/>
      <c r="AJ107" s="274"/>
      <c r="AK107" s="26"/>
      <c r="AL107" s="26"/>
      <c r="AM107" s="26"/>
      <c r="AN107" s="26"/>
      <c r="AO107" s="26"/>
      <c r="AP107" s="274"/>
      <c r="AQ107" s="274"/>
      <c r="AR107" s="10"/>
      <c r="AS107" s="10"/>
      <c r="BF107" s="22"/>
      <c r="BJ107" s="10"/>
      <c r="BN107" s="22"/>
      <c r="BR107" s="29"/>
    </row>
    <row r="108" spans="1:70" x14ac:dyDescent="0.25">
      <c r="A108" s="4"/>
      <c r="B108" s="26"/>
      <c r="C108" s="26"/>
      <c r="D108" s="26"/>
      <c r="E108" s="26"/>
      <c r="F108" s="26"/>
      <c r="G108" s="26"/>
      <c r="H108" s="26"/>
      <c r="I108" s="274"/>
      <c r="J108" s="274"/>
      <c r="K108" s="26"/>
      <c r="L108" s="26"/>
      <c r="M108" s="26"/>
      <c r="N108" s="26"/>
      <c r="O108" s="274"/>
      <c r="P108" s="274"/>
      <c r="Q108" s="274"/>
      <c r="R108" s="274"/>
      <c r="S108" s="597"/>
      <c r="T108" s="597"/>
      <c r="U108" s="26"/>
      <c r="V108" s="597"/>
      <c r="W108" s="597"/>
      <c r="X108" s="597"/>
      <c r="Y108" s="597"/>
      <c r="Z108" s="597"/>
      <c r="AA108" s="597"/>
      <c r="AB108" s="597"/>
      <c r="AC108" s="26"/>
      <c r="AD108" s="26"/>
      <c r="AE108" s="26"/>
      <c r="AF108" s="26"/>
      <c r="AG108" s="26"/>
      <c r="AH108" s="26"/>
      <c r="AI108" s="274"/>
      <c r="AJ108" s="274"/>
      <c r="AK108" s="26"/>
      <c r="AL108" s="26"/>
      <c r="AM108" s="26"/>
      <c r="AN108" s="26"/>
      <c r="AO108" s="26"/>
      <c r="AP108" s="274"/>
      <c r="AQ108" s="274"/>
      <c r="AR108" s="10"/>
      <c r="AS108" s="10"/>
      <c r="BF108" s="22"/>
      <c r="BJ108" s="10"/>
      <c r="BN108" s="22"/>
      <c r="BR108" s="29"/>
    </row>
    <row r="109" spans="1:70" x14ac:dyDescent="0.25">
      <c r="A109" s="4"/>
      <c r="B109" s="26"/>
      <c r="C109" s="26"/>
      <c r="D109" s="26"/>
      <c r="E109" s="26"/>
      <c r="F109" s="26"/>
      <c r="G109" s="26"/>
      <c r="H109" s="26"/>
      <c r="I109" s="274"/>
      <c r="J109" s="274"/>
      <c r="K109" s="26"/>
      <c r="L109" s="26"/>
      <c r="M109" s="26"/>
      <c r="N109" s="26"/>
      <c r="O109" s="274"/>
      <c r="P109" s="274"/>
      <c r="Q109" s="274"/>
      <c r="R109" s="274"/>
      <c r="S109" s="597"/>
      <c r="T109" s="597"/>
      <c r="U109" s="26"/>
      <c r="V109" s="597"/>
      <c r="W109" s="597"/>
      <c r="X109" s="597"/>
      <c r="Y109" s="597"/>
      <c r="Z109" s="597"/>
      <c r="AA109" s="597"/>
      <c r="AB109" s="597"/>
      <c r="AC109" s="26"/>
      <c r="AD109" s="26"/>
      <c r="AE109" s="26"/>
      <c r="AF109" s="26"/>
      <c r="AG109" s="26"/>
      <c r="AH109" s="26"/>
      <c r="AI109" s="274"/>
      <c r="AJ109" s="274"/>
      <c r="AK109" s="26"/>
      <c r="AL109" s="26"/>
      <c r="AM109" s="26"/>
      <c r="AN109" s="26"/>
      <c r="AO109" s="26"/>
      <c r="AP109" s="274"/>
      <c r="AQ109" s="274"/>
      <c r="AR109" s="10"/>
      <c r="AS109" s="10"/>
      <c r="BF109" s="22"/>
      <c r="BJ109" s="10"/>
      <c r="BN109" s="22"/>
      <c r="BR109" s="29"/>
    </row>
    <row r="110" spans="1:70" x14ac:dyDescent="0.25">
      <c r="A110" s="4"/>
      <c r="B110" s="26"/>
      <c r="C110" s="26"/>
      <c r="D110" s="26"/>
      <c r="E110" s="26"/>
      <c r="F110" s="26"/>
      <c r="G110" s="26"/>
      <c r="H110" s="26"/>
      <c r="I110" s="274"/>
      <c r="J110" s="274"/>
      <c r="K110" s="26"/>
      <c r="L110" s="26"/>
      <c r="M110" s="26"/>
      <c r="N110" s="26"/>
      <c r="O110" s="274"/>
      <c r="P110" s="274"/>
      <c r="Q110" s="274"/>
      <c r="R110" s="274"/>
      <c r="S110" s="597"/>
      <c r="T110" s="597"/>
      <c r="U110" s="26"/>
      <c r="V110" s="597"/>
      <c r="W110" s="597"/>
      <c r="X110" s="597"/>
      <c r="Y110" s="597"/>
      <c r="Z110" s="597"/>
      <c r="AA110" s="597"/>
      <c r="AB110" s="597"/>
      <c r="AC110" s="26"/>
      <c r="AD110" s="26"/>
      <c r="AE110" s="26"/>
      <c r="AF110" s="26"/>
      <c r="AG110" s="26"/>
      <c r="AH110" s="26"/>
      <c r="AI110" s="274"/>
      <c r="AJ110" s="274"/>
      <c r="AK110" s="26"/>
      <c r="AL110" s="26"/>
      <c r="AM110" s="26"/>
      <c r="AN110" s="26"/>
      <c r="AO110" s="26"/>
      <c r="AP110" s="274"/>
      <c r="AQ110" s="274"/>
      <c r="AR110" s="10"/>
      <c r="AS110" s="10"/>
      <c r="BF110" s="22"/>
      <c r="BJ110" s="10"/>
      <c r="BN110" s="22"/>
      <c r="BR110" s="29"/>
    </row>
    <row r="111" spans="1:70" x14ac:dyDescent="0.25">
      <c r="A111" s="4"/>
      <c r="B111" s="26"/>
      <c r="C111" s="26"/>
      <c r="D111" s="26"/>
      <c r="E111" s="26"/>
      <c r="F111" s="26"/>
      <c r="G111" s="26"/>
      <c r="H111" s="26"/>
      <c r="I111" s="274"/>
      <c r="J111" s="274"/>
      <c r="K111" s="26"/>
      <c r="L111" s="26"/>
      <c r="M111" s="26"/>
      <c r="N111" s="26"/>
      <c r="O111" s="274"/>
      <c r="P111" s="274"/>
      <c r="Q111" s="274"/>
      <c r="R111" s="274"/>
      <c r="S111" s="597"/>
      <c r="T111" s="597"/>
      <c r="U111" s="26"/>
      <c r="V111" s="597"/>
      <c r="W111" s="597"/>
      <c r="X111" s="597"/>
      <c r="Y111" s="597"/>
      <c r="Z111" s="597"/>
      <c r="AA111" s="597"/>
      <c r="AB111" s="597"/>
      <c r="AC111" s="26"/>
      <c r="AD111" s="26"/>
      <c r="AE111" s="26"/>
      <c r="AF111" s="26"/>
      <c r="AG111" s="26"/>
      <c r="AH111" s="26"/>
      <c r="AI111" s="274"/>
      <c r="AJ111" s="274"/>
      <c r="AK111" s="26"/>
      <c r="AL111" s="26"/>
      <c r="AM111" s="26"/>
      <c r="AN111" s="26"/>
      <c r="AO111" s="26"/>
      <c r="AP111" s="274"/>
      <c r="AQ111" s="274"/>
      <c r="AR111" s="10"/>
      <c r="AS111" s="10"/>
      <c r="BF111" s="22"/>
      <c r="BJ111" s="10"/>
      <c r="BN111" s="22"/>
    </row>
    <row r="112" spans="1:70" x14ac:dyDescent="0.25">
      <c r="A112" s="4"/>
      <c r="B112" s="26"/>
      <c r="C112" s="26"/>
      <c r="D112" s="26"/>
      <c r="E112" s="26"/>
      <c r="F112" s="26"/>
      <c r="G112" s="26"/>
      <c r="H112" s="26"/>
      <c r="I112" s="274"/>
      <c r="J112" s="274"/>
      <c r="K112" s="26"/>
      <c r="L112" s="26"/>
      <c r="M112" s="26"/>
      <c r="N112" s="26"/>
      <c r="O112" s="274"/>
      <c r="P112" s="274"/>
      <c r="Q112" s="274"/>
      <c r="R112" s="274"/>
      <c r="S112" s="597"/>
      <c r="T112" s="597"/>
      <c r="U112" s="26"/>
      <c r="V112" s="597"/>
      <c r="W112" s="597"/>
      <c r="X112" s="597"/>
      <c r="Y112" s="597"/>
      <c r="Z112" s="597"/>
      <c r="AA112" s="597"/>
      <c r="AB112" s="597"/>
      <c r="AC112" s="26"/>
      <c r="AD112" s="26"/>
      <c r="AE112" s="26"/>
      <c r="AF112" s="26"/>
      <c r="AG112" s="26"/>
      <c r="AH112" s="26"/>
      <c r="AI112" s="274"/>
      <c r="AJ112" s="274"/>
      <c r="AK112" s="26"/>
      <c r="AL112" s="26"/>
      <c r="AM112" s="26"/>
      <c r="AN112" s="26"/>
      <c r="AO112" s="26"/>
      <c r="AP112" s="274"/>
      <c r="AQ112" s="274"/>
      <c r="AR112" s="10"/>
      <c r="AS112" s="10"/>
      <c r="BF112" s="22"/>
      <c r="BJ112" s="10"/>
      <c r="BN112" s="22"/>
    </row>
    <row r="113" spans="1:66" x14ac:dyDescent="0.25">
      <c r="A113" s="4"/>
      <c r="B113" s="26"/>
      <c r="C113" s="26"/>
      <c r="D113" s="26"/>
      <c r="E113" s="26"/>
      <c r="F113" s="26"/>
      <c r="G113" s="26"/>
      <c r="H113" s="26"/>
      <c r="I113" s="274"/>
      <c r="J113" s="274"/>
      <c r="K113" s="26"/>
      <c r="L113" s="26"/>
      <c r="M113" s="26"/>
      <c r="N113" s="26"/>
      <c r="O113" s="274"/>
      <c r="P113" s="274"/>
      <c r="Q113" s="274"/>
      <c r="R113" s="274"/>
      <c r="S113" s="597"/>
      <c r="T113" s="597"/>
      <c r="U113" s="26"/>
      <c r="V113" s="597"/>
      <c r="W113" s="597"/>
      <c r="X113" s="597"/>
      <c r="Y113" s="597"/>
      <c r="Z113" s="597"/>
      <c r="AA113" s="597"/>
      <c r="AB113" s="597"/>
      <c r="AC113" s="26"/>
      <c r="AD113" s="26"/>
      <c r="AE113" s="26"/>
      <c r="AF113" s="26"/>
      <c r="AG113" s="26"/>
      <c r="AH113" s="26"/>
      <c r="AI113" s="274"/>
      <c r="AJ113" s="274"/>
      <c r="AK113" s="26"/>
      <c r="AL113" s="26"/>
      <c r="AM113" s="26"/>
      <c r="AN113" s="26"/>
      <c r="AO113" s="26"/>
      <c r="AP113" s="274"/>
      <c r="AQ113" s="274"/>
      <c r="AR113" s="10"/>
      <c r="AS113" s="10"/>
      <c r="BF113" s="22"/>
      <c r="BJ113" s="10"/>
      <c r="BN113" s="22"/>
    </row>
    <row r="114" spans="1:66" x14ac:dyDescent="0.25">
      <c r="A114" s="4"/>
      <c r="B114" s="26"/>
      <c r="C114" s="26"/>
      <c r="D114" s="26"/>
      <c r="E114" s="26"/>
      <c r="F114" s="26"/>
      <c r="G114" s="26"/>
      <c r="H114" s="26"/>
      <c r="I114" s="274"/>
      <c r="J114" s="274"/>
      <c r="K114" s="26"/>
      <c r="L114" s="26"/>
      <c r="M114" s="26"/>
      <c r="N114" s="26"/>
      <c r="O114" s="274"/>
      <c r="P114" s="274"/>
      <c r="Q114" s="274"/>
      <c r="R114" s="274"/>
      <c r="S114" s="597"/>
      <c r="T114" s="597"/>
      <c r="U114" s="26"/>
      <c r="V114" s="597"/>
      <c r="W114" s="597"/>
      <c r="X114" s="597"/>
      <c r="Y114" s="597"/>
      <c r="Z114" s="597"/>
      <c r="AA114" s="597"/>
      <c r="AB114" s="597"/>
      <c r="AC114" s="26"/>
      <c r="AD114" s="26"/>
      <c r="AE114" s="26"/>
      <c r="AF114" s="26"/>
      <c r="AG114" s="26"/>
      <c r="AH114" s="26"/>
      <c r="AI114" s="274"/>
      <c r="AJ114" s="274"/>
      <c r="AK114" s="26"/>
      <c r="AL114" s="26"/>
      <c r="AM114" s="26"/>
      <c r="AN114" s="26"/>
      <c r="AO114" s="26"/>
      <c r="AP114" s="274"/>
      <c r="AQ114" s="274"/>
      <c r="AR114" s="10"/>
      <c r="AS114" s="10"/>
      <c r="BF114" s="22"/>
      <c r="BJ114" s="10"/>
      <c r="BN114" s="22"/>
    </row>
    <row r="115" spans="1:66" x14ac:dyDescent="0.25">
      <c r="A115" s="4"/>
      <c r="B115" s="26"/>
      <c r="C115" s="26"/>
      <c r="D115" s="26"/>
      <c r="E115" s="26"/>
      <c r="F115" s="26"/>
      <c r="G115" s="26"/>
      <c r="H115" s="26"/>
      <c r="I115" s="274"/>
      <c r="J115" s="274"/>
      <c r="K115" s="26"/>
      <c r="L115" s="26"/>
      <c r="M115" s="26"/>
      <c r="N115" s="26"/>
      <c r="O115" s="274"/>
      <c r="P115" s="274"/>
      <c r="Q115" s="274"/>
      <c r="R115" s="274"/>
      <c r="S115" s="597"/>
      <c r="T115" s="597"/>
      <c r="U115" s="26"/>
      <c r="V115" s="597"/>
      <c r="W115" s="597"/>
      <c r="X115" s="597"/>
      <c r="Y115" s="597"/>
      <c r="Z115" s="597"/>
      <c r="AA115" s="597"/>
      <c r="AB115" s="597"/>
      <c r="AC115" s="26"/>
      <c r="AD115" s="26"/>
      <c r="AE115" s="26"/>
      <c r="AF115" s="26"/>
      <c r="AG115" s="26"/>
      <c r="AH115" s="26"/>
      <c r="AI115" s="274"/>
      <c r="AJ115" s="274"/>
      <c r="AK115" s="26"/>
      <c r="AL115" s="26"/>
      <c r="AM115" s="26"/>
      <c r="AN115" s="26"/>
      <c r="AO115" s="26"/>
      <c r="AP115" s="274"/>
      <c r="AQ115" s="274"/>
      <c r="AR115" s="10"/>
      <c r="AS115" s="10"/>
      <c r="BF115" s="22"/>
      <c r="BJ115" s="10"/>
      <c r="BN115" s="22"/>
    </row>
    <row r="116" spans="1:66" x14ac:dyDescent="0.25">
      <c r="A116" s="4"/>
      <c r="B116" s="26"/>
      <c r="C116" s="26"/>
      <c r="D116" s="26"/>
      <c r="E116" s="26"/>
      <c r="F116" s="26"/>
      <c r="G116" s="26"/>
      <c r="H116" s="26"/>
      <c r="I116" s="274"/>
      <c r="J116" s="274"/>
      <c r="K116" s="26"/>
      <c r="L116" s="26"/>
      <c r="M116" s="26"/>
      <c r="N116" s="26"/>
      <c r="O116" s="274"/>
      <c r="P116" s="274"/>
      <c r="Q116" s="274"/>
      <c r="R116" s="274"/>
      <c r="S116" s="597"/>
      <c r="T116" s="597"/>
      <c r="U116" s="26"/>
      <c r="V116" s="597"/>
      <c r="W116" s="597"/>
      <c r="X116" s="597"/>
      <c r="Y116" s="597"/>
      <c r="Z116" s="597"/>
      <c r="AA116" s="597"/>
      <c r="AB116" s="597"/>
      <c r="AC116" s="26"/>
      <c r="AD116" s="26"/>
      <c r="AE116" s="26"/>
      <c r="AF116" s="26"/>
      <c r="AG116" s="26"/>
      <c r="AH116" s="26"/>
      <c r="AI116" s="274"/>
      <c r="AJ116" s="274"/>
      <c r="AK116" s="26"/>
      <c r="AL116" s="26"/>
      <c r="AM116" s="26"/>
      <c r="AN116" s="26"/>
      <c r="AO116" s="26"/>
      <c r="AP116" s="274"/>
      <c r="AQ116" s="274"/>
      <c r="AR116" s="10"/>
      <c r="AS116" s="10"/>
      <c r="BF116" s="22"/>
      <c r="BJ116" s="10"/>
      <c r="BN116" s="22"/>
    </row>
    <row r="117" spans="1:66" x14ac:dyDescent="0.25">
      <c r="A117" s="4"/>
      <c r="B117" s="26"/>
      <c r="C117" s="26"/>
      <c r="D117" s="26"/>
      <c r="E117" s="26"/>
      <c r="F117" s="26"/>
      <c r="G117" s="26"/>
      <c r="H117" s="26"/>
      <c r="I117" s="274"/>
      <c r="J117" s="274"/>
      <c r="K117" s="26"/>
      <c r="L117" s="26"/>
      <c r="M117" s="26"/>
      <c r="N117" s="26"/>
      <c r="O117" s="274"/>
      <c r="P117" s="274"/>
      <c r="Q117" s="274"/>
      <c r="R117" s="274"/>
      <c r="S117" s="271"/>
      <c r="T117" s="597"/>
      <c r="U117" s="17"/>
      <c r="V117" s="271"/>
      <c r="W117" s="271"/>
      <c r="X117" s="271"/>
      <c r="Y117" s="271"/>
      <c r="Z117" s="271"/>
      <c r="AA117" s="271"/>
      <c r="AB117" s="271"/>
      <c r="AC117" s="26"/>
      <c r="AD117" s="26"/>
      <c r="AE117" s="26"/>
      <c r="AF117" s="26"/>
      <c r="AG117" s="26"/>
      <c r="AH117" s="26"/>
      <c r="AI117" s="274"/>
      <c r="AJ117" s="274"/>
      <c r="AK117" s="26"/>
      <c r="AL117" s="26"/>
      <c r="AM117" s="26"/>
      <c r="AN117" s="26"/>
      <c r="AO117" s="26"/>
      <c r="AP117" s="274"/>
      <c r="AQ117" s="274"/>
      <c r="AR117" s="10"/>
      <c r="AS117" s="10"/>
      <c r="BF117" s="22"/>
      <c r="BJ117" s="10"/>
      <c r="BN117" s="22"/>
    </row>
    <row r="118" spans="1:66" x14ac:dyDescent="0.25">
      <c r="A118" s="4"/>
      <c r="B118" s="26"/>
      <c r="C118" s="26"/>
      <c r="D118" s="26"/>
      <c r="E118" s="26"/>
      <c r="F118" s="26"/>
      <c r="G118" s="26"/>
      <c r="H118" s="26"/>
      <c r="I118" s="274"/>
      <c r="J118" s="274"/>
      <c r="K118" s="26"/>
      <c r="L118" s="26"/>
      <c r="M118" s="26"/>
      <c r="N118" s="26"/>
      <c r="O118" s="274"/>
      <c r="P118" s="274"/>
      <c r="Q118" s="274"/>
      <c r="R118" s="274"/>
      <c r="S118" s="271"/>
      <c r="T118" s="597"/>
      <c r="U118" s="17"/>
      <c r="V118" s="271"/>
      <c r="W118" s="271"/>
      <c r="X118" s="271"/>
      <c r="Y118" s="271"/>
      <c r="Z118" s="271"/>
      <c r="AA118" s="271"/>
      <c r="AB118" s="271"/>
      <c r="AC118" s="26"/>
      <c r="AD118" s="26"/>
      <c r="AE118" s="26"/>
      <c r="AF118" s="26"/>
      <c r="AG118" s="26"/>
      <c r="AH118" s="26"/>
      <c r="AI118" s="274"/>
      <c r="AJ118" s="274"/>
      <c r="AK118" s="26"/>
      <c r="AL118" s="26"/>
      <c r="AM118" s="26"/>
      <c r="AN118" s="26"/>
      <c r="AO118" s="26"/>
      <c r="AP118" s="274"/>
      <c r="AQ118" s="274"/>
      <c r="AR118" s="10"/>
      <c r="AS118" s="10"/>
      <c r="BF118" s="22"/>
      <c r="BJ118" s="10"/>
      <c r="BN118" s="22"/>
    </row>
    <row r="119" spans="1:66" x14ac:dyDescent="0.25">
      <c r="A119" s="4"/>
      <c r="B119" s="26"/>
      <c r="C119" s="26"/>
      <c r="D119" s="26"/>
      <c r="E119" s="26"/>
      <c r="F119" s="26"/>
      <c r="G119" s="26"/>
      <c r="H119" s="26"/>
      <c r="I119" s="274"/>
      <c r="J119" s="274"/>
      <c r="K119" s="26"/>
      <c r="L119" s="26"/>
      <c r="M119" s="26"/>
      <c r="N119" s="26"/>
      <c r="O119" s="274"/>
      <c r="P119" s="274"/>
      <c r="Q119" s="274"/>
      <c r="R119" s="274"/>
      <c r="S119" s="271"/>
      <c r="T119" s="597"/>
      <c r="U119" s="17"/>
      <c r="V119" s="271"/>
      <c r="W119" s="271"/>
      <c r="X119" s="271"/>
      <c r="Y119" s="271"/>
      <c r="Z119" s="271"/>
      <c r="AA119" s="271"/>
      <c r="AB119" s="271"/>
      <c r="AC119" s="26"/>
      <c r="AD119" s="26"/>
      <c r="AE119" s="26"/>
      <c r="AF119" s="26"/>
      <c r="AG119" s="26"/>
      <c r="AH119" s="26"/>
      <c r="AI119" s="274"/>
      <c r="AJ119" s="274"/>
      <c r="AK119" s="26"/>
      <c r="AL119" s="26"/>
      <c r="AM119" s="26"/>
      <c r="AN119" s="26"/>
      <c r="AO119" s="26"/>
      <c r="AP119" s="274"/>
      <c r="AQ119" s="274"/>
      <c r="AR119" s="10"/>
      <c r="AS119" s="10"/>
      <c r="BF119" s="22"/>
      <c r="BJ119" s="10"/>
      <c r="BN119" s="22"/>
    </row>
    <row r="120" spans="1:66" x14ac:dyDescent="0.25">
      <c r="A120" s="4"/>
      <c r="B120" s="26"/>
      <c r="C120" s="26"/>
      <c r="D120" s="26"/>
      <c r="E120" s="26"/>
      <c r="F120" s="26"/>
      <c r="G120" s="26"/>
      <c r="H120" s="26"/>
      <c r="I120" s="274"/>
      <c r="J120" s="274"/>
      <c r="K120" s="26"/>
      <c r="L120" s="26"/>
      <c r="M120" s="26"/>
      <c r="N120" s="26"/>
      <c r="O120" s="274"/>
      <c r="P120" s="274"/>
      <c r="Q120" s="274"/>
      <c r="R120" s="274"/>
      <c r="S120" s="271"/>
      <c r="T120" s="597"/>
      <c r="U120" s="17"/>
      <c r="V120" s="271"/>
      <c r="W120" s="271"/>
      <c r="X120" s="271"/>
      <c r="Y120" s="271"/>
      <c r="Z120" s="271"/>
      <c r="AA120" s="271"/>
      <c r="AB120" s="271"/>
      <c r="AC120" s="26"/>
      <c r="AD120" s="26"/>
      <c r="AE120" s="26"/>
      <c r="AF120" s="26"/>
      <c r="AG120" s="26"/>
      <c r="AH120" s="26"/>
      <c r="AI120" s="274"/>
      <c r="AJ120" s="274"/>
      <c r="AK120" s="26"/>
      <c r="AL120" s="26"/>
      <c r="AM120" s="26"/>
      <c r="AN120" s="26"/>
      <c r="AO120" s="26"/>
      <c r="AP120" s="274"/>
      <c r="AQ120" s="274"/>
      <c r="AR120" s="10"/>
      <c r="AS120" s="10"/>
      <c r="BF120" s="22"/>
      <c r="BJ120" s="10"/>
      <c r="BN120" s="22"/>
    </row>
    <row r="121" spans="1:66" x14ac:dyDescent="0.25">
      <c r="A121" s="4"/>
      <c r="B121" s="26"/>
      <c r="C121" s="26"/>
      <c r="D121" s="26"/>
      <c r="E121" s="26"/>
      <c r="F121" s="26"/>
      <c r="G121" s="26"/>
      <c r="H121" s="26"/>
      <c r="I121" s="274"/>
      <c r="J121" s="274"/>
      <c r="K121" s="26"/>
      <c r="L121" s="26"/>
      <c r="M121" s="26"/>
      <c r="N121" s="26"/>
      <c r="O121" s="274"/>
      <c r="P121" s="274"/>
      <c r="Q121" s="274"/>
      <c r="R121" s="274"/>
      <c r="S121" s="271"/>
      <c r="T121" s="597"/>
      <c r="U121" s="17"/>
      <c r="V121" s="271"/>
      <c r="W121" s="271"/>
      <c r="X121" s="271"/>
      <c r="Y121" s="271"/>
      <c r="Z121" s="271"/>
      <c r="AA121" s="271"/>
      <c r="AB121" s="271"/>
      <c r="AC121" s="26"/>
      <c r="AD121" s="26"/>
      <c r="AE121" s="26"/>
      <c r="AF121" s="26"/>
      <c r="AG121" s="26"/>
      <c r="AH121" s="26"/>
      <c r="AI121" s="274"/>
      <c r="AJ121" s="274"/>
      <c r="AK121" s="26"/>
      <c r="AL121" s="26"/>
      <c r="AM121" s="26"/>
      <c r="AN121" s="26"/>
      <c r="AO121" s="26"/>
      <c r="AP121" s="274"/>
      <c r="AQ121" s="274"/>
      <c r="AR121" s="10"/>
      <c r="AS121" s="10"/>
      <c r="BF121" s="22"/>
      <c r="BJ121" s="10"/>
      <c r="BN121" s="22"/>
    </row>
    <row r="122" spans="1:66" x14ac:dyDescent="0.25">
      <c r="A122" s="4"/>
      <c r="B122" s="26"/>
      <c r="C122" s="26"/>
      <c r="D122" s="26"/>
      <c r="E122" s="26"/>
      <c r="F122" s="26"/>
      <c r="G122" s="26"/>
      <c r="H122" s="26"/>
      <c r="I122" s="274"/>
      <c r="J122" s="274"/>
      <c r="K122" s="26"/>
      <c r="L122" s="26"/>
      <c r="M122" s="26"/>
      <c r="N122" s="26"/>
      <c r="O122" s="274"/>
      <c r="P122" s="274"/>
      <c r="Q122" s="274"/>
      <c r="R122" s="274"/>
      <c r="S122" s="271"/>
      <c r="T122" s="597"/>
      <c r="U122" s="17"/>
      <c r="V122" s="271"/>
      <c r="W122" s="271"/>
      <c r="X122" s="271"/>
      <c r="Y122" s="271"/>
      <c r="Z122" s="271"/>
      <c r="AA122" s="271"/>
      <c r="AB122" s="271"/>
      <c r="AC122" s="26"/>
      <c r="AD122" s="26"/>
      <c r="AE122" s="26"/>
      <c r="AF122" s="26"/>
      <c r="AG122" s="26"/>
      <c r="AH122" s="26"/>
      <c r="AI122" s="274"/>
      <c r="AJ122" s="274"/>
      <c r="AK122" s="26"/>
      <c r="AL122" s="26"/>
      <c r="AM122" s="26"/>
      <c r="AN122" s="26"/>
      <c r="AO122" s="26"/>
      <c r="AP122" s="274"/>
      <c r="AQ122" s="274"/>
      <c r="AR122" s="10"/>
      <c r="AS122" s="10"/>
      <c r="BF122" s="22"/>
      <c r="BJ122" s="10"/>
      <c r="BN122" s="22"/>
    </row>
    <row r="123" spans="1:66" x14ac:dyDescent="0.25">
      <c r="A123" s="4"/>
      <c r="B123" s="26"/>
      <c r="C123" s="26"/>
      <c r="D123" s="26"/>
      <c r="E123" s="26"/>
      <c r="F123" s="26"/>
      <c r="G123" s="26"/>
      <c r="H123" s="26"/>
      <c r="I123" s="274"/>
      <c r="J123" s="274"/>
      <c r="K123" s="26"/>
      <c r="L123" s="26"/>
      <c r="M123" s="26"/>
      <c r="N123" s="26"/>
      <c r="O123" s="274"/>
      <c r="P123" s="274"/>
      <c r="Q123" s="274"/>
      <c r="R123" s="274"/>
      <c r="S123" s="271"/>
      <c r="T123" s="597"/>
      <c r="U123" s="17"/>
      <c r="V123" s="271"/>
      <c r="W123" s="271"/>
      <c r="X123" s="271"/>
      <c r="Y123" s="271"/>
      <c r="Z123" s="271"/>
      <c r="AA123" s="271"/>
      <c r="AB123" s="271"/>
      <c r="AC123" s="26"/>
      <c r="AD123" s="26"/>
      <c r="AE123" s="26"/>
      <c r="AF123" s="26"/>
      <c r="AG123" s="26"/>
      <c r="AH123" s="26"/>
      <c r="AI123" s="274"/>
      <c r="AJ123" s="274"/>
      <c r="AK123" s="26"/>
      <c r="AL123" s="26"/>
      <c r="AM123" s="26"/>
      <c r="AN123" s="26"/>
      <c r="AO123" s="26"/>
      <c r="AP123" s="274"/>
      <c r="AQ123" s="274"/>
      <c r="AR123" s="10"/>
      <c r="AS123" s="10"/>
      <c r="BF123" s="22"/>
      <c r="BJ123" s="10"/>
      <c r="BN123" s="22"/>
    </row>
    <row r="124" spans="1:66" x14ac:dyDescent="0.25">
      <c r="A124" s="4"/>
      <c r="B124" s="26"/>
      <c r="C124" s="26"/>
      <c r="D124" s="26"/>
      <c r="E124" s="26"/>
      <c r="F124" s="26"/>
      <c r="G124" s="26"/>
      <c r="H124" s="26"/>
      <c r="I124" s="274"/>
      <c r="J124" s="274"/>
      <c r="K124" s="26"/>
      <c r="L124" s="26"/>
      <c r="M124" s="26"/>
      <c r="N124" s="26"/>
      <c r="O124" s="274"/>
      <c r="P124" s="274"/>
      <c r="Q124" s="274"/>
      <c r="R124" s="274"/>
      <c r="S124" s="271"/>
      <c r="T124" s="597"/>
      <c r="U124" s="17"/>
      <c r="V124" s="271"/>
      <c r="W124" s="271"/>
      <c r="X124" s="271"/>
      <c r="Y124" s="271"/>
      <c r="Z124" s="271"/>
      <c r="AA124" s="271"/>
      <c r="AB124" s="271"/>
      <c r="AC124" s="26"/>
      <c r="AD124" s="26"/>
      <c r="AE124" s="26"/>
      <c r="AF124" s="26"/>
      <c r="AG124" s="26"/>
      <c r="AH124" s="26"/>
      <c r="AI124" s="274"/>
      <c r="AJ124" s="274"/>
      <c r="AK124" s="26"/>
      <c r="AL124" s="26"/>
      <c r="AM124" s="26"/>
      <c r="AN124" s="26"/>
      <c r="AO124" s="26"/>
      <c r="AP124" s="274"/>
      <c r="AQ124" s="274"/>
      <c r="AR124" s="10"/>
      <c r="AS124" s="10"/>
      <c r="BF124" s="22"/>
      <c r="BJ124" s="10"/>
      <c r="BN124" s="22"/>
    </row>
    <row r="125" spans="1:66" x14ac:dyDescent="0.25">
      <c r="A125" s="4"/>
      <c r="B125" s="26"/>
      <c r="C125" s="26"/>
      <c r="D125" s="26"/>
      <c r="E125" s="26"/>
      <c r="F125" s="26"/>
      <c r="G125" s="26"/>
      <c r="H125" s="26"/>
      <c r="I125" s="274"/>
      <c r="J125" s="274"/>
      <c r="K125" s="26"/>
      <c r="L125" s="26"/>
      <c r="M125" s="26"/>
      <c r="N125" s="26"/>
      <c r="O125" s="274"/>
      <c r="P125" s="274"/>
      <c r="Q125" s="274"/>
      <c r="R125" s="274"/>
      <c r="S125" s="271"/>
      <c r="T125" s="597"/>
      <c r="U125" s="17"/>
      <c r="V125" s="271"/>
      <c r="W125" s="271"/>
      <c r="X125" s="271"/>
      <c r="Y125" s="271"/>
      <c r="Z125" s="271"/>
      <c r="AA125" s="271"/>
      <c r="AB125" s="271"/>
      <c r="AC125" s="26"/>
      <c r="AD125" s="26"/>
      <c r="AE125" s="26"/>
      <c r="AF125" s="26"/>
      <c r="AG125" s="26"/>
      <c r="AH125" s="26"/>
      <c r="AI125" s="274"/>
      <c r="AJ125" s="274"/>
      <c r="AK125" s="26"/>
      <c r="AL125" s="26"/>
      <c r="AM125" s="26"/>
      <c r="AN125" s="26"/>
      <c r="AO125" s="26"/>
      <c r="AP125" s="274"/>
      <c r="AQ125" s="274"/>
      <c r="AR125" s="10"/>
      <c r="AS125" s="10"/>
      <c r="BF125" s="22"/>
      <c r="BJ125" s="10"/>
      <c r="BN125" s="22"/>
    </row>
    <row r="126" spans="1:66" x14ac:dyDescent="0.25">
      <c r="A126" s="4"/>
      <c r="B126" s="26"/>
      <c r="C126" s="26"/>
      <c r="D126" s="26"/>
      <c r="E126" s="26"/>
      <c r="F126" s="26"/>
      <c r="G126" s="26"/>
      <c r="H126" s="26"/>
      <c r="I126" s="274"/>
      <c r="J126" s="274"/>
      <c r="K126" s="26"/>
      <c r="L126" s="26"/>
      <c r="M126" s="26"/>
      <c r="N126" s="26"/>
      <c r="O126" s="274"/>
      <c r="P126" s="274"/>
      <c r="Q126" s="274"/>
      <c r="R126" s="274"/>
      <c r="S126" s="271"/>
      <c r="T126" s="597"/>
      <c r="U126" s="17"/>
      <c r="V126" s="271"/>
      <c r="W126" s="271"/>
      <c r="X126" s="271"/>
      <c r="Y126" s="271"/>
      <c r="Z126" s="271"/>
      <c r="AA126" s="271"/>
      <c r="AB126" s="271"/>
      <c r="AC126" s="26"/>
      <c r="AD126" s="26"/>
      <c r="AE126" s="26"/>
      <c r="AF126" s="26"/>
      <c r="AG126" s="26"/>
      <c r="AH126" s="26"/>
      <c r="AI126" s="274"/>
      <c r="AJ126" s="274"/>
      <c r="AK126" s="26"/>
      <c r="AL126" s="26"/>
      <c r="AM126" s="26"/>
      <c r="AN126" s="26"/>
      <c r="AO126" s="26"/>
      <c r="AP126" s="274"/>
      <c r="AQ126" s="274"/>
      <c r="AR126" s="10"/>
      <c r="AS126" s="10"/>
      <c r="BF126" s="22"/>
      <c r="BJ126" s="10"/>
      <c r="BN126" s="22"/>
    </row>
    <row r="127" spans="1:66" x14ac:dyDescent="0.25">
      <c r="A127" s="4"/>
      <c r="B127" s="26"/>
      <c r="C127" s="26"/>
      <c r="D127" s="26"/>
      <c r="E127" s="26"/>
      <c r="F127" s="26"/>
      <c r="G127" s="26"/>
      <c r="H127" s="26"/>
      <c r="I127" s="274"/>
      <c r="J127" s="274"/>
      <c r="K127" s="26"/>
      <c r="L127" s="26"/>
      <c r="M127" s="26"/>
      <c r="N127" s="26"/>
      <c r="O127" s="274"/>
      <c r="P127" s="274"/>
      <c r="Q127" s="274"/>
      <c r="R127" s="274"/>
      <c r="S127" s="271"/>
      <c r="T127" s="597"/>
      <c r="U127" s="17"/>
      <c r="V127" s="271"/>
      <c r="W127" s="271"/>
      <c r="X127" s="271"/>
      <c r="Y127" s="271"/>
      <c r="Z127" s="271"/>
      <c r="AA127" s="271"/>
      <c r="AB127" s="271"/>
      <c r="AC127" s="26"/>
      <c r="AD127" s="26"/>
      <c r="AE127" s="26"/>
      <c r="AF127" s="26"/>
      <c r="AG127" s="26"/>
      <c r="AH127" s="26"/>
      <c r="AI127" s="274"/>
      <c r="AJ127" s="274"/>
      <c r="AK127" s="26"/>
      <c r="AL127" s="26"/>
      <c r="AM127" s="26"/>
      <c r="AN127" s="26"/>
      <c r="AO127" s="26"/>
      <c r="AP127" s="274"/>
      <c r="AQ127" s="274"/>
      <c r="AR127" s="10"/>
      <c r="AS127" s="10"/>
      <c r="BF127" s="22"/>
      <c r="BJ127" s="10"/>
      <c r="BN127" s="22"/>
    </row>
    <row r="128" spans="1:66" x14ac:dyDescent="0.25">
      <c r="A128" s="4"/>
      <c r="B128" s="26"/>
      <c r="C128" s="26"/>
      <c r="D128" s="26"/>
      <c r="E128" s="26"/>
      <c r="F128" s="26"/>
      <c r="G128" s="26"/>
      <c r="H128" s="26"/>
      <c r="I128" s="274"/>
      <c r="J128" s="274"/>
      <c r="K128" s="26"/>
      <c r="L128" s="26"/>
      <c r="M128" s="26"/>
      <c r="N128" s="26"/>
      <c r="O128" s="274"/>
      <c r="P128" s="274"/>
      <c r="Q128" s="274"/>
      <c r="R128" s="274"/>
      <c r="S128" s="271"/>
      <c r="T128" s="597"/>
      <c r="U128" s="17"/>
      <c r="V128" s="271"/>
      <c r="W128" s="271"/>
      <c r="X128" s="271"/>
      <c r="Y128" s="271"/>
      <c r="Z128" s="271"/>
      <c r="AA128" s="271"/>
      <c r="AB128" s="271"/>
      <c r="AC128" s="26"/>
      <c r="AD128" s="26"/>
      <c r="AE128" s="26"/>
      <c r="AF128" s="26"/>
      <c r="AG128" s="26"/>
      <c r="AH128" s="26"/>
      <c r="AI128" s="274"/>
      <c r="AJ128" s="274"/>
      <c r="AK128" s="26"/>
      <c r="AL128" s="26"/>
      <c r="AM128" s="26"/>
      <c r="AN128" s="26"/>
      <c r="AO128" s="26"/>
      <c r="AP128" s="274"/>
      <c r="AQ128" s="274"/>
      <c r="AR128" s="10"/>
      <c r="AS128" s="10"/>
      <c r="BF128" s="22"/>
      <c r="BJ128" s="10"/>
      <c r="BN128" s="22"/>
    </row>
    <row r="129" spans="1:66" x14ac:dyDescent="0.25">
      <c r="A129" s="4"/>
      <c r="B129" s="26"/>
      <c r="C129" s="26"/>
      <c r="D129" s="26"/>
      <c r="E129" s="26"/>
      <c r="F129" s="26"/>
      <c r="G129" s="26"/>
      <c r="H129" s="26"/>
      <c r="I129" s="274"/>
      <c r="J129" s="274"/>
      <c r="K129" s="26"/>
      <c r="L129" s="26"/>
      <c r="M129" s="26"/>
      <c r="N129" s="26"/>
      <c r="O129" s="274"/>
      <c r="P129" s="274"/>
      <c r="Q129" s="274"/>
      <c r="R129" s="274"/>
      <c r="S129" s="271"/>
      <c r="T129" s="597"/>
      <c r="U129" s="17"/>
      <c r="V129" s="271"/>
      <c r="W129" s="271"/>
      <c r="X129" s="271"/>
      <c r="Y129" s="271"/>
      <c r="Z129" s="271"/>
      <c r="AA129" s="271"/>
      <c r="AB129" s="271"/>
      <c r="AC129" s="26"/>
      <c r="AD129" s="26"/>
      <c r="AE129" s="26"/>
      <c r="AF129" s="26"/>
      <c r="AG129" s="26"/>
      <c r="AH129" s="26"/>
      <c r="AI129" s="274"/>
      <c r="AJ129" s="274"/>
      <c r="AK129" s="26"/>
      <c r="AL129" s="26"/>
      <c r="AM129" s="26"/>
      <c r="AN129" s="26"/>
      <c r="AO129" s="26"/>
      <c r="AP129" s="274"/>
      <c r="AQ129" s="274"/>
      <c r="AR129" s="10"/>
      <c r="AS129" s="10"/>
      <c r="BF129" s="22"/>
      <c r="BJ129" s="10"/>
      <c r="BN129" s="22"/>
    </row>
    <row r="130" spans="1:66" x14ac:dyDescent="0.25">
      <c r="A130" s="4"/>
      <c r="B130" s="26"/>
      <c r="C130" s="26"/>
      <c r="D130" s="26"/>
      <c r="E130" s="26"/>
      <c r="F130" s="26"/>
      <c r="G130" s="26"/>
      <c r="H130" s="26"/>
      <c r="I130" s="274"/>
      <c r="J130" s="274"/>
      <c r="K130" s="26"/>
      <c r="L130" s="26"/>
      <c r="M130" s="26"/>
      <c r="N130" s="26"/>
      <c r="O130" s="274"/>
      <c r="P130" s="274"/>
      <c r="Q130" s="274"/>
      <c r="R130" s="274"/>
      <c r="S130" s="271"/>
      <c r="T130" s="597"/>
      <c r="U130" s="17"/>
      <c r="V130" s="271"/>
      <c r="W130" s="271"/>
      <c r="X130" s="271"/>
      <c r="Y130" s="271"/>
      <c r="Z130" s="271"/>
      <c r="AA130" s="271"/>
      <c r="AB130" s="271"/>
      <c r="AC130" s="26"/>
      <c r="AD130" s="26"/>
      <c r="AE130" s="26"/>
      <c r="AF130" s="26"/>
      <c r="AG130" s="26"/>
      <c r="AH130" s="26"/>
      <c r="AI130" s="274"/>
      <c r="AJ130" s="274"/>
      <c r="AK130" s="26"/>
      <c r="AL130" s="26"/>
      <c r="AM130" s="26"/>
      <c r="AN130" s="26"/>
      <c r="AO130" s="26"/>
      <c r="AP130" s="274"/>
      <c r="AQ130" s="274"/>
      <c r="AR130" s="10"/>
      <c r="AS130" s="10"/>
      <c r="BF130" s="22"/>
      <c r="BJ130" s="10"/>
      <c r="BN130" s="22"/>
    </row>
    <row r="131" spans="1:66" x14ac:dyDescent="0.25">
      <c r="A131" s="4"/>
      <c r="B131" s="26"/>
      <c r="C131" s="26"/>
      <c r="D131" s="26"/>
      <c r="E131" s="26"/>
      <c r="F131" s="26"/>
      <c r="G131" s="26"/>
      <c r="H131" s="26"/>
      <c r="I131" s="274"/>
      <c r="J131" s="274"/>
      <c r="K131" s="26"/>
      <c r="L131" s="26"/>
      <c r="M131" s="26"/>
      <c r="N131" s="26"/>
      <c r="O131" s="274"/>
      <c r="P131" s="274"/>
      <c r="Q131" s="274"/>
      <c r="R131" s="274"/>
      <c r="S131" s="271"/>
      <c r="T131" s="597"/>
      <c r="U131" s="17"/>
      <c r="V131" s="271"/>
      <c r="W131" s="271"/>
      <c r="X131" s="271"/>
      <c r="Y131" s="271"/>
      <c r="Z131" s="271"/>
      <c r="AA131" s="271"/>
      <c r="AB131" s="271"/>
      <c r="AC131" s="26"/>
      <c r="AD131" s="26"/>
      <c r="AE131" s="26"/>
      <c r="AF131" s="26"/>
      <c r="AG131" s="26"/>
      <c r="AH131" s="26"/>
      <c r="AI131" s="274"/>
      <c r="AJ131" s="274"/>
      <c r="AK131" s="26"/>
      <c r="AL131" s="26"/>
      <c r="AM131" s="26"/>
      <c r="AN131" s="26"/>
      <c r="AO131" s="26"/>
      <c r="AP131" s="274"/>
      <c r="AQ131" s="274"/>
      <c r="AR131" s="10"/>
      <c r="AS131" s="10"/>
      <c r="BF131" s="22"/>
      <c r="BJ131" s="10"/>
      <c r="BN131" s="22"/>
    </row>
    <row r="132" spans="1:66" x14ac:dyDescent="0.25">
      <c r="A132" s="4"/>
      <c r="B132" s="26"/>
      <c r="C132" s="26"/>
      <c r="D132" s="26"/>
      <c r="E132" s="26"/>
      <c r="F132" s="26"/>
      <c r="G132" s="26"/>
      <c r="H132" s="26"/>
      <c r="I132" s="274"/>
      <c r="J132" s="274"/>
      <c r="K132" s="26"/>
      <c r="L132" s="26"/>
      <c r="M132" s="26"/>
      <c r="N132" s="26"/>
      <c r="O132" s="274"/>
      <c r="P132" s="274"/>
      <c r="Q132" s="274"/>
      <c r="R132" s="274"/>
      <c r="S132" s="271"/>
      <c r="T132" s="597"/>
      <c r="U132" s="17"/>
      <c r="V132" s="271"/>
      <c r="W132" s="271"/>
      <c r="X132" s="271"/>
      <c r="Y132" s="271"/>
      <c r="Z132" s="271"/>
      <c r="AA132" s="271"/>
      <c r="AB132" s="271"/>
      <c r="AC132" s="26"/>
      <c r="AD132" s="26"/>
      <c r="AE132" s="26"/>
      <c r="AF132" s="26"/>
      <c r="AG132" s="26"/>
      <c r="AH132" s="26"/>
      <c r="AI132" s="274"/>
      <c r="AJ132" s="274"/>
      <c r="AK132" s="26"/>
      <c r="AL132" s="26"/>
      <c r="AM132" s="26"/>
      <c r="AN132" s="26"/>
      <c r="AO132" s="26"/>
      <c r="AP132" s="274"/>
      <c r="AQ132" s="274"/>
      <c r="AR132" s="10"/>
      <c r="AS132" s="10"/>
      <c r="BF132" s="22"/>
      <c r="BJ132" s="10"/>
      <c r="BN132" s="22"/>
    </row>
    <row r="133" spans="1:66" x14ac:dyDescent="0.25">
      <c r="A133" s="4"/>
      <c r="B133" s="26"/>
      <c r="C133" s="26"/>
      <c r="D133" s="26"/>
      <c r="E133" s="26"/>
      <c r="F133" s="26"/>
      <c r="G133" s="26"/>
      <c r="H133" s="26"/>
      <c r="I133" s="274"/>
      <c r="J133" s="274"/>
      <c r="K133" s="26"/>
      <c r="L133" s="26"/>
      <c r="M133" s="26"/>
      <c r="N133" s="26"/>
      <c r="O133" s="274"/>
      <c r="P133" s="274"/>
      <c r="Q133" s="274"/>
      <c r="R133" s="274"/>
      <c r="S133" s="271"/>
      <c r="T133" s="597"/>
      <c r="U133" s="17"/>
      <c r="V133" s="271"/>
      <c r="W133" s="271"/>
      <c r="X133" s="271"/>
      <c r="Y133" s="271"/>
      <c r="Z133" s="271"/>
      <c r="AA133" s="271"/>
      <c r="AB133" s="271"/>
      <c r="AC133" s="26"/>
      <c r="AD133" s="26"/>
      <c r="AE133" s="26"/>
      <c r="AF133" s="26"/>
      <c r="AG133" s="26"/>
      <c r="AH133" s="26"/>
      <c r="AI133" s="274"/>
      <c r="AJ133" s="274"/>
      <c r="AK133" s="26"/>
      <c r="AL133" s="26"/>
      <c r="AM133" s="26"/>
      <c r="AN133" s="26"/>
      <c r="AO133" s="26"/>
      <c r="AP133" s="274"/>
      <c r="AQ133" s="274"/>
      <c r="AR133" s="10"/>
      <c r="AS133" s="10"/>
      <c r="BF133" s="22"/>
      <c r="BJ133" s="10"/>
      <c r="BN133" s="22"/>
    </row>
    <row r="134" spans="1:66" x14ac:dyDescent="0.25">
      <c r="A134" s="4"/>
      <c r="B134" s="26"/>
      <c r="C134" s="26"/>
      <c r="D134" s="26"/>
      <c r="E134" s="26"/>
      <c r="F134" s="26"/>
      <c r="G134" s="26"/>
      <c r="H134" s="26"/>
      <c r="I134" s="274"/>
      <c r="J134" s="274"/>
      <c r="K134" s="26"/>
      <c r="L134" s="26"/>
      <c r="M134" s="26"/>
      <c r="N134" s="26"/>
      <c r="O134" s="274"/>
      <c r="P134" s="274"/>
      <c r="Q134" s="274"/>
      <c r="R134" s="274"/>
      <c r="S134" s="271"/>
      <c r="T134" s="597"/>
      <c r="U134" s="17"/>
      <c r="V134" s="271"/>
      <c r="W134" s="271"/>
      <c r="X134" s="271"/>
      <c r="Y134" s="271"/>
      <c r="Z134" s="271"/>
      <c r="AA134" s="271"/>
      <c r="AB134" s="271"/>
      <c r="AC134" s="26"/>
      <c r="AD134" s="26"/>
      <c r="AE134" s="26"/>
      <c r="AF134" s="26"/>
      <c r="AG134" s="26"/>
      <c r="AH134" s="26"/>
      <c r="AI134" s="274"/>
      <c r="AJ134" s="274"/>
      <c r="AK134" s="26"/>
      <c r="AL134" s="26"/>
      <c r="AM134" s="26"/>
      <c r="AN134" s="26"/>
      <c r="AO134" s="26"/>
      <c r="AP134" s="274"/>
      <c r="AQ134" s="274"/>
      <c r="AR134" s="10"/>
      <c r="AS134" s="10"/>
      <c r="BF134" s="22"/>
      <c r="BJ134" s="10"/>
      <c r="BN134" s="22"/>
    </row>
    <row r="135" spans="1:66" x14ac:dyDescent="0.25">
      <c r="A135" s="4"/>
      <c r="B135" s="26"/>
      <c r="C135" s="26"/>
      <c r="D135" s="26"/>
      <c r="E135" s="26"/>
      <c r="F135" s="26"/>
      <c r="G135" s="26"/>
      <c r="H135" s="26"/>
      <c r="I135" s="274"/>
      <c r="J135" s="274"/>
      <c r="K135" s="26"/>
      <c r="L135" s="26"/>
      <c r="M135" s="26"/>
      <c r="N135" s="26"/>
      <c r="O135" s="274"/>
      <c r="P135" s="274"/>
      <c r="Q135" s="274"/>
      <c r="R135" s="274"/>
      <c r="S135" s="271"/>
      <c r="T135" s="597"/>
      <c r="U135" s="17"/>
      <c r="V135" s="271"/>
      <c r="W135" s="271"/>
      <c r="X135" s="271"/>
      <c r="Y135" s="271"/>
      <c r="Z135" s="271"/>
      <c r="AA135" s="271"/>
      <c r="AB135" s="271"/>
      <c r="AC135" s="26"/>
      <c r="AD135" s="26"/>
      <c r="AE135" s="26"/>
      <c r="AF135" s="26"/>
      <c r="AG135" s="26"/>
      <c r="AH135" s="26"/>
      <c r="AI135" s="274"/>
      <c r="AJ135" s="274"/>
      <c r="AK135" s="26"/>
      <c r="AL135" s="26"/>
      <c r="AM135" s="26"/>
      <c r="AN135" s="26"/>
      <c r="AO135" s="26"/>
      <c r="AP135" s="274"/>
      <c r="AQ135" s="274"/>
      <c r="AR135" s="10"/>
      <c r="AS135" s="10"/>
      <c r="BF135" s="22"/>
      <c r="BJ135" s="10"/>
      <c r="BN135" s="22"/>
    </row>
    <row r="136" spans="1:66" x14ac:dyDescent="0.25">
      <c r="A136" s="4"/>
      <c r="B136" s="26"/>
      <c r="C136" s="26"/>
      <c r="D136" s="26"/>
      <c r="E136" s="26"/>
      <c r="F136" s="26"/>
      <c r="G136" s="26"/>
      <c r="H136" s="26"/>
      <c r="I136" s="274"/>
      <c r="J136" s="274"/>
      <c r="K136" s="26"/>
      <c r="L136" s="26"/>
      <c r="M136" s="26"/>
      <c r="N136" s="26"/>
      <c r="O136" s="274"/>
      <c r="P136" s="274"/>
      <c r="Q136" s="274"/>
      <c r="R136" s="274"/>
      <c r="S136" s="271"/>
      <c r="T136" s="597"/>
      <c r="U136" s="17"/>
      <c r="V136" s="271"/>
      <c r="W136" s="271"/>
      <c r="X136" s="271"/>
      <c r="Y136" s="271"/>
      <c r="Z136" s="271"/>
      <c r="AA136" s="271"/>
      <c r="AB136" s="271"/>
      <c r="AC136" s="26"/>
      <c r="AD136" s="26"/>
      <c r="AE136" s="26"/>
      <c r="AF136" s="26"/>
      <c r="AG136" s="26"/>
      <c r="AH136" s="26"/>
      <c r="AI136" s="274"/>
      <c r="AJ136" s="274"/>
      <c r="AK136" s="26"/>
      <c r="AL136" s="26"/>
      <c r="AM136" s="26"/>
      <c r="AN136" s="26"/>
      <c r="AO136" s="26"/>
      <c r="AP136" s="274"/>
      <c r="AQ136" s="274"/>
      <c r="AR136" s="10"/>
      <c r="AS136" s="10"/>
      <c r="BF136" s="22"/>
      <c r="BJ136" s="10"/>
      <c r="BN136" s="22"/>
    </row>
    <row r="137" spans="1:66" x14ac:dyDescent="0.25">
      <c r="A137" s="4"/>
      <c r="B137" s="26"/>
      <c r="C137" s="26"/>
      <c r="D137" s="26"/>
      <c r="E137" s="26"/>
      <c r="F137" s="26"/>
      <c r="G137" s="26"/>
      <c r="H137" s="26"/>
      <c r="I137" s="274"/>
      <c r="J137" s="274"/>
      <c r="K137" s="26"/>
      <c r="L137" s="26"/>
      <c r="M137" s="26"/>
      <c r="N137" s="26"/>
      <c r="O137" s="274"/>
      <c r="P137" s="274"/>
      <c r="Q137" s="274"/>
      <c r="R137" s="274"/>
      <c r="S137" s="271"/>
      <c r="T137" s="597"/>
      <c r="U137" s="17"/>
      <c r="V137" s="271"/>
      <c r="W137" s="271"/>
      <c r="X137" s="271"/>
      <c r="Y137" s="271"/>
      <c r="Z137" s="271"/>
      <c r="AA137" s="271"/>
      <c r="AB137" s="271"/>
      <c r="AC137" s="26"/>
      <c r="AD137" s="26"/>
      <c r="AE137" s="26"/>
      <c r="AF137" s="26"/>
      <c r="AG137" s="26"/>
      <c r="AH137" s="26"/>
      <c r="AI137" s="274"/>
      <c r="AJ137" s="274"/>
      <c r="AK137" s="26"/>
      <c r="AL137" s="26"/>
      <c r="AM137" s="26"/>
      <c r="AN137" s="26"/>
      <c r="AO137" s="26"/>
      <c r="AP137" s="274"/>
      <c r="AQ137" s="274"/>
      <c r="AR137" s="10"/>
      <c r="AS137" s="10"/>
      <c r="BF137" s="22"/>
      <c r="BJ137" s="10"/>
      <c r="BN137" s="22"/>
    </row>
    <row r="138" spans="1:66" x14ac:dyDescent="0.25">
      <c r="A138" s="4"/>
      <c r="B138" s="26"/>
      <c r="C138" s="26"/>
      <c r="D138" s="26"/>
      <c r="E138" s="26"/>
      <c r="F138" s="26"/>
      <c r="G138" s="26"/>
      <c r="H138" s="26"/>
      <c r="I138" s="274"/>
      <c r="J138" s="274"/>
      <c r="K138" s="26"/>
      <c r="L138" s="26"/>
      <c r="M138" s="26"/>
      <c r="N138" s="26"/>
      <c r="O138" s="274"/>
      <c r="P138" s="274"/>
      <c r="Q138" s="274"/>
      <c r="R138" s="274"/>
      <c r="S138" s="271"/>
      <c r="T138" s="597"/>
      <c r="U138" s="17"/>
      <c r="V138" s="271"/>
      <c r="W138" s="271"/>
      <c r="X138" s="271"/>
      <c r="Y138" s="271"/>
      <c r="Z138" s="271"/>
      <c r="AA138" s="271"/>
      <c r="AB138" s="271"/>
      <c r="AC138" s="26"/>
      <c r="AD138" s="26"/>
      <c r="AE138" s="26"/>
      <c r="AF138" s="26"/>
      <c r="AG138" s="26"/>
      <c r="AH138" s="26"/>
      <c r="AI138" s="274"/>
      <c r="AJ138" s="274"/>
      <c r="AK138" s="26"/>
      <c r="AL138" s="26"/>
      <c r="AM138" s="26"/>
      <c r="AN138" s="26"/>
      <c r="AO138" s="26"/>
      <c r="AP138" s="274"/>
      <c r="AQ138" s="274"/>
      <c r="AR138" s="10"/>
      <c r="AS138" s="10"/>
      <c r="BF138" s="22"/>
      <c r="BJ138" s="10"/>
      <c r="BN138" s="22"/>
    </row>
    <row r="139" spans="1:66" x14ac:dyDescent="0.25">
      <c r="A139" s="4"/>
      <c r="B139" s="26"/>
      <c r="C139" s="26"/>
      <c r="D139" s="26"/>
      <c r="E139" s="26"/>
      <c r="F139" s="26"/>
      <c r="G139" s="26"/>
      <c r="H139" s="26"/>
      <c r="I139" s="274"/>
      <c r="J139" s="274"/>
      <c r="K139" s="26"/>
      <c r="L139" s="26"/>
      <c r="M139" s="26"/>
      <c r="N139" s="26"/>
      <c r="O139" s="274"/>
      <c r="P139" s="274"/>
      <c r="Q139" s="274"/>
      <c r="R139" s="274"/>
      <c r="S139" s="271"/>
      <c r="T139" s="597"/>
      <c r="U139" s="17"/>
      <c r="V139" s="271"/>
      <c r="W139" s="271"/>
      <c r="X139" s="271"/>
      <c r="Y139" s="271"/>
      <c r="Z139" s="271"/>
      <c r="AA139" s="271"/>
      <c r="AB139" s="271"/>
      <c r="AC139" s="26"/>
      <c r="AD139" s="26"/>
      <c r="AE139" s="26"/>
      <c r="AF139" s="26"/>
      <c r="AG139" s="26"/>
      <c r="AH139" s="26"/>
      <c r="AI139" s="274"/>
      <c r="AJ139" s="274"/>
      <c r="AK139" s="26"/>
      <c r="AL139" s="26"/>
      <c r="AM139" s="26"/>
      <c r="AN139" s="26"/>
      <c r="AO139" s="26"/>
      <c r="AP139" s="274"/>
      <c r="AQ139" s="274"/>
      <c r="AR139" s="10"/>
      <c r="AS139" s="10"/>
      <c r="BF139" s="22"/>
      <c r="BJ139" s="10"/>
      <c r="BN139" s="22"/>
    </row>
    <row r="140" spans="1:66" x14ac:dyDescent="0.25">
      <c r="A140" s="4"/>
      <c r="B140" s="26"/>
      <c r="C140" s="26"/>
      <c r="D140" s="26"/>
      <c r="E140" s="26"/>
      <c r="F140" s="26"/>
      <c r="G140" s="26"/>
      <c r="H140" s="26"/>
      <c r="I140" s="274"/>
      <c r="J140" s="274"/>
      <c r="K140" s="26"/>
      <c r="L140" s="26"/>
      <c r="M140" s="26"/>
      <c r="N140" s="26"/>
      <c r="O140" s="274"/>
      <c r="P140" s="274"/>
      <c r="Q140" s="274"/>
      <c r="R140" s="274"/>
      <c r="S140" s="271"/>
      <c r="T140" s="597"/>
      <c r="U140" s="17"/>
      <c r="V140" s="271"/>
      <c r="W140" s="271"/>
      <c r="X140" s="271"/>
      <c r="Y140" s="271"/>
      <c r="Z140" s="271"/>
      <c r="AA140" s="271"/>
      <c r="AB140" s="271"/>
      <c r="AC140" s="26"/>
      <c r="AD140" s="26"/>
      <c r="AE140" s="26"/>
      <c r="AF140" s="26"/>
      <c r="AG140" s="26"/>
      <c r="AH140" s="26"/>
      <c r="AI140" s="274"/>
      <c r="AJ140" s="274"/>
      <c r="AK140" s="26"/>
      <c r="AL140" s="26"/>
      <c r="AM140" s="26"/>
      <c r="AN140" s="26"/>
      <c r="AO140" s="26"/>
      <c r="AP140" s="274"/>
      <c r="AQ140" s="274"/>
      <c r="AR140" s="10"/>
      <c r="AS140" s="10"/>
      <c r="BF140" s="22"/>
      <c r="BJ140" s="10"/>
      <c r="BN140" s="22"/>
    </row>
    <row r="141" spans="1:66" x14ac:dyDescent="0.25">
      <c r="A141" s="4"/>
      <c r="B141" s="26"/>
      <c r="C141" s="26"/>
      <c r="D141" s="26"/>
      <c r="E141" s="26"/>
      <c r="F141" s="26"/>
      <c r="G141" s="26"/>
      <c r="H141" s="26"/>
      <c r="I141" s="274"/>
      <c r="J141" s="274"/>
      <c r="K141" s="26"/>
      <c r="L141" s="26"/>
      <c r="M141" s="26"/>
      <c r="N141" s="26"/>
      <c r="O141" s="274"/>
      <c r="P141" s="274"/>
      <c r="Q141" s="274"/>
      <c r="R141" s="274"/>
      <c r="S141" s="271"/>
      <c r="T141" s="597"/>
      <c r="U141" s="17"/>
      <c r="V141" s="271"/>
      <c r="W141" s="271"/>
      <c r="X141" s="271"/>
      <c r="Y141" s="271"/>
      <c r="Z141" s="271"/>
      <c r="AA141" s="271"/>
      <c r="AB141" s="271"/>
      <c r="AC141" s="26"/>
      <c r="AD141" s="26"/>
      <c r="AE141" s="26"/>
      <c r="AF141" s="26"/>
      <c r="AG141" s="26"/>
      <c r="AH141" s="26"/>
      <c r="AI141" s="274"/>
      <c r="AJ141" s="274"/>
      <c r="AK141" s="26"/>
      <c r="AL141" s="26"/>
      <c r="AM141" s="26"/>
      <c r="AN141" s="26"/>
      <c r="AO141" s="26"/>
      <c r="AP141" s="274"/>
      <c r="AQ141" s="274"/>
      <c r="AR141" s="10"/>
      <c r="AS141" s="10"/>
      <c r="BF141" s="22"/>
      <c r="BJ141" s="10"/>
      <c r="BN141" s="22"/>
    </row>
    <row r="142" spans="1:66" x14ac:dyDescent="0.25">
      <c r="A142" s="4"/>
      <c r="B142" s="26"/>
      <c r="C142" s="26"/>
      <c r="D142" s="26"/>
      <c r="E142" s="26"/>
      <c r="F142" s="26"/>
      <c r="G142" s="26"/>
      <c r="H142" s="26"/>
      <c r="I142" s="274"/>
      <c r="J142" s="274"/>
      <c r="K142" s="26"/>
      <c r="L142" s="26"/>
      <c r="M142" s="26"/>
      <c r="N142" s="26"/>
      <c r="O142" s="274"/>
      <c r="P142" s="274"/>
      <c r="Q142" s="274"/>
      <c r="R142" s="274"/>
      <c r="S142" s="271"/>
      <c r="T142" s="597"/>
      <c r="U142" s="17"/>
      <c r="V142" s="271"/>
      <c r="W142" s="271"/>
      <c r="X142" s="271"/>
      <c r="Y142" s="271"/>
      <c r="Z142" s="271"/>
      <c r="AA142" s="271"/>
      <c r="AB142" s="271"/>
      <c r="AC142" s="26"/>
      <c r="AD142" s="26"/>
      <c r="AE142" s="26"/>
      <c r="AF142" s="26"/>
      <c r="AG142" s="26"/>
      <c r="AH142" s="26"/>
      <c r="AI142" s="274"/>
      <c r="AJ142" s="274"/>
      <c r="AK142" s="26"/>
      <c r="AL142" s="26"/>
      <c r="AM142" s="26"/>
      <c r="AN142" s="26"/>
      <c r="AO142" s="26"/>
      <c r="AP142" s="274"/>
      <c r="AQ142" s="274"/>
      <c r="AR142" s="10"/>
      <c r="AS142" s="10"/>
      <c r="BF142" s="22"/>
      <c r="BJ142" s="10"/>
      <c r="BN142" s="22"/>
    </row>
    <row r="143" spans="1:66" x14ac:dyDescent="0.25">
      <c r="A143" s="4"/>
      <c r="B143" s="26"/>
      <c r="C143" s="26"/>
      <c r="D143" s="26"/>
      <c r="E143" s="26"/>
      <c r="F143" s="26"/>
      <c r="G143" s="26"/>
      <c r="H143" s="26"/>
      <c r="I143" s="274"/>
      <c r="J143" s="274"/>
      <c r="K143" s="26"/>
      <c r="L143" s="26"/>
      <c r="M143" s="26"/>
      <c r="N143" s="26"/>
      <c r="O143" s="274"/>
      <c r="P143" s="274"/>
      <c r="Q143" s="274"/>
      <c r="R143" s="274"/>
      <c r="S143" s="271"/>
      <c r="T143" s="597"/>
      <c r="U143" s="17"/>
      <c r="V143" s="271"/>
      <c r="W143" s="271"/>
      <c r="X143" s="271"/>
      <c r="Y143" s="271"/>
      <c r="Z143" s="271"/>
      <c r="AA143" s="271"/>
      <c r="AB143" s="271"/>
      <c r="AC143" s="26"/>
      <c r="AD143" s="26"/>
      <c r="AE143" s="26"/>
      <c r="AF143" s="26"/>
      <c r="AG143" s="26"/>
      <c r="AH143" s="26"/>
      <c r="AI143" s="274"/>
      <c r="AJ143" s="274"/>
      <c r="AK143" s="26"/>
      <c r="AL143" s="26"/>
      <c r="AM143" s="26"/>
      <c r="AN143" s="26"/>
      <c r="AO143" s="26"/>
      <c r="AP143" s="274"/>
      <c r="AQ143" s="274"/>
      <c r="AR143" s="10"/>
      <c r="AS143" s="10"/>
      <c r="BF143" s="22"/>
      <c r="BJ143" s="10"/>
      <c r="BN143" s="22"/>
    </row>
    <row r="144" spans="1:66" x14ac:dyDescent="0.25">
      <c r="A144" s="4"/>
      <c r="B144" s="26"/>
      <c r="C144" s="26"/>
      <c r="D144" s="26"/>
      <c r="E144" s="26"/>
      <c r="F144" s="26"/>
      <c r="G144" s="26"/>
      <c r="H144" s="26"/>
      <c r="I144" s="274"/>
      <c r="J144" s="274"/>
      <c r="K144" s="26"/>
      <c r="L144" s="26"/>
      <c r="M144" s="26"/>
      <c r="N144" s="26"/>
      <c r="O144" s="274"/>
      <c r="P144" s="274"/>
      <c r="Q144" s="274"/>
      <c r="R144" s="274"/>
      <c r="S144" s="271"/>
      <c r="T144" s="597"/>
      <c r="U144" s="17"/>
      <c r="V144" s="271"/>
      <c r="W144" s="271"/>
      <c r="X144" s="271"/>
      <c r="Y144" s="271"/>
      <c r="Z144" s="271"/>
      <c r="AA144" s="271"/>
      <c r="AB144" s="271"/>
      <c r="AC144" s="26"/>
      <c r="AD144" s="26"/>
      <c r="AE144" s="26"/>
      <c r="AF144" s="26"/>
      <c r="AG144" s="26"/>
      <c r="AH144" s="26"/>
      <c r="AI144" s="274"/>
      <c r="AJ144" s="274"/>
      <c r="AK144" s="26"/>
      <c r="AL144" s="26"/>
      <c r="AM144" s="26"/>
      <c r="AN144" s="26"/>
      <c r="AO144" s="26"/>
      <c r="AP144" s="274"/>
      <c r="AQ144" s="274"/>
      <c r="AR144" s="10"/>
      <c r="AS144" s="10"/>
      <c r="BF144" s="22"/>
      <c r="BJ144" s="10"/>
      <c r="BN144" s="22"/>
    </row>
    <row r="145" spans="1:66" x14ac:dyDescent="0.25">
      <c r="A145" s="4"/>
      <c r="B145" s="26"/>
      <c r="C145" s="26"/>
      <c r="D145" s="26"/>
      <c r="E145" s="26"/>
      <c r="F145" s="26"/>
      <c r="G145" s="26"/>
      <c r="H145" s="26"/>
      <c r="I145" s="274"/>
      <c r="J145" s="274"/>
      <c r="K145" s="26"/>
      <c r="L145" s="26"/>
      <c r="M145" s="26"/>
      <c r="N145" s="26"/>
      <c r="O145" s="274"/>
      <c r="P145" s="274"/>
      <c r="Q145" s="274"/>
      <c r="R145" s="274"/>
      <c r="S145" s="271"/>
      <c r="T145" s="597"/>
      <c r="U145" s="17"/>
      <c r="V145" s="271"/>
      <c r="W145" s="271"/>
      <c r="X145" s="271"/>
      <c r="Y145" s="271"/>
      <c r="Z145" s="271"/>
      <c r="AA145" s="271"/>
      <c r="AB145" s="271"/>
      <c r="AC145" s="26"/>
      <c r="AD145" s="26"/>
      <c r="AE145" s="26"/>
      <c r="AF145" s="26"/>
      <c r="AG145" s="26"/>
      <c r="AH145" s="26"/>
      <c r="AI145" s="274"/>
      <c r="AJ145" s="274"/>
      <c r="AK145" s="26"/>
      <c r="AL145" s="26"/>
      <c r="AM145" s="26"/>
      <c r="AN145" s="26"/>
      <c r="AO145" s="26"/>
      <c r="AP145" s="274"/>
      <c r="AQ145" s="274"/>
      <c r="AR145" s="10"/>
      <c r="AS145" s="10"/>
      <c r="BF145" s="22"/>
      <c r="BJ145" s="10"/>
      <c r="BN145" s="22"/>
    </row>
    <row r="146" spans="1:66" x14ac:dyDescent="0.25">
      <c r="A146" s="4"/>
      <c r="B146" s="26"/>
      <c r="C146" s="26"/>
      <c r="D146" s="26"/>
      <c r="E146" s="26"/>
      <c r="F146" s="26"/>
      <c r="G146" s="26"/>
      <c r="H146" s="26"/>
      <c r="I146" s="274"/>
      <c r="J146" s="274"/>
      <c r="K146" s="26"/>
      <c r="L146" s="26"/>
      <c r="M146" s="26"/>
      <c r="N146" s="26"/>
      <c r="O146" s="274"/>
      <c r="P146" s="274"/>
      <c r="Q146" s="274"/>
      <c r="R146" s="274"/>
      <c r="S146" s="271"/>
      <c r="T146" s="597"/>
      <c r="U146" s="17"/>
      <c r="V146" s="271"/>
      <c r="W146" s="271"/>
      <c r="X146" s="271"/>
      <c r="Y146" s="271"/>
      <c r="Z146" s="271"/>
      <c r="AA146" s="271"/>
      <c r="AB146" s="271"/>
      <c r="AC146" s="26"/>
      <c r="AD146" s="26"/>
      <c r="AE146" s="26"/>
      <c r="AF146" s="26"/>
      <c r="AG146" s="26"/>
      <c r="AH146" s="26"/>
      <c r="AI146" s="274"/>
      <c r="AJ146" s="274"/>
      <c r="AK146" s="26"/>
      <c r="AL146" s="26"/>
      <c r="AM146" s="26"/>
      <c r="AN146" s="26"/>
      <c r="AO146" s="26"/>
      <c r="AP146" s="274"/>
      <c r="AQ146" s="274"/>
      <c r="AR146" s="10"/>
      <c r="AS146" s="10"/>
      <c r="BF146" s="22"/>
      <c r="BJ146" s="10"/>
      <c r="BN146" s="22"/>
    </row>
    <row r="147" spans="1:66" x14ac:dyDescent="0.25">
      <c r="A147" s="4"/>
      <c r="B147" s="26"/>
      <c r="C147" s="26"/>
      <c r="D147" s="26"/>
      <c r="E147" s="26"/>
      <c r="F147" s="26"/>
      <c r="G147" s="26"/>
      <c r="H147" s="26"/>
      <c r="I147" s="274"/>
      <c r="J147" s="274"/>
      <c r="K147" s="26"/>
      <c r="L147" s="26"/>
      <c r="M147" s="26"/>
      <c r="N147" s="26"/>
      <c r="O147" s="274"/>
      <c r="P147" s="274"/>
      <c r="Q147" s="274"/>
      <c r="R147" s="274"/>
      <c r="S147" s="271"/>
      <c r="T147" s="597"/>
      <c r="U147" s="17"/>
      <c r="V147" s="271"/>
      <c r="W147" s="271"/>
      <c r="X147" s="271"/>
      <c r="Y147" s="271"/>
      <c r="Z147" s="271"/>
      <c r="AA147" s="271"/>
      <c r="AB147" s="271"/>
      <c r="AC147" s="26"/>
      <c r="AD147" s="26"/>
      <c r="AE147" s="26"/>
      <c r="AF147" s="26"/>
      <c r="AG147" s="26"/>
      <c r="AH147" s="26"/>
      <c r="AI147" s="274"/>
      <c r="AJ147" s="274"/>
      <c r="AK147" s="26"/>
      <c r="AL147" s="26"/>
      <c r="AM147" s="26"/>
      <c r="AN147" s="26"/>
      <c r="AO147" s="26"/>
      <c r="AP147" s="274"/>
      <c r="AQ147" s="274"/>
      <c r="AR147" s="10"/>
      <c r="AS147" s="10"/>
      <c r="BF147" s="22"/>
      <c r="BJ147" s="10"/>
      <c r="BN147" s="22"/>
    </row>
    <row r="148" spans="1:66" x14ac:dyDescent="0.25">
      <c r="A148" s="4"/>
      <c r="B148" s="26"/>
      <c r="C148" s="26"/>
      <c r="D148" s="26"/>
      <c r="E148" s="26"/>
      <c r="F148" s="26"/>
      <c r="G148" s="26"/>
      <c r="H148" s="26"/>
      <c r="I148" s="274"/>
      <c r="J148" s="274"/>
      <c r="K148" s="26"/>
      <c r="L148" s="26"/>
      <c r="M148" s="26"/>
      <c r="N148" s="26"/>
      <c r="O148" s="274"/>
      <c r="P148" s="274"/>
      <c r="Q148" s="274"/>
      <c r="R148" s="274"/>
      <c r="S148" s="271"/>
      <c r="T148" s="597"/>
      <c r="U148" s="17"/>
      <c r="V148" s="271"/>
      <c r="W148" s="271"/>
      <c r="X148" s="271"/>
      <c r="Y148" s="271"/>
      <c r="Z148" s="271"/>
      <c r="AA148" s="271"/>
      <c r="AB148" s="271"/>
      <c r="AC148" s="26"/>
      <c r="AD148" s="26"/>
      <c r="AE148" s="26"/>
      <c r="AF148" s="26"/>
      <c r="AG148" s="26"/>
      <c r="AH148" s="26"/>
      <c r="AI148" s="274"/>
      <c r="AJ148" s="274"/>
      <c r="AK148" s="26"/>
      <c r="AL148" s="26"/>
      <c r="AM148" s="26"/>
      <c r="AN148" s="26"/>
      <c r="AO148" s="26"/>
      <c r="AP148" s="274"/>
      <c r="AQ148" s="274"/>
      <c r="AR148" s="10"/>
      <c r="AS148" s="10"/>
      <c r="BF148" s="22"/>
      <c r="BJ148" s="10"/>
      <c r="BN148" s="22"/>
    </row>
    <row r="149" spans="1:66" x14ac:dyDescent="0.25">
      <c r="A149" s="4"/>
      <c r="B149" s="26"/>
      <c r="C149" s="26"/>
      <c r="D149" s="26"/>
      <c r="E149" s="26"/>
      <c r="F149" s="26"/>
      <c r="G149" s="26"/>
      <c r="H149" s="26"/>
      <c r="I149" s="274"/>
      <c r="J149" s="274"/>
      <c r="K149" s="26"/>
      <c r="L149" s="26"/>
      <c r="M149" s="26"/>
      <c r="N149" s="26"/>
      <c r="O149" s="274"/>
      <c r="P149" s="274"/>
      <c r="Q149" s="274"/>
      <c r="R149" s="274"/>
      <c r="S149" s="271"/>
      <c r="T149" s="597"/>
      <c r="U149" s="17"/>
      <c r="V149" s="271"/>
      <c r="W149" s="271"/>
      <c r="X149" s="271"/>
      <c r="Y149" s="271"/>
      <c r="Z149" s="271"/>
      <c r="AA149" s="271"/>
      <c r="AB149" s="271"/>
      <c r="AC149" s="26"/>
      <c r="AD149" s="26"/>
      <c r="AE149" s="26"/>
      <c r="AF149" s="26"/>
      <c r="AG149" s="26"/>
      <c r="AH149" s="26"/>
      <c r="AI149" s="274"/>
      <c r="AJ149" s="274"/>
      <c r="AK149" s="26"/>
      <c r="AL149" s="26"/>
      <c r="AM149" s="26"/>
      <c r="AN149" s="26"/>
      <c r="AO149" s="26"/>
      <c r="AP149" s="274"/>
      <c r="AQ149" s="274"/>
      <c r="AR149" s="10"/>
      <c r="AS149" s="10"/>
      <c r="BF149" s="22"/>
      <c r="BJ149" s="10"/>
      <c r="BN149" s="22"/>
    </row>
    <row r="150" spans="1:66" x14ac:dyDescent="0.25">
      <c r="A150" s="4"/>
      <c r="B150" s="26"/>
      <c r="C150" s="26"/>
      <c r="D150" s="26"/>
      <c r="E150" s="26"/>
      <c r="F150" s="26"/>
      <c r="G150" s="26"/>
      <c r="H150" s="26"/>
      <c r="I150" s="274"/>
      <c r="J150" s="274"/>
      <c r="K150" s="26"/>
      <c r="L150" s="26"/>
      <c r="M150" s="26"/>
      <c r="N150" s="26"/>
      <c r="O150" s="274"/>
      <c r="P150" s="274"/>
      <c r="Q150" s="274"/>
      <c r="R150" s="274"/>
      <c r="S150" s="271"/>
      <c r="T150" s="597"/>
      <c r="U150" s="17"/>
      <c r="V150" s="271"/>
      <c r="W150" s="271"/>
      <c r="X150" s="271"/>
      <c r="Y150" s="271"/>
      <c r="Z150" s="271"/>
      <c r="AA150" s="271"/>
      <c r="AB150" s="271"/>
      <c r="AC150" s="26"/>
      <c r="AD150" s="26"/>
      <c r="AE150" s="26"/>
      <c r="AF150" s="26"/>
      <c r="AG150" s="26"/>
      <c r="AH150" s="26"/>
      <c r="AI150" s="274"/>
      <c r="AJ150" s="274"/>
      <c r="AK150" s="26"/>
      <c r="AL150" s="26"/>
      <c r="AM150" s="26"/>
      <c r="AN150" s="26"/>
      <c r="AO150" s="26"/>
      <c r="AP150" s="274"/>
      <c r="AQ150" s="274"/>
      <c r="AR150" s="10"/>
      <c r="AS150" s="10"/>
      <c r="BF150" s="22"/>
      <c r="BJ150" s="10"/>
      <c r="BN150" s="22"/>
    </row>
    <row r="151" spans="1:66" x14ac:dyDescent="0.25">
      <c r="A151" s="4"/>
      <c r="B151" s="26"/>
      <c r="C151" s="26"/>
      <c r="D151" s="26"/>
      <c r="E151" s="26"/>
      <c r="F151" s="26"/>
      <c r="G151" s="26"/>
      <c r="H151" s="26"/>
      <c r="I151" s="274"/>
      <c r="J151" s="274"/>
      <c r="K151" s="26"/>
      <c r="L151" s="26"/>
      <c r="M151" s="26"/>
      <c r="N151" s="26"/>
      <c r="O151" s="274"/>
      <c r="P151" s="274"/>
      <c r="Q151" s="274"/>
      <c r="R151" s="274"/>
      <c r="S151" s="271"/>
      <c r="T151" s="597"/>
      <c r="U151" s="17"/>
      <c r="V151" s="271"/>
      <c r="W151" s="271"/>
      <c r="X151" s="271"/>
      <c r="Y151" s="271"/>
      <c r="Z151" s="271"/>
      <c r="AA151" s="271"/>
      <c r="AB151" s="271"/>
      <c r="AC151" s="26"/>
      <c r="AD151" s="26"/>
      <c r="AE151" s="26"/>
      <c r="AF151" s="26"/>
      <c r="AG151" s="26"/>
      <c r="AH151" s="26"/>
      <c r="AI151" s="274"/>
      <c r="AJ151" s="274"/>
      <c r="AK151" s="26"/>
      <c r="AL151" s="26"/>
      <c r="AM151" s="26"/>
      <c r="AN151" s="26"/>
      <c r="AO151" s="26"/>
      <c r="AP151" s="274"/>
      <c r="AQ151" s="274"/>
      <c r="AR151" s="10"/>
      <c r="AS151" s="10"/>
      <c r="BF151" s="22"/>
      <c r="BJ151" s="10"/>
      <c r="BN151" s="22"/>
    </row>
    <row r="152" spans="1:66" x14ac:dyDescent="0.25">
      <c r="A152" s="4"/>
      <c r="B152" s="26"/>
      <c r="C152" s="26"/>
      <c r="D152" s="26"/>
      <c r="E152" s="26"/>
      <c r="F152" s="26"/>
      <c r="G152" s="26"/>
      <c r="H152" s="26"/>
      <c r="I152" s="274"/>
      <c r="J152" s="274"/>
      <c r="K152" s="26"/>
      <c r="L152" s="26"/>
      <c r="M152" s="26"/>
      <c r="N152" s="26"/>
      <c r="O152" s="274"/>
      <c r="P152" s="274"/>
      <c r="Q152" s="274"/>
      <c r="R152" s="274"/>
      <c r="S152" s="271"/>
      <c r="T152" s="597"/>
      <c r="U152" s="17"/>
      <c r="V152" s="271"/>
      <c r="W152" s="271"/>
      <c r="X152" s="271"/>
      <c r="Y152" s="271"/>
      <c r="Z152" s="271"/>
      <c r="AA152" s="271"/>
      <c r="AB152" s="271"/>
      <c r="AC152" s="26"/>
      <c r="AD152" s="26"/>
      <c r="AE152" s="26"/>
      <c r="AF152" s="26"/>
      <c r="AG152" s="26"/>
      <c r="AH152" s="26"/>
      <c r="AI152" s="274"/>
      <c r="AJ152" s="274"/>
      <c r="AK152" s="26"/>
      <c r="AL152" s="26"/>
      <c r="AM152" s="26"/>
      <c r="AN152" s="26"/>
      <c r="AO152" s="26"/>
      <c r="AP152" s="274"/>
      <c r="AQ152" s="274"/>
      <c r="AR152" s="10"/>
      <c r="AS152" s="10"/>
      <c r="BF152" s="22"/>
      <c r="BJ152" s="10"/>
      <c r="BN152" s="22"/>
    </row>
    <row r="153" spans="1:66" x14ac:dyDescent="0.25">
      <c r="A153" s="4"/>
      <c r="B153" s="26"/>
      <c r="C153" s="26"/>
      <c r="D153" s="26"/>
      <c r="E153" s="26"/>
      <c r="F153" s="26"/>
      <c r="G153" s="26"/>
      <c r="H153" s="26"/>
      <c r="I153" s="274"/>
      <c r="J153" s="274"/>
      <c r="K153" s="26"/>
      <c r="L153" s="26"/>
      <c r="M153" s="26"/>
      <c r="N153" s="26"/>
      <c r="O153" s="274"/>
      <c r="P153" s="274"/>
      <c r="Q153" s="274"/>
      <c r="R153" s="274"/>
      <c r="S153" s="271"/>
      <c r="T153" s="597"/>
      <c r="U153" s="17"/>
      <c r="V153" s="271"/>
      <c r="W153" s="271"/>
      <c r="X153" s="271"/>
      <c r="Y153" s="271"/>
      <c r="Z153" s="271"/>
      <c r="AA153" s="271"/>
      <c r="AB153" s="271"/>
      <c r="AC153" s="26"/>
      <c r="AD153" s="26"/>
      <c r="AE153" s="26"/>
      <c r="AF153" s="26"/>
      <c r="AG153" s="26"/>
      <c r="AH153" s="26"/>
      <c r="AI153" s="274"/>
      <c r="AJ153" s="274"/>
      <c r="AK153" s="26"/>
      <c r="AL153" s="26"/>
      <c r="AM153" s="26"/>
      <c r="AN153" s="26"/>
      <c r="AO153" s="26"/>
      <c r="AP153" s="274"/>
      <c r="AQ153" s="274"/>
      <c r="AR153" s="10"/>
      <c r="AS153" s="10"/>
      <c r="BF153" s="22"/>
      <c r="BJ153" s="10"/>
      <c r="BN153" s="22"/>
    </row>
    <row r="154" spans="1:66" x14ac:dyDescent="0.25">
      <c r="A154" s="4"/>
      <c r="B154" s="26"/>
      <c r="C154" s="26"/>
      <c r="D154" s="26"/>
      <c r="E154" s="26"/>
      <c r="F154" s="26"/>
      <c r="G154" s="26"/>
      <c r="H154" s="26"/>
      <c r="I154" s="274"/>
      <c r="J154" s="274"/>
      <c r="K154" s="26"/>
      <c r="L154" s="26"/>
      <c r="M154" s="26"/>
      <c r="N154" s="26"/>
      <c r="O154" s="274"/>
      <c r="P154" s="274"/>
      <c r="Q154" s="274"/>
      <c r="R154" s="274"/>
      <c r="S154" s="271"/>
      <c r="T154" s="597"/>
      <c r="U154" s="17"/>
      <c r="V154" s="271"/>
      <c r="W154" s="271"/>
      <c r="X154" s="271"/>
      <c r="Y154" s="271"/>
      <c r="Z154" s="271"/>
      <c r="AA154" s="271"/>
      <c r="AB154" s="271"/>
      <c r="AC154" s="26"/>
      <c r="AD154" s="26"/>
      <c r="AE154" s="26"/>
      <c r="AF154" s="26"/>
      <c r="AG154" s="26"/>
      <c r="AH154" s="26"/>
      <c r="AI154" s="274"/>
      <c r="AJ154" s="274"/>
      <c r="AK154" s="26"/>
      <c r="AL154" s="26"/>
      <c r="AM154" s="26"/>
      <c r="AN154" s="26"/>
      <c r="AO154" s="26"/>
      <c r="AP154" s="274"/>
      <c r="AQ154" s="274"/>
      <c r="AR154" s="10"/>
      <c r="AS154" s="10"/>
      <c r="BF154" s="22"/>
      <c r="BJ154" s="10"/>
      <c r="BN154" s="22"/>
    </row>
    <row r="155" spans="1:66" x14ac:dyDescent="0.25">
      <c r="A155" s="4"/>
      <c r="B155" s="26"/>
      <c r="C155" s="26"/>
      <c r="D155" s="26"/>
      <c r="E155" s="26"/>
      <c r="F155" s="26"/>
      <c r="G155" s="26"/>
      <c r="H155" s="26"/>
      <c r="I155" s="274"/>
      <c r="J155" s="274"/>
      <c r="K155" s="26"/>
      <c r="L155" s="26"/>
      <c r="M155" s="26"/>
      <c r="N155" s="26"/>
      <c r="O155" s="274"/>
      <c r="P155" s="274"/>
      <c r="Q155" s="274"/>
      <c r="R155" s="274"/>
      <c r="S155" s="271"/>
      <c r="T155" s="597"/>
      <c r="U155" s="17"/>
      <c r="V155" s="271"/>
      <c r="W155" s="271"/>
      <c r="X155" s="271"/>
      <c r="Y155" s="271"/>
      <c r="Z155" s="271"/>
      <c r="AA155" s="271"/>
      <c r="AB155" s="271"/>
      <c r="AC155" s="26"/>
      <c r="AD155" s="26"/>
      <c r="AE155" s="26"/>
      <c r="AF155" s="26"/>
      <c r="AG155" s="26"/>
      <c r="AH155" s="26"/>
      <c r="AI155" s="274"/>
      <c r="AJ155" s="274"/>
      <c r="AK155" s="26"/>
      <c r="AL155" s="26"/>
      <c r="AM155" s="26"/>
      <c r="AN155" s="26"/>
      <c r="AO155" s="26"/>
      <c r="AP155" s="274"/>
      <c r="AQ155" s="274"/>
      <c r="AR155" s="10"/>
      <c r="AS155" s="10"/>
      <c r="BF155" s="22"/>
      <c r="BJ155" s="10"/>
      <c r="BN155" s="22"/>
    </row>
    <row r="156" spans="1:66" x14ac:dyDescent="0.25">
      <c r="A156" s="4"/>
      <c r="B156" s="26"/>
      <c r="C156" s="26"/>
      <c r="D156" s="26"/>
      <c r="E156" s="26"/>
      <c r="F156" s="26"/>
      <c r="G156" s="26"/>
      <c r="H156" s="26"/>
      <c r="I156" s="274"/>
      <c r="J156" s="274"/>
      <c r="K156" s="26"/>
      <c r="L156" s="26"/>
      <c r="M156" s="26"/>
      <c r="N156" s="26"/>
      <c r="O156" s="274"/>
      <c r="P156" s="274"/>
      <c r="Q156" s="274"/>
      <c r="R156" s="274"/>
      <c r="S156" s="271"/>
      <c r="T156" s="597"/>
      <c r="U156" s="17"/>
      <c r="V156" s="271"/>
      <c r="W156" s="271"/>
      <c r="X156" s="271"/>
      <c r="Y156" s="271"/>
      <c r="Z156" s="271"/>
      <c r="AA156" s="271"/>
      <c r="AB156" s="271"/>
      <c r="AC156" s="26"/>
      <c r="AD156" s="26"/>
      <c r="AE156" s="26"/>
      <c r="AF156" s="26"/>
      <c r="AG156" s="26"/>
      <c r="AH156" s="26"/>
      <c r="AI156" s="274"/>
      <c r="AJ156" s="274"/>
      <c r="AK156" s="26"/>
      <c r="AL156" s="26"/>
      <c r="AM156" s="26"/>
      <c r="AN156" s="26"/>
      <c r="AO156" s="26"/>
      <c r="AP156" s="274"/>
      <c r="AQ156" s="274"/>
      <c r="AR156" s="10"/>
      <c r="AS156" s="10"/>
      <c r="BF156" s="22"/>
      <c r="BJ156" s="10"/>
      <c r="BN156" s="22"/>
    </row>
    <row r="157" spans="1:66" x14ac:dyDescent="0.25">
      <c r="A157" s="4"/>
      <c r="B157" s="26"/>
      <c r="C157" s="26"/>
      <c r="D157" s="26"/>
      <c r="E157" s="26"/>
      <c r="F157" s="26"/>
      <c r="G157" s="26"/>
      <c r="H157" s="26"/>
      <c r="I157" s="274"/>
      <c r="J157" s="274"/>
      <c r="K157" s="26"/>
      <c r="L157" s="26"/>
      <c r="M157" s="26"/>
      <c r="N157" s="26"/>
      <c r="O157" s="274"/>
      <c r="P157" s="274"/>
      <c r="Q157" s="274"/>
      <c r="R157" s="274"/>
      <c r="S157" s="271"/>
      <c r="T157" s="597"/>
      <c r="U157" s="17"/>
      <c r="V157" s="271"/>
      <c r="W157" s="271"/>
      <c r="X157" s="271"/>
      <c r="Y157" s="271"/>
      <c r="Z157" s="271"/>
      <c r="AA157" s="271"/>
      <c r="AB157" s="271"/>
      <c r="AC157" s="26"/>
      <c r="AD157" s="26"/>
      <c r="AE157" s="26"/>
      <c r="AF157" s="26"/>
      <c r="AG157" s="26"/>
      <c r="AH157" s="26"/>
      <c r="AI157" s="274"/>
      <c r="AJ157" s="274"/>
      <c r="AK157" s="26"/>
      <c r="AL157" s="26"/>
      <c r="AM157" s="26"/>
      <c r="AN157" s="26"/>
      <c r="AO157" s="26"/>
      <c r="AP157" s="274"/>
      <c r="AQ157" s="274"/>
      <c r="AR157" s="10"/>
      <c r="AS157" s="10"/>
      <c r="BF157" s="22"/>
      <c r="BJ157" s="10"/>
      <c r="BN157" s="22"/>
    </row>
    <row r="158" spans="1:66" x14ac:dyDescent="0.25">
      <c r="A158" s="4"/>
      <c r="B158" s="26"/>
      <c r="C158" s="26"/>
      <c r="D158" s="26"/>
      <c r="E158" s="26"/>
      <c r="F158" s="26"/>
      <c r="G158" s="26"/>
      <c r="H158" s="26"/>
      <c r="I158" s="274"/>
      <c r="J158" s="274"/>
      <c r="K158" s="26"/>
      <c r="L158" s="26"/>
      <c r="M158" s="26"/>
      <c r="N158" s="26"/>
      <c r="O158" s="274"/>
      <c r="P158" s="274"/>
      <c r="Q158" s="274"/>
      <c r="R158" s="274"/>
      <c r="S158" s="271"/>
      <c r="T158" s="597"/>
      <c r="U158" s="17"/>
      <c r="V158" s="271"/>
      <c r="W158" s="271"/>
      <c r="X158" s="271"/>
      <c r="Y158" s="271"/>
      <c r="Z158" s="271"/>
      <c r="AA158" s="271"/>
      <c r="AB158" s="271"/>
      <c r="AC158" s="26"/>
      <c r="AD158" s="26"/>
      <c r="AE158" s="26"/>
      <c r="AF158" s="26"/>
      <c r="AG158" s="26"/>
      <c r="AH158" s="26"/>
      <c r="AI158" s="274"/>
      <c r="AJ158" s="274"/>
      <c r="AK158" s="26"/>
      <c r="AL158" s="26"/>
      <c r="AM158" s="26"/>
      <c r="AN158" s="26"/>
      <c r="AO158" s="26"/>
      <c r="AP158" s="274"/>
      <c r="AQ158" s="274"/>
      <c r="AR158" s="10"/>
      <c r="AS158" s="10"/>
      <c r="BF158" s="22"/>
      <c r="BJ158" s="10"/>
      <c r="BN158" s="22"/>
    </row>
    <row r="159" spans="1:66" x14ac:dyDescent="0.25">
      <c r="A159" s="4"/>
      <c r="B159" s="26"/>
      <c r="C159" s="26"/>
      <c r="D159" s="26"/>
      <c r="E159" s="26"/>
      <c r="F159" s="26"/>
      <c r="G159" s="26"/>
      <c r="H159" s="26"/>
      <c r="I159" s="274"/>
      <c r="J159" s="274"/>
      <c r="K159" s="26"/>
      <c r="L159" s="26"/>
      <c r="M159" s="26"/>
      <c r="N159" s="26"/>
      <c r="O159" s="274"/>
      <c r="P159" s="274"/>
      <c r="Q159" s="274"/>
      <c r="R159" s="274"/>
      <c r="S159" s="271"/>
      <c r="T159" s="597"/>
      <c r="U159" s="17"/>
      <c r="V159" s="271"/>
      <c r="W159" s="271"/>
      <c r="X159" s="271"/>
      <c r="Y159" s="271"/>
      <c r="Z159" s="271"/>
      <c r="AA159" s="271"/>
      <c r="AB159" s="271"/>
      <c r="AC159" s="26"/>
      <c r="AD159" s="26"/>
      <c r="AE159" s="26"/>
      <c r="AF159" s="26"/>
      <c r="AG159" s="26"/>
      <c r="AH159" s="26"/>
      <c r="AI159" s="274"/>
      <c r="AJ159" s="274"/>
      <c r="AK159" s="26"/>
      <c r="AL159" s="26"/>
      <c r="AM159" s="26"/>
      <c r="AN159" s="26"/>
      <c r="AO159" s="26"/>
      <c r="AP159" s="274"/>
      <c r="AQ159" s="274"/>
      <c r="AR159" s="10"/>
      <c r="AS159" s="10"/>
      <c r="BF159" s="22"/>
      <c r="BJ159" s="10"/>
      <c r="BN159" s="22"/>
    </row>
    <row r="160" spans="1:66" x14ac:dyDescent="0.25">
      <c r="A160" s="4"/>
      <c r="B160" s="26"/>
      <c r="C160" s="26"/>
      <c r="D160" s="26"/>
      <c r="E160" s="26"/>
      <c r="F160" s="26"/>
      <c r="G160" s="26"/>
      <c r="H160" s="26"/>
      <c r="I160" s="274"/>
      <c r="J160" s="274"/>
      <c r="K160" s="26"/>
      <c r="L160" s="26"/>
      <c r="M160" s="26"/>
      <c r="N160" s="26"/>
      <c r="O160" s="274"/>
      <c r="P160" s="274"/>
      <c r="Q160" s="274"/>
      <c r="R160" s="274"/>
      <c r="S160" s="271"/>
      <c r="T160" s="597"/>
      <c r="U160" s="17"/>
      <c r="V160" s="271"/>
      <c r="W160" s="271"/>
      <c r="X160" s="271"/>
      <c r="Y160" s="271"/>
      <c r="Z160" s="271"/>
      <c r="AA160" s="271"/>
      <c r="AB160" s="271"/>
      <c r="AC160" s="26"/>
      <c r="AD160" s="26"/>
      <c r="AE160" s="26"/>
      <c r="AF160" s="26"/>
      <c r="AG160" s="26"/>
      <c r="AH160" s="26"/>
      <c r="AI160" s="274"/>
      <c r="AJ160" s="274"/>
      <c r="AK160" s="26"/>
      <c r="AL160" s="26"/>
      <c r="AM160" s="26"/>
      <c r="AN160" s="26"/>
      <c r="AO160" s="26"/>
      <c r="AP160" s="274"/>
      <c r="AQ160" s="274"/>
      <c r="AR160" s="10"/>
      <c r="AS160" s="10"/>
      <c r="BF160" s="22"/>
      <c r="BJ160" s="10"/>
      <c r="BN160" s="22"/>
    </row>
    <row r="161" spans="1:66" x14ac:dyDescent="0.25">
      <c r="A161" s="4"/>
      <c r="B161" s="26"/>
      <c r="C161" s="26"/>
      <c r="D161" s="26"/>
      <c r="E161" s="26"/>
      <c r="F161" s="26"/>
      <c r="G161" s="26"/>
      <c r="H161" s="26"/>
      <c r="I161" s="274"/>
      <c r="J161" s="274"/>
      <c r="K161" s="26"/>
      <c r="L161" s="26"/>
      <c r="M161" s="26"/>
      <c r="N161" s="26"/>
      <c r="O161" s="274"/>
      <c r="P161" s="274"/>
      <c r="Q161" s="274"/>
      <c r="R161" s="274"/>
      <c r="S161" s="271"/>
      <c r="T161" s="597"/>
      <c r="U161" s="17"/>
      <c r="V161" s="271"/>
      <c r="W161" s="271"/>
      <c r="X161" s="271"/>
      <c r="Y161" s="271"/>
      <c r="Z161" s="271"/>
      <c r="AA161" s="271"/>
      <c r="AB161" s="271"/>
      <c r="AC161" s="26"/>
      <c r="AD161" s="26"/>
      <c r="AE161" s="26"/>
      <c r="AF161" s="26"/>
      <c r="AG161" s="26"/>
      <c r="AH161" s="26"/>
      <c r="AI161" s="274"/>
      <c r="AJ161" s="274"/>
      <c r="AK161" s="26"/>
      <c r="AL161" s="26"/>
      <c r="AM161" s="26"/>
      <c r="AN161" s="26"/>
      <c r="AO161" s="26"/>
      <c r="AP161" s="274"/>
      <c r="AQ161" s="274"/>
      <c r="AR161" s="10"/>
      <c r="AS161" s="10"/>
      <c r="BF161" s="22"/>
      <c r="BJ161" s="10"/>
      <c r="BN161" s="22"/>
    </row>
    <row r="162" spans="1:66" x14ac:dyDescent="0.25">
      <c r="A162" s="4"/>
      <c r="B162" s="26"/>
      <c r="C162" s="26"/>
      <c r="D162" s="26"/>
      <c r="E162" s="26"/>
      <c r="F162" s="26"/>
      <c r="G162" s="26"/>
      <c r="H162" s="26"/>
      <c r="I162" s="274"/>
      <c r="J162" s="274"/>
      <c r="K162" s="26"/>
      <c r="L162" s="26"/>
      <c r="M162" s="26"/>
      <c r="N162" s="26"/>
      <c r="O162" s="274"/>
      <c r="P162" s="274"/>
      <c r="Q162" s="274"/>
      <c r="R162" s="274"/>
      <c r="S162" s="271"/>
      <c r="T162" s="597"/>
      <c r="U162" s="17"/>
      <c r="V162" s="271"/>
      <c r="W162" s="271"/>
      <c r="X162" s="271"/>
      <c r="Y162" s="271"/>
      <c r="Z162" s="271"/>
      <c r="AA162" s="271"/>
      <c r="AB162" s="271"/>
      <c r="AC162" s="26"/>
      <c r="AD162" s="26"/>
      <c r="AE162" s="26"/>
      <c r="AF162" s="26"/>
      <c r="AG162" s="26"/>
      <c r="AH162" s="26"/>
      <c r="AI162" s="274"/>
      <c r="AJ162" s="274"/>
      <c r="AK162" s="26"/>
      <c r="AL162" s="26"/>
      <c r="AM162" s="26"/>
      <c r="AN162" s="26"/>
      <c r="AO162" s="26"/>
      <c r="AP162" s="274"/>
      <c r="AQ162" s="274"/>
      <c r="AR162" s="10"/>
      <c r="AS162" s="10"/>
      <c r="BF162" s="22"/>
      <c r="BJ162" s="10"/>
      <c r="BN162" s="22"/>
    </row>
    <row r="163" spans="1:66" x14ac:dyDescent="0.25">
      <c r="A163" s="4"/>
      <c r="B163" s="26"/>
      <c r="C163" s="26"/>
      <c r="D163" s="26"/>
      <c r="E163" s="26"/>
      <c r="F163" s="26"/>
      <c r="G163" s="26"/>
      <c r="H163" s="26"/>
      <c r="I163" s="274"/>
      <c r="J163" s="274"/>
      <c r="K163" s="26"/>
      <c r="L163" s="26"/>
      <c r="M163" s="26"/>
      <c r="N163" s="26"/>
      <c r="O163" s="274"/>
      <c r="P163" s="274"/>
      <c r="Q163" s="274"/>
      <c r="R163" s="274"/>
      <c r="S163" s="271"/>
      <c r="T163" s="597"/>
      <c r="U163" s="17"/>
      <c r="V163" s="271"/>
      <c r="W163" s="271"/>
      <c r="X163" s="271"/>
      <c r="Y163" s="271"/>
      <c r="Z163" s="271"/>
      <c r="AA163" s="271"/>
      <c r="AB163" s="271"/>
      <c r="AC163" s="26"/>
      <c r="AD163" s="26"/>
      <c r="AE163" s="26"/>
      <c r="AF163" s="26"/>
      <c r="AG163" s="26"/>
      <c r="AH163" s="26"/>
      <c r="AI163" s="274"/>
      <c r="AJ163" s="274"/>
      <c r="AK163" s="26"/>
      <c r="AL163" s="26"/>
      <c r="AM163" s="26"/>
      <c r="AN163" s="26"/>
      <c r="AO163" s="26"/>
      <c r="AP163" s="274"/>
      <c r="AQ163" s="274"/>
      <c r="AR163" s="10"/>
      <c r="AS163" s="10"/>
      <c r="BF163" s="22"/>
      <c r="BJ163" s="10"/>
      <c r="BN163" s="22"/>
    </row>
    <row r="164" spans="1:66" x14ac:dyDescent="0.25">
      <c r="A164" s="4"/>
      <c r="B164" s="26"/>
      <c r="C164" s="26"/>
      <c r="D164" s="26"/>
      <c r="E164" s="26"/>
      <c r="F164" s="26"/>
      <c r="G164" s="26"/>
      <c r="H164" s="26"/>
      <c r="I164" s="274"/>
      <c r="J164" s="274"/>
      <c r="K164" s="26"/>
      <c r="L164" s="26"/>
      <c r="M164" s="26"/>
      <c r="N164" s="26"/>
      <c r="O164" s="274"/>
      <c r="P164" s="274"/>
      <c r="Q164" s="274"/>
      <c r="R164" s="274"/>
      <c r="S164" s="271"/>
      <c r="T164" s="597"/>
      <c r="U164" s="17"/>
      <c r="V164" s="271"/>
      <c r="W164" s="271"/>
      <c r="X164" s="271"/>
      <c r="Y164" s="271"/>
      <c r="Z164" s="271"/>
      <c r="AA164" s="271"/>
      <c r="AB164" s="271"/>
      <c r="AC164" s="26"/>
      <c r="AD164" s="26"/>
      <c r="AE164" s="26"/>
      <c r="AF164" s="26"/>
      <c r="AG164" s="26"/>
      <c r="AH164" s="26"/>
      <c r="AI164" s="274"/>
      <c r="AJ164" s="274"/>
      <c r="AK164" s="26"/>
      <c r="AL164" s="26"/>
      <c r="AM164" s="26"/>
      <c r="AN164" s="26"/>
      <c r="AO164" s="26"/>
      <c r="AP164" s="274"/>
      <c r="AQ164" s="274"/>
      <c r="AR164" s="10"/>
      <c r="AS164" s="10"/>
      <c r="BF164" s="22"/>
      <c r="BJ164" s="10"/>
      <c r="BN164" s="22"/>
    </row>
    <row r="165" spans="1:66" x14ac:dyDescent="0.25">
      <c r="A165" s="4"/>
      <c r="B165" s="26"/>
      <c r="C165" s="26"/>
      <c r="D165" s="26"/>
      <c r="E165" s="26"/>
      <c r="F165" s="26"/>
      <c r="G165" s="26"/>
      <c r="H165" s="26"/>
      <c r="I165" s="274"/>
      <c r="J165" s="274"/>
      <c r="K165" s="26"/>
      <c r="L165" s="26"/>
      <c r="M165" s="26"/>
      <c r="N165" s="26"/>
      <c r="O165" s="274"/>
      <c r="P165" s="274"/>
      <c r="Q165" s="274"/>
      <c r="R165" s="274"/>
      <c r="S165" s="271"/>
      <c r="T165" s="597"/>
      <c r="U165" s="17"/>
      <c r="V165" s="271"/>
      <c r="W165" s="271"/>
      <c r="X165" s="271"/>
      <c r="Y165" s="271"/>
      <c r="Z165" s="271"/>
      <c r="AA165" s="271"/>
      <c r="AB165" s="271"/>
      <c r="AC165" s="26"/>
      <c r="AD165" s="26"/>
      <c r="AE165" s="26"/>
      <c r="AF165" s="26"/>
      <c r="AG165" s="26"/>
      <c r="AH165" s="26"/>
      <c r="AI165" s="274"/>
      <c r="AJ165" s="274"/>
      <c r="AK165" s="26"/>
      <c r="AL165" s="26"/>
      <c r="AM165" s="26"/>
      <c r="AN165" s="26"/>
      <c r="AO165" s="26"/>
      <c r="AP165" s="274"/>
      <c r="AQ165" s="274"/>
      <c r="AR165" s="10"/>
      <c r="AS165" s="10"/>
      <c r="BF165" s="22"/>
      <c r="BJ165" s="10"/>
      <c r="BN165" s="22"/>
    </row>
    <row r="166" spans="1:66" x14ac:dyDescent="0.25">
      <c r="A166" s="4"/>
      <c r="B166" s="26"/>
      <c r="C166" s="26"/>
      <c r="D166" s="26"/>
      <c r="E166" s="26"/>
      <c r="F166" s="26"/>
      <c r="G166" s="26"/>
      <c r="H166" s="26"/>
      <c r="I166" s="274"/>
      <c r="J166" s="274"/>
      <c r="K166" s="26"/>
      <c r="L166" s="26"/>
      <c r="M166" s="26"/>
      <c r="N166" s="26"/>
      <c r="O166" s="274"/>
      <c r="P166" s="274"/>
      <c r="Q166" s="274"/>
      <c r="R166" s="274"/>
      <c r="S166" s="271"/>
      <c r="T166" s="597"/>
      <c r="U166" s="17"/>
      <c r="V166" s="271"/>
      <c r="W166" s="271"/>
      <c r="X166" s="271"/>
      <c r="Y166" s="271"/>
      <c r="Z166" s="271"/>
      <c r="AA166" s="271"/>
      <c r="AB166" s="271"/>
      <c r="AC166" s="26"/>
      <c r="AD166" s="26"/>
      <c r="AE166" s="26"/>
      <c r="AF166" s="26"/>
      <c r="AG166" s="26"/>
      <c r="AH166" s="26"/>
      <c r="AI166" s="274"/>
      <c r="AJ166" s="274"/>
      <c r="AK166" s="26"/>
      <c r="AL166" s="26"/>
      <c r="AM166" s="26"/>
      <c r="AN166" s="26"/>
      <c r="AO166" s="26"/>
      <c r="AP166" s="274"/>
      <c r="AQ166" s="274"/>
      <c r="AR166" s="10"/>
      <c r="AS166" s="10"/>
      <c r="BF166" s="22"/>
      <c r="BJ166" s="10"/>
      <c r="BN166" s="22"/>
    </row>
    <row r="167" spans="1:66" x14ac:dyDescent="0.25">
      <c r="A167" s="4"/>
      <c r="B167" s="26"/>
      <c r="C167" s="26"/>
      <c r="D167" s="26"/>
      <c r="E167" s="26"/>
      <c r="F167" s="26"/>
      <c r="G167" s="26"/>
      <c r="H167" s="26"/>
      <c r="I167" s="274"/>
      <c r="J167" s="274"/>
      <c r="K167" s="26"/>
      <c r="L167" s="26"/>
      <c r="M167" s="26"/>
      <c r="N167" s="26"/>
      <c r="O167" s="274"/>
      <c r="P167" s="274"/>
      <c r="Q167" s="274"/>
      <c r="R167" s="274"/>
      <c r="S167" s="271"/>
      <c r="T167" s="597"/>
      <c r="U167" s="17"/>
      <c r="V167" s="271"/>
      <c r="W167" s="271"/>
      <c r="X167" s="271"/>
      <c r="Y167" s="271"/>
      <c r="Z167" s="271"/>
      <c r="AA167" s="271"/>
      <c r="AB167" s="271"/>
      <c r="AC167" s="26"/>
      <c r="AD167" s="26"/>
      <c r="AE167" s="26"/>
      <c r="AF167" s="26"/>
      <c r="AG167" s="26"/>
      <c r="AH167" s="26"/>
      <c r="AI167" s="274"/>
      <c r="AJ167" s="274"/>
      <c r="AK167" s="26"/>
      <c r="AL167" s="26"/>
      <c r="AM167" s="26"/>
      <c r="AN167" s="26"/>
      <c r="AO167" s="26"/>
      <c r="AP167" s="274"/>
      <c r="AQ167" s="274"/>
      <c r="AR167" s="10"/>
      <c r="AS167" s="10"/>
      <c r="BF167" s="22"/>
      <c r="BJ167" s="10"/>
      <c r="BN167" s="22"/>
    </row>
    <row r="168" spans="1:66" x14ac:dyDescent="0.25">
      <c r="A168" s="4"/>
      <c r="B168" s="26"/>
      <c r="C168" s="26"/>
      <c r="D168" s="26"/>
      <c r="E168" s="26"/>
      <c r="F168" s="26"/>
      <c r="G168" s="26"/>
      <c r="H168" s="26"/>
      <c r="I168" s="274"/>
      <c r="J168" s="274"/>
      <c r="K168" s="26"/>
      <c r="L168" s="26"/>
      <c r="M168" s="26"/>
      <c r="N168" s="26"/>
      <c r="O168" s="274"/>
      <c r="P168" s="274"/>
      <c r="Q168" s="274"/>
      <c r="R168" s="274"/>
      <c r="S168" s="271"/>
      <c r="T168" s="597"/>
      <c r="U168" s="17"/>
      <c r="V168" s="271"/>
      <c r="W168" s="271"/>
      <c r="X168" s="271"/>
      <c r="Y168" s="271"/>
      <c r="Z168" s="271"/>
      <c r="AA168" s="271"/>
      <c r="AB168" s="271"/>
      <c r="AC168" s="26"/>
      <c r="AD168" s="26"/>
      <c r="AE168" s="26"/>
      <c r="AF168" s="26"/>
      <c r="AG168" s="26"/>
      <c r="AH168" s="26"/>
      <c r="AI168" s="274"/>
      <c r="AJ168" s="274"/>
      <c r="AK168" s="26"/>
      <c r="AL168" s="26"/>
      <c r="AM168" s="26"/>
      <c r="AN168" s="26"/>
      <c r="AO168" s="26"/>
      <c r="AP168" s="274"/>
      <c r="AQ168" s="274"/>
      <c r="AR168" s="10"/>
      <c r="AS168" s="10"/>
      <c r="BF168" s="22"/>
      <c r="BJ168" s="10"/>
      <c r="BN168" s="22"/>
    </row>
    <row r="169" spans="1:66" x14ac:dyDescent="0.25">
      <c r="A169" s="4"/>
      <c r="B169" s="26"/>
      <c r="C169" s="26"/>
      <c r="D169" s="26"/>
      <c r="E169" s="26"/>
      <c r="F169" s="26"/>
      <c r="G169" s="26"/>
      <c r="H169" s="26"/>
      <c r="I169" s="274"/>
      <c r="J169" s="274"/>
      <c r="K169" s="26"/>
      <c r="L169" s="26"/>
      <c r="M169" s="26"/>
      <c r="N169" s="26"/>
      <c r="O169" s="274"/>
      <c r="P169" s="274"/>
      <c r="Q169" s="274"/>
      <c r="R169" s="274"/>
      <c r="S169" s="271"/>
      <c r="T169" s="597"/>
      <c r="U169" s="17"/>
      <c r="V169" s="271"/>
      <c r="W169" s="271"/>
      <c r="X169" s="271"/>
      <c r="Y169" s="271"/>
      <c r="Z169" s="271"/>
      <c r="AA169" s="271"/>
      <c r="AB169" s="271"/>
      <c r="AC169" s="26"/>
      <c r="AD169" s="26"/>
      <c r="AE169" s="26"/>
      <c r="AF169" s="26"/>
      <c r="AG169" s="26"/>
      <c r="AH169" s="26"/>
      <c r="AI169" s="274"/>
      <c r="AJ169" s="274"/>
      <c r="AK169" s="26"/>
      <c r="AL169" s="26"/>
      <c r="AM169" s="26"/>
      <c r="AN169" s="26"/>
      <c r="AO169" s="26"/>
      <c r="AP169" s="274"/>
      <c r="AQ169" s="274"/>
      <c r="AR169" s="10"/>
      <c r="AS169" s="10"/>
      <c r="BF169" s="22"/>
      <c r="BJ169" s="10"/>
      <c r="BN169" s="22"/>
    </row>
    <row r="170" spans="1:66" x14ac:dyDescent="0.25">
      <c r="A170" s="4"/>
      <c r="B170" s="26"/>
      <c r="C170" s="26"/>
      <c r="D170" s="26"/>
      <c r="E170" s="26"/>
      <c r="F170" s="26"/>
      <c r="G170" s="26"/>
      <c r="H170" s="26"/>
      <c r="I170" s="274"/>
      <c r="J170" s="274"/>
      <c r="K170" s="26"/>
      <c r="L170" s="26"/>
      <c r="M170" s="26"/>
      <c r="N170" s="26"/>
      <c r="O170" s="274"/>
      <c r="P170" s="274"/>
      <c r="Q170" s="274"/>
      <c r="R170" s="274"/>
      <c r="S170" s="271"/>
      <c r="T170" s="597"/>
      <c r="U170" s="17"/>
      <c r="V170" s="271"/>
      <c r="W170" s="271"/>
      <c r="X170" s="271"/>
      <c r="Y170" s="271"/>
      <c r="Z170" s="271"/>
      <c r="AA170" s="271"/>
      <c r="AB170" s="271"/>
      <c r="AC170" s="26"/>
      <c r="AD170" s="26"/>
      <c r="AE170" s="26"/>
      <c r="AF170" s="26"/>
      <c r="AG170" s="26"/>
      <c r="AH170" s="26"/>
      <c r="AI170" s="274"/>
      <c r="AJ170" s="274"/>
      <c r="AK170" s="26"/>
      <c r="AL170" s="26"/>
      <c r="AM170" s="26"/>
      <c r="AN170" s="26"/>
      <c r="AO170" s="26"/>
      <c r="AP170" s="274"/>
      <c r="AQ170" s="274"/>
      <c r="AR170" s="10"/>
      <c r="AS170" s="10"/>
      <c r="BF170" s="22"/>
      <c r="BJ170" s="10"/>
      <c r="BN170" s="22"/>
    </row>
    <row r="171" spans="1:66" x14ac:dyDescent="0.25">
      <c r="A171" s="4"/>
      <c r="B171" s="26"/>
      <c r="C171" s="26"/>
      <c r="D171" s="26"/>
      <c r="E171" s="26"/>
      <c r="F171" s="26"/>
      <c r="G171" s="26"/>
      <c r="H171" s="26"/>
      <c r="I171" s="274"/>
      <c r="J171" s="274"/>
      <c r="K171" s="26"/>
      <c r="L171" s="26"/>
      <c r="M171" s="26"/>
      <c r="N171" s="26"/>
      <c r="O171" s="274"/>
      <c r="P171" s="274"/>
      <c r="Q171" s="274"/>
      <c r="R171" s="274"/>
      <c r="S171" s="271"/>
      <c r="T171" s="597"/>
      <c r="U171" s="17"/>
      <c r="V171" s="271"/>
      <c r="W171" s="271"/>
      <c r="X171" s="271"/>
      <c r="Y171" s="271"/>
      <c r="Z171" s="271"/>
      <c r="AA171" s="271"/>
      <c r="AB171" s="271"/>
      <c r="AC171" s="26"/>
      <c r="AD171" s="26"/>
      <c r="AE171" s="26"/>
      <c r="AF171" s="26"/>
      <c r="AG171" s="26"/>
      <c r="AH171" s="26"/>
      <c r="AI171" s="274"/>
      <c r="AJ171" s="274"/>
      <c r="AK171" s="26"/>
      <c r="AL171" s="26"/>
      <c r="AM171" s="26"/>
      <c r="AN171" s="26"/>
      <c r="AO171" s="26"/>
      <c r="AP171" s="274"/>
      <c r="AQ171" s="274"/>
      <c r="AR171" s="10"/>
      <c r="AS171" s="10"/>
      <c r="BF171" s="22"/>
      <c r="BJ171" s="10"/>
      <c r="BN171" s="22"/>
    </row>
    <row r="172" spans="1:66" x14ac:dyDescent="0.25">
      <c r="A172" s="4"/>
      <c r="B172" s="26"/>
      <c r="C172" s="26"/>
      <c r="D172" s="26"/>
      <c r="E172" s="26"/>
      <c r="F172" s="26"/>
      <c r="G172" s="26"/>
      <c r="H172" s="26"/>
      <c r="I172" s="274"/>
      <c r="J172" s="274"/>
      <c r="K172" s="26"/>
      <c r="L172" s="26"/>
      <c r="M172" s="26"/>
      <c r="N172" s="26"/>
      <c r="O172" s="274"/>
      <c r="P172" s="274"/>
      <c r="Q172" s="274"/>
      <c r="R172" s="274"/>
      <c r="S172" s="271"/>
      <c r="T172" s="597"/>
      <c r="U172" s="17"/>
      <c r="V172" s="271"/>
      <c r="W172" s="271"/>
      <c r="X172" s="271"/>
      <c r="Y172" s="271"/>
      <c r="Z172" s="271"/>
      <c r="AA172" s="271"/>
      <c r="AB172" s="271"/>
      <c r="AC172" s="26"/>
      <c r="AD172" s="26"/>
      <c r="AE172" s="26"/>
      <c r="AF172" s="26"/>
      <c r="AG172" s="26"/>
      <c r="AH172" s="26"/>
      <c r="AI172" s="274"/>
      <c r="AJ172" s="274"/>
      <c r="AK172" s="26"/>
      <c r="AL172" s="26"/>
      <c r="AM172" s="26"/>
      <c r="AN172" s="26"/>
      <c r="AO172" s="26"/>
      <c r="AP172" s="274"/>
      <c r="AQ172" s="274"/>
      <c r="AR172" s="10"/>
      <c r="AS172" s="10"/>
      <c r="BF172" s="22"/>
      <c r="BJ172" s="10"/>
      <c r="BN172" s="22"/>
    </row>
    <row r="173" spans="1:66" x14ac:dyDescent="0.25">
      <c r="A173" s="4"/>
      <c r="B173" s="26"/>
      <c r="C173" s="26"/>
      <c r="D173" s="26"/>
      <c r="E173" s="26"/>
      <c r="F173" s="26"/>
      <c r="G173" s="26"/>
      <c r="H173" s="26"/>
      <c r="I173" s="274"/>
      <c r="J173" s="274"/>
      <c r="K173" s="26"/>
      <c r="L173" s="26"/>
      <c r="M173" s="26"/>
      <c r="N173" s="26"/>
      <c r="O173" s="274"/>
      <c r="P173" s="274"/>
      <c r="Q173" s="274"/>
      <c r="R173" s="274"/>
      <c r="S173" s="271"/>
      <c r="T173" s="597"/>
      <c r="U173" s="17"/>
      <c r="V173" s="271"/>
      <c r="W173" s="271"/>
      <c r="X173" s="271"/>
      <c r="Y173" s="271"/>
      <c r="Z173" s="271"/>
      <c r="AA173" s="271"/>
      <c r="AB173" s="271"/>
      <c r="AC173" s="26"/>
      <c r="AD173" s="26"/>
      <c r="AE173" s="26"/>
      <c r="AF173" s="26"/>
      <c r="AG173" s="26"/>
      <c r="AH173" s="26"/>
      <c r="AI173" s="274"/>
      <c r="AJ173" s="274"/>
      <c r="AK173" s="26"/>
      <c r="AL173" s="26"/>
      <c r="AM173" s="26"/>
      <c r="AN173" s="26"/>
      <c r="AO173" s="26"/>
      <c r="AP173" s="274"/>
      <c r="AQ173" s="274"/>
      <c r="AR173" s="10"/>
      <c r="AS173" s="10"/>
      <c r="BF173" s="22"/>
      <c r="BJ173" s="10"/>
      <c r="BN173" s="22"/>
    </row>
    <row r="174" spans="1:66" x14ac:dyDescent="0.25">
      <c r="A174" s="4"/>
      <c r="B174" s="26"/>
      <c r="C174" s="26"/>
      <c r="D174" s="26"/>
      <c r="E174" s="26"/>
      <c r="F174" s="26"/>
      <c r="G174" s="26"/>
      <c r="H174" s="26"/>
      <c r="I174" s="274"/>
      <c r="J174" s="274"/>
      <c r="K174" s="26"/>
      <c r="L174" s="26"/>
      <c r="M174" s="26"/>
      <c r="N174" s="26"/>
      <c r="O174" s="274"/>
      <c r="P174" s="274"/>
      <c r="Q174" s="274"/>
      <c r="R174" s="274"/>
      <c r="S174" s="271"/>
      <c r="T174" s="597"/>
      <c r="U174" s="17"/>
      <c r="V174" s="271"/>
      <c r="W174" s="271"/>
      <c r="X174" s="271"/>
      <c r="Y174" s="271"/>
      <c r="Z174" s="271"/>
      <c r="AA174" s="271"/>
      <c r="AB174" s="271"/>
      <c r="AC174" s="26"/>
      <c r="AD174" s="26"/>
      <c r="AE174" s="26"/>
      <c r="AF174" s="26"/>
      <c r="AG174" s="26"/>
      <c r="AH174" s="26"/>
      <c r="AI174" s="274"/>
      <c r="AJ174" s="274"/>
      <c r="AK174" s="26"/>
      <c r="AL174" s="26"/>
      <c r="AM174" s="26"/>
      <c r="AN174" s="26"/>
      <c r="AO174" s="26"/>
      <c r="AP174" s="274"/>
      <c r="AQ174" s="274"/>
      <c r="AR174" s="10"/>
      <c r="AS174" s="10"/>
      <c r="BF174" s="22"/>
      <c r="BJ174" s="10"/>
      <c r="BN174" s="22"/>
    </row>
    <row r="175" spans="1:66" x14ac:dyDescent="0.25">
      <c r="A175" s="4"/>
      <c r="B175" s="26"/>
      <c r="C175" s="26"/>
      <c r="D175" s="26"/>
      <c r="E175" s="26"/>
      <c r="F175" s="26"/>
      <c r="G175" s="26"/>
      <c r="H175" s="26"/>
      <c r="I175" s="274"/>
      <c r="J175" s="274"/>
      <c r="K175" s="26"/>
      <c r="L175" s="26"/>
      <c r="M175" s="26"/>
      <c r="N175" s="26"/>
      <c r="O175" s="274"/>
      <c r="P175" s="274"/>
      <c r="Q175" s="274"/>
      <c r="R175" s="274"/>
      <c r="S175" s="271"/>
      <c r="T175" s="597"/>
      <c r="U175" s="17"/>
      <c r="V175" s="271"/>
      <c r="W175" s="271"/>
      <c r="X175" s="271"/>
      <c r="Y175" s="271"/>
      <c r="Z175" s="271"/>
      <c r="AA175" s="271"/>
      <c r="AB175" s="271"/>
      <c r="AC175" s="26"/>
      <c r="AD175" s="26"/>
      <c r="AE175" s="26"/>
      <c r="AF175" s="26"/>
      <c r="AG175" s="26"/>
      <c r="AH175" s="26"/>
      <c r="AI175" s="274"/>
      <c r="AJ175" s="274"/>
      <c r="AK175" s="26"/>
      <c r="AL175" s="26"/>
      <c r="AM175" s="26"/>
      <c r="AN175" s="26"/>
      <c r="AO175" s="26"/>
      <c r="AP175" s="274"/>
      <c r="AQ175" s="274"/>
      <c r="AR175" s="10"/>
      <c r="AS175" s="10"/>
      <c r="BF175" s="22"/>
      <c r="BJ175" s="10"/>
      <c r="BN175" s="22"/>
    </row>
    <row r="176" spans="1:66" x14ac:dyDescent="0.25">
      <c r="A176" s="4"/>
      <c r="B176" s="26"/>
      <c r="C176" s="26"/>
      <c r="D176" s="26"/>
      <c r="E176" s="26"/>
      <c r="F176" s="26"/>
      <c r="G176" s="26"/>
      <c r="H176" s="26"/>
      <c r="I176" s="274"/>
      <c r="J176" s="274"/>
      <c r="K176" s="26"/>
      <c r="L176" s="26"/>
      <c r="M176" s="26"/>
      <c r="N176" s="26"/>
      <c r="O176" s="274"/>
      <c r="P176" s="274"/>
      <c r="Q176" s="274"/>
      <c r="R176" s="274"/>
      <c r="S176" s="271"/>
      <c r="T176" s="597"/>
      <c r="U176" s="17"/>
      <c r="V176" s="271"/>
      <c r="W176" s="271"/>
      <c r="X176" s="271"/>
      <c r="Y176" s="271"/>
      <c r="Z176" s="271"/>
      <c r="AA176" s="271"/>
      <c r="AB176" s="271"/>
      <c r="AC176" s="26"/>
      <c r="AD176" s="26"/>
      <c r="AE176" s="26"/>
      <c r="AF176" s="26"/>
      <c r="AG176" s="26"/>
      <c r="AH176" s="26"/>
      <c r="AI176" s="274"/>
      <c r="AJ176" s="274"/>
      <c r="AK176" s="26"/>
      <c r="AL176" s="26"/>
      <c r="AM176" s="26"/>
      <c r="AN176" s="26"/>
      <c r="AO176" s="26"/>
      <c r="AP176" s="274"/>
      <c r="AQ176" s="274"/>
      <c r="AR176" s="10"/>
      <c r="AS176" s="10"/>
      <c r="BF176" s="22"/>
      <c r="BJ176" s="10"/>
      <c r="BN176" s="22"/>
    </row>
    <row r="177" spans="1:66" x14ac:dyDescent="0.25">
      <c r="A177" s="4"/>
      <c r="B177" s="26"/>
      <c r="C177" s="26"/>
      <c r="D177" s="26"/>
      <c r="E177" s="26"/>
      <c r="F177" s="26"/>
      <c r="G177" s="26"/>
      <c r="H177" s="26"/>
      <c r="I177" s="274"/>
      <c r="J177" s="274"/>
      <c r="K177" s="26"/>
      <c r="L177" s="26"/>
      <c r="M177" s="26"/>
      <c r="N177" s="26"/>
      <c r="O177" s="274"/>
      <c r="P177" s="274"/>
      <c r="Q177" s="274"/>
      <c r="R177" s="274"/>
      <c r="S177" s="271"/>
      <c r="T177" s="597"/>
      <c r="U177" s="17"/>
      <c r="V177" s="271"/>
      <c r="W177" s="271"/>
      <c r="X177" s="271"/>
      <c r="Y177" s="271"/>
      <c r="Z177" s="271"/>
      <c r="AA177" s="271"/>
      <c r="AB177" s="271"/>
      <c r="AC177" s="26"/>
      <c r="AD177" s="26"/>
      <c r="AE177" s="26"/>
      <c r="AF177" s="26"/>
      <c r="AG177" s="26"/>
      <c r="AH177" s="26"/>
      <c r="AI177" s="274"/>
      <c r="AJ177" s="274"/>
      <c r="AK177" s="26"/>
      <c r="AL177" s="26"/>
      <c r="AM177" s="26"/>
      <c r="AN177" s="26"/>
      <c r="AO177" s="26"/>
      <c r="AP177" s="274"/>
      <c r="AQ177" s="274"/>
      <c r="AR177" s="10"/>
      <c r="AS177" s="10"/>
      <c r="BF177" s="22"/>
      <c r="BJ177" s="10"/>
      <c r="BN177" s="22"/>
    </row>
    <row r="178" spans="1:66" x14ac:dyDescent="0.25">
      <c r="A178" s="4"/>
      <c r="B178" s="26"/>
      <c r="C178" s="26"/>
      <c r="D178" s="26"/>
      <c r="E178" s="26"/>
      <c r="F178" s="26"/>
      <c r="G178" s="26"/>
      <c r="H178" s="26"/>
      <c r="I178" s="274"/>
      <c r="J178" s="274"/>
      <c r="K178" s="26"/>
      <c r="L178" s="26"/>
      <c r="M178" s="26"/>
      <c r="N178" s="26"/>
      <c r="O178" s="274"/>
      <c r="P178" s="274"/>
      <c r="Q178" s="274"/>
      <c r="R178" s="274"/>
      <c r="S178" s="271"/>
      <c r="T178" s="597"/>
      <c r="U178" s="17"/>
      <c r="V178" s="271"/>
      <c r="W178" s="271"/>
      <c r="X178" s="271"/>
      <c r="Y178" s="271"/>
      <c r="Z178" s="271"/>
      <c r="AA178" s="271"/>
      <c r="AB178" s="271"/>
      <c r="AC178" s="26"/>
      <c r="AD178" s="26"/>
      <c r="AE178" s="26"/>
      <c r="AF178" s="26"/>
      <c r="AG178" s="26"/>
      <c r="AH178" s="26"/>
      <c r="AI178" s="274"/>
      <c r="AJ178" s="274"/>
      <c r="AK178" s="26"/>
      <c r="AL178" s="26"/>
      <c r="AM178" s="26"/>
      <c r="AN178" s="26"/>
      <c r="AO178" s="26"/>
      <c r="AP178" s="274"/>
      <c r="AQ178" s="274"/>
      <c r="AR178" s="10"/>
      <c r="AS178" s="10"/>
      <c r="BF178" s="22"/>
      <c r="BJ178" s="10"/>
      <c r="BN178" s="22"/>
    </row>
    <row r="179" spans="1:66" x14ac:dyDescent="0.25">
      <c r="A179" s="4"/>
      <c r="B179" s="26"/>
      <c r="C179" s="26"/>
      <c r="D179" s="26"/>
      <c r="E179" s="26"/>
      <c r="F179" s="26"/>
      <c r="G179" s="26"/>
      <c r="H179" s="26"/>
      <c r="I179" s="274"/>
      <c r="J179" s="274"/>
      <c r="K179" s="26"/>
      <c r="L179" s="26"/>
      <c r="M179" s="26"/>
      <c r="N179" s="26"/>
      <c r="O179" s="274"/>
      <c r="P179" s="274"/>
      <c r="Q179" s="274"/>
      <c r="R179" s="274"/>
      <c r="S179" s="271"/>
      <c r="T179" s="597"/>
      <c r="U179" s="17"/>
      <c r="V179" s="271"/>
      <c r="W179" s="271"/>
      <c r="X179" s="271"/>
      <c r="Y179" s="271"/>
      <c r="Z179" s="271"/>
      <c r="AA179" s="271"/>
      <c r="AB179" s="271"/>
      <c r="AC179" s="26"/>
      <c r="AD179" s="26"/>
      <c r="AE179" s="26"/>
      <c r="AF179" s="26"/>
      <c r="AG179" s="26"/>
      <c r="AH179" s="26"/>
      <c r="AI179" s="274"/>
      <c r="AJ179" s="274"/>
      <c r="AK179" s="26"/>
      <c r="AL179" s="26"/>
      <c r="AM179" s="26"/>
      <c r="AN179" s="26"/>
      <c r="AO179" s="26"/>
      <c r="AP179" s="274"/>
      <c r="AQ179" s="274"/>
      <c r="AR179" s="10"/>
      <c r="AS179" s="10"/>
      <c r="BF179" s="22"/>
      <c r="BJ179" s="10"/>
      <c r="BN179" s="22"/>
    </row>
    <row r="180" spans="1:66" x14ac:dyDescent="0.25">
      <c r="A180" s="4"/>
      <c r="B180" s="26"/>
      <c r="C180" s="26"/>
      <c r="D180" s="26"/>
      <c r="E180" s="26"/>
      <c r="F180" s="26"/>
      <c r="G180" s="26"/>
      <c r="H180" s="26"/>
      <c r="I180" s="274"/>
      <c r="J180" s="274"/>
      <c r="K180" s="26"/>
      <c r="L180" s="26"/>
      <c r="M180" s="26"/>
      <c r="N180" s="26"/>
      <c r="O180" s="274"/>
      <c r="P180" s="274"/>
      <c r="Q180" s="274"/>
      <c r="R180" s="274"/>
      <c r="S180" s="271"/>
      <c r="T180" s="597"/>
      <c r="U180" s="17"/>
      <c r="V180" s="271"/>
      <c r="W180" s="271"/>
      <c r="X180" s="271"/>
      <c r="Y180" s="271"/>
      <c r="Z180" s="271"/>
      <c r="AA180" s="271"/>
      <c r="AB180" s="271"/>
      <c r="AC180" s="26"/>
      <c r="AD180" s="26"/>
      <c r="AE180" s="26"/>
      <c r="AF180" s="26"/>
      <c r="AG180" s="26"/>
      <c r="AH180" s="26"/>
      <c r="AI180" s="274"/>
      <c r="AJ180" s="274"/>
      <c r="AK180" s="26"/>
      <c r="AL180" s="26"/>
      <c r="AM180" s="26"/>
      <c r="AN180" s="26"/>
      <c r="AO180" s="26"/>
      <c r="AP180" s="274"/>
      <c r="AQ180" s="274"/>
      <c r="AR180" s="10"/>
      <c r="AS180" s="10"/>
      <c r="BF180" s="22"/>
      <c r="BJ180" s="10"/>
      <c r="BN180" s="22"/>
    </row>
    <row r="181" spans="1:66" x14ac:dyDescent="0.25">
      <c r="A181" s="4"/>
      <c r="B181" s="26"/>
      <c r="C181" s="26"/>
      <c r="D181" s="26"/>
      <c r="E181" s="26"/>
      <c r="F181" s="26"/>
      <c r="G181" s="26"/>
      <c r="H181" s="26"/>
      <c r="I181" s="274"/>
      <c r="J181" s="274"/>
      <c r="K181" s="26"/>
      <c r="L181" s="26"/>
      <c r="M181" s="26"/>
      <c r="N181" s="26"/>
      <c r="O181" s="274"/>
      <c r="P181" s="274"/>
      <c r="Q181" s="274"/>
      <c r="R181" s="274"/>
      <c r="S181" s="271"/>
      <c r="T181" s="597"/>
      <c r="U181" s="17"/>
      <c r="V181" s="271"/>
      <c r="W181" s="271"/>
      <c r="X181" s="271"/>
      <c r="Y181" s="271"/>
      <c r="Z181" s="271"/>
      <c r="AA181" s="271"/>
      <c r="AB181" s="271"/>
      <c r="AC181" s="26"/>
      <c r="AD181" s="26"/>
      <c r="AE181" s="26"/>
      <c r="AF181" s="26"/>
      <c r="AG181" s="26"/>
      <c r="AH181" s="26"/>
      <c r="AI181" s="274"/>
      <c r="AJ181" s="274"/>
      <c r="AK181" s="26"/>
      <c r="AL181" s="26"/>
      <c r="AM181" s="26"/>
      <c r="AN181" s="26"/>
      <c r="AO181" s="26"/>
      <c r="AP181" s="274"/>
      <c r="AQ181" s="274"/>
      <c r="AR181" s="10"/>
      <c r="AS181" s="10"/>
      <c r="BF181" s="22"/>
      <c r="BJ181" s="10"/>
      <c r="BN181" s="22"/>
    </row>
    <row r="182" spans="1:66" x14ac:dyDescent="0.25">
      <c r="A182" s="4"/>
      <c r="B182" s="26"/>
      <c r="C182" s="26"/>
      <c r="D182" s="26"/>
      <c r="E182" s="26"/>
      <c r="F182" s="26"/>
      <c r="G182" s="26"/>
      <c r="H182" s="26"/>
      <c r="I182" s="274"/>
      <c r="J182" s="274"/>
      <c r="K182" s="26"/>
      <c r="L182" s="26"/>
      <c r="M182" s="26"/>
      <c r="N182" s="26"/>
      <c r="O182" s="274"/>
      <c r="P182" s="274"/>
      <c r="Q182" s="274"/>
      <c r="R182" s="274"/>
      <c r="S182" s="271"/>
      <c r="T182" s="597"/>
      <c r="U182" s="17"/>
      <c r="V182" s="271"/>
      <c r="W182" s="271"/>
      <c r="X182" s="271"/>
      <c r="Y182" s="271"/>
      <c r="Z182" s="271"/>
      <c r="AA182" s="271"/>
      <c r="AB182" s="271"/>
      <c r="AC182" s="26"/>
      <c r="AD182" s="26"/>
      <c r="AE182" s="26"/>
      <c r="AF182" s="26"/>
      <c r="AG182" s="26"/>
      <c r="AH182" s="26"/>
      <c r="AI182" s="274"/>
      <c r="AJ182" s="274"/>
      <c r="AK182" s="26"/>
      <c r="AL182" s="26"/>
      <c r="AM182" s="26"/>
      <c r="AN182" s="26"/>
      <c r="AO182" s="26"/>
      <c r="AP182" s="274"/>
      <c r="AQ182" s="274"/>
      <c r="AR182" s="10"/>
      <c r="AS182" s="10"/>
      <c r="BF182" s="22"/>
      <c r="BJ182" s="10"/>
      <c r="BN182" s="22"/>
    </row>
    <row r="183" spans="1:66" x14ac:dyDescent="0.25">
      <c r="A183" s="4"/>
      <c r="B183" s="26"/>
      <c r="C183" s="26"/>
      <c r="D183" s="26"/>
      <c r="E183" s="26"/>
      <c r="F183" s="26"/>
      <c r="G183" s="26"/>
      <c r="H183" s="26"/>
      <c r="I183" s="274"/>
      <c r="J183" s="274"/>
      <c r="K183" s="26"/>
      <c r="L183" s="26"/>
      <c r="M183" s="26"/>
      <c r="N183" s="26"/>
      <c r="O183" s="274"/>
      <c r="P183" s="274"/>
      <c r="Q183" s="274"/>
      <c r="R183" s="274"/>
      <c r="S183" s="271"/>
      <c r="T183" s="597"/>
      <c r="U183" s="17"/>
      <c r="V183" s="271"/>
      <c r="W183" s="271"/>
      <c r="X183" s="271"/>
      <c r="Y183" s="271"/>
      <c r="Z183" s="271"/>
      <c r="AA183" s="271"/>
      <c r="AB183" s="271"/>
      <c r="AC183" s="26"/>
      <c r="AD183" s="26"/>
      <c r="AE183" s="26"/>
      <c r="AF183" s="26"/>
      <c r="AG183" s="26"/>
      <c r="AH183" s="26"/>
      <c r="AI183" s="274"/>
      <c r="AJ183" s="274"/>
      <c r="AK183" s="26"/>
      <c r="AL183" s="26"/>
      <c r="AM183" s="26"/>
      <c r="AN183" s="26"/>
      <c r="AO183" s="26"/>
      <c r="AP183" s="274"/>
      <c r="AQ183" s="274"/>
      <c r="AR183" s="10"/>
      <c r="AS183" s="10"/>
      <c r="BF183" s="22"/>
      <c r="BJ183" s="10"/>
      <c r="BN183" s="22"/>
    </row>
    <row r="184" spans="1:66" x14ac:dyDescent="0.25">
      <c r="A184" s="4"/>
      <c r="B184" s="26"/>
      <c r="C184" s="26"/>
      <c r="D184" s="26"/>
      <c r="E184" s="26"/>
      <c r="F184" s="26"/>
      <c r="G184" s="26"/>
      <c r="H184" s="26"/>
      <c r="I184" s="274"/>
      <c r="J184" s="274"/>
      <c r="K184" s="26"/>
      <c r="L184" s="26"/>
      <c r="M184" s="26"/>
      <c r="N184" s="26"/>
      <c r="O184" s="274"/>
      <c r="P184" s="274"/>
      <c r="Q184" s="274"/>
      <c r="R184" s="274"/>
      <c r="S184" s="271"/>
      <c r="T184" s="597"/>
      <c r="U184" s="17"/>
      <c r="V184" s="271"/>
      <c r="W184" s="271"/>
      <c r="X184" s="271"/>
      <c r="Y184" s="271"/>
      <c r="Z184" s="271"/>
      <c r="AA184" s="271"/>
      <c r="AB184" s="271"/>
      <c r="AC184" s="26"/>
      <c r="AD184" s="26"/>
      <c r="AE184" s="26"/>
      <c r="AF184" s="26"/>
      <c r="AG184" s="26"/>
      <c r="AH184" s="26"/>
      <c r="AI184" s="274"/>
      <c r="AJ184" s="274"/>
      <c r="AK184" s="26"/>
      <c r="AL184" s="26"/>
      <c r="AM184" s="26"/>
      <c r="AN184" s="26"/>
      <c r="AO184" s="26"/>
      <c r="AP184" s="274"/>
      <c r="AQ184" s="274"/>
      <c r="AR184" s="10"/>
      <c r="AS184" s="10"/>
      <c r="BF184" s="22"/>
      <c r="BJ184" s="10"/>
      <c r="BN184" s="22"/>
    </row>
    <row r="185" spans="1:66" x14ac:dyDescent="0.25">
      <c r="A185" s="4"/>
      <c r="B185" s="26"/>
      <c r="C185" s="26"/>
      <c r="D185" s="26"/>
      <c r="E185" s="26"/>
      <c r="F185" s="26"/>
      <c r="G185" s="26"/>
      <c r="H185" s="26"/>
      <c r="I185" s="274"/>
      <c r="J185" s="274"/>
      <c r="K185" s="26"/>
      <c r="L185" s="26"/>
      <c r="M185" s="26"/>
      <c r="N185" s="26"/>
      <c r="O185" s="274"/>
      <c r="P185" s="274"/>
      <c r="Q185" s="274"/>
      <c r="R185" s="274"/>
      <c r="S185" s="271"/>
      <c r="T185" s="597"/>
      <c r="U185" s="17"/>
      <c r="V185" s="271"/>
      <c r="W185" s="271"/>
      <c r="X185" s="271"/>
      <c r="Y185" s="271"/>
      <c r="Z185" s="271"/>
      <c r="AA185" s="271"/>
      <c r="AB185" s="271"/>
      <c r="AC185" s="26"/>
      <c r="AD185" s="26"/>
      <c r="AE185" s="26"/>
      <c r="AF185" s="26"/>
      <c r="AG185" s="26"/>
      <c r="AH185" s="26"/>
      <c r="AI185" s="274"/>
      <c r="AJ185" s="274"/>
      <c r="AK185" s="26"/>
      <c r="AL185" s="26"/>
      <c r="AM185" s="26"/>
      <c r="AN185" s="26"/>
      <c r="AO185" s="26"/>
      <c r="AP185" s="274"/>
      <c r="AQ185" s="274"/>
      <c r="AR185" s="10"/>
      <c r="AS185" s="10"/>
      <c r="BF185" s="22"/>
      <c r="BJ185" s="10"/>
      <c r="BN185" s="22"/>
    </row>
    <row r="186" spans="1:66" x14ac:dyDescent="0.25">
      <c r="A186" s="4"/>
      <c r="B186" s="26"/>
      <c r="C186" s="26"/>
      <c r="D186" s="26"/>
      <c r="E186" s="26"/>
      <c r="F186" s="26"/>
      <c r="G186" s="26"/>
      <c r="H186" s="26"/>
      <c r="I186" s="274"/>
      <c r="J186" s="274"/>
      <c r="K186" s="26"/>
      <c r="L186" s="26"/>
      <c r="M186" s="26"/>
      <c r="N186" s="26"/>
      <c r="O186" s="274"/>
      <c r="P186" s="274"/>
      <c r="Q186" s="274"/>
      <c r="R186" s="274"/>
      <c r="S186" s="271"/>
      <c r="T186" s="597"/>
      <c r="U186" s="17"/>
      <c r="V186" s="271"/>
      <c r="W186" s="271"/>
      <c r="X186" s="271"/>
      <c r="Y186" s="271"/>
      <c r="Z186" s="271"/>
      <c r="AA186" s="271"/>
      <c r="AB186" s="271"/>
      <c r="AC186" s="26"/>
      <c r="AD186" s="26"/>
      <c r="AE186" s="26"/>
      <c r="AF186" s="26"/>
      <c r="AG186" s="26"/>
      <c r="AH186" s="26"/>
      <c r="AI186" s="274"/>
      <c r="AJ186" s="274"/>
      <c r="AK186" s="26"/>
      <c r="AL186" s="26"/>
      <c r="AM186" s="26"/>
      <c r="AN186" s="26"/>
      <c r="AO186" s="26"/>
      <c r="AP186" s="274"/>
      <c r="AQ186" s="274"/>
      <c r="AR186" s="10"/>
      <c r="AS186" s="10"/>
      <c r="BF186" s="22"/>
      <c r="BJ186" s="10"/>
      <c r="BN186" s="22"/>
    </row>
    <row r="187" spans="1:66" x14ac:dyDescent="0.25">
      <c r="A187" s="4"/>
      <c r="B187" s="26"/>
      <c r="C187" s="26"/>
      <c r="D187" s="26"/>
      <c r="E187" s="26"/>
      <c r="F187" s="26"/>
      <c r="G187" s="26"/>
      <c r="H187" s="26"/>
      <c r="I187" s="274"/>
      <c r="J187" s="274"/>
      <c r="K187" s="26"/>
      <c r="L187" s="26"/>
      <c r="M187" s="26"/>
      <c r="N187" s="26"/>
      <c r="O187" s="274"/>
      <c r="P187" s="274"/>
      <c r="Q187" s="274"/>
      <c r="R187" s="274"/>
      <c r="S187" s="271"/>
      <c r="T187" s="597"/>
      <c r="U187" s="17"/>
      <c r="V187" s="271"/>
      <c r="W187" s="271"/>
      <c r="X187" s="271"/>
      <c r="Y187" s="271"/>
      <c r="Z187" s="271"/>
      <c r="AA187" s="271"/>
      <c r="AB187" s="271"/>
      <c r="AC187" s="26"/>
      <c r="AD187" s="26"/>
      <c r="AE187" s="26"/>
      <c r="AF187" s="26"/>
      <c r="AG187" s="26"/>
      <c r="AH187" s="26"/>
      <c r="AI187" s="274"/>
      <c r="AJ187" s="274"/>
      <c r="AK187" s="26"/>
      <c r="AL187" s="26"/>
      <c r="AM187" s="26"/>
      <c r="AN187" s="26"/>
      <c r="AO187" s="26"/>
      <c r="AP187" s="274"/>
      <c r="AQ187" s="274"/>
      <c r="AR187" s="10"/>
      <c r="AS187" s="10"/>
      <c r="BF187" s="22"/>
      <c r="BJ187" s="10"/>
      <c r="BN187" s="22"/>
    </row>
    <row r="188" spans="1:66" x14ac:dyDescent="0.25">
      <c r="A188" s="4"/>
      <c r="B188" s="26"/>
      <c r="C188" s="26"/>
      <c r="D188" s="26"/>
      <c r="E188" s="26"/>
      <c r="F188" s="26"/>
      <c r="G188" s="26"/>
      <c r="H188" s="26"/>
      <c r="I188" s="274"/>
      <c r="J188" s="274"/>
      <c r="K188" s="26"/>
      <c r="L188" s="26"/>
      <c r="M188" s="26"/>
      <c r="N188" s="26"/>
      <c r="O188" s="274"/>
      <c r="P188" s="274"/>
      <c r="Q188" s="274"/>
      <c r="R188" s="274"/>
      <c r="S188" s="271"/>
      <c r="T188" s="597"/>
      <c r="U188" s="17"/>
      <c r="V188" s="271"/>
      <c r="W188" s="271"/>
      <c r="X188" s="271"/>
      <c r="Y188" s="271"/>
      <c r="Z188" s="271"/>
      <c r="AA188" s="271"/>
      <c r="AB188" s="271"/>
      <c r="AC188" s="26"/>
      <c r="AD188" s="26"/>
      <c r="AE188" s="26"/>
      <c r="AF188" s="26"/>
      <c r="AG188" s="26"/>
      <c r="AH188" s="26"/>
      <c r="AI188" s="274"/>
      <c r="AJ188" s="274"/>
      <c r="AK188" s="26"/>
      <c r="AL188" s="26"/>
      <c r="AM188" s="26"/>
      <c r="AN188" s="26"/>
      <c r="AO188" s="26"/>
      <c r="AP188" s="274"/>
      <c r="AQ188" s="274"/>
      <c r="AR188" s="10"/>
      <c r="AS188" s="10"/>
      <c r="BF188" s="22"/>
      <c r="BJ188" s="10"/>
      <c r="BN188" s="22"/>
    </row>
    <row r="189" spans="1:66" x14ac:dyDescent="0.25">
      <c r="A189" s="4"/>
      <c r="B189" s="26"/>
      <c r="C189" s="26"/>
      <c r="D189" s="26"/>
      <c r="E189" s="26"/>
      <c r="F189" s="26"/>
      <c r="G189" s="26"/>
      <c r="H189" s="26"/>
      <c r="I189" s="274"/>
      <c r="J189" s="274"/>
      <c r="K189" s="26"/>
      <c r="L189" s="26"/>
      <c r="M189" s="26"/>
      <c r="N189" s="26"/>
      <c r="O189" s="274"/>
      <c r="P189" s="274"/>
      <c r="Q189" s="274"/>
      <c r="R189" s="274"/>
      <c r="S189" s="271"/>
      <c r="T189" s="597"/>
      <c r="U189" s="17"/>
      <c r="V189" s="271"/>
      <c r="W189" s="271"/>
      <c r="X189" s="271"/>
      <c r="Y189" s="271"/>
      <c r="Z189" s="271"/>
      <c r="AA189" s="271"/>
      <c r="AB189" s="271"/>
      <c r="AC189" s="26"/>
      <c r="AD189" s="26"/>
      <c r="AE189" s="26"/>
      <c r="AF189" s="26"/>
      <c r="AG189" s="26"/>
      <c r="AH189" s="26"/>
      <c r="AI189" s="274"/>
      <c r="AJ189" s="274"/>
      <c r="AK189" s="26"/>
      <c r="AL189" s="26"/>
      <c r="AM189" s="26"/>
      <c r="AN189" s="26"/>
      <c r="AO189" s="26"/>
      <c r="AP189" s="274"/>
      <c r="AQ189" s="274"/>
      <c r="AR189" s="10"/>
      <c r="AS189" s="10"/>
      <c r="BF189" s="22"/>
      <c r="BJ189" s="10"/>
      <c r="BN189" s="22"/>
    </row>
    <row r="190" spans="1:66" x14ac:dyDescent="0.25">
      <c r="A190" s="4"/>
      <c r="B190" s="26"/>
      <c r="C190" s="26"/>
      <c r="D190" s="26"/>
      <c r="E190" s="26"/>
      <c r="F190" s="26"/>
      <c r="G190" s="26"/>
      <c r="H190" s="26"/>
      <c r="I190" s="274"/>
      <c r="J190" s="274"/>
      <c r="K190" s="26"/>
      <c r="L190" s="26"/>
      <c r="M190" s="26"/>
      <c r="N190" s="26"/>
      <c r="O190" s="274"/>
      <c r="P190" s="274"/>
      <c r="Q190" s="274"/>
      <c r="R190" s="274"/>
      <c r="S190" s="271"/>
      <c r="T190" s="597"/>
      <c r="U190" s="17"/>
      <c r="V190" s="271"/>
      <c r="W190" s="271"/>
      <c r="X190" s="271"/>
      <c r="Y190" s="271"/>
      <c r="Z190" s="271"/>
      <c r="AA190" s="271"/>
      <c r="AB190" s="271"/>
      <c r="AC190" s="26"/>
      <c r="AD190" s="26"/>
      <c r="AE190" s="26"/>
      <c r="AF190" s="26"/>
      <c r="AG190" s="26"/>
      <c r="AH190" s="26"/>
      <c r="AI190" s="274"/>
      <c r="AJ190" s="274"/>
      <c r="AK190" s="26"/>
      <c r="AL190" s="26"/>
      <c r="AM190" s="26"/>
      <c r="AN190" s="26"/>
      <c r="AO190" s="26"/>
      <c r="AP190" s="274"/>
      <c r="AQ190" s="274"/>
      <c r="AR190" s="10"/>
      <c r="AS190" s="10"/>
      <c r="BF190" s="22"/>
      <c r="BJ190" s="10"/>
      <c r="BN190" s="22"/>
    </row>
    <row r="191" spans="1:66" x14ac:dyDescent="0.25">
      <c r="A191" s="4"/>
      <c r="B191" s="26"/>
      <c r="C191" s="26"/>
      <c r="D191" s="26"/>
      <c r="E191" s="26"/>
      <c r="F191" s="26"/>
      <c r="G191" s="26"/>
      <c r="H191" s="26"/>
      <c r="I191" s="274"/>
      <c r="J191" s="274"/>
      <c r="K191" s="26"/>
      <c r="L191" s="26"/>
      <c r="M191" s="26"/>
      <c r="N191" s="26"/>
      <c r="O191" s="274"/>
      <c r="P191" s="274"/>
      <c r="Q191" s="274"/>
      <c r="R191" s="274"/>
      <c r="S191" s="271"/>
      <c r="T191" s="597"/>
      <c r="U191" s="17"/>
      <c r="V191" s="271"/>
      <c r="W191" s="271"/>
      <c r="X191" s="271"/>
      <c r="Y191" s="271"/>
      <c r="Z191" s="271"/>
      <c r="AA191" s="271"/>
      <c r="AB191" s="271"/>
      <c r="AC191" s="26"/>
      <c r="AD191" s="26"/>
      <c r="AE191" s="26"/>
      <c r="AF191" s="26"/>
      <c r="AG191" s="26"/>
      <c r="AH191" s="26"/>
      <c r="AI191" s="274"/>
      <c r="AJ191" s="274"/>
      <c r="AK191" s="26"/>
      <c r="AL191" s="26"/>
      <c r="AM191" s="26"/>
      <c r="AN191" s="26"/>
      <c r="AO191" s="26"/>
      <c r="AP191" s="274"/>
      <c r="AQ191" s="274"/>
      <c r="AR191" s="10"/>
      <c r="AS191" s="10"/>
      <c r="BF191" s="22"/>
      <c r="BJ191" s="10"/>
      <c r="BN191" s="22"/>
    </row>
    <row r="192" spans="1:66" x14ac:dyDescent="0.25">
      <c r="A192" s="4"/>
      <c r="B192" s="26"/>
      <c r="C192" s="26"/>
      <c r="D192" s="26"/>
      <c r="E192" s="26"/>
      <c r="F192" s="26"/>
      <c r="G192" s="26"/>
      <c r="H192" s="26"/>
      <c r="I192" s="274"/>
      <c r="J192" s="274"/>
      <c r="K192" s="26"/>
      <c r="L192" s="26"/>
      <c r="M192" s="26"/>
      <c r="N192" s="26"/>
      <c r="O192" s="274"/>
      <c r="P192" s="274"/>
      <c r="Q192" s="274"/>
      <c r="R192" s="274"/>
      <c r="S192" s="271"/>
      <c r="T192" s="597"/>
      <c r="U192" s="17"/>
      <c r="V192" s="271"/>
      <c r="W192" s="271"/>
      <c r="X192" s="271"/>
      <c r="Y192" s="271"/>
      <c r="Z192" s="271"/>
      <c r="AA192" s="271"/>
      <c r="AB192" s="271"/>
      <c r="AC192" s="26"/>
      <c r="AD192" s="26"/>
      <c r="AE192" s="26"/>
      <c r="AF192" s="26"/>
      <c r="AG192" s="26"/>
      <c r="AH192" s="26"/>
      <c r="AI192" s="274"/>
      <c r="AJ192" s="274"/>
      <c r="AK192" s="26"/>
      <c r="AL192" s="26"/>
      <c r="AM192" s="26"/>
      <c r="AN192" s="26"/>
      <c r="AO192" s="26"/>
      <c r="AP192" s="274"/>
      <c r="AQ192" s="274"/>
      <c r="AR192" s="10"/>
      <c r="AS192" s="10"/>
      <c r="BF192" s="22"/>
      <c r="BJ192" s="10"/>
      <c r="BN192" s="22"/>
    </row>
    <row r="193" spans="1:66" x14ac:dyDescent="0.25">
      <c r="A193" s="4"/>
      <c r="B193" s="26"/>
      <c r="C193" s="26"/>
      <c r="D193" s="26"/>
      <c r="E193" s="26"/>
      <c r="F193" s="26"/>
      <c r="G193" s="26"/>
      <c r="H193" s="26"/>
      <c r="I193" s="274"/>
      <c r="J193" s="274"/>
      <c r="K193" s="26"/>
      <c r="L193" s="26"/>
      <c r="M193" s="26"/>
      <c r="N193" s="26"/>
      <c r="O193" s="274"/>
      <c r="P193" s="274"/>
      <c r="Q193" s="274"/>
      <c r="R193" s="274"/>
      <c r="S193" s="271"/>
      <c r="T193" s="597"/>
      <c r="U193" s="17"/>
      <c r="V193" s="271"/>
      <c r="W193" s="271"/>
      <c r="X193" s="271"/>
      <c r="Y193" s="271"/>
      <c r="Z193" s="271"/>
      <c r="AA193" s="271"/>
      <c r="AB193" s="271"/>
      <c r="AC193" s="26"/>
      <c r="AD193" s="26"/>
      <c r="AE193" s="26"/>
      <c r="AF193" s="26"/>
      <c r="AG193" s="26"/>
      <c r="AH193" s="26"/>
      <c r="AI193" s="274"/>
      <c r="AJ193" s="274"/>
      <c r="AK193" s="26"/>
      <c r="AL193" s="26"/>
      <c r="AM193" s="26"/>
      <c r="AN193" s="26"/>
      <c r="AO193" s="26"/>
      <c r="AP193" s="274"/>
      <c r="AQ193" s="274"/>
      <c r="AR193" s="10"/>
      <c r="AS193" s="10"/>
      <c r="BF193" s="22"/>
      <c r="BJ193" s="10"/>
      <c r="BN193" s="22"/>
    </row>
    <row r="194" spans="1:66" x14ac:dyDescent="0.25">
      <c r="A194" s="4"/>
      <c r="B194" s="26"/>
      <c r="C194" s="26"/>
      <c r="D194" s="26"/>
      <c r="E194" s="26"/>
      <c r="F194" s="26"/>
      <c r="G194" s="26"/>
      <c r="H194" s="26"/>
      <c r="I194" s="274"/>
      <c r="J194" s="274"/>
      <c r="K194" s="26"/>
      <c r="L194" s="26"/>
      <c r="M194" s="26"/>
      <c r="N194" s="26"/>
      <c r="O194" s="274"/>
      <c r="P194" s="274"/>
      <c r="Q194" s="274"/>
      <c r="R194" s="274"/>
      <c r="S194" s="271"/>
      <c r="T194" s="597"/>
      <c r="U194" s="17"/>
      <c r="V194" s="271"/>
      <c r="W194" s="271"/>
      <c r="X194" s="271"/>
      <c r="Y194" s="271"/>
      <c r="Z194" s="271"/>
      <c r="AA194" s="271"/>
      <c r="AB194" s="271"/>
      <c r="AC194" s="26"/>
      <c r="AD194" s="26"/>
      <c r="AE194" s="26"/>
      <c r="AF194" s="26"/>
      <c r="AG194" s="26"/>
      <c r="AH194" s="26"/>
      <c r="AI194" s="274"/>
      <c r="AJ194" s="274"/>
      <c r="AK194" s="26"/>
      <c r="AL194" s="26"/>
      <c r="AM194" s="26"/>
      <c r="AN194" s="26"/>
      <c r="AO194" s="26"/>
      <c r="AP194" s="274"/>
      <c r="AQ194" s="274"/>
      <c r="AR194" s="10"/>
      <c r="AS194" s="10"/>
      <c r="BF194" s="22"/>
      <c r="BJ194" s="10"/>
      <c r="BN194" s="22"/>
    </row>
    <row r="195" spans="1:66" x14ac:dyDescent="0.25">
      <c r="A195" s="4"/>
      <c r="B195" s="26"/>
      <c r="C195" s="26"/>
      <c r="D195" s="26"/>
      <c r="E195" s="26"/>
      <c r="F195" s="26"/>
      <c r="G195" s="26"/>
      <c r="H195" s="26"/>
      <c r="I195" s="274"/>
      <c r="J195" s="274"/>
      <c r="K195" s="26"/>
      <c r="L195" s="26"/>
      <c r="M195" s="26"/>
      <c r="N195" s="26"/>
      <c r="O195" s="274"/>
      <c r="P195" s="274"/>
      <c r="Q195" s="274"/>
      <c r="R195" s="274"/>
      <c r="S195" s="271"/>
      <c r="T195" s="597"/>
      <c r="U195" s="17"/>
      <c r="V195" s="271"/>
      <c r="W195" s="271"/>
      <c r="X195" s="271"/>
      <c r="Y195" s="271"/>
      <c r="Z195" s="271"/>
      <c r="AA195" s="271"/>
      <c r="AB195" s="271"/>
      <c r="AC195" s="26"/>
      <c r="AD195" s="26"/>
      <c r="AE195" s="26"/>
      <c r="AF195" s="26"/>
      <c r="AG195" s="26"/>
      <c r="AH195" s="26"/>
      <c r="AI195" s="274"/>
      <c r="AJ195" s="274"/>
      <c r="AK195" s="26"/>
      <c r="AL195" s="26"/>
      <c r="AM195" s="26"/>
      <c r="AN195" s="26"/>
      <c r="AO195" s="26"/>
      <c r="AP195" s="274"/>
      <c r="AQ195" s="274"/>
      <c r="AR195" s="10"/>
      <c r="AS195" s="10"/>
      <c r="BF195" s="22"/>
      <c r="BJ195" s="10"/>
      <c r="BN195" s="22"/>
    </row>
    <row r="196" spans="1:66" x14ac:dyDescent="0.25">
      <c r="A196" s="4"/>
      <c r="B196" s="26"/>
      <c r="C196" s="26"/>
      <c r="D196" s="26"/>
      <c r="E196" s="26"/>
      <c r="F196" s="26"/>
      <c r="G196" s="26"/>
      <c r="H196" s="26"/>
      <c r="I196" s="274"/>
      <c r="J196" s="274"/>
      <c r="K196" s="26"/>
      <c r="L196" s="26"/>
      <c r="M196" s="26"/>
      <c r="N196" s="26"/>
      <c r="O196" s="274"/>
      <c r="P196" s="274"/>
      <c r="Q196" s="274"/>
      <c r="R196" s="274"/>
      <c r="S196" s="271"/>
      <c r="T196" s="597"/>
      <c r="U196" s="17"/>
      <c r="V196" s="271"/>
      <c r="W196" s="271"/>
      <c r="X196" s="271"/>
      <c r="Y196" s="271"/>
      <c r="Z196" s="271"/>
      <c r="AA196" s="271"/>
      <c r="AB196" s="271"/>
      <c r="AC196" s="26"/>
      <c r="AD196" s="26"/>
      <c r="AE196" s="26"/>
      <c r="AF196" s="26"/>
      <c r="AG196" s="26"/>
      <c r="AH196" s="26"/>
      <c r="AI196" s="274"/>
      <c r="AJ196" s="274"/>
      <c r="AK196" s="26"/>
      <c r="AL196" s="26"/>
      <c r="AM196" s="26"/>
      <c r="AN196" s="26"/>
      <c r="AO196" s="26"/>
      <c r="AP196" s="274"/>
      <c r="AQ196" s="274"/>
      <c r="AR196" s="10"/>
      <c r="AS196" s="10"/>
      <c r="BF196" s="22"/>
      <c r="BJ196" s="10"/>
      <c r="BN196" s="22"/>
    </row>
    <row r="197" spans="1:66" x14ac:dyDescent="0.25">
      <c r="A197" s="4"/>
      <c r="B197" s="26"/>
      <c r="C197" s="26"/>
      <c r="D197" s="26"/>
      <c r="E197" s="26"/>
      <c r="F197" s="26"/>
      <c r="G197" s="26"/>
      <c r="H197" s="26"/>
      <c r="I197" s="274"/>
      <c r="J197" s="274"/>
      <c r="K197" s="26"/>
      <c r="L197" s="26"/>
      <c r="M197" s="26"/>
      <c r="N197" s="26"/>
      <c r="O197" s="274"/>
      <c r="P197" s="274"/>
      <c r="Q197" s="274"/>
      <c r="R197" s="274"/>
      <c r="S197" s="271"/>
      <c r="T197" s="597"/>
      <c r="U197" s="17"/>
      <c r="V197" s="271"/>
      <c r="W197" s="271"/>
      <c r="X197" s="271"/>
      <c r="Y197" s="271"/>
      <c r="Z197" s="271"/>
      <c r="AA197" s="271"/>
      <c r="AB197" s="271"/>
      <c r="AC197" s="26"/>
      <c r="AD197" s="26"/>
      <c r="AE197" s="26"/>
      <c r="AF197" s="26"/>
      <c r="AG197" s="26"/>
      <c r="AH197" s="26"/>
      <c r="AI197" s="274"/>
      <c r="AJ197" s="274"/>
      <c r="AK197" s="26"/>
      <c r="AL197" s="26"/>
      <c r="AM197" s="26"/>
      <c r="AN197" s="26"/>
      <c r="AO197" s="26"/>
      <c r="AP197" s="274"/>
      <c r="AQ197" s="274"/>
      <c r="AR197" s="10"/>
      <c r="AS197" s="10"/>
      <c r="BF197" s="22"/>
      <c r="BJ197" s="10"/>
      <c r="BN197" s="22"/>
    </row>
    <row r="198" spans="1:66" x14ac:dyDescent="0.25">
      <c r="A198" s="4"/>
      <c r="B198" s="26"/>
      <c r="C198" s="26"/>
      <c r="D198" s="26"/>
      <c r="E198" s="26"/>
      <c r="F198" s="26"/>
      <c r="G198" s="26"/>
      <c r="H198" s="26"/>
      <c r="I198" s="274"/>
      <c r="J198" s="274"/>
      <c r="K198" s="26"/>
      <c r="L198" s="26"/>
      <c r="M198" s="26"/>
      <c r="N198" s="26"/>
      <c r="O198" s="274"/>
      <c r="P198" s="274"/>
      <c r="Q198" s="274"/>
      <c r="R198" s="274"/>
      <c r="S198" s="271"/>
      <c r="T198" s="597"/>
      <c r="U198" s="17"/>
      <c r="V198" s="271"/>
      <c r="W198" s="271"/>
      <c r="X198" s="271"/>
      <c r="Y198" s="271"/>
      <c r="Z198" s="271"/>
      <c r="AA198" s="271"/>
      <c r="AB198" s="271"/>
      <c r="AC198" s="26"/>
      <c r="AD198" s="26"/>
      <c r="AE198" s="26"/>
      <c r="AF198" s="26"/>
      <c r="AG198" s="26"/>
      <c r="AH198" s="26"/>
      <c r="AI198" s="274"/>
      <c r="AJ198" s="274"/>
      <c r="AK198" s="26"/>
      <c r="AL198" s="26"/>
      <c r="AM198" s="26"/>
      <c r="AN198" s="26"/>
      <c r="AO198" s="26"/>
      <c r="AP198" s="274"/>
      <c r="AQ198" s="274"/>
      <c r="AR198" s="10"/>
      <c r="AS198" s="10"/>
      <c r="BF198" s="22"/>
      <c r="BJ198" s="10"/>
      <c r="BN198" s="22"/>
    </row>
    <row r="199" spans="1:66" x14ac:dyDescent="0.25">
      <c r="A199" s="4"/>
      <c r="B199" s="26"/>
      <c r="C199" s="26"/>
      <c r="D199" s="26"/>
      <c r="E199" s="26"/>
      <c r="F199" s="26"/>
      <c r="G199" s="26"/>
      <c r="H199" s="26"/>
      <c r="I199" s="274"/>
      <c r="J199" s="274"/>
      <c r="K199" s="26"/>
      <c r="L199" s="26"/>
      <c r="M199" s="26"/>
      <c r="N199" s="26"/>
      <c r="O199" s="274"/>
      <c r="P199" s="274"/>
      <c r="Q199" s="274"/>
      <c r="R199" s="274"/>
      <c r="S199" s="271"/>
      <c r="T199" s="597"/>
      <c r="U199" s="17"/>
      <c r="V199" s="271"/>
      <c r="W199" s="271"/>
      <c r="X199" s="271"/>
      <c r="Y199" s="271"/>
      <c r="Z199" s="271"/>
      <c r="AA199" s="271"/>
      <c r="AB199" s="271"/>
      <c r="AC199" s="26"/>
      <c r="AD199" s="26"/>
      <c r="AE199" s="26"/>
      <c r="AF199" s="26"/>
      <c r="AG199" s="26"/>
      <c r="AH199" s="26"/>
      <c r="AI199" s="274"/>
      <c r="AJ199" s="274"/>
      <c r="AK199" s="26"/>
      <c r="AL199" s="26"/>
      <c r="AM199" s="26"/>
      <c r="AN199" s="26"/>
      <c r="AO199" s="26"/>
      <c r="AP199" s="274"/>
      <c r="AQ199" s="274"/>
      <c r="AR199" s="10"/>
      <c r="AS199" s="10"/>
      <c r="BF199" s="22"/>
      <c r="BJ199" s="10"/>
      <c r="BN199" s="22"/>
    </row>
    <row r="200" spans="1:66" x14ac:dyDescent="0.25">
      <c r="A200" s="4"/>
      <c r="B200" s="26"/>
      <c r="C200" s="26"/>
      <c r="D200" s="26"/>
      <c r="E200" s="26"/>
      <c r="F200" s="26"/>
      <c r="G200" s="26"/>
      <c r="H200" s="26"/>
      <c r="I200" s="274"/>
      <c r="J200" s="274"/>
      <c r="K200" s="26"/>
      <c r="L200" s="26"/>
      <c r="M200" s="26"/>
      <c r="N200" s="26"/>
      <c r="O200" s="274"/>
      <c r="P200" s="274"/>
      <c r="Q200" s="274"/>
      <c r="R200" s="274"/>
      <c r="S200" s="271"/>
      <c r="T200" s="597"/>
      <c r="U200" s="17"/>
      <c r="V200" s="271"/>
      <c r="W200" s="271"/>
      <c r="X200" s="271"/>
      <c r="Y200" s="271"/>
      <c r="Z200" s="271"/>
      <c r="AA200" s="271"/>
      <c r="AB200" s="271"/>
      <c r="AC200" s="26"/>
      <c r="AD200" s="26"/>
      <c r="AE200" s="26"/>
      <c r="AF200" s="26"/>
      <c r="AG200" s="26"/>
      <c r="AH200" s="26"/>
      <c r="AI200" s="274"/>
      <c r="AJ200" s="274"/>
      <c r="AK200" s="26"/>
      <c r="AL200" s="26"/>
      <c r="AM200" s="26"/>
      <c r="AN200" s="26"/>
      <c r="AO200" s="26"/>
      <c r="AP200" s="274"/>
      <c r="AQ200" s="274"/>
      <c r="AR200" s="10"/>
      <c r="AS200" s="10"/>
      <c r="BF200" s="22"/>
      <c r="BJ200" s="10"/>
      <c r="BN200" s="22"/>
    </row>
    <row r="201" spans="1:66" x14ac:dyDescent="0.25">
      <c r="A201" s="4"/>
      <c r="B201" s="26"/>
      <c r="C201" s="26"/>
      <c r="D201" s="26"/>
      <c r="E201" s="26"/>
      <c r="F201" s="26"/>
      <c r="G201" s="26"/>
      <c r="H201" s="26"/>
      <c r="I201" s="274"/>
      <c r="J201" s="274"/>
      <c r="K201" s="26"/>
      <c r="L201" s="26"/>
      <c r="M201" s="26"/>
      <c r="N201" s="26"/>
      <c r="O201" s="274"/>
      <c r="P201" s="274"/>
      <c r="Q201" s="274"/>
      <c r="R201" s="274"/>
      <c r="S201" s="271"/>
      <c r="T201" s="597"/>
      <c r="U201" s="17"/>
      <c r="V201" s="271"/>
      <c r="W201" s="271"/>
      <c r="X201" s="271"/>
      <c r="Y201" s="271"/>
      <c r="Z201" s="271"/>
      <c r="AA201" s="271"/>
      <c r="AB201" s="271"/>
      <c r="AC201" s="26"/>
      <c r="AD201" s="26"/>
      <c r="AE201" s="26"/>
      <c r="AF201" s="26"/>
      <c r="AG201" s="26"/>
      <c r="AH201" s="26"/>
      <c r="AI201" s="274"/>
      <c r="AJ201" s="274"/>
      <c r="AK201" s="26"/>
      <c r="AL201" s="26"/>
      <c r="AM201" s="26"/>
      <c r="AN201" s="26"/>
      <c r="AO201" s="26"/>
      <c r="AP201" s="274"/>
      <c r="AQ201" s="274"/>
      <c r="AR201" s="10"/>
      <c r="AS201" s="10"/>
      <c r="BF201" s="22"/>
      <c r="BJ201" s="10"/>
      <c r="BN201" s="22"/>
    </row>
    <row r="202" spans="1:66" x14ac:dyDescent="0.25">
      <c r="A202" s="4"/>
      <c r="B202" s="26"/>
      <c r="C202" s="26"/>
      <c r="D202" s="26"/>
      <c r="E202" s="26"/>
      <c r="F202" s="26"/>
      <c r="G202" s="26"/>
      <c r="H202" s="26"/>
      <c r="I202" s="274"/>
      <c r="J202" s="274"/>
      <c r="K202" s="26"/>
      <c r="L202" s="26"/>
      <c r="M202" s="26"/>
      <c r="N202" s="26"/>
      <c r="O202" s="274"/>
      <c r="P202" s="274"/>
      <c r="Q202" s="274"/>
      <c r="R202" s="274"/>
      <c r="S202" s="271"/>
      <c r="T202" s="597"/>
      <c r="U202" s="17"/>
      <c r="V202" s="271"/>
      <c r="W202" s="271"/>
      <c r="X202" s="271"/>
      <c r="Y202" s="271"/>
      <c r="Z202" s="271"/>
      <c r="AA202" s="271"/>
      <c r="AB202" s="271"/>
      <c r="AC202" s="26"/>
      <c r="AD202" s="26"/>
      <c r="AE202" s="26"/>
      <c r="AF202" s="26"/>
      <c r="AG202" s="26"/>
      <c r="AH202" s="26"/>
      <c r="AI202" s="274"/>
      <c r="AJ202" s="274"/>
      <c r="AK202" s="26"/>
      <c r="AL202" s="26"/>
      <c r="AM202" s="26"/>
      <c r="AN202" s="26"/>
      <c r="AO202" s="26"/>
      <c r="AP202" s="274"/>
      <c r="AQ202" s="274"/>
      <c r="AR202" s="10"/>
      <c r="AS202" s="10"/>
      <c r="BF202" s="22"/>
      <c r="BJ202" s="10"/>
      <c r="BN202" s="22"/>
    </row>
    <row r="203" spans="1:66" x14ac:dyDescent="0.25">
      <c r="A203" s="4"/>
      <c r="B203" s="26"/>
      <c r="C203" s="26"/>
      <c r="D203" s="26"/>
      <c r="E203" s="26"/>
      <c r="F203" s="26"/>
      <c r="G203" s="26"/>
      <c r="H203" s="26"/>
      <c r="I203" s="274"/>
      <c r="J203" s="274"/>
      <c r="K203" s="26"/>
      <c r="L203" s="26"/>
      <c r="M203" s="26"/>
      <c r="N203" s="26"/>
      <c r="O203" s="274"/>
      <c r="P203" s="274"/>
      <c r="Q203" s="274"/>
      <c r="R203" s="274"/>
      <c r="S203" s="271"/>
      <c r="T203" s="597"/>
      <c r="U203" s="17"/>
      <c r="V203" s="271"/>
      <c r="W203" s="271"/>
      <c r="X203" s="271"/>
      <c r="Y203" s="271"/>
      <c r="Z203" s="271"/>
      <c r="AA203" s="271"/>
      <c r="AB203" s="271"/>
      <c r="AC203" s="26"/>
      <c r="AD203" s="26"/>
      <c r="AE203" s="26"/>
      <c r="AF203" s="26"/>
      <c r="AG203" s="26"/>
      <c r="AH203" s="26"/>
      <c r="AI203" s="274"/>
      <c r="AJ203" s="274"/>
      <c r="AK203" s="26"/>
      <c r="AL203" s="26"/>
      <c r="AM203" s="26"/>
      <c r="AN203" s="26"/>
      <c r="AO203" s="26"/>
      <c r="AP203" s="274"/>
      <c r="AQ203" s="274"/>
      <c r="AR203" s="10"/>
      <c r="AS203" s="10"/>
      <c r="BF203" s="22"/>
      <c r="BJ203" s="10"/>
      <c r="BN203" s="22"/>
    </row>
    <row r="204" spans="1:66" x14ac:dyDescent="0.25">
      <c r="A204" s="4"/>
      <c r="B204" s="26"/>
      <c r="C204" s="26"/>
      <c r="D204" s="26"/>
      <c r="E204" s="26"/>
      <c r="F204" s="26"/>
      <c r="G204" s="26"/>
      <c r="H204" s="26"/>
      <c r="I204" s="274"/>
      <c r="J204" s="274"/>
      <c r="K204" s="26"/>
      <c r="L204" s="26"/>
      <c r="M204" s="26"/>
      <c r="N204" s="26"/>
      <c r="O204" s="274"/>
      <c r="P204" s="274"/>
      <c r="Q204" s="274"/>
      <c r="R204" s="274"/>
      <c r="S204" s="271"/>
      <c r="T204" s="597"/>
      <c r="U204" s="17"/>
      <c r="V204" s="271"/>
      <c r="W204" s="271"/>
      <c r="X204" s="271"/>
      <c r="Y204" s="271"/>
      <c r="Z204" s="271"/>
      <c r="AA204" s="271"/>
      <c r="AB204" s="271"/>
      <c r="AC204" s="26"/>
      <c r="AD204" s="26"/>
      <c r="AE204" s="26"/>
      <c r="AF204" s="26"/>
      <c r="AG204" s="26"/>
      <c r="AH204" s="26"/>
      <c r="AI204" s="274"/>
      <c r="AJ204" s="274"/>
      <c r="AK204" s="26"/>
      <c r="AL204" s="26"/>
      <c r="AM204" s="26"/>
      <c r="AN204" s="26"/>
      <c r="AO204" s="26"/>
      <c r="AP204" s="274"/>
      <c r="AQ204" s="274"/>
      <c r="AR204" s="10"/>
      <c r="AS204" s="10"/>
      <c r="BF204" s="22"/>
      <c r="BJ204" s="10"/>
      <c r="BN204" s="22"/>
    </row>
    <row r="205" spans="1:66" x14ac:dyDescent="0.25">
      <c r="A205" s="4"/>
      <c r="B205" s="26"/>
      <c r="C205" s="26"/>
      <c r="D205" s="26"/>
      <c r="E205" s="26"/>
      <c r="F205" s="26"/>
      <c r="G205" s="26"/>
      <c r="H205" s="26"/>
      <c r="I205" s="274"/>
      <c r="J205" s="274"/>
      <c r="K205" s="26"/>
      <c r="L205" s="26"/>
      <c r="M205" s="26"/>
      <c r="N205" s="26"/>
      <c r="O205" s="274"/>
      <c r="P205" s="274"/>
      <c r="Q205" s="274"/>
      <c r="R205" s="274"/>
      <c r="S205" s="271"/>
      <c r="T205" s="597"/>
      <c r="U205" s="17"/>
      <c r="V205" s="271"/>
      <c r="W205" s="271"/>
      <c r="X205" s="271"/>
      <c r="Y205" s="271"/>
      <c r="Z205" s="271"/>
      <c r="AA205" s="271"/>
      <c r="AB205" s="271"/>
      <c r="AC205" s="26"/>
      <c r="AD205" s="26"/>
      <c r="AE205" s="26"/>
      <c r="AF205" s="26"/>
      <c r="AG205" s="26"/>
      <c r="AH205" s="26"/>
      <c r="AI205" s="274"/>
      <c r="AJ205" s="274"/>
      <c r="AK205" s="26"/>
      <c r="AL205" s="26"/>
      <c r="AM205" s="26"/>
      <c r="AN205" s="26"/>
      <c r="AO205" s="26"/>
      <c r="AP205" s="274"/>
      <c r="AQ205" s="274"/>
      <c r="AR205" s="10"/>
      <c r="AS205" s="10"/>
      <c r="BF205" s="22"/>
      <c r="BJ205" s="10"/>
      <c r="BN205" s="22"/>
    </row>
    <row r="206" spans="1:66" x14ac:dyDescent="0.25">
      <c r="A206" s="4"/>
      <c r="B206" s="26"/>
      <c r="C206" s="26"/>
      <c r="D206" s="26"/>
      <c r="E206" s="26"/>
      <c r="F206" s="26"/>
      <c r="G206" s="26"/>
      <c r="H206" s="26"/>
      <c r="I206" s="274"/>
      <c r="J206" s="274"/>
      <c r="K206" s="26"/>
      <c r="L206" s="26"/>
      <c r="M206" s="26"/>
      <c r="N206" s="26"/>
      <c r="O206" s="274"/>
      <c r="P206" s="274"/>
      <c r="Q206" s="274"/>
      <c r="R206" s="274"/>
      <c r="S206" s="271"/>
      <c r="T206" s="597"/>
      <c r="U206" s="17"/>
      <c r="V206" s="271"/>
      <c r="W206" s="271"/>
      <c r="X206" s="271"/>
      <c r="Y206" s="271"/>
      <c r="Z206" s="271"/>
      <c r="AA206" s="271"/>
      <c r="AB206" s="271"/>
      <c r="AC206" s="26"/>
      <c r="AD206" s="26"/>
      <c r="AE206" s="26"/>
      <c r="AF206" s="26"/>
      <c r="AG206" s="26"/>
      <c r="AH206" s="26"/>
      <c r="AI206" s="274"/>
      <c r="AJ206" s="274"/>
      <c r="AK206" s="26"/>
      <c r="AL206" s="26"/>
      <c r="AM206" s="26"/>
      <c r="AN206" s="26"/>
      <c r="AO206" s="26"/>
      <c r="AP206" s="274"/>
      <c r="AQ206" s="274"/>
      <c r="AR206" s="10"/>
      <c r="AS206" s="10"/>
      <c r="BF206" s="22"/>
      <c r="BJ206" s="10"/>
      <c r="BN206" s="22"/>
    </row>
    <row r="207" spans="1:66" x14ac:dyDescent="0.25">
      <c r="A207" s="4"/>
      <c r="B207" s="26"/>
      <c r="C207" s="26"/>
      <c r="D207" s="26"/>
      <c r="E207" s="26"/>
      <c r="F207" s="26"/>
      <c r="G207" s="26"/>
      <c r="H207" s="26"/>
      <c r="I207" s="274"/>
      <c r="J207" s="274"/>
      <c r="K207" s="26"/>
      <c r="L207" s="26"/>
      <c r="M207" s="26"/>
      <c r="N207" s="26"/>
      <c r="O207" s="274"/>
      <c r="P207" s="274"/>
      <c r="Q207" s="274"/>
      <c r="R207" s="274"/>
      <c r="S207" s="271"/>
      <c r="T207" s="597"/>
      <c r="U207" s="17"/>
      <c r="V207" s="271"/>
      <c r="W207" s="271"/>
      <c r="X207" s="271"/>
      <c r="Y207" s="271"/>
      <c r="Z207" s="271"/>
      <c r="AA207" s="271"/>
      <c r="AB207" s="271"/>
      <c r="AC207" s="26"/>
      <c r="AD207" s="26"/>
      <c r="AE207" s="26"/>
      <c r="AF207" s="26"/>
      <c r="AG207" s="26"/>
      <c r="AH207" s="26"/>
      <c r="AI207" s="274"/>
      <c r="AJ207" s="274"/>
      <c r="AK207" s="26"/>
      <c r="AL207" s="26"/>
      <c r="AM207" s="26"/>
      <c r="AN207" s="26"/>
      <c r="AO207" s="26"/>
      <c r="AP207" s="274"/>
      <c r="AQ207" s="274"/>
      <c r="AR207" s="10"/>
      <c r="AS207" s="10"/>
      <c r="BF207" s="22"/>
      <c r="BJ207" s="10"/>
      <c r="BN207" s="22"/>
    </row>
    <row r="208" spans="1:66" x14ac:dyDescent="0.25">
      <c r="A208" s="4"/>
      <c r="B208" s="26"/>
      <c r="C208" s="26"/>
      <c r="D208" s="26"/>
      <c r="E208" s="26"/>
      <c r="F208" s="26"/>
      <c r="G208" s="26"/>
      <c r="H208" s="26"/>
      <c r="I208" s="274"/>
      <c r="J208" s="274"/>
      <c r="K208" s="26"/>
      <c r="L208" s="26"/>
      <c r="M208" s="26"/>
      <c r="N208" s="26"/>
      <c r="O208" s="274"/>
      <c r="P208" s="274"/>
      <c r="Q208" s="274"/>
      <c r="R208" s="274"/>
      <c r="S208" s="271"/>
      <c r="T208" s="597"/>
      <c r="U208" s="17"/>
      <c r="V208" s="271"/>
      <c r="W208" s="271"/>
      <c r="X208" s="271"/>
      <c r="Y208" s="271"/>
      <c r="Z208" s="271"/>
      <c r="AA208" s="271"/>
      <c r="AB208" s="271"/>
      <c r="AC208" s="26"/>
      <c r="AD208" s="26"/>
      <c r="AE208" s="26"/>
      <c r="AF208" s="26"/>
      <c r="AG208" s="26"/>
      <c r="AH208" s="26"/>
      <c r="AI208" s="274"/>
      <c r="AJ208" s="274"/>
      <c r="AK208" s="26"/>
      <c r="AL208" s="26"/>
      <c r="AM208" s="26"/>
      <c r="AN208" s="26"/>
      <c r="AO208" s="26"/>
      <c r="AP208" s="274"/>
      <c r="AQ208" s="274"/>
      <c r="AR208" s="10"/>
      <c r="AS208" s="10"/>
      <c r="BF208" s="22"/>
      <c r="BJ208" s="10"/>
      <c r="BN208" s="22"/>
    </row>
    <row r="209" spans="1:66" x14ac:dyDescent="0.25">
      <c r="A209" s="4"/>
      <c r="B209" s="26"/>
      <c r="C209" s="26"/>
      <c r="D209" s="26"/>
      <c r="E209" s="26"/>
      <c r="F209" s="26"/>
      <c r="G209" s="26"/>
      <c r="H209" s="26"/>
      <c r="I209" s="274"/>
      <c r="J209" s="274"/>
      <c r="K209" s="26"/>
      <c r="L209" s="26"/>
      <c r="M209" s="26"/>
      <c r="N209" s="26"/>
      <c r="O209" s="274"/>
      <c r="P209" s="274"/>
      <c r="Q209" s="274"/>
      <c r="R209" s="274"/>
      <c r="S209" s="271"/>
      <c r="T209" s="597"/>
      <c r="U209" s="17"/>
      <c r="V209" s="271"/>
      <c r="W209" s="271"/>
      <c r="X209" s="271"/>
      <c r="Y209" s="271"/>
      <c r="Z209" s="271"/>
      <c r="AA209" s="271"/>
      <c r="AB209" s="271"/>
      <c r="AC209" s="26"/>
      <c r="AD209" s="26"/>
      <c r="AE209" s="26"/>
      <c r="AF209" s="26"/>
      <c r="AG209" s="26"/>
      <c r="AH209" s="26"/>
      <c r="AI209" s="274"/>
      <c r="AJ209" s="274"/>
      <c r="AK209" s="26"/>
      <c r="AL209" s="26"/>
      <c r="AM209" s="26"/>
      <c r="AN209" s="26"/>
      <c r="AO209" s="26"/>
      <c r="AP209" s="274"/>
      <c r="AQ209" s="274"/>
      <c r="AR209" s="10"/>
      <c r="AS209" s="10"/>
      <c r="BF209" s="22"/>
      <c r="BJ209" s="10"/>
      <c r="BN209" s="22"/>
    </row>
    <row r="210" spans="1:66" x14ac:dyDescent="0.25">
      <c r="A210" s="4"/>
      <c r="B210" s="26"/>
      <c r="C210" s="26"/>
      <c r="D210" s="26"/>
      <c r="E210" s="26"/>
      <c r="F210" s="26"/>
      <c r="G210" s="26"/>
      <c r="H210" s="26"/>
      <c r="I210" s="274"/>
      <c r="J210" s="274"/>
      <c r="K210" s="26"/>
      <c r="L210" s="26"/>
      <c r="M210" s="26"/>
      <c r="N210" s="26"/>
      <c r="O210" s="274"/>
      <c r="P210" s="274"/>
      <c r="Q210" s="274"/>
      <c r="R210" s="274"/>
      <c r="S210" s="271"/>
      <c r="T210" s="597"/>
      <c r="U210" s="17"/>
      <c r="V210" s="271"/>
      <c r="W210" s="271"/>
      <c r="X210" s="271"/>
      <c r="Y210" s="271"/>
      <c r="Z210" s="271"/>
      <c r="AA210" s="271"/>
      <c r="AB210" s="271"/>
      <c r="AC210" s="26"/>
      <c r="AD210" s="26"/>
      <c r="AE210" s="26"/>
      <c r="AF210" s="26"/>
      <c r="AG210" s="26"/>
      <c r="AH210" s="26"/>
      <c r="AI210" s="274"/>
      <c r="AJ210" s="274"/>
      <c r="AK210" s="26"/>
      <c r="AL210" s="26"/>
      <c r="AM210" s="26"/>
      <c r="AN210" s="26"/>
      <c r="AO210" s="26"/>
      <c r="AP210" s="274"/>
      <c r="AQ210" s="274"/>
      <c r="AR210" s="10"/>
      <c r="AS210" s="10"/>
      <c r="BF210" s="22"/>
      <c r="BJ210" s="10"/>
      <c r="BN210" s="22"/>
    </row>
    <row r="211" spans="1:66" x14ac:dyDescent="0.25">
      <c r="A211" s="4"/>
      <c r="B211" s="26"/>
      <c r="C211" s="26"/>
      <c r="D211" s="26"/>
      <c r="E211" s="26"/>
      <c r="F211" s="26"/>
      <c r="G211" s="26"/>
      <c r="H211" s="26"/>
      <c r="I211" s="274"/>
      <c r="J211" s="274"/>
      <c r="K211" s="26"/>
      <c r="L211" s="26"/>
      <c r="M211" s="26"/>
      <c r="N211" s="26"/>
      <c r="O211" s="274"/>
      <c r="P211" s="274"/>
      <c r="Q211" s="274"/>
      <c r="R211" s="274"/>
      <c r="S211" s="271"/>
      <c r="T211" s="597"/>
      <c r="U211" s="17"/>
      <c r="V211" s="271"/>
      <c r="W211" s="271"/>
      <c r="X211" s="271"/>
      <c r="Y211" s="271"/>
      <c r="Z211" s="271"/>
      <c r="AA211" s="271"/>
      <c r="AB211" s="271"/>
      <c r="AC211" s="26"/>
      <c r="AD211" s="26"/>
      <c r="AE211" s="26"/>
      <c r="AF211" s="26"/>
      <c r="AG211" s="26"/>
      <c r="AH211" s="26"/>
      <c r="AI211" s="274"/>
      <c r="AJ211" s="274"/>
      <c r="AK211" s="26"/>
      <c r="AL211" s="26"/>
      <c r="AM211" s="26"/>
      <c r="AN211" s="26"/>
      <c r="AO211" s="26"/>
      <c r="AP211" s="274"/>
      <c r="AQ211" s="274"/>
      <c r="AR211" s="10"/>
      <c r="AS211" s="10"/>
      <c r="BF211" s="22"/>
      <c r="BJ211" s="10"/>
      <c r="BN211" s="22"/>
    </row>
    <row r="212" spans="1:66" x14ac:dyDescent="0.25">
      <c r="A212" s="4"/>
      <c r="B212" s="26"/>
      <c r="C212" s="26"/>
      <c r="D212" s="26"/>
      <c r="E212" s="26"/>
      <c r="F212" s="26"/>
      <c r="G212" s="26"/>
      <c r="H212" s="26"/>
      <c r="I212" s="274"/>
      <c r="J212" s="274"/>
      <c r="K212" s="26"/>
      <c r="L212" s="26"/>
      <c r="M212" s="26"/>
      <c r="N212" s="26"/>
      <c r="O212" s="274"/>
      <c r="P212" s="274"/>
      <c r="Q212" s="274"/>
      <c r="R212" s="274"/>
      <c r="S212" s="271"/>
      <c r="T212" s="597"/>
      <c r="U212" s="17"/>
      <c r="V212" s="271"/>
      <c r="W212" s="271"/>
      <c r="X212" s="271"/>
      <c r="Y212" s="271"/>
      <c r="Z212" s="271"/>
      <c r="AA212" s="271"/>
      <c r="AB212" s="271"/>
      <c r="AC212" s="26"/>
      <c r="AD212" s="26"/>
      <c r="AE212" s="26"/>
      <c r="AF212" s="26"/>
      <c r="AG212" s="26"/>
      <c r="AH212" s="26"/>
      <c r="AI212" s="274"/>
      <c r="AJ212" s="274"/>
      <c r="AK212" s="26"/>
      <c r="AL212" s="26"/>
      <c r="AM212" s="26"/>
      <c r="AN212" s="26"/>
      <c r="AO212" s="26"/>
      <c r="AP212" s="274"/>
      <c r="AQ212" s="274"/>
      <c r="AR212" s="10"/>
      <c r="AS212" s="10"/>
      <c r="BF212" s="22"/>
      <c r="BJ212" s="10"/>
      <c r="BN212" s="22"/>
    </row>
    <row r="213" spans="1:66" x14ac:dyDescent="0.25">
      <c r="A213" s="4"/>
      <c r="B213" s="26"/>
      <c r="C213" s="26"/>
      <c r="D213" s="26"/>
      <c r="E213" s="26"/>
      <c r="F213" s="26"/>
      <c r="G213" s="26"/>
      <c r="H213" s="26"/>
      <c r="I213" s="274"/>
      <c r="J213" s="274"/>
      <c r="K213" s="26"/>
      <c r="L213" s="26"/>
      <c r="M213" s="26"/>
      <c r="N213" s="26"/>
      <c r="O213" s="274"/>
      <c r="P213" s="274"/>
      <c r="Q213" s="274"/>
      <c r="R213" s="274"/>
      <c r="S213" s="271"/>
      <c r="T213" s="597"/>
      <c r="U213" s="17"/>
      <c r="V213" s="271"/>
      <c r="W213" s="271"/>
      <c r="X213" s="271"/>
      <c r="Y213" s="271"/>
      <c r="Z213" s="271"/>
      <c r="AA213" s="271"/>
      <c r="AB213" s="271"/>
      <c r="AC213" s="26"/>
      <c r="AD213" s="26"/>
      <c r="AE213" s="26"/>
      <c r="AF213" s="26"/>
      <c r="AG213" s="26"/>
      <c r="AH213" s="26"/>
      <c r="AI213" s="274"/>
      <c r="AJ213" s="274"/>
      <c r="AK213" s="26"/>
      <c r="AL213" s="26"/>
      <c r="AM213" s="26"/>
      <c r="AN213" s="26"/>
      <c r="AO213" s="26"/>
      <c r="AP213" s="274"/>
      <c r="AQ213" s="274"/>
      <c r="AR213" s="10"/>
      <c r="AS213" s="10"/>
      <c r="BF213" s="22"/>
      <c r="BJ213" s="10"/>
      <c r="BN213" s="22"/>
    </row>
    <row r="214" spans="1:66" x14ac:dyDescent="0.25">
      <c r="A214" s="4"/>
      <c r="B214" s="26"/>
      <c r="C214" s="26"/>
      <c r="D214" s="26"/>
      <c r="E214" s="26"/>
      <c r="F214" s="26"/>
      <c r="G214" s="26"/>
      <c r="H214" s="26"/>
      <c r="I214" s="274"/>
      <c r="J214" s="274"/>
      <c r="K214" s="26"/>
      <c r="L214" s="26"/>
      <c r="M214" s="26"/>
      <c r="N214" s="26"/>
      <c r="O214" s="274"/>
      <c r="P214" s="274"/>
      <c r="Q214" s="274"/>
      <c r="R214" s="274"/>
      <c r="S214" s="271"/>
      <c r="T214" s="597"/>
      <c r="U214" s="17"/>
      <c r="V214" s="271"/>
      <c r="W214" s="271"/>
      <c r="X214" s="271"/>
      <c r="Y214" s="271"/>
      <c r="Z214" s="271"/>
      <c r="AA214" s="271"/>
      <c r="AB214" s="271"/>
      <c r="AC214" s="26"/>
      <c r="AD214" s="26"/>
      <c r="AE214" s="26"/>
      <c r="AF214" s="26"/>
      <c r="AG214" s="26"/>
      <c r="AH214" s="26"/>
      <c r="AI214" s="274"/>
      <c r="AJ214" s="274"/>
      <c r="AK214" s="26"/>
      <c r="AL214" s="26"/>
      <c r="AM214" s="26"/>
      <c r="AN214" s="26"/>
      <c r="AO214" s="26"/>
      <c r="AP214" s="274"/>
      <c r="AQ214" s="274"/>
      <c r="AR214" s="10"/>
      <c r="AS214" s="10"/>
      <c r="BF214" s="22"/>
      <c r="BJ214" s="10"/>
      <c r="BN214" s="22"/>
    </row>
    <row r="215" spans="1:66" x14ac:dyDescent="0.25">
      <c r="A215" s="4"/>
      <c r="B215" s="26"/>
      <c r="C215" s="26"/>
      <c r="D215" s="26"/>
      <c r="E215" s="26"/>
      <c r="F215" s="26"/>
      <c r="G215" s="26"/>
      <c r="H215" s="26"/>
      <c r="I215" s="274"/>
      <c r="J215" s="274"/>
      <c r="K215" s="26"/>
      <c r="L215" s="26"/>
      <c r="M215" s="26"/>
      <c r="N215" s="26"/>
      <c r="O215" s="274"/>
      <c r="P215" s="274"/>
      <c r="Q215" s="274"/>
      <c r="R215" s="274"/>
      <c r="S215" s="271"/>
      <c r="T215" s="597"/>
      <c r="U215" s="17"/>
      <c r="V215" s="271"/>
      <c r="W215" s="271"/>
      <c r="X215" s="271"/>
      <c r="Y215" s="271"/>
      <c r="Z215" s="271"/>
      <c r="AA215" s="271"/>
      <c r="AB215" s="271"/>
      <c r="AC215" s="26"/>
      <c r="AD215" s="26"/>
      <c r="AE215" s="26"/>
      <c r="AF215" s="26"/>
      <c r="AG215" s="26"/>
      <c r="AH215" s="26"/>
      <c r="AI215" s="274"/>
      <c r="AJ215" s="274"/>
      <c r="AK215" s="26"/>
      <c r="AL215" s="26"/>
      <c r="AM215" s="26"/>
      <c r="AN215" s="26"/>
      <c r="AO215" s="26"/>
      <c r="AP215" s="274"/>
      <c r="AQ215" s="274"/>
      <c r="AR215" s="10"/>
      <c r="AS215" s="10"/>
      <c r="BF215" s="22"/>
      <c r="BJ215" s="10"/>
      <c r="BN215" s="22"/>
    </row>
    <row r="216" spans="1:66" x14ac:dyDescent="0.25">
      <c r="A216" s="4"/>
      <c r="B216" s="26"/>
      <c r="C216" s="26"/>
      <c r="D216" s="26"/>
      <c r="E216" s="26"/>
      <c r="F216" s="26"/>
      <c r="G216" s="26"/>
      <c r="H216" s="26"/>
      <c r="I216" s="274"/>
      <c r="J216" s="274"/>
      <c r="K216" s="26"/>
      <c r="L216" s="26"/>
      <c r="M216" s="26"/>
      <c r="N216" s="26"/>
      <c r="O216" s="274"/>
      <c r="P216" s="274"/>
      <c r="Q216" s="274"/>
      <c r="R216" s="274"/>
      <c r="S216" s="271"/>
      <c r="T216" s="597"/>
      <c r="U216" s="17"/>
      <c r="V216" s="271"/>
      <c r="W216" s="271"/>
      <c r="X216" s="271"/>
      <c r="Y216" s="271"/>
      <c r="Z216" s="271"/>
      <c r="AA216" s="271"/>
      <c r="AB216" s="271"/>
      <c r="AC216" s="26"/>
      <c r="AD216" s="26"/>
      <c r="AE216" s="26"/>
      <c r="AF216" s="26"/>
      <c r="AG216" s="26"/>
      <c r="AH216" s="26"/>
      <c r="AI216" s="274"/>
      <c r="AJ216" s="274"/>
      <c r="AK216" s="26"/>
      <c r="AL216" s="26"/>
      <c r="AM216" s="26"/>
      <c r="AN216" s="26"/>
      <c r="AO216" s="26"/>
      <c r="AP216" s="274"/>
      <c r="AQ216" s="274"/>
      <c r="AR216" s="10"/>
      <c r="AS216" s="10"/>
      <c r="BF216" s="22"/>
      <c r="BJ216" s="10"/>
      <c r="BN216" s="22"/>
    </row>
    <row r="217" spans="1:66" x14ac:dyDescent="0.25">
      <c r="A217" s="4"/>
      <c r="B217" s="26"/>
      <c r="C217" s="26"/>
      <c r="D217" s="26"/>
      <c r="E217" s="26"/>
      <c r="F217" s="26"/>
      <c r="G217" s="26"/>
      <c r="H217" s="26"/>
      <c r="I217" s="274"/>
      <c r="J217" s="274"/>
      <c r="K217" s="26"/>
      <c r="L217" s="26"/>
      <c r="M217" s="26"/>
      <c r="N217" s="26"/>
      <c r="O217" s="274"/>
      <c r="P217" s="274"/>
      <c r="Q217" s="274"/>
      <c r="R217" s="274"/>
      <c r="S217" s="271"/>
      <c r="T217" s="597"/>
      <c r="U217" s="17"/>
      <c r="V217" s="271"/>
      <c r="W217" s="271"/>
      <c r="X217" s="271"/>
      <c r="Y217" s="271"/>
      <c r="Z217" s="271"/>
      <c r="AA217" s="271"/>
      <c r="AB217" s="271"/>
      <c r="AC217" s="26"/>
      <c r="AD217" s="26"/>
      <c r="AE217" s="26"/>
      <c r="AF217" s="26"/>
      <c r="AG217" s="26"/>
      <c r="AH217" s="26"/>
      <c r="AI217" s="274"/>
      <c r="AJ217" s="274"/>
      <c r="AK217" s="26"/>
      <c r="AL217" s="26"/>
      <c r="AM217" s="26"/>
      <c r="AN217" s="26"/>
      <c r="AO217" s="26"/>
      <c r="AP217" s="274"/>
      <c r="AQ217" s="274"/>
      <c r="AR217" s="10"/>
      <c r="AS217" s="10"/>
      <c r="BF217" s="22"/>
      <c r="BJ217" s="10"/>
      <c r="BN217" s="22"/>
    </row>
    <row r="218" spans="1:66" x14ac:dyDescent="0.25">
      <c r="A218" s="4"/>
      <c r="B218" s="26"/>
      <c r="C218" s="26"/>
      <c r="D218" s="26"/>
      <c r="E218" s="26"/>
      <c r="F218" s="26"/>
      <c r="G218" s="26"/>
      <c r="H218" s="26"/>
      <c r="I218" s="274"/>
      <c r="J218" s="274"/>
      <c r="K218" s="26"/>
      <c r="L218" s="26"/>
      <c r="M218" s="26"/>
      <c r="N218" s="26"/>
      <c r="O218" s="274"/>
      <c r="P218" s="274"/>
      <c r="Q218" s="274"/>
      <c r="R218" s="274"/>
      <c r="S218" s="271"/>
      <c r="T218" s="597"/>
      <c r="U218" s="17"/>
      <c r="V218" s="271"/>
      <c r="W218" s="271"/>
      <c r="X218" s="271"/>
      <c r="Y218" s="271"/>
      <c r="Z218" s="271"/>
      <c r="AA218" s="271"/>
      <c r="AB218" s="271"/>
      <c r="AC218" s="26"/>
      <c r="AD218" s="26"/>
      <c r="AE218" s="26"/>
      <c r="AF218" s="26"/>
      <c r="AG218" s="26"/>
      <c r="AH218" s="26"/>
      <c r="AI218" s="274"/>
      <c r="AJ218" s="274"/>
      <c r="AK218" s="26"/>
      <c r="AL218" s="26"/>
      <c r="AM218" s="26"/>
      <c r="AN218" s="26"/>
      <c r="AO218" s="26"/>
      <c r="AP218" s="274"/>
      <c r="AQ218" s="274"/>
      <c r="AR218" s="10"/>
      <c r="AS218" s="10"/>
      <c r="BF218" s="22"/>
      <c r="BJ218" s="10"/>
      <c r="BN218" s="22"/>
    </row>
    <row r="219" spans="1:66" x14ac:dyDescent="0.25">
      <c r="A219" s="4"/>
      <c r="B219" s="26"/>
      <c r="C219" s="26"/>
      <c r="D219" s="26"/>
      <c r="E219" s="26"/>
      <c r="F219" s="26"/>
      <c r="G219" s="26"/>
      <c r="H219" s="26"/>
      <c r="I219" s="274"/>
      <c r="J219" s="274"/>
      <c r="K219" s="26"/>
      <c r="L219" s="26"/>
      <c r="M219" s="26"/>
      <c r="N219" s="26"/>
      <c r="O219" s="274"/>
      <c r="P219" s="274"/>
      <c r="Q219" s="274"/>
      <c r="R219" s="274"/>
      <c r="S219" s="271"/>
      <c r="T219" s="597"/>
      <c r="U219" s="17"/>
      <c r="V219" s="271"/>
      <c r="W219" s="271"/>
      <c r="X219" s="271"/>
      <c r="Y219" s="271"/>
      <c r="Z219" s="271"/>
      <c r="AA219" s="271"/>
      <c r="AB219" s="271"/>
      <c r="AC219" s="26"/>
      <c r="AD219" s="26"/>
      <c r="AE219" s="26"/>
      <c r="AF219" s="26"/>
      <c r="AG219" s="26"/>
      <c r="AH219" s="26"/>
      <c r="AI219" s="274"/>
      <c r="AJ219" s="274"/>
      <c r="AK219" s="26"/>
      <c r="AL219" s="26"/>
      <c r="AM219" s="26"/>
      <c r="AN219" s="26"/>
      <c r="AO219" s="26"/>
      <c r="AP219" s="274"/>
      <c r="AQ219" s="274"/>
      <c r="AR219" s="10"/>
      <c r="AS219" s="10"/>
      <c r="BF219" s="22"/>
      <c r="BJ219" s="10"/>
      <c r="BN219" s="22"/>
    </row>
    <row r="220" spans="1:66" x14ac:dyDescent="0.25">
      <c r="A220" s="4"/>
      <c r="B220" s="26"/>
      <c r="C220" s="26"/>
      <c r="D220" s="26"/>
      <c r="E220" s="26"/>
      <c r="F220" s="26"/>
      <c r="G220" s="26"/>
      <c r="H220" s="26"/>
      <c r="I220" s="274"/>
      <c r="J220" s="274"/>
      <c r="K220" s="26"/>
      <c r="L220" s="26"/>
      <c r="M220" s="26"/>
      <c r="N220" s="26"/>
      <c r="O220" s="274"/>
      <c r="P220" s="274"/>
      <c r="Q220" s="274"/>
      <c r="R220" s="274"/>
      <c r="S220" s="271"/>
      <c r="T220" s="597"/>
      <c r="U220" s="17"/>
      <c r="V220" s="271"/>
      <c r="W220" s="271"/>
      <c r="X220" s="271"/>
      <c r="Y220" s="271"/>
      <c r="Z220" s="271"/>
      <c r="AA220" s="271"/>
      <c r="AB220" s="271"/>
      <c r="AC220" s="26"/>
      <c r="AD220" s="26"/>
      <c r="AE220" s="26"/>
      <c r="AF220" s="26"/>
      <c r="AG220" s="26"/>
      <c r="AH220" s="26"/>
      <c r="AI220" s="274"/>
      <c r="AJ220" s="274"/>
      <c r="AK220" s="26"/>
      <c r="AL220" s="26"/>
      <c r="AM220" s="26"/>
      <c r="AN220" s="26"/>
      <c r="AO220" s="26"/>
      <c r="AP220" s="274"/>
      <c r="AQ220" s="274"/>
      <c r="AR220" s="10"/>
      <c r="AS220" s="10"/>
      <c r="BF220" s="22"/>
      <c r="BJ220" s="10"/>
      <c r="BN220" s="22"/>
    </row>
    <row r="221" spans="1:66" x14ac:dyDescent="0.25">
      <c r="A221" s="4"/>
      <c r="B221" s="26"/>
      <c r="C221" s="26"/>
      <c r="D221" s="26"/>
      <c r="E221" s="26"/>
      <c r="F221" s="26"/>
      <c r="G221" s="26"/>
      <c r="H221" s="26"/>
      <c r="I221" s="274"/>
      <c r="J221" s="274"/>
      <c r="K221" s="26"/>
      <c r="L221" s="26"/>
      <c r="M221" s="26"/>
      <c r="N221" s="26"/>
      <c r="O221" s="274"/>
      <c r="P221" s="274"/>
      <c r="Q221" s="274"/>
      <c r="R221" s="274"/>
      <c r="S221" s="271"/>
      <c r="T221" s="597"/>
      <c r="U221" s="17"/>
      <c r="V221" s="271"/>
      <c r="W221" s="271"/>
      <c r="X221" s="271"/>
      <c r="Y221" s="271"/>
      <c r="Z221" s="271"/>
      <c r="AA221" s="271"/>
      <c r="AB221" s="271"/>
      <c r="AC221" s="26"/>
      <c r="AD221" s="26"/>
      <c r="AE221" s="26"/>
      <c r="AF221" s="26"/>
      <c r="AG221" s="26"/>
      <c r="AH221" s="26"/>
      <c r="AI221" s="274"/>
      <c r="AJ221" s="274"/>
      <c r="AK221" s="26"/>
      <c r="AL221" s="26"/>
      <c r="AM221" s="26"/>
      <c r="AN221" s="26"/>
      <c r="AO221" s="26"/>
      <c r="AP221" s="274"/>
      <c r="AQ221" s="274"/>
      <c r="AR221" s="10"/>
      <c r="AS221" s="10"/>
      <c r="BF221" s="22"/>
      <c r="BJ221" s="10"/>
      <c r="BN221" s="22"/>
    </row>
    <row r="222" spans="1:66" x14ac:dyDescent="0.25">
      <c r="A222" s="4"/>
      <c r="B222" s="26"/>
      <c r="C222" s="26"/>
      <c r="D222" s="26"/>
      <c r="E222" s="26"/>
      <c r="F222" s="26"/>
      <c r="G222" s="26"/>
      <c r="H222" s="26"/>
      <c r="I222" s="274"/>
      <c r="J222" s="274"/>
      <c r="K222" s="26"/>
      <c r="L222" s="26"/>
      <c r="M222" s="26"/>
      <c r="N222" s="26"/>
      <c r="O222" s="274"/>
      <c r="P222" s="274"/>
      <c r="Q222" s="274"/>
      <c r="R222" s="274"/>
      <c r="S222" s="271"/>
      <c r="T222" s="597"/>
      <c r="U222" s="17"/>
      <c r="V222" s="271"/>
      <c r="W222" s="271"/>
      <c r="X222" s="271"/>
      <c r="Y222" s="271"/>
      <c r="Z222" s="271"/>
      <c r="AA222" s="271"/>
      <c r="AB222" s="271"/>
      <c r="AC222" s="26"/>
      <c r="AD222" s="26"/>
      <c r="AE222" s="26"/>
      <c r="AF222" s="26"/>
      <c r="AG222" s="26"/>
      <c r="AH222" s="26"/>
      <c r="AI222" s="274"/>
      <c r="AJ222" s="274"/>
      <c r="AK222" s="26"/>
      <c r="AL222" s="26"/>
      <c r="AM222" s="26"/>
      <c r="AN222" s="26"/>
      <c r="AO222" s="26"/>
      <c r="AP222" s="274"/>
      <c r="AQ222" s="274"/>
      <c r="AR222" s="10"/>
      <c r="AS222" s="10"/>
      <c r="BF222" s="22"/>
      <c r="BJ222" s="10"/>
      <c r="BN222" s="22"/>
    </row>
    <row r="223" spans="1:66" x14ac:dyDescent="0.25">
      <c r="A223" s="4"/>
      <c r="B223" s="26"/>
      <c r="C223" s="26"/>
      <c r="D223" s="26"/>
      <c r="E223" s="26"/>
      <c r="F223" s="26"/>
      <c r="G223" s="26"/>
      <c r="H223" s="26"/>
      <c r="I223" s="274"/>
      <c r="J223" s="274"/>
      <c r="K223" s="26"/>
      <c r="L223" s="26"/>
      <c r="M223" s="26"/>
      <c r="N223" s="26"/>
      <c r="O223" s="274"/>
      <c r="P223" s="274"/>
      <c r="Q223" s="274"/>
      <c r="R223" s="274"/>
      <c r="S223" s="271"/>
      <c r="T223" s="597"/>
      <c r="U223" s="17"/>
      <c r="V223" s="271"/>
      <c r="W223" s="271"/>
      <c r="X223" s="271"/>
      <c r="Y223" s="271"/>
      <c r="Z223" s="271"/>
      <c r="AA223" s="271"/>
      <c r="AB223" s="271"/>
      <c r="AC223" s="26"/>
      <c r="AD223" s="26"/>
      <c r="AE223" s="26"/>
      <c r="AF223" s="26"/>
      <c r="AG223" s="26"/>
      <c r="AH223" s="26"/>
      <c r="AI223" s="274"/>
      <c r="AJ223" s="274"/>
      <c r="AK223" s="26"/>
      <c r="AL223" s="26"/>
      <c r="AM223" s="26"/>
      <c r="AN223" s="26"/>
      <c r="AO223" s="26"/>
      <c r="AP223" s="274"/>
      <c r="AQ223" s="274"/>
      <c r="AR223" s="10"/>
      <c r="AS223" s="10"/>
      <c r="BF223" s="22"/>
      <c r="BJ223" s="10"/>
      <c r="BN223" s="22"/>
    </row>
    <row r="224" spans="1:66" x14ac:dyDescent="0.25">
      <c r="A224" s="4"/>
      <c r="B224" s="26"/>
      <c r="C224" s="26"/>
      <c r="D224" s="26"/>
      <c r="E224" s="26"/>
      <c r="F224" s="26"/>
      <c r="G224" s="26"/>
      <c r="H224" s="26"/>
      <c r="I224" s="274"/>
      <c r="J224" s="274"/>
      <c r="K224" s="26"/>
      <c r="L224" s="26"/>
      <c r="M224" s="26"/>
      <c r="N224" s="26"/>
      <c r="O224" s="274"/>
      <c r="P224" s="274"/>
      <c r="Q224" s="274"/>
      <c r="R224" s="274"/>
      <c r="S224" s="271"/>
      <c r="T224" s="597"/>
      <c r="U224" s="17"/>
      <c r="V224" s="271"/>
      <c r="W224" s="271"/>
      <c r="X224" s="271"/>
      <c r="Y224" s="271"/>
      <c r="Z224" s="271"/>
      <c r="AA224" s="271"/>
      <c r="AB224" s="271"/>
      <c r="AC224" s="26"/>
      <c r="AD224" s="26"/>
      <c r="AE224" s="26"/>
      <c r="AF224" s="26"/>
      <c r="AG224" s="26"/>
      <c r="AH224" s="26"/>
      <c r="AI224" s="274"/>
      <c r="AJ224" s="274"/>
      <c r="AK224" s="26"/>
      <c r="AL224" s="26"/>
      <c r="AM224" s="26"/>
      <c r="AN224" s="26"/>
      <c r="AO224" s="26"/>
      <c r="AP224" s="274"/>
      <c r="AQ224" s="274"/>
      <c r="AR224" s="10"/>
      <c r="AS224" s="10"/>
      <c r="BF224" s="22"/>
      <c r="BJ224" s="10"/>
      <c r="BN224" s="22"/>
    </row>
    <row r="225" spans="1:66" x14ac:dyDescent="0.25">
      <c r="A225" s="4"/>
      <c r="B225" s="26"/>
      <c r="C225" s="26"/>
      <c r="D225" s="26"/>
      <c r="E225" s="26"/>
      <c r="F225" s="26"/>
      <c r="G225" s="26"/>
      <c r="H225" s="26"/>
      <c r="I225" s="274"/>
      <c r="J225" s="274"/>
      <c r="K225" s="26"/>
      <c r="L225" s="26"/>
      <c r="M225" s="26"/>
      <c r="N225" s="26"/>
      <c r="O225" s="274"/>
      <c r="P225" s="274"/>
      <c r="Q225" s="274"/>
      <c r="R225" s="274"/>
      <c r="S225" s="271"/>
      <c r="T225" s="597"/>
      <c r="U225" s="17"/>
      <c r="V225" s="271"/>
      <c r="W225" s="271"/>
      <c r="X225" s="271"/>
      <c r="Y225" s="271"/>
      <c r="Z225" s="271"/>
      <c r="AA225" s="271"/>
      <c r="AB225" s="271"/>
      <c r="AC225" s="26"/>
      <c r="AD225" s="26"/>
      <c r="AE225" s="26"/>
      <c r="AF225" s="26"/>
      <c r="AG225" s="26"/>
      <c r="AH225" s="26"/>
      <c r="AI225" s="274"/>
      <c r="AJ225" s="274"/>
      <c r="AK225" s="26"/>
      <c r="AL225" s="26"/>
      <c r="AM225" s="26"/>
      <c r="AN225" s="26"/>
      <c r="AO225" s="26"/>
      <c r="AP225" s="274"/>
      <c r="AQ225" s="274"/>
      <c r="AR225" s="10"/>
      <c r="AS225" s="10"/>
      <c r="BF225" s="22"/>
      <c r="BJ225" s="10"/>
      <c r="BN225" s="22"/>
    </row>
    <row r="226" spans="1:66" x14ac:dyDescent="0.25">
      <c r="A226" s="4"/>
      <c r="B226" s="26"/>
      <c r="C226" s="26"/>
      <c r="D226" s="26"/>
      <c r="E226" s="26"/>
      <c r="F226" s="26"/>
      <c r="G226" s="26"/>
      <c r="H226" s="26"/>
      <c r="I226" s="274"/>
      <c r="J226" s="274"/>
      <c r="K226" s="26"/>
      <c r="L226" s="26"/>
      <c r="M226" s="26"/>
      <c r="N226" s="26"/>
      <c r="O226" s="274"/>
      <c r="P226" s="274"/>
      <c r="Q226" s="274"/>
      <c r="R226" s="274"/>
      <c r="S226" s="271"/>
      <c r="T226" s="597"/>
      <c r="U226" s="17"/>
      <c r="V226" s="271"/>
      <c r="W226" s="271"/>
      <c r="X226" s="271"/>
      <c r="Y226" s="271"/>
      <c r="Z226" s="271"/>
      <c r="AA226" s="271"/>
      <c r="AB226" s="271"/>
      <c r="AC226" s="26"/>
      <c r="AD226" s="26"/>
      <c r="AE226" s="26"/>
      <c r="AF226" s="26"/>
      <c r="AG226" s="26"/>
      <c r="AH226" s="26"/>
      <c r="AI226" s="274"/>
      <c r="AJ226" s="274"/>
      <c r="AK226" s="26"/>
      <c r="AL226" s="26"/>
      <c r="AM226" s="26"/>
      <c r="AN226" s="26"/>
      <c r="AO226" s="26"/>
      <c r="AP226" s="274"/>
      <c r="AQ226" s="274"/>
      <c r="AR226" s="10"/>
      <c r="AS226" s="10"/>
      <c r="BF226" s="22"/>
      <c r="BJ226" s="10"/>
      <c r="BN226" s="22"/>
    </row>
    <row r="227" spans="1:66" x14ac:dyDescent="0.25">
      <c r="A227" s="4"/>
      <c r="B227" s="26"/>
      <c r="C227" s="26"/>
      <c r="D227" s="26"/>
      <c r="E227" s="26"/>
      <c r="F227" s="26"/>
      <c r="G227" s="26"/>
      <c r="H227" s="26"/>
      <c r="I227" s="274"/>
      <c r="J227" s="274"/>
      <c r="K227" s="26"/>
      <c r="L227" s="26"/>
      <c r="M227" s="26"/>
      <c r="N227" s="26"/>
      <c r="O227" s="274"/>
      <c r="P227" s="274"/>
      <c r="Q227" s="274"/>
      <c r="R227" s="274"/>
      <c r="S227" s="271"/>
      <c r="T227" s="597"/>
      <c r="U227" s="17"/>
      <c r="V227" s="271"/>
      <c r="W227" s="271"/>
      <c r="X227" s="271"/>
      <c r="Y227" s="271"/>
      <c r="Z227" s="271"/>
      <c r="AA227" s="271"/>
      <c r="AB227" s="271"/>
      <c r="AC227" s="26"/>
      <c r="AD227" s="26"/>
      <c r="AE227" s="26"/>
      <c r="AF227" s="26"/>
      <c r="AG227" s="26"/>
      <c r="AH227" s="26"/>
      <c r="AI227" s="274"/>
      <c r="AJ227" s="274"/>
      <c r="AK227" s="26"/>
      <c r="AL227" s="26"/>
      <c r="AM227" s="26"/>
      <c r="AN227" s="26"/>
      <c r="AO227" s="26"/>
      <c r="AP227" s="274"/>
      <c r="AQ227" s="274"/>
      <c r="AR227" s="10"/>
      <c r="AS227" s="10"/>
      <c r="BF227" s="22"/>
      <c r="BJ227" s="10"/>
      <c r="BN227" s="22"/>
    </row>
    <row r="228" spans="1:66" x14ac:dyDescent="0.25">
      <c r="A228" s="4"/>
      <c r="B228" s="26"/>
      <c r="C228" s="26"/>
      <c r="D228" s="26"/>
      <c r="E228" s="26"/>
      <c r="F228" s="26"/>
      <c r="G228" s="26"/>
      <c r="H228" s="26"/>
      <c r="I228" s="274"/>
      <c r="J228" s="274"/>
      <c r="K228" s="26"/>
      <c r="L228" s="26"/>
      <c r="M228" s="26"/>
      <c r="N228" s="26"/>
      <c r="O228" s="274"/>
      <c r="P228" s="274"/>
      <c r="Q228" s="274"/>
      <c r="R228" s="274"/>
      <c r="S228" s="271"/>
      <c r="T228" s="597"/>
      <c r="U228" s="17"/>
      <c r="V228" s="271"/>
      <c r="W228" s="271"/>
      <c r="X228" s="271"/>
      <c r="Y228" s="271"/>
      <c r="Z228" s="271"/>
      <c r="AA228" s="271"/>
      <c r="AB228" s="271"/>
      <c r="AC228" s="26"/>
      <c r="AD228" s="26"/>
      <c r="AE228" s="26"/>
      <c r="AF228" s="26"/>
      <c r="AG228" s="26"/>
      <c r="AH228" s="26"/>
      <c r="AI228" s="274"/>
      <c r="AJ228" s="274"/>
      <c r="AK228" s="26"/>
      <c r="AL228" s="26"/>
      <c r="AM228" s="26"/>
      <c r="AN228" s="26"/>
      <c r="AO228" s="26"/>
      <c r="AP228" s="274"/>
      <c r="AQ228" s="274"/>
      <c r="AR228" s="10"/>
      <c r="AS228" s="10"/>
      <c r="BF228" s="22"/>
      <c r="BJ228" s="10"/>
      <c r="BN228" s="22"/>
    </row>
    <row r="229" spans="1:66" x14ac:dyDescent="0.25">
      <c r="A229" s="4"/>
      <c r="B229" s="26"/>
      <c r="C229" s="26"/>
      <c r="D229" s="26"/>
      <c r="E229" s="26"/>
      <c r="F229" s="26"/>
      <c r="G229" s="26"/>
      <c r="H229" s="26"/>
      <c r="I229" s="274"/>
      <c r="J229" s="274"/>
      <c r="K229" s="26"/>
      <c r="L229" s="26"/>
      <c r="M229" s="26"/>
      <c r="N229" s="26"/>
      <c r="O229" s="274"/>
      <c r="P229" s="274"/>
      <c r="Q229" s="274"/>
      <c r="R229" s="274"/>
      <c r="S229" s="271"/>
      <c r="T229" s="597"/>
      <c r="U229" s="17"/>
      <c r="V229" s="271"/>
      <c r="W229" s="271"/>
      <c r="X229" s="271"/>
      <c r="Y229" s="271"/>
      <c r="Z229" s="271"/>
      <c r="AA229" s="271"/>
      <c r="AB229" s="271"/>
      <c r="AC229" s="26"/>
      <c r="AD229" s="26"/>
      <c r="AE229" s="26"/>
      <c r="AF229" s="26"/>
      <c r="AG229" s="26"/>
      <c r="AH229" s="26"/>
      <c r="AI229" s="274"/>
      <c r="AJ229" s="274"/>
      <c r="AK229" s="26"/>
      <c r="AL229" s="26"/>
      <c r="AM229" s="26"/>
      <c r="AN229" s="26"/>
      <c r="AO229" s="26"/>
      <c r="AP229" s="274"/>
      <c r="AQ229" s="274"/>
      <c r="AR229" s="10"/>
      <c r="AS229" s="10"/>
      <c r="BF229" s="22"/>
      <c r="BJ229" s="10"/>
      <c r="BN229" s="22"/>
    </row>
    <row r="230" spans="1:66" x14ac:dyDescent="0.25">
      <c r="A230" s="4"/>
      <c r="B230" s="26"/>
      <c r="C230" s="26"/>
      <c r="D230" s="26"/>
      <c r="E230" s="26"/>
      <c r="F230" s="26"/>
      <c r="G230" s="26"/>
      <c r="H230" s="26"/>
      <c r="I230" s="274"/>
      <c r="J230" s="274"/>
      <c r="K230" s="26"/>
      <c r="L230" s="26"/>
      <c r="M230" s="26"/>
      <c r="N230" s="26"/>
      <c r="O230" s="274"/>
      <c r="P230" s="274"/>
      <c r="Q230" s="274"/>
      <c r="R230" s="274"/>
      <c r="S230" s="271"/>
      <c r="T230" s="597"/>
      <c r="U230" s="17"/>
      <c r="V230" s="271"/>
      <c r="W230" s="271"/>
      <c r="X230" s="271"/>
      <c r="Y230" s="271"/>
      <c r="Z230" s="271"/>
      <c r="AA230" s="271"/>
      <c r="AB230" s="271"/>
      <c r="AC230" s="26"/>
      <c r="AD230" s="26"/>
      <c r="AE230" s="26"/>
      <c r="AF230" s="26"/>
      <c r="AG230" s="26"/>
      <c r="AH230" s="26"/>
      <c r="AI230" s="274"/>
      <c r="AJ230" s="274"/>
      <c r="AK230" s="26"/>
      <c r="AL230" s="26"/>
      <c r="AM230" s="26"/>
      <c r="AN230" s="26"/>
      <c r="AO230" s="26"/>
      <c r="AP230" s="274"/>
      <c r="AQ230" s="274"/>
      <c r="AR230" s="10"/>
      <c r="AS230" s="10"/>
      <c r="BF230" s="22"/>
      <c r="BJ230" s="10"/>
      <c r="BN230" s="22"/>
    </row>
    <row r="231" spans="1:66" x14ac:dyDescent="0.25">
      <c r="A231" s="4"/>
      <c r="B231" s="26"/>
      <c r="C231" s="26"/>
      <c r="D231" s="26"/>
      <c r="E231" s="26"/>
      <c r="F231" s="26"/>
      <c r="G231" s="26"/>
      <c r="H231" s="26"/>
      <c r="I231" s="274"/>
      <c r="J231" s="274"/>
      <c r="K231" s="26"/>
      <c r="L231" s="26"/>
      <c r="M231" s="26"/>
      <c r="N231" s="26"/>
      <c r="O231" s="274"/>
      <c r="P231" s="274"/>
      <c r="Q231" s="274"/>
      <c r="R231" s="274"/>
      <c r="S231" s="271"/>
      <c r="T231" s="597"/>
      <c r="U231" s="17"/>
      <c r="V231" s="271"/>
      <c r="W231" s="271"/>
      <c r="X231" s="271"/>
      <c r="Y231" s="271"/>
      <c r="Z231" s="271"/>
      <c r="AA231" s="271"/>
      <c r="AB231" s="271"/>
      <c r="AC231" s="26"/>
      <c r="AD231" s="26"/>
      <c r="AE231" s="26"/>
      <c r="AF231" s="26"/>
      <c r="AG231" s="26"/>
      <c r="AH231" s="26"/>
      <c r="AI231" s="274"/>
      <c r="AJ231" s="274"/>
      <c r="AK231" s="26"/>
      <c r="AL231" s="26"/>
      <c r="AM231" s="26"/>
      <c r="AN231" s="26"/>
      <c r="AO231" s="26"/>
      <c r="AP231" s="274"/>
      <c r="AQ231" s="274"/>
      <c r="AR231" s="10"/>
      <c r="AS231" s="10"/>
      <c r="BF231" s="22"/>
      <c r="BJ231" s="10"/>
      <c r="BN231" s="22"/>
    </row>
    <row r="232" spans="1:66" x14ac:dyDescent="0.25">
      <c r="A232" s="4"/>
      <c r="B232" s="26"/>
      <c r="C232" s="26"/>
      <c r="D232" s="26"/>
      <c r="E232" s="26"/>
      <c r="F232" s="26"/>
      <c r="G232" s="26"/>
      <c r="H232" s="26"/>
      <c r="I232" s="274"/>
      <c r="J232" s="274"/>
      <c r="K232" s="26"/>
      <c r="L232" s="26"/>
      <c r="M232" s="26"/>
      <c r="N232" s="26"/>
      <c r="O232" s="274"/>
      <c r="P232" s="274"/>
      <c r="Q232" s="274"/>
      <c r="R232" s="274"/>
      <c r="S232" s="271"/>
      <c r="T232" s="597"/>
      <c r="U232" s="17"/>
      <c r="V232" s="271"/>
      <c r="W232" s="271"/>
      <c r="X232" s="271"/>
      <c r="Y232" s="271"/>
      <c r="Z232" s="271"/>
      <c r="AA232" s="271"/>
      <c r="AB232" s="271"/>
      <c r="AC232" s="26"/>
      <c r="AD232" s="26"/>
      <c r="AE232" s="26"/>
      <c r="AF232" s="26"/>
      <c r="AG232" s="26"/>
      <c r="AH232" s="26"/>
      <c r="AI232" s="274"/>
      <c r="AJ232" s="274"/>
      <c r="AK232" s="26"/>
      <c r="AL232" s="26"/>
      <c r="AM232" s="26"/>
      <c r="AN232" s="26"/>
      <c r="AO232" s="26"/>
      <c r="AP232" s="274"/>
      <c r="AQ232" s="274"/>
      <c r="AR232" s="10"/>
      <c r="AS232" s="10"/>
      <c r="BF232" s="22"/>
      <c r="BJ232" s="10"/>
      <c r="BN232" s="22"/>
    </row>
    <row r="233" spans="1:66" x14ac:dyDescent="0.25">
      <c r="A233" s="4"/>
      <c r="B233" s="26"/>
      <c r="C233" s="26"/>
      <c r="D233" s="26"/>
      <c r="E233" s="26"/>
      <c r="F233" s="26"/>
      <c r="G233" s="26"/>
      <c r="H233" s="26"/>
      <c r="I233" s="274"/>
      <c r="J233" s="274"/>
      <c r="K233" s="26"/>
      <c r="L233" s="26"/>
      <c r="M233" s="26"/>
      <c r="N233" s="26"/>
      <c r="O233" s="274"/>
      <c r="P233" s="274"/>
      <c r="Q233" s="274"/>
      <c r="R233" s="274"/>
      <c r="S233" s="271"/>
      <c r="T233" s="597"/>
      <c r="U233" s="17"/>
      <c r="V233" s="271"/>
      <c r="W233" s="271"/>
      <c r="X233" s="271"/>
      <c r="Y233" s="271"/>
      <c r="Z233" s="271"/>
      <c r="AA233" s="271"/>
      <c r="AB233" s="271"/>
      <c r="AC233" s="26"/>
      <c r="AD233" s="26"/>
      <c r="AE233" s="26"/>
      <c r="AF233" s="26"/>
      <c r="AG233" s="26"/>
      <c r="AH233" s="26"/>
      <c r="AI233" s="274"/>
      <c r="AJ233" s="274"/>
      <c r="AK233" s="26"/>
      <c r="AL233" s="26"/>
      <c r="AM233" s="26"/>
      <c r="AN233" s="26"/>
      <c r="AO233" s="26"/>
      <c r="AP233" s="274"/>
      <c r="AQ233" s="274"/>
      <c r="AR233" s="10"/>
      <c r="AS233" s="10"/>
      <c r="BF233" s="22"/>
      <c r="BJ233" s="10"/>
      <c r="BN233" s="22"/>
    </row>
    <row r="234" spans="1:66" x14ac:dyDescent="0.25">
      <c r="A234" s="4"/>
      <c r="B234" s="26"/>
      <c r="C234" s="26"/>
      <c r="D234" s="26"/>
      <c r="E234" s="26"/>
      <c r="F234" s="26"/>
      <c r="G234" s="26"/>
      <c r="H234" s="26"/>
      <c r="I234" s="274"/>
      <c r="J234" s="274"/>
      <c r="K234" s="26"/>
      <c r="L234" s="26"/>
      <c r="M234" s="26"/>
      <c r="N234" s="26"/>
      <c r="O234" s="274"/>
      <c r="P234" s="274"/>
      <c r="Q234" s="274"/>
      <c r="R234" s="274"/>
      <c r="S234" s="271"/>
      <c r="T234" s="597"/>
      <c r="U234" s="17"/>
      <c r="V234" s="271"/>
      <c r="W234" s="271"/>
      <c r="X234" s="271"/>
      <c r="Y234" s="271"/>
      <c r="Z234" s="271"/>
      <c r="AA234" s="271"/>
      <c r="AB234" s="271"/>
      <c r="AC234" s="26"/>
      <c r="AD234" s="26"/>
      <c r="AE234" s="26"/>
      <c r="AF234" s="26"/>
      <c r="AG234" s="26"/>
      <c r="AH234" s="26"/>
      <c r="AI234" s="274"/>
      <c r="AJ234" s="274"/>
      <c r="AK234" s="26"/>
      <c r="AL234" s="26"/>
      <c r="AM234" s="26"/>
      <c r="AN234" s="26"/>
      <c r="AO234" s="26"/>
      <c r="AP234" s="274"/>
      <c r="AQ234" s="274"/>
      <c r="AR234" s="10"/>
      <c r="AS234" s="10"/>
      <c r="BF234" s="22"/>
      <c r="BJ234" s="10"/>
      <c r="BN234" s="22"/>
    </row>
    <row r="235" spans="1:66" x14ac:dyDescent="0.25">
      <c r="A235" s="4"/>
      <c r="B235" s="26"/>
      <c r="C235" s="26"/>
      <c r="D235" s="26"/>
      <c r="E235" s="26"/>
      <c r="F235" s="26"/>
      <c r="G235" s="26"/>
      <c r="H235" s="26"/>
      <c r="I235" s="274"/>
      <c r="J235" s="274"/>
      <c r="K235" s="26"/>
      <c r="L235" s="26"/>
      <c r="M235" s="26"/>
      <c r="N235" s="26"/>
      <c r="O235" s="274"/>
      <c r="P235" s="274"/>
      <c r="Q235" s="274"/>
      <c r="R235" s="274"/>
      <c r="S235" s="271"/>
      <c r="T235" s="597"/>
      <c r="U235" s="17"/>
      <c r="V235" s="271"/>
      <c r="W235" s="271"/>
      <c r="X235" s="271"/>
      <c r="Y235" s="271"/>
      <c r="Z235" s="271"/>
      <c r="AA235" s="271"/>
      <c r="AB235" s="271"/>
      <c r="AC235" s="26"/>
      <c r="AD235" s="26"/>
      <c r="AE235" s="26"/>
      <c r="AF235" s="26"/>
      <c r="AG235" s="26"/>
      <c r="AH235" s="26"/>
      <c r="AI235" s="274"/>
      <c r="AJ235" s="274"/>
      <c r="AK235" s="26"/>
      <c r="AL235" s="26"/>
      <c r="AM235" s="26"/>
      <c r="AN235" s="26"/>
      <c r="AO235" s="26"/>
      <c r="AP235" s="274"/>
      <c r="AQ235" s="274"/>
      <c r="AR235" s="10"/>
      <c r="AS235" s="10"/>
      <c r="BF235" s="22"/>
      <c r="BJ235" s="10"/>
      <c r="BN235" s="22"/>
    </row>
    <row r="236" spans="1:66" x14ac:dyDescent="0.25">
      <c r="A236" s="4"/>
      <c r="B236" s="26"/>
      <c r="C236" s="26"/>
      <c r="D236" s="26"/>
      <c r="E236" s="26"/>
      <c r="F236" s="26"/>
      <c r="G236" s="26"/>
      <c r="H236" s="26"/>
      <c r="I236" s="274"/>
      <c r="J236" s="274"/>
      <c r="K236" s="26"/>
      <c r="L236" s="26"/>
      <c r="M236" s="26"/>
      <c r="N236" s="26"/>
      <c r="O236" s="274"/>
      <c r="P236" s="274"/>
      <c r="Q236" s="274"/>
      <c r="R236" s="274"/>
      <c r="S236" s="271"/>
      <c r="T236" s="597"/>
      <c r="U236" s="17"/>
      <c r="V236" s="271"/>
      <c r="W236" s="271"/>
      <c r="X236" s="271"/>
      <c r="Y236" s="271"/>
      <c r="Z236" s="271"/>
      <c r="AA236" s="271"/>
      <c r="AB236" s="271"/>
      <c r="AC236" s="26"/>
      <c r="AD236" s="26"/>
      <c r="AE236" s="26"/>
      <c r="AF236" s="26"/>
      <c r="AG236" s="26"/>
      <c r="AH236" s="26"/>
      <c r="AI236" s="274"/>
      <c r="AJ236" s="274"/>
      <c r="AK236" s="26"/>
      <c r="AL236" s="26"/>
      <c r="AM236" s="26"/>
      <c r="AN236" s="26"/>
      <c r="AO236" s="26"/>
      <c r="AP236" s="274"/>
      <c r="AQ236" s="274"/>
      <c r="AR236" s="10"/>
      <c r="AS236" s="10"/>
      <c r="BF236" s="22"/>
      <c r="BJ236" s="10"/>
      <c r="BN236" s="22"/>
    </row>
    <row r="237" spans="1:66" x14ac:dyDescent="0.25">
      <c r="A237" s="4"/>
      <c r="B237" s="26"/>
      <c r="C237" s="26"/>
      <c r="D237" s="26"/>
      <c r="E237" s="26"/>
      <c r="F237" s="26"/>
      <c r="G237" s="26"/>
      <c r="H237" s="26"/>
      <c r="I237" s="274"/>
      <c r="J237" s="274"/>
      <c r="K237" s="26"/>
      <c r="L237" s="26"/>
      <c r="M237" s="26"/>
      <c r="N237" s="26"/>
      <c r="O237" s="274"/>
      <c r="P237" s="274"/>
      <c r="Q237" s="274"/>
      <c r="R237" s="274"/>
      <c r="S237" s="271"/>
      <c r="T237" s="597"/>
      <c r="U237" s="17"/>
      <c r="V237" s="271"/>
      <c r="W237" s="271"/>
      <c r="X237" s="271"/>
      <c r="Y237" s="271"/>
      <c r="Z237" s="271"/>
      <c r="AA237" s="271"/>
      <c r="AB237" s="271"/>
      <c r="AC237" s="26"/>
      <c r="AD237" s="26"/>
      <c r="AE237" s="26"/>
      <c r="AF237" s="26"/>
      <c r="AG237" s="26"/>
      <c r="AH237" s="26"/>
      <c r="AI237" s="274"/>
      <c r="AJ237" s="274"/>
      <c r="AK237" s="26"/>
      <c r="AL237" s="26"/>
      <c r="AM237" s="26"/>
      <c r="AN237" s="26"/>
      <c r="AO237" s="26"/>
      <c r="AP237" s="274"/>
      <c r="AQ237" s="274"/>
      <c r="AR237" s="10"/>
      <c r="AS237" s="10"/>
      <c r="BF237" s="22"/>
      <c r="BJ237" s="10"/>
      <c r="BN237" s="22"/>
    </row>
    <row r="238" spans="1:66" x14ac:dyDescent="0.25">
      <c r="A238" s="4"/>
      <c r="B238" s="26"/>
      <c r="C238" s="26"/>
      <c r="D238" s="26"/>
      <c r="E238" s="26"/>
      <c r="F238" s="26"/>
      <c r="G238" s="26"/>
      <c r="H238" s="26"/>
      <c r="I238" s="274"/>
      <c r="J238" s="274"/>
      <c r="K238" s="26"/>
      <c r="L238" s="26"/>
      <c r="M238" s="26"/>
      <c r="N238" s="26"/>
      <c r="O238" s="274"/>
      <c r="P238" s="274"/>
      <c r="Q238" s="274"/>
      <c r="R238" s="274"/>
      <c r="S238" s="271"/>
      <c r="T238" s="597"/>
      <c r="U238" s="17"/>
      <c r="V238" s="271"/>
      <c r="W238" s="271"/>
      <c r="X238" s="271"/>
      <c r="Y238" s="271"/>
      <c r="Z238" s="271"/>
      <c r="AA238" s="271"/>
      <c r="AB238" s="271"/>
      <c r="AC238" s="26"/>
      <c r="AD238" s="26"/>
      <c r="AE238" s="26"/>
      <c r="AF238" s="26"/>
      <c r="AG238" s="26"/>
      <c r="AH238" s="26"/>
      <c r="AI238" s="274"/>
      <c r="AJ238" s="274"/>
      <c r="AK238" s="26"/>
      <c r="AL238" s="26"/>
      <c r="AM238" s="26"/>
      <c r="AN238" s="26"/>
      <c r="AO238" s="26"/>
      <c r="AP238" s="274"/>
      <c r="AQ238" s="274"/>
      <c r="AR238" s="10"/>
      <c r="AS238" s="10"/>
      <c r="BF238" s="22"/>
      <c r="BJ238" s="10"/>
      <c r="BN238" s="22"/>
    </row>
    <row r="239" spans="1:66" x14ac:dyDescent="0.25">
      <c r="A239" s="4"/>
      <c r="B239" s="26"/>
      <c r="C239" s="26"/>
      <c r="D239" s="26"/>
      <c r="E239" s="26"/>
      <c r="F239" s="26"/>
      <c r="G239" s="26"/>
      <c r="H239" s="26"/>
      <c r="I239" s="274"/>
      <c r="J239" s="274"/>
      <c r="K239" s="26"/>
      <c r="L239" s="26"/>
      <c r="M239" s="26"/>
      <c r="N239" s="26"/>
      <c r="O239" s="274"/>
      <c r="P239" s="274"/>
      <c r="Q239" s="274"/>
      <c r="R239" s="274"/>
      <c r="S239" s="271"/>
      <c r="T239" s="597"/>
      <c r="U239" s="17"/>
      <c r="V239" s="271"/>
      <c r="W239" s="271"/>
      <c r="X239" s="271"/>
      <c r="Y239" s="271"/>
      <c r="Z239" s="271"/>
      <c r="AA239" s="271"/>
      <c r="AB239" s="271"/>
      <c r="AC239" s="26"/>
      <c r="AD239" s="26"/>
      <c r="AE239" s="26"/>
      <c r="AF239" s="26"/>
      <c r="AG239" s="26"/>
      <c r="AH239" s="26"/>
      <c r="AI239" s="274"/>
      <c r="AJ239" s="274"/>
      <c r="AK239" s="26"/>
      <c r="AL239" s="26"/>
      <c r="AM239" s="26"/>
      <c r="AN239" s="26"/>
      <c r="AO239" s="26"/>
      <c r="AP239" s="274"/>
      <c r="AQ239" s="274"/>
      <c r="AR239" s="10"/>
      <c r="AS239" s="10"/>
      <c r="BF239" s="22"/>
      <c r="BJ239" s="10"/>
      <c r="BN239" s="22"/>
    </row>
    <row r="240" spans="1:66" x14ac:dyDescent="0.25">
      <c r="A240" s="4"/>
      <c r="B240" s="26"/>
      <c r="C240" s="26"/>
      <c r="D240" s="26"/>
      <c r="E240" s="26"/>
      <c r="F240" s="26"/>
      <c r="G240" s="26"/>
      <c r="H240" s="26"/>
      <c r="I240" s="274"/>
      <c r="J240" s="274"/>
      <c r="K240" s="26"/>
      <c r="L240" s="26"/>
      <c r="M240" s="26"/>
      <c r="N240" s="26"/>
      <c r="O240" s="274"/>
      <c r="P240" s="274"/>
      <c r="Q240" s="274"/>
      <c r="R240" s="274"/>
      <c r="S240" s="271"/>
      <c r="T240" s="597"/>
      <c r="U240" s="17"/>
      <c r="V240" s="271"/>
      <c r="W240" s="271"/>
      <c r="X240" s="271"/>
      <c r="Y240" s="271"/>
      <c r="Z240" s="271"/>
      <c r="AA240" s="271"/>
      <c r="AB240" s="271"/>
      <c r="AC240" s="26"/>
      <c r="AD240" s="26"/>
      <c r="AE240" s="26"/>
      <c r="AF240" s="26"/>
      <c r="AG240" s="26"/>
      <c r="AH240" s="26"/>
      <c r="AI240" s="274"/>
      <c r="AJ240" s="274"/>
      <c r="AK240" s="26"/>
      <c r="AL240" s="26"/>
      <c r="AM240" s="26"/>
      <c r="AN240" s="26"/>
      <c r="AO240" s="26"/>
      <c r="AP240" s="274"/>
      <c r="AQ240" s="274"/>
      <c r="AR240" s="10"/>
      <c r="AS240" s="10"/>
      <c r="BF240" s="22"/>
      <c r="BJ240" s="10"/>
      <c r="BN240" s="22"/>
    </row>
    <row r="241" spans="1:66" x14ac:dyDescent="0.25">
      <c r="A241" s="4"/>
      <c r="B241" s="26"/>
      <c r="C241" s="26"/>
      <c r="D241" s="26"/>
      <c r="E241" s="26"/>
      <c r="F241" s="26"/>
      <c r="G241" s="26"/>
      <c r="H241" s="26"/>
      <c r="I241" s="274"/>
      <c r="J241" s="274"/>
      <c r="K241" s="26"/>
      <c r="L241" s="26"/>
      <c r="M241" s="26"/>
      <c r="N241" s="26"/>
      <c r="O241" s="274"/>
      <c r="P241" s="274"/>
      <c r="Q241" s="274"/>
      <c r="R241" s="274"/>
      <c r="S241" s="271"/>
      <c r="T241" s="597"/>
      <c r="U241" s="17"/>
      <c r="V241" s="271"/>
      <c r="W241" s="271"/>
      <c r="X241" s="271"/>
      <c r="Y241" s="271"/>
      <c r="Z241" s="271"/>
      <c r="AA241" s="271"/>
      <c r="AB241" s="271"/>
      <c r="AC241" s="26"/>
      <c r="AD241" s="26"/>
      <c r="AE241" s="26"/>
      <c r="AF241" s="26"/>
      <c r="AG241" s="26"/>
      <c r="AH241" s="26"/>
      <c r="AI241" s="274"/>
      <c r="AJ241" s="274"/>
      <c r="AK241" s="26"/>
      <c r="AL241" s="26"/>
      <c r="AM241" s="26"/>
      <c r="AN241" s="26"/>
      <c r="AO241" s="26"/>
      <c r="AP241" s="274"/>
      <c r="AQ241" s="274"/>
      <c r="AR241" s="10"/>
      <c r="AS241" s="10"/>
      <c r="BF241" s="22"/>
      <c r="BJ241" s="10"/>
      <c r="BN241" s="22"/>
    </row>
    <row r="242" spans="1:66" x14ac:dyDescent="0.25">
      <c r="A242" s="4"/>
      <c r="B242" s="26"/>
      <c r="C242" s="26"/>
      <c r="D242" s="26"/>
      <c r="E242" s="26"/>
      <c r="F242" s="26"/>
      <c r="G242" s="26"/>
      <c r="H242" s="26"/>
      <c r="I242" s="274"/>
      <c r="J242" s="274"/>
      <c r="K242" s="26"/>
      <c r="L242" s="26"/>
      <c r="M242" s="26"/>
      <c r="N242" s="26"/>
      <c r="O242" s="274"/>
      <c r="P242" s="274"/>
      <c r="Q242" s="274"/>
      <c r="R242" s="274"/>
      <c r="S242" s="271"/>
      <c r="T242" s="597"/>
      <c r="U242" s="17"/>
      <c r="V242" s="271"/>
      <c r="W242" s="271"/>
      <c r="X242" s="271"/>
      <c r="Y242" s="271"/>
      <c r="Z242" s="271"/>
      <c r="AA242" s="271"/>
      <c r="AB242" s="271"/>
      <c r="AC242" s="26"/>
      <c r="AD242" s="26"/>
      <c r="AE242" s="26"/>
      <c r="AF242" s="26"/>
      <c r="AG242" s="26"/>
      <c r="AH242" s="26"/>
      <c r="AI242" s="274"/>
      <c r="AJ242" s="274"/>
      <c r="AK242" s="26"/>
      <c r="AL242" s="26"/>
      <c r="AM242" s="26"/>
      <c r="AN242" s="26"/>
      <c r="AO242" s="26"/>
      <c r="AP242" s="274"/>
      <c r="AQ242" s="274"/>
      <c r="AR242" s="10"/>
      <c r="AS242" s="10"/>
      <c r="BF242" s="22"/>
      <c r="BJ242" s="10"/>
      <c r="BN242" s="22"/>
    </row>
    <row r="243" spans="1:66" x14ac:dyDescent="0.25">
      <c r="A243" s="4"/>
      <c r="B243" s="26"/>
      <c r="C243" s="26"/>
      <c r="D243" s="26"/>
      <c r="E243" s="26"/>
      <c r="F243" s="26"/>
      <c r="G243" s="26"/>
      <c r="H243" s="26"/>
      <c r="I243" s="274"/>
      <c r="J243" s="274"/>
      <c r="K243" s="26"/>
      <c r="L243" s="26"/>
      <c r="M243" s="26"/>
      <c r="N243" s="26"/>
      <c r="O243" s="274"/>
      <c r="P243" s="274"/>
      <c r="Q243" s="274"/>
      <c r="R243" s="274"/>
      <c r="S243" s="271"/>
      <c r="T243" s="597"/>
      <c r="U243" s="17"/>
      <c r="V243" s="271"/>
      <c r="W243" s="271"/>
      <c r="X243" s="271"/>
      <c r="Y243" s="271"/>
      <c r="Z243" s="271"/>
      <c r="AA243" s="271"/>
      <c r="AB243" s="271"/>
      <c r="AC243" s="26"/>
      <c r="AD243" s="26"/>
      <c r="AE243" s="26"/>
      <c r="AF243" s="26"/>
      <c r="AG243" s="26"/>
      <c r="AH243" s="26"/>
      <c r="AI243" s="274"/>
      <c r="AJ243" s="274"/>
      <c r="AK243" s="26"/>
      <c r="AL243" s="26"/>
      <c r="AM243" s="26"/>
      <c r="AN243" s="26"/>
      <c r="AO243" s="26"/>
      <c r="AP243" s="274"/>
      <c r="AQ243" s="274"/>
      <c r="AR243" s="10"/>
      <c r="AS243" s="10"/>
      <c r="BF243" s="22"/>
      <c r="BJ243" s="10"/>
      <c r="BN243" s="22"/>
    </row>
    <row r="244" spans="1:66" x14ac:dyDescent="0.25">
      <c r="A244" s="4"/>
      <c r="E244" s="17"/>
      <c r="K244" s="17"/>
      <c r="N244" s="17"/>
      <c r="O244" s="271"/>
      <c r="P244" s="271"/>
      <c r="Q244" s="271"/>
      <c r="R244" s="271"/>
      <c r="S244" s="271"/>
      <c r="U244" s="17"/>
      <c r="V244" s="271"/>
      <c r="W244" s="271"/>
      <c r="X244" s="271"/>
      <c r="Y244" s="271"/>
      <c r="Z244" s="271"/>
      <c r="AA244" s="271"/>
      <c r="AB244" s="271"/>
      <c r="AK244" s="10"/>
      <c r="AN244" s="10"/>
      <c r="AO244" s="10"/>
      <c r="AP244" s="270"/>
      <c r="AQ244" s="270"/>
      <c r="AR244" s="10"/>
    </row>
    <row r="245" spans="1:66" x14ac:dyDescent="0.25">
      <c r="A245" s="4"/>
      <c r="E245" s="17"/>
      <c r="K245" s="17"/>
      <c r="N245" s="17"/>
      <c r="O245" s="271"/>
      <c r="P245" s="271"/>
      <c r="Q245" s="271"/>
      <c r="R245" s="271"/>
      <c r="S245" s="271"/>
      <c r="U245" s="17"/>
      <c r="V245" s="271"/>
      <c r="W245" s="271"/>
      <c r="X245" s="271"/>
      <c r="Y245" s="271"/>
      <c r="Z245" s="271"/>
      <c r="AA245" s="271"/>
      <c r="AB245" s="271"/>
      <c r="AK245" s="10"/>
      <c r="AN245" s="10"/>
      <c r="AO245" s="10"/>
      <c r="AP245" s="270"/>
      <c r="AQ245" s="270"/>
      <c r="AR245" s="10"/>
    </row>
    <row r="246" spans="1:66" x14ac:dyDescent="0.25">
      <c r="A246" s="4"/>
      <c r="E246" s="17"/>
      <c r="K246" s="17"/>
      <c r="N246" s="17"/>
      <c r="O246" s="271"/>
      <c r="P246" s="271"/>
      <c r="Q246" s="271"/>
      <c r="R246" s="271"/>
      <c r="AK246" s="10"/>
      <c r="AN246" s="10"/>
      <c r="AO246" s="10"/>
      <c r="AP246" s="270"/>
      <c r="AQ246" s="270"/>
      <c r="AR246" s="10"/>
    </row>
    <row r="247" spans="1:66" x14ac:dyDescent="0.25">
      <c r="A247" s="4"/>
      <c r="E247" s="17"/>
      <c r="K247" s="17"/>
      <c r="N247" s="17"/>
      <c r="O247" s="271"/>
      <c r="P247" s="271"/>
      <c r="Q247" s="271"/>
      <c r="R247" s="271"/>
      <c r="AK247" s="10"/>
      <c r="AN247" s="10"/>
      <c r="AO247" s="10"/>
      <c r="AP247" s="270"/>
      <c r="AQ247" s="270"/>
      <c r="AR247" s="10"/>
    </row>
    <row r="248" spans="1:66" x14ac:dyDescent="0.25">
      <c r="A248" s="4"/>
      <c r="E248" s="17"/>
      <c r="K248" s="17"/>
      <c r="N248" s="17"/>
      <c r="O248" s="271"/>
      <c r="P248" s="271"/>
      <c r="Q248" s="271"/>
      <c r="R248" s="271"/>
      <c r="AK248" s="10"/>
      <c r="AN248" s="10"/>
      <c r="AO248" s="10"/>
      <c r="AP248" s="270"/>
      <c r="AQ248" s="270"/>
      <c r="AR248" s="10"/>
    </row>
    <row r="249" spans="1:66" x14ac:dyDescent="0.25">
      <c r="A249" s="4"/>
      <c r="E249" s="17"/>
      <c r="K249" s="17"/>
      <c r="N249" s="17"/>
      <c r="O249" s="271"/>
      <c r="P249" s="271"/>
      <c r="Q249" s="271"/>
      <c r="R249" s="271"/>
      <c r="AK249" s="10"/>
      <c r="AN249" s="10"/>
      <c r="AO249" s="10"/>
      <c r="AP249" s="270"/>
      <c r="AQ249" s="270"/>
      <c r="AR249" s="10"/>
    </row>
    <row r="250" spans="1:66" x14ac:dyDescent="0.25">
      <c r="A250" s="4"/>
      <c r="E250" s="17"/>
      <c r="K250" s="17"/>
      <c r="N250" s="17"/>
      <c r="O250" s="271"/>
      <c r="P250" s="271"/>
      <c r="Q250" s="271"/>
      <c r="R250" s="271"/>
      <c r="AK250" s="10"/>
      <c r="AN250" s="10"/>
      <c r="AO250" s="10"/>
      <c r="AP250" s="270"/>
      <c r="AQ250" s="270"/>
      <c r="AR250" s="10"/>
    </row>
    <row r="251" spans="1:66" x14ac:dyDescent="0.25">
      <c r="A251" s="4"/>
      <c r="E251" s="17"/>
      <c r="K251" s="17"/>
      <c r="N251" s="17"/>
      <c r="O251" s="271"/>
      <c r="P251" s="271"/>
      <c r="Q251" s="271"/>
      <c r="R251" s="271"/>
      <c r="AK251" s="10"/>
      <c r="AN251" s="10"/>
      <c r="AO251" s="10"/>
      <c r="AP251" s="270"/>
      <c r="AQ251" s="270"/>
      <c r="AR251" s="10"/>
    </row>
    <row r="252" spans="1:66" x14ac:dyDescent="0.25">
      <c r="A252" s="4"/>
      <c r="E252" s="17"/>
      <c r="K252" s="17"/>
      <c r="N252" s="17"/>
      <c r="O252" s="271"/>
      <c r="P252" s="271"/>
      <c r="Q252" s="271"/>
      <c r="R252" s="271"/>
      <c r="AK252" s="10"/>
      <c r="AN252" s="10"/>
      <c r="AO252" s="10"/>
      <c r="AP252" s="270"/>
      <c r="AQ252" s="270"/>
      <c r="AR252" s="10"/>
    </row>
    <row r="253" spans="1:66" x14ac:dyDescent="0.25">
      <c r="A253" s="4"/>
      <c r="E253" s="17"/>
      <c r="K253" s="17"/>
      <c r="N253" s="17"/>
      <c r="O253" s="271"/>
      <c r="P253" s="271"/>
      <c r="Q253" s="271"/>
      <c r="R253" s="271"/>
      <c r="AK253" s="10"/>
      <c r="AN253" s="10"/>
      <c r="AO253" s="10"/>
      <c r="AP253" s="270"/>
      <c r="AQ253" s="270"/>
      <c r="AR253" s="10"/>
    </row>
    <row r="254" spans="1:66" x14ac:dyDescent="0.25">
      <c r="A254" s="4"/>
      <c r="E254" s="17"/>
      <c r="K254" s="17"/>
      <c r="N254" s="17"/>
      <c r="O254" s="271"/>
      <c r="P254" s="271"/>
      <c r="Q254" s="271"/>
      <c r="R254" s="271"/>
      <c r="AK254" s="10"/>
      <c r="AN254" s="10"/>
      <c r="AO254" s="10"/>
      <c r="AP254" s="270"/>
      <c r="AQ254" s="270"/>
      <c r="AR254" s="10"/>
    </row>
    <row r="255" spans="1:66" x14ac:dyDescent="0.25">
      <c r="A255" s="4"/>
      <c r="E255" s="17"/>
      <c r="K255" s="17"/>
      <c r="N255" s="17"/>
      <c r="O255" s="271"/>
      <c r="P255" s="271"/>
      <c r="Q255" s="271"/>
      <c r="R255" s="271"/>
      <c r="AK255" s="10"/>
      <c r="AN255" s="10"/>
      <c r="AO255" s="10"/>
      <c r="AP255" s="270"/>
      <c r="AQ255" s="270"/>
      <c r="AR255" s="10"/>
    </row>
    <row r="256" spans="1:66" x14ac:dyDescent="0.25">
      <c r="A256" s="4"/>
      <c r="E256" s="17"/>
      <c r="K256" s="17"/>
      <c r="N256" s="17"/>
      <c r="O256" s="271"/>
      <c r="P256" s="271"/>
      <c r="Q256" s="271"/>
      <c r="R256" s="271"/>
      <c r="AK256" s="10"/>
      <c r="AN256" s="10"/>
      <c r="AO256" s="10"/>
      <c r="AP256" s="270"/>
      <c r="AQ256" s="270"/>
      <c r="AR256" s="10"/>
    </row>
    <row r="257" spans="1:44" x14ac:dyDescent="0.25">
      <c r="A257" s="4"/>
      <c r="E257" s="17"/>
      <c r="K257" s="17"/>
      <c r="N257" s="17"/>
      <c r="O257" s="271"/>
      <c r="P257" s="271"/>
      <c r="Q257" s="271"/>
      <c r="R257" s="271"/>
      <c r="AK257" s="10"/>
      <c r="AN257" s="10"/>
      <c r="AO257" s="10"/>
      <c r="AP257" s="270"/>
      <c r="AQ257" s="270"/>
      <c r="AR257" s="10"/>
    </row>
    <row r="258" spans="1:44" x14ac:dyDescent="0.25">
      <c r="A258" s="4"/>
      <c r="E258" s="17"/>
      <c r="K258" s="17"/>
      <c r="N258" s="17"/>
      <c r="O258" s="271"/>
      <c r="P258" s="271"/>
      <c r="Q258" s="271"/>
      <c r="R258" s="271"/>
      <c r="AK258" s="10"/>
      <c r="AN258" s="10"/>
      <c r="AO258" s="10"/>
      <c r="AP258" s="270"/>
      <c r="AQ258" s="270"/>
      <c r="AR258" s="10"/>
    </row>
    <row r="259" spans="1:44" x14ac:dyDescent="0.25">
      <c r="A259" s="4"/>
      <c r="E259" s="17"/>
      <c r="K259" s="17"/>
      <c r="N259" s="17"/>
      <c r="O259" s="271"/>
      <c r="P259" s="271"/>
      <c r="Q259" s="271"/>
      <c r="R259" s="271"/>
      <c r="AK259" s="10"/>
      <c r="AO259" s="10"/>
      <c r="AP259" s="270"/>
      <c r="AQ259" s="270"/>
      <c r="AR259" s="10"/>
    </row>
    <row r="260" spans="1:44" x14ac:dyDescent="0.25">
      <c r="A260" s="4"/>
      <c r="E260" s="17"/>
      <c r="K260" s="17"/>
      <c r="N260" s="17"/>
      <c r="O260" s="271"/>
      <c r="P260" s="271"/>
      <c r="Q260" s="271"/>
      <c r="R260" s="271"/>
      <c r="AK260" s="10"/>
      <c r="AO260" s="10"/>
      <c r="AP260" s="270"/>
      <c r="AQ260" s="270"/>
      <c r="AR260" s="10"/>
    </row>
    <row r="261" spans="1:44" x14ac:dyDescent="0.25">
      <c r="A261" s="4"/>
      <c r="E261" s="17"/>
      <c r="K261" s="17"/>
      <c r="N261" s="17"/>
      <c r="O261" s="271"/>
      <c r="P261" s="271"/>
      <c r="Q261" s="271"/>
      <c r="R261" s="271"/>
      <c r="AK261" s="10"/>
      <c r="AO261" s="10"/>
      <c r="AP261" s="270"/>
      <c r="AQ261" s="270"/>
      <c r="AR261" s="10"/>
    </row>
    <row r="262" spans="1:44" x14ac:dyDescent="0.25">
      <c r="A262" s="4"/>
      <c r="E262" s="17"/>
      <c r="K262" s="17"/>
      <c r="N262" s="17"/>
      <c r="O262" s="271"/>
      <c r="P262" s="271"/>
      <c r="Q262" s="271"/>
      <c r="R262" s="271"/>
      <c r="AK262" s="10"/>
      <c r="AO262" s="10"/>
      <c r="AP262" s="270"/>
      <c r="AQ262" s="270"/>
      <c r="AR262" s="10"/>
    </row>
    <row r="263" spans="1:44" x14ac:dyDescent="0.25">
      <c r="A263" s="4"/>
      <c r="E263" s="17"/>
      <c r="K263" s="17"/>
      <c r="N263" s="17"/>
      <c r="O263" s="271"/>
      <c r="P263" s="271"/>
      <c r="Q263" s="271"/>
      <c r="R263" s="271"/>
      <c r="AK263" s="10"/>
      <c r="AO263" s="10"/>
      <c r="AP263" s="270"/>
      <c r="AQ263" s="270"/>
      <c r="AR263" s="10"/>
    </row>
    <row r="264" spans="1:44" x14ac:dyDescent="0.25">
      <c r="A264" s="4"/>
      <c r="E264" s="17"/>
      <c r="K264" s="17"/>
      <c r="N264" s="17"/>
      <c r="O264" s="271"/>
      <c r="P264" s="271"/>
      <c r="Q264" s="271"/>
      <c r="R264" s="271"/>
      <c r="AK264" s="10"/>
      <c r="AO264" s="10"/>
      <c r="AP264" s="270"/>
      <c r="AQ264" s="270"/>
      <c r="AR264" s="10"/>
    </row>
    <row r="265" spans="1:44" x14ac:dyDescent="0.25">
      <c r="A265" s="4"/>
      <c r="E265" s="17"/>
      <c r="K265" s="17"/>
      <c r="N265" s="17"/>
      <c r="O265" s="271"/>
      <c r="P265" s="271"/>
      <c r="Q265" s="271"/>
      <c r="R265" s="271"/>
      <c r="AK265" s="10"/>
      <c r="AO265" s="10"/>
      <c r="AP265" s="270"/>
      <c r="AQ265" s="270"/>
      <c r="AR265" s="10"/>
    </row>
    <row r="266" spans="1:44" x14ac:dyDescent="0.25">
      <c r="A266" s="4"/>
      <c r="E266" s="17"/>
      <c r="K266" s="17"/>
      <c r="N266" s="17"/>
      <c r="O266" s="271"/>
      <c r="P266" s="271"/>
      <c r="Q266" s="271"/>
      <c r="R266" s="271"/>
      <c r="AK266" s="10"/>
      <c r="AO266" s="10"/>
      <c r="AP266" s="270"/>
      <c r="AQ266" s="270"/>
      <c r="AR266" s="10"/>
    </row>
    <row r="267" spans="1:44" x14ac:dyDescent="0.25">
      <c r="A267" s="4"/>
      <c r="E267" s="17"/>
      <c r="K267" s="17"/>
      <c r="N267" s="17"/>
      <c r="O267" s="271"/>
      <c r="P267" s="271"/>
      <c r="Q267" s="271"/>
      <c r="R267" s="271"/>
      <c r="AK267" s="10"/>
      <c r="AO267" s="10"/>
      <c r="AP267" s="270"/>
      <c r="AQ267" s="270"/>
      <c r="AR267" s="10"/>
    </row>
    <row r="268" spans="1:44" x14ac:dyDescent="0.25">
      <c r="A268" s="4"/>
      <c r="E268" s="17"/>
      <c r="K268" s="17"/>
      <c r="N268" s="17"/>
      <c r="O268" s="271"/>
      <c r="P268" s="271"/>
      <c r="Q268" s="271"/>
      <c r="R268" s="271"/>
      <c r="AK268" s="10"/>
      <c r="AO268" s="10"/>
      <c r="AP268" s="270"/>
      <c r="AQ268" s="270"/>
      <c r="AR268" s="10"/>
    </row>
    <row r="269" spans="1:44" x14ac:dyDescent="0.25">
      <c r="A269" s="4"/>
      <c r="E269" s="17"/>
      <c r="K269" s="17"/>
      <c r="N269" s="17"/>
      <c r="O269" s="271"/>
      <c r="P269" s="271"/>
      <c r="Q269" s="271"/>
      <c r="R269" s="271"/>
      <c r="AK269" s="10"/>
      <c r="AO269" s="10"/>
      <c r="AP269" s="270"/>
      <c r="AQ269" s="270"/>
      <c r="AR269" s="10"/>
    </row>
    <row r="270" spans="1:44" x14ac:dyDescent="0.25">
      <c r="A270" s="4"/>
      <c r="E270" s="17"/>
      <c r="K270" s="17"/>
      <c r="N270" s="17"/>
      <c r="O270" s="271"/>
      <c r="P270" s="271"/>
      <c r="Q270" s="271"/>
      <c r="R270" s="271"/>
      <c r="AK270" s="10"/>
      <c r="AO270" s="10"/>
      <c r="AP270" s="270"/>
      <c r="AQ270" s="270"/>
      <c r="AR270" s="10"/>
    </row>
    <row r="271" spans="1:44" x14ac:dyDescent="0.25">
      <c r="A271" s="4"/>
      <c r="E271" s="17"/>
      <c r="K271" s="17"/>
      <c r="N271" s="17"/>
      <c r="O271" s="271"/>
      <c r="P271" s="271"/>
      <c r="Q271" s="271"/>
      <c r="R271" s="271"/>
      <c r="AK271" s="10"/>
      <c r="AO271" s="10"/>
      <c r="AP271" s="270"/>
      <c r="AQ271" s="270"/>
      <c r="AR271" s="10"/>
    </row>
    <row r="272" spans="1:44" x14ac:dyDescent="0.25">
      <c r="A272" s="4"/>
      <c r="E272" s="17"/>
      <c r="K272" s="17"/>
      <c r="N272" s="17"/>
      <c r="O272" s="271"/>
      <c r="P272" s="271"/>
      <c r="Q272" s="271"/>
      <c r="R272" s="271"/>
      <c r="AK272" s="10"/>
      <c r="AO272" s="10"/>
      <c r="AP272" s="270"/>
      <c r="AQ272" s="270"/>
      <c r="AR272" s="10"/>
    </row>
    <row r="273" spans="1:44" x14ac:dyDescent="0.25">
      <c r="A273" s="4"/>
      <c r="E273" s="17"/>
      <c r="K273" s="17"/>
      <c r="N273" s="17"/>
      <c r="O273" s="271"/>
      <c r="P273" s="271"/>
      <c r="Q273" s="271"/>
      <c r="R273" s="271"/>
      <c r="AK273" s="10"/>
      <c r="AO273" s="10"/>
      <c r="AP273" s="270"/>
      <c r="AQ273" s="270"/>
      <c r="AR273" s="10"/>
    </row>
    <row r="274" spans="1:44" x14ac:dyDescent="0.25">
      <c r="A274" s="4"/>
      <c r="E274" s="17"/>
      <c r="K274" s="17"/>
      <c r="N274" s="17"/>
      <c r="O274" s="271"/>
      <c r="P274" s="271"/>
      <c r="Q274" s="271"/>
      <c r="R274" s="271"/>
      <c r="AK274" s="10"/>
      <c r="AO274" s="10"/>
      <c r="AP274" s="270"/>
      <c r="AQ274" s="270"/>
      <c r="AR274" s="10"/>
    </row>
    <row r="275" spans="1:44" x14ac:dyDescent="0.25">
      <c r="A275" s="4"/>
      <c r="E275" s="17"/>
      <c r="K275" s="17"/>
      <c r="N275" s="17"/>
      <c r="O275" s="271"/>
      <c r="P275" s="271"/>
      <c r="Q275" s="271"/>
      <c r="R275" s="271"/>
      <c r="AK275" s="10"/>
      <c r="AO275" s="10"/>
      <c r="AP275" s="270"/>
      <c r="AQ275" s="270"/>
      <c r="AR275" s="10"/>
    </row>
    <row r="276" spans="1:44" x14ac:dyDescent="0.25">
      <c r="A276" s="4"/>
      <c r="E276" s="17"/>
      <c r="K276" s="17"/>
      <c r="N276" s="17"/>
      <c r="O276" s="271"/>
      <c r="P276" s="271"/>
      <c r="Q276" s="271"/>
      <c r="R276" s="271"/>
      <c r="AK276" s="10"/>
      <c r="AO276" s="10"/>
      <c r="AP276" s="270"/>
      <c r="AQ276" s="270"/>
      <c r="AR276" s="10"/>
    </row>
    <row r="277" spans="1:44" x14ac:dyDescent="0.25">
      <c r="A277" s="4"/>
      <c r="E277" s="17"/>
      <c r="K277" s="17"/>
      <c r="N277" s="17"/>
      <c r="O277" s="271"/>
      <c r="P277" s="271"/>
      <c r="Q277" s="271"/>
      <c r="R277" s="271"/>
      <c r="AK277" s="10"/>
      <c r="AO277" s="10"/>
      <c r="AP277" s="270"/>
      <c r="AQ277" s="270"/>
      <c r="AR277" s="10"/>
    </row>
    <row r="278" spans="1:44" x14ac:dyDescent="0.25">
      <c r="A278" s="4"/>
      <c r="E278" s="17"/>
      <c r="K278" s="17"/>
      <c r="N278" s="17"/>
      <c r="O278" s="271"/>
      <c r="P278" s="271"/>
      <c r="Q278" s="271"/>
      <c r="R278" s="271"/>
      <c r="AK278" s="10"/>
      <c r="AO278" s="10"/>
      <c r="AP278" s="270"/>
      <c r="AQ278" s="270"/>
      <c r="AR278" s="10"/>
    </row>
    <row r="279" spans="1:44" x14ac:dyDescent="0.25">
      <c r="A279" s="4"/>
      <c r="E279" s="17"/>
      <c r="K279" s="17"/>
      <c r="N279" s="17"/>
      <c r="O279" s="271"/>
      <c r="P279" s="271"/>
      <c r="Q279" s="271"/>
      <c r="R279" s="271"/>
      <c r="AK279" s="10"/>
      <c r="AO279" s="10"/>
      <c r="AP279" s="270"/>
      <c r="AQ279" s="270"/>
      <c r="AR279" s="10"/>
    </row>
    <row r="280" spans="1:44" x14ac:dyDescent="0.25">
      <c r="A280" s="4"/>
      <c r="E280" s="17"/>
      <c r="K280" s="17"/>
      <c r="N280" s="17"/>
      <c r="O280" s="271"/>
      <c r="P280" s="271"/>
      <c r="Q280" s="271"/>
      <c r="R280" s="271"/>
      <c r="AK280" s="10"/>
      <c r="AO280" s="10"/>
      <c r="AP280" s="270"/>
      <c r="AQ280" s="270"/>
      <c r="AR280" s="10"/>
    </row>
    <row r="281" spans="1:44" x14ac:dyDescent="0.25">
      <c r="A281" s="4"/>
      <c r="E281" s="17"/>
      <c r="K281" s="17"/>
      <c r="N281" s="17"/>
      <c r="O281" s="271"/>
      <c r="P281" s="271"/>
      <c r="Q281" s="271"/>
      <c r="R281" s="271"/>
      <c r="AK281" s="10"/>
      <c r="AO281" s="10"/>
      <c r="AP281" s="270"/>
      <c r="AQ281" s="270"/>
      <c r="AR281" s="10"/>
    </row>
    <row r="282" spans="1:44" x14ac:dyDescent="0.25">
      <c r="A282" s="4"/>
      <c r="E282" s="17"/>
      <c r="K282" s="17"/>
      <c r="N282" s="17"/>
      <c r="O282" s="271"/>
      <c r="P282" s="271"/>
      <c r="Q282" s="271"/>
      <c r="R282" s="271"/>
      <c r="AK282" s="10"/>
      <c r="AO282" s="10"/>
      <c r="AP282" s="270"/>
      <c r="AQ282" s="270"/>
      <c r="AR282" s="10"/>
    </row>
    <row r="283" spans="1:44" x14ac:dyDescent="0.25">
      <c r="A283" s="4"/>
      <c r="E283" s="17"/>
      <c r="K283" s="17"/>
      <c r="N283" s="17"/>
      <c r="O283" s="271"/>
      <c r="P283" s="271"/>
      <c r="Q283" s="271"/>
      <c r="R283" s="271"/>
      <c r="AK283" s="10"/>
      <c r="AO283" s="10"/>
      <c r="AP283" s="270"/>
      <c r="AQ283" s="270"/>
      <c r="AR283" s="10"/>
    </row>
    <row r="284" spans="1:44" x14ac:dyDescent="0.25">
      <c r="A284" s="4"/>
      <c r="E284" s="17"/>
      <c r="K284" s="17"/>
      <c r="N284" s="17"/>
      <c r="O284" s="271"/>
      <c r="P284" s="271"/>
      <c r="Q284" s="271"/>
      <c r="R284" s="271"/>
      <c r="AK284" s="10"/>
      <c r="AO284" s="10"/>
      <c r="AP284" s="270"/>
      <c r="AQ284" s="270"/>
      <c r="AR284" s="10"/>
    </row>
    <row r="285" spans="1:44" x14ac:dyDescent="0.25">
      <c r="A285" s="4"/>
      <c r="E285" s="17"/>
      <c r="K285" s="17"/>
      <c r="N285" s="17"/>
      <c r="O285" s="271"/>
      <c r="P285" s="271"/>
      <c r="Q285" s="271"/>
      <c r="R285" s="271"/>
      <c r="AK285" s="10"/>
      <c r="AO285" s="10"/>
      <c r="AP285" s="270"/>
      <c r="AQ285" s="270"/>
      <c r="AR285" s="10"/>
    </row>
    <row r="286" spans="1:44" x14ac:dyDescent="0.25">
      <c r="A286" s="4"/>
      <c r="E286" s="17"/>
      <c r="K286" s="17"/>
      <c r="N286" s="17"/>
      <c r="O286" s="271"/>
      <c r="P286" s="271"/>
      <c r="Q286" s="271"/>
      <c r="R286" s="271"/>
      <c r="AK286" s="10"/>
      <c r="AO286" s="10"/>
      <c r="AP286" s="270"/>
      <c r="AQ286" s="270"/>
      <c r="AR286" s="10"/>
    </row>
    <row r="287" spans="1:44" x14ac:dyDescent="0.25">
      <c r="A287" s="4"/>
      <c r="E287" s="17"/>
      <c r="K287" s="17"/>
      <c r="N287" s="17"/>
      <c r="O287" s="271"/>
      <c r="P287" s="271"/>
      <c r="Q287" s="271"/>
      <c r="R287" s="271"/>
      <c r="AO287" s="10"/>
      <c r="AP287" s="270"/>
      <c r="AQ287" s="270"/>
      <c r="AR287" s="10"/>
    </row>
    <row r="288" spans="1:44" x14ac:dyDescent="0.25">
      <c r="A288" s="4"/>
      <c r="E288" s="17"/>
      <c r="K288" s="17"/>
      <c r="N288" s="17"/>
      <c r="O288" s="271"/>
      <c r="P288" s="271"/>
      <c r="Q288" s="271"/>
      <c r="R288" s="271"/>
      <c r="AO288" s="10"/>
      <c r="AP288" s="270"/>
      <c r="AQ288" s="270"/>
      <c r="AR288" s="10"/>
    </row>
    <row r="289" spans="1:44" x14ac:dyDescent="0.25">
      <c r="A289" s="4"/>
      <c r="E289" s="17"/>
      <c r="K289" s="17"/>
      <c r="N289" s="17"/>
      <c r="O289" s="271"/>
      <c r="P289" s="271"/>
      <c r="Q289" s="271"/>
      <c r="R289" s="271"/>
      <c r="AO289" s="10"/>
      <c r="AP289" s="270"/>
      <c r="AQ289" s="270"/>
      <c r="AR289" s="10"/>
    </row>
    <row r="290" spans="1:44" x14ac:dyDescent="0.25">
      <c r="A290" s="4"/>
      <c r="E290" s="17"/>
      <c r="K290" s="17"/>
      <c r="N290" s="17"/>
      <c r="O290" s="271"/>
      <c r="P290" s="271"/>
      <c r="Q290" s="271"/>
      <c r="R290" s="271"/>
      <c r="AO290" s="10"/>
      <c r="AP290" s="270"/>
      <c r="AQ290" s="270"/>
      <c r="AR290" s="10"/>
    </row>
    <row r="291" spans="1:44" x14ac:dyDescent="0.25">
      <c r="A291" s="4"/>
      <c r="E291" s="17"/>
      <c r="K291" s="17"/>
      <c r="N291" s="17"/>
      <c r="O291" s="271"/>
      <c r="P291" s="271"/>
      <c r="Q291" s="271"/>
      <c r="R291" s="271"/>
      <c r="AO291" s="10"/>
      <c r="AP291" s="270"/>
      <c r="AQ291" s="270"/>
      <c r="AR291" s="10"/>
    </row>
    <row r="292" spans="1:44" x14ac:dyDescent="0.25">
      <c r="A292" s="4"/>
      <c r="E292" s="17"/>
      <c r="K292" s="17"/>
      <c r="N292" s="17"/>
      <c r="O292" s="271"/>
      <c r="P292" s="271"/>
      <c r="Q292" s="271"/>
      <c r="R292" s="271"/>
      <c r="AO292" s="10"/>
      <c r="AP292" s="270"/>
      <c r="AQ292" s="270"/>
      <c r="AR292" s="10"/>
    </row>
    <row r="293" spans="1:44" x14ac:dyDescent="0.25">
      <c r="A293" s="4"/>
      <c r="E293" s="17"/>
      <c r="K293" s="17"/>
      <c r="N293" s="17"/>
      <c r="O293" s="271"/>
      <c r="P293" s="271"/>
      <c r="Q293" s="271"/>
      <c r="R293" s="271"/>
      <c r="AO293" s="10"/>
      <c r="AP293" s="270"/>
      <c r="AQ293" s="270"/>
      <c r="AR293" s="10"/>
    </row>
    <row r="294" spans="1:44" x14ac:dyDescent="0.25">
      <c r="A294" s="4"/>
      <c r="E294" s="17"/>
      <c r="K294" s="17"/>
      <c r="N294" s="17"/>
      <c r="O294" s="271"/>
      <c r="P294" s="271"/>
      <c r="Q294" s="271"/>
      <c r="R294" s="271"/>
      <c r="AO294" s="10"/>
      <c r="AP294" s="270"/>
      <c r="AQ294" s="270"/>
      <c r="AR294" s="10"/>
    </row>
    <row r="295" spans="1:44" x14ac:dyDescent="0.25">
      <c r="A295" s="4"/>
      <c r="E295" s="17"/>
      <c r="K295" s="17"/>
      <c r="N295" s="17"/>
      <c r="O295" s="271"/>
      <c r="P295" s="271"/>
      <c r="Q295" s="271"/>
      <c r="R295" s="271"/>
      <c r="AO295" s="10"/>
      <c r="AP295" s="270"/>
      <c r="AQ295" s="270"/>
      <c r="AR295" s="10"/>
    </row>
    <row r="296" spans="1:44" x14ac:dyDescent="0.25">
      <c r="A296" s="4"/>
      <c r="E296" s="17"/>
      <c r="K296" s="17"/>
      <c r="N296" s="17"/>
      <c r="O296" s="271"/>
      <c r="P296" s="271"/>
      <c r="Q296" s="271"/>
      <c r="R296" s="271"/>
      <c r="AO296" s="10"/>
      <c r="AP296" s="270"/>
      <c r="AQ296" s="270"/>
      <c r="AR296" s="10"/>
    </row>
    <row r="297" spans="1:44" x14ac:dyDescent="0.25">
      <c r="A297" s="4"/>
      <c r="E297" s="17"/>
      <c r="K297" s="17"/>
      <c r="N297" s="17"/>
      <c r="O297" s="271"/>
      <c r="P297" s="271"/>
      <c r="Q297" s="271"/>
      <c r="R297" s="271"/>
      <c r="AO297" s="10"/>
      <c r="AP297" s="270"/>
      <c r="AQ297" s="270"/>
      <c r="AR297" s="10"/>
    </row>
    <row r="298" spans="1:44" x14ac:dyDescent="0.25">
      <c r="A298" s="4"/>
      <c r="E298" s="17"/>
      <c r="K298" s="17"/>
      <c r="N298" s="17"/>
      <c r="O298" s="271"/>
      <c r="P298" s="271"/>
      <c r="Q298" s="271"/>
      <c r="R298" s="271"/>
      <c r="AO298" s="10"/>
      <c r="AP298" s="270"/>
      <c r="AQ298" s="270"/>
      <c r="AR298" s="10"/>
    </row>
    <row r="299" spans="1:44" x14ac:dyDescent="0.25">
      <c r="A299" s="4"/>
      <c r="E299" s="17"/>
      <c r="K299" s="17"/>
      <c r="N299" s="17"/>
      <c r="O299" s="271"/>
      <c r="P299" s="271"/>
      <c r="Q299" s="271"/>
      <c r="R299" s="271"/>
      <c r="AO299" s="10"/>
      <c r="AP299" s="270"/>
      <c r="AQ299" s="270"/>
      <c r="AR299" s="10"/>
    </row>
    <row r="300" spans="1:44" x14ac:dyDescent="0.25">
      <c r="A300" s="4"/>
      <c r="E300" s="17"/>
      <c r="K300" s="17"/>
      <c r="N300" s="17"/>
      <c r="O300" s="271"/>
      <c r="P300" s="271"/>
      <c r="Q300" s="271"/>
      <c r="R300" s="271"/>
      <c r="AO300" s="10"/>
      <c r="AP300" s="270"/>
      <c r="AQ300" s="270"/>
      <c r="AR300" s="10"/>
    </row>
    <row r="301" spans="1:44" x14ac:dyDescent="0.25">
      <c r="A301" s="4"/>
      <c r="E301" s="17"/>
      <c r="K301" s="17"/>
      <c r="N301" s="17"/>
      <c r="O301" s="271"/>
      <c r="P301" s="271"/>
      <c r="Q301" s="271"/>
      <c r="R301" s="271"/>
      <c r="AO301" s="10"/>
      <c r="AP301" s="270"/>
      <c r="AQ301" s="270"/>
      <c r="AR301" s="10"/>
    </row>
    <row r="302" spans="1:44" x14ac:dyDescent="0.25">
      <c r="A302" s="4"/>
      <c r="E302" s="17"/>
      <c r="K302" s="17"/>
      <c r="N302" s="17"/>
      <c r="O302" s="271"/>
      <c r="P302" s="271"/>
      <c r="Q302" s="271"/>
      <c r="R302" s="271"/>
      <c r="AO302" s="10"/>
      <c r="AP302" s="270"/>
      <c r="AQ302" s="270"/>
      <c r="AR302" s="10"/>
    </row>
    <row r="303" spans="1:44" x14ac:dyDescent="0.25">
      <c r="A303" s="4"/>
      <c r="E303" s="17"/>
      <c r="K303" s="17"/>
      <c r="N303" s="17"/>
      <c r="O303" s="271"/>
      <c r="P303" s="271"/>
      <c r="Q303" s="271"/>
      <c r="R303" s="271"/>
      <c r="AO303" s="10"/>
      <c r="AP303" s="270"/>
      <c r="AQ303" s="270"/>
      <c r="AR303" s="10"/>
    </row>
    <row r="304" spans="1:44" x14ac:dyDescent="0.25">
      <c r="A304" s="4"/>
      <c r="E304" s="17"/>
      <c r="K304" s="17"/>
      <c r="N304" s="17"/>
      <c r="O304" s="271"/>
      <c r="P304" s="271"/>
      <c r="Q304" s="271"/>
      <c r="R304" s="271"/>
      <c r="AO304" s="10"/>
      <c r="AP304" s="270"/>
      <c r="AQ304" s="270"/>
      <c r="AR304" s="10"/>
    </row>
    <row r="305" spans="1:44" x14ac:dyDescent="0.25">
      <c r="A305" s="4"/>
      <c r="E305" s="17"/>
      <c r="K305" s="17"/>
      <c r="N305" s="17"/>
      <c r="O305" s="271"/>
      <c r="P305" s="271"/>
      <c r="Q305" s="271"/>
      <c r="R305" s="271"/>
      <c r="AO305" s="10"/>
      <c r="AP305" s="270"/>
      <c r="AQ305" s="270"/>
      <c r="AR305" s="10"/>
    </row>
    <row r="306" spans="1:44" x14ac:dyDescent="0.25">
      <c r="A306" s="4"/>
      <c r="E306" s="17"/>
      <c r="K306" s="17"/>
      <c r="N306" s="17"/>
      <c r="O306" s="271"/>
      <c r="P306" s="271"/>
      <c r="Q306" s="271"/>
      <c r="R306" s="271"/>
      <c r="AO306" s="10"/>
      <c r="AP306" s="270"/>
      <c r="AQ306" s="270"/>
      <c r="AR306" s="10"/>
    </row>
    <row r="307" spans="1:44" x14ac:dyDescent="0.25">
      <c r="A307" s="4"/>
      <c r="E307" s="17"/>
      <c r="K307" s="17"/>
      <c r="N307" s="17"/>
      <c r="O307" s="271"/>
      <c r="P307" s="271"/>
      <c r="Q307" s="271"/>
      <c r="R307" s="271"/>
      <c r="AO307" s="10"/>
      <c r="AP307" s="270"/>
      <c r="AQ307" s="270"/>
      <c r="AR307" s="10"/>
    </row>
    <row r="308" spans="1:44" x14ac:dyDescent="0.25">
      <c r="A308" s="4"/>
      <c r="E308" s="17"/>
      <c r="K308" s="17"/>
      <c r="N308" s="17"/>
      <c r="O308" s="271"/>
      <c r="P308" s="271"/>
      <c r="Q308" s="271"/>
      <c r="R308" s="271"/>
      <c r="AO308" s="10"/>
      <c r="AP308" s="270"/>
      <c r="AQ308" s="270"/>
      <c r="AR308" s="10"/>
    </row>
    <row r="309" spans="1:44" x14ac:dyDescent="0.25">
      <c r="A309" s="4"/>
      <c r="E309" s="17"/>
      <c r="K309" s="17"/>
      <c r="N309" s="17"/>
      <c r="O309" s="271"/>
      <c r="P309" s="271"/>
      <c r="Q309" s="271"/>
      <c r="R309" s="271"/>
      <c r="AO309" s="10"/>
      <c r="AP309" s="270"/>
      <c r="AQ309" s="270"/>
      <c r="AR309" s="10"/>
    </row>
    <row r="310" spans="1:44" x14ac:dyDescent="0.25">
      <c r="A310" s="4"/>
      <c r="E310" s="17"/>
      <c r="K310" s="17"/>
      <c r="N310" s="17"/>
      <c r="O310" s="271"/>
      <c r="P310" s="271"/>
      <c r="Q310" s="271"/>
      <c r="R310" s="271"/>
      <c r="AO310" s="10"/>
      <c r="AP310" s="270"/>
      <c r="AQ310" s="270"/>
      <c r="AR310" s="10"/>
    </row>
    <row r="311" spans="1:44" x14ac:dyDescent="0.25">
      <c r="A311" s="4"/>
      <c r="E311" s="17"/>
      <c r="K311" s="17"/>
      <c r="N311" s="17"/>
      <c r="O311" s="271"/>
      <c r="P311" s="271"/>
      <c r="Q311" s="271"/>
      <c r="R311" s="271"/>
      <c r="AO311" s="10"/>
      <c r="AP311" s="270"/>
      <c r="AQ311" s="270"/>
      <c r="AR311" s="10"/>
    </row>
    <row r="312" spans="1:44" x14ac:dyDescent="0.25">
      <c r="A312" s="4"/>
      <c r="E312" s="17"/>
      <c r="K312" s="17"/>
      <c r="N312" s="17"/>
      <c r="O312" s="271"/>
      <c r="P312" s="271"/>
      <c r="Q312" s="271"/>
      <c r="R312" s="271"/>
      <c r="AO312" s="10"/>
      <c r="AP312" s="270"/>
      <c r="AQ312" s="270"/>
      <c r="AR312" s="10"/>
    </row>
    <row r="313" spans="1:44" x14ac:dyDescent="0.25">
      <c r="A313" s="4"/>
      <c r="E313" s="17"/>
      <c r="K313" s="17"/>
      <c r="N313" s="17"/>
      <c r="O313" s="271"/>
      <c r="P313" s="271"/>
      <c r="Q313" s="271"/>
      <c r="R313" s="271"/>
      <c r="AO313" s="10"/>
      <c r="AP313" s="270"/>
      <c r="AQ313" s="270"/>
      <c r="AR313" s="10"/>
    </row>
    <row r="314" spans="1:44" x14ac:dyDescent="0.25">
      <c r="A314" s="4"/>
      <c r="E314" s="17"/>
      <c r="K314" s="17"/>
      <c r="N314" s="17"/>
      <c r="O314" s="271"/>
      <c r="P314" s="271"/>
      <c r="Q314" s="271"/>
      <c r="R314" s="271"/>
      <c r="AO314" s="10"/>
      <c r="AP314" s="270"/>
      <c r="AQ314" s="270"/>
      <c r="AR314" s="10"/>
    </row>
    <row r="315" spans="1:44" x14ac:dyDescent="0.25">
      <c r="A315" s="4"/>
      <c r="E315" s="17"/>
      <c r="K315" s="17"/>
      <c r="N315" s="17"/>
      <c r="O315" s="271"/>
      <c r="P315" s="271"/>
      <c r="Q315" s="271"/>
      <c r="R315" s="271"/>
      <c r="AO315" s="10"/>
      <c r="AP315" s="270"/>
      <c r="AQ315" s="270"/>
      <c r="AR315" s="10"/>
    </row>
    <row r="316" spans="1:44" x14ac:dyDescent="0.25">
      <c r="A316" s="4"/>
      <c r="E316" s="17"/>
      <c r="K316" s="17"/>
      <c r="N316" s="17"/>
      <c r="O316" s="271"/>
      <c r="P316" s="271"/>
      <c r="Q316" s="271"/>
      <c r="R316" s="271"/>
      <c r="AO316" s="10"/>
      <c r="AP316" s="270"/>
      <c r="AQ316" s="270"/>
      <c r="AR316" s="10"/>
    </row>
    <row r="317" spans="1:44" x14ac:dyDescent="0.25">
      <c r="A317" s="4"/>
      <c r="E317" s="17"/>
      <c r="K317" s="17"/>
      <c r="N317" s="17"/>
      <c r="O317" s="271"/>
      <c r="P317" s="271"/>
      <c r="Q317" s="271"/>
      <c r="R317" s="271"/>
      <c r="AO317" s="10"/>
      <c r="AP317" s="270"/>
      <c r="AQ317" s="270"/>
      <c r="AR317" s="10"/>
    </row>
    <row r="318" spans="1:44" x14ac:dyDescent="0.25">
      <c r="A318" s="4"/>
      <c r="E318" s="17"/>
      <c r="K318" s="17"/>
      <c r="N318" s="17"/>
      <c r="O318" s="271"/>
      <c r="P318" s="271"/>
      <c r="Q318" s="271"/>
      <c r="R318" s="271"/>
      <c r="AO318" s="10"/>
      <c r="AP318" s="270"/>
      <c r="AQ318" s="270"/>
      <c r="AR318" s="10"/>
    </row>
    <row r="319" spans="1:44" x14ac:dyDescent="0.25">
      <c r="A319" s="4"/>
      <c r="E319" s="17"/>
      <c r="K319" s="17"/>
      <c r="N319" s="17"/>
      <c r="O319" s="271"/>
      <c r="P319" s="271"/>
      <c r="Q319" s="271"/>
      <c r="R319" s="271"/>
      <c r="AO319" s="10"/>
      <c r="AP319" s="270"/>
      <c r="AQ319" s="270"/>
      <c r="AR319" s="10"/>
    </row>
    <row r="320" spans="1:44" x14ac:dyDescent="0.25">
      <c r="A320" s="4"/>
      <c r="E320" s="17"/>
      <c r="K320" s="17"/>
      <c r="N320" s="17"/>
      <c r="O320" s="271"/>
      <c r="P320" s="271"/>
      <c r="Q320" s="271"/>
      <c r="R320" s="271"/>
      <c r="AO320" s="10"/>
      <c r="AP320" s="270"/>
      <c r="AQ320" s="270"/>
      <c r="AR320" s="10"/>
    </row>
    <row r="321" spans="1:44" x14ac:dyDescent="0.25">
      <c r="A321" s="4"/>
      <c r="E321" s="17"/>
      <c r="K321" s="17"/>
      <c r="N321" s="17"/>
      <c r="O321" s="271"/>
      <c r="P321" s="271"/>
      <c r="Q321" s="271"/>
      <c r="R321" s="271"/>
      <c r="AO321" s="10"/>
      <c r="AP321" s="270"/>
      <c r="AQ321" s="270"/>
      <c r="AR321" s="10"/>
    </row>
    <row r="322" spans="1:44" x14ac:dyDescent="0.25">
      <c r="E322" s="17"/>
      <c r="K322" s="17"/>
      <c r="N322" s="17"/>
      <c r="O322" s="271"/>
      <c r="P322" s="271"/>
      <c r="Q322" s="271"/>
      <c r="R322" s="271"/>
      <c r="AO322" s="10"/>
      <c r="AP322" s="270"/>
      <c r="AQ322" s="270"/>
      <c r="AR322" s="10"/>
    </row>
    <row r="323" spans="1:44" x14ac:dyDescent="0.25">
      <c r="E323" s="17"/>
      <c r="K323" s="17"/>
      <c r="N323" s="17"/>
      <c r="O323" s="271"/>
      <c r="P323" s="271"/>
      <c r="Q323" s="271"/>
      <c r="R323" s="271"/>
      <c r="AO323" s="10"/>
      <c r="AP323" s="270"/>
      <c r="AQ323" s="270"/>
      <c r="AR323" s="10"/>
    </row>
    <row r="324" spans="1:44" x14ac:dyDescent="0.25">
      <c r="E324" s="17"/>
      <c r="K324" s="17"/>
      <c r="N324" s="17"/>
      <c r="O324" s="271"/>
      <c r="P324" s="271"/>
      <c r="Q324" s="271"/>
      <c r="R324" s="271"/>
      <c r="AO324" s="10"/>
      <c r="AP324" s="270"/>
      <c r="AQ324" s="270"/>
      <c r="AR324" s="10"/>
    </row>
    <row r="325" spans="1:44" x14ac:dyDescent="0.25">
      <c r="E325" s="17"/>
      <c r="K325" s="17"/>
      <c r="N325" s="17"/>
      <c r="O325" s="271"/>
      <c r="P325" s="271"/>
      <c r="Q325" s="271"/>
      <c r="R325" s="271"/>
      <c r="AO325" s="10"/>
      <c r="AP325" s="270"/>
      <c r="AQ325" s="270"/>
      <c r="AR325" s="10"/>
    </row>
    <row r="326" spans="1:44" x14ac:dyDescent="0.25">
      <c r="E326" s="17"/>
      <c r="K326" s="17"/>
      <c r="N326" s="17"/>
      <c r="O326" s="271"/>
      <c r="P326" s="271"/>
      <c r="Q326" s="271"/>
      <c r="R326" s="271"/>
      <c r="AO326" s="10"/>
      <c r="AP326" s="270"/>
      <c r="AQ326" s="270"/>
      <c r="AR326" s="10"/>
    </row>
    <row r="327" spans="1:44" x14ac:dyDescent="0.25">
      <c r="E327" s="17"/>
      <c r="K327" s="17"/>
      <c r="N327" s="17"/>
      <c r="O327" s="271"/>
      <c r="P327" s="271"/>
      <c r="Q327" s="271"/>
      <c r="R327" s="271"/>
      <c r="AO327" s="10"/>
      <c r="AP327" s="270"/>
      <c r="AQ327" s="270"/>
      <c r="AR327" s="10"/>
    </row>
    <row r="328" spans="1:44" x14ac:dyDescent="0.25">
      <c r="E328" s="17"/>
      <c r="K328" s="17"/>
      <c r="N328" s="17"/>
      <c r="O328" s="271"/>
      <c r="P328" s="271"/>
      <c r="Q328" s="271"/>
      <c r="R328" s="271"/>
      <c r="AO328" s="10"/>
      <c r="AP328" s="270"/>
      <c r="AQ328" s="270"/>
      <c r="AR328" s="10"/>
    </row>
    <row r="329" spans="1:44" x14ac:dyDescent="0.25">
      <c r="E329" s="17"/>
      <c r="K329" s="17"/>
      <c r="N329" s="17"/>
      <c r="O329" s="271"/>
      <c r="P329" s="271"/>
      <c r="Q329" s="271"/>
      <c r="R329" s="271"/>
      <c r="AO329" s="10"/>
      <c r="AP329" s="270"/>
      <c r="AQ329" s="270"/>
      <c r="AR329" s="10"/>
    </row>
    <row r="330" spans="1:44" x14ac:dyDescent="0.25">
      <c r="E330" s="17"/>
      <c r="K330" s="17"/>
      <c r="N330" s="17"/>
      <c r="O330" s="271"/>
      <c r="P330" s="271"/>
      <c r="Q330" s="271"/>
      <c r="R330" s="271"/>
      <c r="AO330" s="10"/>
      <c r="AP330" s="270"/>
      <c r="AQ330" s="270"/>
      <c r="AR330" s="10"/>
    </row>
    <row r="331" spans="1:44" x14ac:dyDescent="0.25">
      <c r="E331" s="17"/>
      <c r="K331" s="17"/>
      <c r="N331" s="17"/>
      <c r="O331" s="271"/>
      <c r="P331" s="271"/>
      <c r="Q331" s="271"/>
      <c r="R331" s="271"/>
      <c r="AO331" s="10"/>
      <c r="AP331" s="270"/>
      <c r="AQ331" s="270"/>
      <c r="AR331" s="10"/>
    </row>
    <row r="332" spans="1:44" x14ac:dyDescent="0.25">
      <c r="E332" s="17"/>
      <c r="K332" s="17"/>
      <c r="N332" s="17"/>
      <c r="O332" s="271"/>
      <c r="P332" s="271"/>
      <c r="Q332" s="271"/>
      <c r="R332" s="271"/>
      <c r="AO332" s="10"/>
      <c r="AP332" s="270"/>
      <c r="AQ332" s="270"/>
      <c r="AR332" s="10"/>
    </row>
    <row r="333" spans="1:44" x14ac:dyDescent="0.25">
      <c r="AO333" s="10"/>
      <c r="AP333" s="270"/>
      <c r="AQ333" s="270"/>
      <c r="AR333" s="10"/>
    </row>
    <row r="334" spans="1:44" x14ac:dyDescent="0.25">
      <c r="AO334" s="10"/>
      <c r="AP334" s="270"/>
      <c r="AQ334" s="270"/>
      <c r="AR334" s="10"/>
    </row>
    <row r="335" spans="1:44" x14ac:dyDescent="0.25">
      <c r="AO335" s="10"/>
      <c r="AP335" s="270"/>
      <c r="AQ335" s="270"/>
      <c r="AR335" s="10"/>
    </row>
    <row r="336" spans="1:44" x14ac:dyDescent="0.25">
      <c r="AO336" s="10"/>
      <c r="AP336" s="270"/>
      <c r="AQ336" s="270"/>
      <c r="AR336" s="10"/>
    </row>
    <row r="337" spans="41:44" x14ac:dyDescent="0.25">
      <c r="AO337" s="10"/>
      <c r="AP337" s="270"/>
      <c r="AQ337" s="270"/>
      <c r="AR337" s="10"/>
    </row>
    <row r="338" spans="41:44" x14ac:dyDescent="0.25">
      <c r="AO338" s="10"/>
      <c r="AP338" s="270"/>
      <c r="AQ338" s="270"/>
      <c r="AR338" s="10"/>
    </row>
    <row r="339" spans="41:44" x14ac:dyDescent="0.25">
      <c r="AO339" s="10"/>
      <c r="AP339" s="270"/>
      <c r="AQ339" s="270"/>
      <c r="AR339" s="10"/>
    </row>
    <row r="340" spans="41:44" x14ac:dyDescent="0.25">
      <c r="AO340" s="10"/>
      <c r="AP340" s="270"/>
      <c r="AQ340" s="270"/>
      <c r="AR340" s="10"/>
    </row>
    <row r="341" spans="41:44" x14ac:dyDescent="0.25">
      <c r="AO341" s="10"/>
      <c r="AP341" s="270"/>
      <c r="AQ341" s="270"/>
      <c r="AR341" s="10"/>
    </row>
    <row r="342" spans="41:44" x14ac:dyDescent="0.25">
      <c r="AO342" s="10"/>
      <c r="AP342" s="270"/>
      <c r="AQ342" s="270"/>
      <c r="AR342" s="10"/>
    </row>
    <row r="343" spans="41:44" x14ac:dyDescent="0.25">
      <c r="AO343" s="10"/>
      <c r="AP343" s="270"/>
      <c r="AQ343" s="270"/>
      <c r="AR343" s="10"/>
    </row>
    <row r="344" spans="41:44" x14ac:dyDescent="0.25">
      <c r="AO344" s="10"/>
      <c r="AP344" s="270"/>
      <c r="AQ344" s="270"/>
      <c r="AR344" s="10"/>
    </row>
    <row r="345" spans="41:44" x14ac:dyDescent="0.25">
      <c r="AO345" s="10"/>
      <c r="AP345" s="270"/>
      <c r="AQ345" s="270"/>
      <c r="AR345" s="10"/>
    </row>
    <row r="346" spans="41:44" x14ac:dyDescent="0.25">
      <c r="AO346" s="10"/>
      <c r="AP346" s="270"/>
      <c r="AQ346" s="270"/>
      <c r="AR346" s="10"/>
    </row>
    <row r="347" spans="41:44" x14ac:dyDescent="0.25">
      <c r="AO347" s="10"/>
      <c r="AP347" s="270"/>
      <c r="AQ347" s="270"/>
      <c r="AR347" s="10"/>
    </row>
    <row r="348" spans="41:44" x14ac:dyDescent="0.25">
      <c r="AO348" s="10"/>
      <c r="AP348" s="270"/>
      <c r="AQ348" s="270"/>
      <c r="AR348" s="10"/>
    </row>
    <row r="349" spans="41:44" x14ac:dyDescent="0.25">
      <c r="AO349" s="10"/>
      <c r="AP349" s="270"/>
      <c r="AQ349" s="270"/>
      <c r="AR349" s="10"/>
    </row>
    <row r="350" spans="41:44" x14ac:dyDescent="0.25">
      <c r="AO350" s="10"/>
      <c r="AP350" s="270"/>
      <c r="AQ350" s="270"/>
      <c r="AR350" s="10"/>
    </row>
    <row r="351" spans="41:44" x14ac:dyDescent="0.25">
      <c r="AO351" s="10"/>
      <c r="AP351" s="270"/>
      <c r="AQ351" s="270"/>
      <c r="AR351" s="10"/>
    </row>
    <row r="352" spans="41:44" x14ac:dyDescent="0.25">
      <c r="AO352" s="10"/>
      <c r="AP352" s="270"/>
      <c r="AQ352" s="270"/>
      <c r="AR352" s="10"/>
    </row>
    <row r="353" spans="41:44" x14ac:dyDescent="0.25">
      <c r="AO353" s="10"/>
      <c r="AP353" s="270"/>
      <c r="AQ353" s="270"/>
      <c r="AR353" s="10"/>
    </row>
    <row r="354" spans="41:44" x14ac:dyDescent="0.25">
      <c r="AO354" s="10"/>
      <c r="AP354" s="270"/>
      <c r="AQ354" s="270"/>
      <c r="AR354" s="10"/>
    </row>
    <row r="355" spans="41:44" x14ac:dyDescent="0.25">
      <c r="AO355" s="10"/>
      <c r="AP355" s="270"/>
      <c r="AQ355" s="270"/>
      <c r="AR355" s="10"/>
    </row>
    <row r="356" spans="41:44" x14ac:dyDescent="0.25">
      <c r="AO356" s="10"/>
      <c r="AP356" s="270"/>
      <c r="AQ356" s="270"/>
      <c r="AR356" s="10"/>
    </row>
    <row r="357" spans="41:44" x14ac:dyDescent="0.25">
      <c r="AO357" s="10"/>
      <c r="AP357" s="270"/>
      <c r="AQ357" s="270"/>
      <c r="AR357" s="10"/>
    </row>
    <row r="358" spans="41:44" x14ac:dyDescent="0.25">
      <c r="AO358" s="10"/>
      <c r="AP358" s="270"/>
      <c r="AQ358" s="270"/>
      <c r="AR358" s="10"/>
    </row>
    <row r="359" spans="41:44" x14ac:dyDescent="0.25">
      <c r="AO359" s="10"/>
      <c r="AP359" s="270"/>
      <c r="AQ359" s="270"/>
      <c r="AR359" s="10"/>
    </row>
    <row r="360" spans="41:44" x14ac:dyDescent="0.25">
      <c r="AO360" s="10"/>
      <c r="AP360" s="270"/>
      <c r="AQ360" s="270"/>
      <c r="AR360" s="10"/>
    </row>
    <row r="361" spans="41:44" x14ac:dyDescent="0.25">
      <c r="AO361" s="10"/>
      <c r="AP361" s="270"/>
      <c r="AQ361" s="270"/>
      <c r="AR361" s="10"/>
    </row>
    <row r="362" spans="41:44" x14ac:dyDescent="0.25">
      <c r="AO362" s="10"/>
      <c r="AP362" s="270"/>
      <c r="AQ362" s="270"/>
      <c r="AR362" s="10"/>
    </row>
    <row r="363" spans="41:44" x14ac:dyDescent="0.25">
      <c r="AO363" s="10"/>
      <c r="AP363" s="270"/>
      <c r="AQ363" s="270"/>
      <c r="AR363" s="10"/>
    </row>
    <row r="364" spans="41:44" x14ac:dyDescent="0.25">
      <c r="AO364" s="10"/>
      <c r="AP364" s="270"/>
      <c r="AQ364" s="270"/>
      <c r="AR364" s="10"/>
    </row>
    <row r="365" spans="41:44" x14ac:dyDescent="0.25">
      <c r="AO365" s="10"/>
      <c r="AP365" s="270"/>
      <c r="AQ365" s="270"/>
      <c r="AR365" s="10"/>
    </row>
    <row r="366" spans="41:44" x14ac:dyDescent="0.25">
      <c r="AO366" s="10"/>
      <c r="AP366" s="270"/>
      <c r="AQ366" s="270"/>
      <c r="AR366" s="10"/>
    </row>
    <row r="367" spans="41:44" x14ac:dyDescent="0.25">
      <c r="AO367" s="10"/>
      <c r="AP367" s="270"/>
      <c r="AQ367" s="270"/>
      <c r="AR367" s="10"/>
    </row>
    <row r="368" spans="41:44" x14ac:dyDescent="0.25">
      <c r="AO368" s="10"/>
      <c r="AP368" s="270"/>
      <c r="AQ368" s="270"/>
      <c r="AR368" s="10"/>
    </row>
    <row r="369" spans="39:44" x14ac:dyDescent="0.25">
      <c r="AO369" s="10"/>
      <c r="AP369" s="270"/>
      <c r="AQ369" s="270"/>
      <c r="AR369" s="10"/>
    </row>
    <row r="370" spans="39:44" x14ac:dyDescent="0.25">
      <c r="AO370" s="10"/>
      <c r="AP370" s="270"/>
      <c r="AQ370" s="270"/>
      <c r="AR370" s="10"/>
    </row>
    <row r="371" spans="39:44" x14ac:dyDescent="0.25">
      <c r="AO371" s="10"/>
      <c r="AP371" s="270"/>
      <c r="AQ371" s="270"/>
      <c r="AR371" s="10"/>
    </row>
    <row r="372" spans="39:44" x14ac:dyDescent="0.25">
      <c r="AO372" s="10"/>
      <c r="AP372" s="270"/>
      <c r="AQ372" s="270"/>
      <c r="AR372" s="10"/>
    </row>
    <row r="373" spans="39:44" x14ac:dyDescent="0.25">
      <c r="AO373" s="10"/>
      <c r="AP373" s="270"/>
      <c r="AQ373" s="270"/>
      <c r="AR373" s="10"/>
    </row>
    <row r="374" spans="39:44" x14ac:dyDescent="0.25">
      <c r="AO374" s="10"/>
      <c r="AP374" s="270"/>
      <c r="AQ374" s="270"/>
      <c r="AR374" s="10"/>
    </row>
    <row r="375" spans="39:44" x14ac:dyDescent="0.25">
      <c r="AO375" s="10"/>
      <c r="AP375" s="270"/>
      <c r="AQ375" s="270"/>
      <c r="AR375" s="10"/>
    </row>
    <row r="376" spans="39:44" x14ac:dyDescent="0.25">
      <c r="AO376" s="10"/>
      <c r="AP376" s="270"/>
      <c r="AQ376" s="270"/>
      <c r="AR376" s="10"/>
    </row>
    <row r="377" spans="39:44" x14ac:dyDescent="0.25">
      <c r="AO377" s="10"/>
      <c r="AP377" s="270"/>
      <c r="AQ377" s="270"/>
      <c r="AR377" s="10"/>
    </row>
    <row r="378" spans="39:44" x14ac:dyDescent="0.25">
      <c r="AO378" s="10"/>
      <c r="AP378" s="270"/>
      <c r="AQ378" s="270"/>
      <c r="AR378" s="10"/>
    </row>
    <row r="379" spans="39:44" x14ac:dyDescent="0.25">
      <c r="AO379" s="10"/>
      <c r="AP379" s="270"/>
      <c r="AQ379" s="270"/>
      <c r="AR379" s="10"/>
    </row>
    <row r="380" spans="39:44" x14ac:dyDescent="0.25">
      <c r="AO380" s="10"/>
      <c r="AP380" s="270"/>
      <c r="AQ380" s="270"/>
      <c r="AR380" s="10"/>
    </row>
    <row r="381" spans="39:44" x14ac:dyDescent="0.25">
      <c r="AO381" s="10"/>
      <c r="AP381" s="270"/>
      <c r="AQ381" s="270"/>
      <c r="AR381" s="10"/>
    </row>
    <row r="382" spans="39:44" x14ac:dyDescent="0.25">
      <c r="AM382" s="10"/>
      <c r="AN382" s="10"/>
      <c r="AO382" s="10"/>
      <c r="AP382" s="270"/>
      <c r="AQ382" s="270"/>
      <c r="AR382" s="10"/>
    </row>
    <row r="383" spans="39:44" x14ac:dyDescent="0.25">
      <c r="AM383" s="10"/>
      <c r="AN383" s="10"/>
      <c r="AO383" s="10"/>
      <c r="AP383" s="270"/>
      <c r="AQ383" s="270"/>
      <c r="AR383" s="10"/>
    </row>
    <row r="384" spans="39:44" x14ac:dyDescent="0.25">
      <c r="AM384" s="10"/>
      <c r="AN384" s="10"/>
      <c r="AO384" s="10"/>
      <c r="AP384" s="270"/>
      <c r="AQ384" s="270"/>
      <c r="AR384" s="10"/>
    </row>
    <row r="385" spans="39:44" x14ac:dyDescent="0.25">
      <c r="AM385" s="10"/>
      <c r="AN385" s="10"/>
      <c r="AO385" s="10"/>
      <c r="AP385" s="270"/>
      <c r="AQ385" s="270"/>
      <c r="AR385" s="10"/>
    </row>
    <row r="386" spans="39:44" x14ac:dyDescent="0.25">
      <c r="AM386" s="10"/>
      <c r="AN386" s="10"/>
      <c r="AO386" s="10"/>
      <c r="AP386" s="270"/>
      <c r="AQ386" s="270"/>
      <c r="AR386" s="10"/>
    </row>
    <row r="387" spans="39:44" x14ac:dyDescent="0.25">
      <c r="AM387" s="10"/>
      <c r="AN387" s="10"/>
      <c r="AO387" s="10"/>
      <c r="AP387" s="270"/>
      <c r="AQ387" s="270"/>
      <c r="AR387" s="10"/>
    </row>
    <row r="388" spans="39:44" x14ac:dyDescent="0.25">
      <c r="AM388" s="10"/>
      <c r="AN388" s="10"/>
      <c r="AO388" s="10"/>
      <c r="AP388" s="270"/>
      <c r="AQ388" s="270"/>
      <c r="AR388" s="10"/>
    </row>
    <row r="389" spans="39:44" x14ac:dyDescent="0.25">
      <c r="AM389" s="10"/>
      <c r="AN389" s="10"/>
      <c r="AO389" s="10"/>
      <c r="AP389" s="270"/>
      <c r="AQ389" s="270"/>
      <c r="AR389" s="10"/>
    </row>
    <row r="390" spans="39:44" x14ac:dyDescent="0.25">
      <c r="AM390" s="10"/>
      <c r="AN390" s="10"/>
      <c r="AO390" s="10"/>
      <c r="AP390" s="270"/>
      <c r="AQ390" s="270"/>
      <c r="AR390" s="10"/>
    </row>
    <row r="391" spans="39:44" x14ac:dyDescent="0.25">
      <c r="AM391" s="10"/>
      <c r="AN391" s="10"/>
      <c r="AO391" s="10"/>
      <c r="AP391" s="270"/>
      <c r="AQ391" s="270"/>
      <c r="AR391" s="10"/>
    </row>
    <row r="392" spans="39:44" x14ac:dyDescent="0.25">
      <c r="AM392" s="10"/>
      <c r="AN392" s="10"/>
      <c r="AO392" s="10"/>
      <c r="AP392" s="270"/>
      <c r="AQ392" s="270"/>
      <c r="AR392" s="10"/>
    </row>
    <row r="393" spans="39:44" x14ac:dyDescent="0.25">
      <c r="AM393" s="10"/>
      <c r="AN393" s="10"/>
      <c r="AO393" s="10"/>
      <c r="AP393" s="270"/>
      <c r="AQ393" s="270"/>
      <c r="AR393" s="10"/>
    </row>
    <row r="394" spans="39:44" x14ac:dyDescent="0.25">
      <c r="AM394" s="10"/>
      <c r="AN394" s="10"/>
      <c r="AO394" s="10"/>
      <c r="AP394" s="270"/>
      <c r="AQ394" s="270"/>
      <c r="AR394" s="10"/>
    </row>
    <row r="395" spans="39:44" x14ac:dyDescent="0.25">
      <c r="AM395" s="10"/>
      <c r="AN395" s="10"/>
      <c r="AO395" s="10"/>
      <c r="AP395" s="270"/>
      <c r="AQ395" s="270"/>
      <c r="AR395" s="10"/>
    </row>
    <row r="396" spans="39:44" x14ac:dyDescent="0.25">
      <c r="AM396" s="10"/>
      <c r="AN396" s="10"/>
      <c r="AO396" s="10"/>
      <c r="AP396" s="270"/>
      <c r="AQ396" s="270"/>
      <c r="AR396" s="10"/>
    </row>
    <row r="397" spans="39:44" x14ac:dyDescent="0.25">
      <c r="AM397" s="10"/>
      <c r="AN397" s="10"/>
      <c r="AO397" s="10"/>
      <c r="AP397" s="270"/>
      <c r="AQ397" s="270"/>
      <c r="AR397" s="10"/>
    </row>
    <row r="398" spans="39:44" x14ac:dyDescent="0.25">
      <c r="AM398" s="10"/>
      <c r="AN398" s="10"/>
      <c r="AO398" s="10"/>
      <c r="AP398" s="270"/>
      <c r="AQ398" s="270"/>
      <c r="AR398" s="10"/>
    </row>
    <row r="399" spans="39:44" x14ac:dyDescent="0.25">
      <c r="AM399" s="10"/>
      <c r="AN399" s="10"/>
      <c r="AO399" s="10"/>
      <c r="AP399" s="270"/>
      <c r="AQ399" s="270"/>
      <c r="AR399" s="10"/>
    </row>
    <row r="400" spans="39:44" x14ac:dyDescent="0.25">
      <c r="AM400" s="10"/>
      <c r="AN400" s="10"/>
      <c r="AO400" s="10"/>
      <c r="AP400" s="270"/>
      <c r="AQ400" s="270"/>
      <c r="AR400" s="10"/>
    </row>
    <row r="401" spans="5:44" x14ac:dyDescent="0.25">
      <c r="E401" s="17"/>
      <c r="K401" s="17"/>
      <c r="N401" s="17"/>
      <c r="O401" s="271"/>
      <c r="P401" s="271"/>
      <c r="Q401" s="271"/>
      <c r="R401" s="271"/>
      <c r="S401" s="271"/>
      <c r="U401" s="17"/>
      <c r="V401" s="271"/>
      <c r="W401" s="271"/>
      <c r="X401" s="271"/>
      <c r="Y401" s="271"/>
      <c r="Z401" s="271"/>
      <c r="AA401" s="271"/>
      <c r="AB401" s="271"/>
      <c r="AM401" s="10"/>
      <c r="AN401" s="10"/>
      <c r="AO401" s="10"/>
      <c r="AP401" s="270"/>
      <c r="AQ401" s="270"/>
      <c r="AR401" s="10"/>
    </row>
    <row r="402" spans="5:44" x14ac:dyDescent="0.25">
      <c r="E402" s="17"/>
      <c r="K402" s="17"/>
      <c r="N402" s="17"/>
      <c r="O402" s="271"/>
      <c r="P402" s="271"/>
      <c r="Q402" s="271"/>
      <c r="R402" s="271"/>
      <c r="S402" s="271"/>
      <c r="U402" s="17"/>
      <c r="V402" s="271"/>
      <c r="W402" s="271"/>
      <c r="X402" s="271"/>
      <c r="Y402" s="271"/>
      <c r="Z402" s="271"/>
      <c r="AA402" s="271"/>
      <c r="AB402" s="271"/>
      <c r="AM402" s="10"/>
      <c r="AN402" s="10"/>
      <c r="AO402" s="10"/>
      <c r="AP402" s="270"/>
      <c r="AQ402" s="270"/>
      <c r="AR402" s="10"/>
    </row>
    <row r="403" spans="5:44" x14ac:dyDescent="0.25">
      <c r="E403" s="17"/>
      <c r="K403" s="17"/>
      <c r="N403" s="17"/>
      <c r="O403" s="271"/>
      <c r="P403" s="271"/>
      <c r="Q403" s="271"/>
      <c r="R403" s="271"/>
      <c r="S403" s="271"/>
      <c r="U403" s="17"/>
      <c r="V403" s="271"/>
      <c r="W403" s="271"/>
      <c r="X403" s="271"/>
      <c r="Y403" s="271"/>
      <c r="Z403" s="271"/>
      <c r="AA403" s="271"/>
      <c r="AB403" s="271"/>
      <c r="AM403" s="10"/>
      <c r="AN403" s="10"/>
      <c r="AO403" s="10"/>
      <c r="AP403" s="270"/>
      <c r="AQ403" s="270"/>
      <c r="AR403" s="10"/>
    </row>
    <row r="404" spans="5:44" x14ac:dyDescent="0.25">
      <c r="E404" s="17"/>
      <c r="K404" s="17"/>
      <c r="N404" s="17"/>
      <c r="O404" s="271"/>
      <c r="P404" s="271"/>
      <c r="Q404" s="271"/>
      <c r="R404" s="271"/>
      <c r="S404" s="271"/>
      <c r="U404" s="17"/>
      <c r="V404" s="271"/>
      <c r="W404" s="271"/>
      <c r="X404" s="271"/>
      <c r="Y404" s="271"/>
      <c r="Z404" s="271"/>
      <c r="AA404" s="271"/>
      <c r="AB404" s="271"/>
      <c r="AM404" s="10"/>
      <c r="AN404" s="10"/>
      <c r="AO404" s="10"/>
      <c r="AP404" s="270"/>
      <c r="AQ404" s="270"/>
      <c r="AR404" s="10"/>
    </row>
    <row r="405" spans="5:44" x14ac:dyDescent="0.25">
      <c r="E405" s="17"/>
      <c r="K405" s="17"/>
      <c r="N405" s="17"/>
      <c r="O405" s="271"/>
      <c r="P405" s="271"/>
      <c r="Q405" s="271"/>
      <c r="R405" s="271"/>
      <c r="S405" s="271"/>
      <c r="U405" s="17"/>
      <c r="V405" s="271"/>
      <c r="W405" s="271"/>
      <c r="X405" s="271"/>
      <c r="Y405" s="271"/>
      <c r="Z405" s="271"/>
      <c r="AA405" s="271"/>
      <c r="AB405" s="271"/>
      <c r="AM405" s="10"/>
      <c r="AN405" s="10"/>
      <c r="AO405" s="10"/>
      <c r="AP405" s="270"/>
      <c r="AQ405" s="270"/>
      <c r="AR405" s="10"/>
    </row>
    <row r="406" spans="5:44" x14ac:dyDescent="0.25">
      <c r="E406" s="17"/>
      <c r="K406" s="17"/>
      <c r="N406" s="17"/>
      <c r="O406" s="271"/>
      <c r="P406" s="271"/>
      <c r="Q406" s="271"/>
      <c r="R406" s="271"/>
      <c r="S406" s="271"/>
      <c r="U406" s="17"/>
      <c r="V406" s="271"/>
      <c r="W406" s="271"/>
      <c r="X406" s="271"/>
      <c r="Y406" s="271"/>
      <c r="Z406" s="271"/>
      <c r="AA406" s="271"/>
      <c r="AB406" s="271"/>
      <c r="AM406" s="10"/>
      <c r="AN406" s="10"/>
      <c r="AO406" s="10"/>
      <c r="AP406" s="270"/>
      <c r="AQ406" s="270"/>
      <c r="AR406" s="10"/>
    </row>
    <row r="407" spans="5:44" x14ac:dyDescent="0.25">
      <c r="E407" s="17"/>
      <c r="K407" s="17"/>
      <c r="N407" s="17"/>
      <c r="O407" s="271"/>
      <c r="P407" s="271"/>
      <c r="Q407" s="271"/>
      <c r="R407" s="271"/>
      <c r="S407" s="271"/>
      <c r="U407" s="17"/>
      <c r="V407" s="271"/>
      <c r="W407" s="271"/>
      <c r="X407" s="271"/>
      <c r="Y407" s="271"/>
      <c r="Z407" s="271"/>
      <c r="AA407" s="271"/>
      <c r="AB407" s="271"/>
      <c r="AM407" s="10"/>
      <c r="AN407" s="10"/>
      <c r="AO407" s="10"/>
      <c r="AP407" s="270"/>
      <c r="AQ407" s="270"/>
      <c r="AR407" s="10"/>
    </row>
    <row r="408" spans="5:44" x14ac:dyDescent="0.25">
      <c r="AM408" s="10"/>
      <c r="AN408" s="10"/>
      <c r="AO408" s="10"/>
      <c r="AP408" s="270"/>
      <c r="AQ408" s="270"/>
      <c r="AR408" s="10"/>
    </row>
    <row r="409" spans="5:44" x14ac:dyDescent="0.25">
      <c r="AM409" s="10"/>
      <c r="AN409" s="10"/>
      <c r="AO409" s="10"/>
      <c r="AP409" s="270"/>
      <c r="AQ409" s="270"/>
      <c r="AR409" s="10"/>
    </row>
    <row r="410" spans="5:44" x14ac:dyDescent="0.25">
      <c r="AM410" s="10"/>
      <c r="AN410" s="10"/>
      <c r="AO410" s="10"/>
      <c r="AP410" s="270"/>
      <c r="AQ410" s="270"/>
      <c r="AR410" s="10"/>
    </row>
    <row r="411" spans="5:44" x14ac:dyDescent="0.25">
      <c r="AM411" s="10"/>
      <c r="AN411" s="10"/>
      <c r="AO411" s="10"/>
      <c r="AP411" s="270"/>
      <c r="AQ411" s="270"/>
      <c r="AR411" s="10"/>
    </row>
    <row r="412" spans="5:44" x14ac:dyDescent="0.25">
      <c r="AM412" s="10"/>
      <c r="AN412" s="10"/>
      <c r="AO412" s="10"/>
      <c r="AP412" s="270"/>
      <c r="AQ412" s="270"/>
      <c r="AR412" s="10"/>
    </row>
    <row r="413" spans="5:44" x14ac:dyDescent="0.25">
      <c r="AM413" s="10"/>
      <c r="AN413" s="10"/>
      <c r="AO413" s="10"/>
      <c r="AP413" s="270"/>
      <c r="AQ413" s="270"/>
      <c r="AR413" s="10"/>
    </row>
    <row r="414" spans="5:44" x14ac:dyDescent="0.25">
      <c r="AM414" s="10"/>
      <c r="AN414" s="10"/>
      <c r="AO414" s="10"/>
      <c r="AP414" s="270"/>
      <c r="AQ414" s="270"/>
      <c r="AR414" s="10"/>
    </row>
    <row r="415" spans="5:44" x14ac:dyDescent="0.25">
      <c r="AM415" s="10"/>
      <c r="AN415" s="10"/>
      <c r="AO415" s="10"/>
      <c r="AP415" s="270"/>
      <c r="AQ415" s="270"/>
      <c r="AR415" s="10"/>
    </row>
    <row r="416" spans="5:44" x14ac:dyDescent="0.25">
      <c r="AM416" s="10"/>
      <c r="AN416" s="10"/>
      <c r="AO416" s="10"/>
      <c r="AP416" s="270"/>
      <c r="AQ416" s="270"/>
      <c r="AR416" s="10"/>
    </row>
    <row r="417" spans="39:44" x14ac:dyDescent="0.25">
      <c r="AM417" s="10"/>
      <c r="AN417" s="10"/>
      <c r="AO417" s="10"/>
      <c r="AP417" s="270"/>
      <c r="AQ417" s="270"/>
      <c r="AR417" s="10"/>
    </row>
    <row r="418" spans="39:44" x14ac:dyDescent="0.25">
      <c r="AM418" s="10"/>
      <c r="AN418" s="10"/>
      <c r="AO418" s="10"/>
      <c r="AP418" s="270"/>
      <c r="AQ418" s="270"/>
      <c r="AR418" s="10"/>
    </row>
    <row r="419" spans="39:44" x14ac:dyDescent="0.25">
      <c r="AM419" s="10"/>
      <c r="AN419" s="10"/>
      <c r="AO419" s="10"/>
      <c r="AP419" s="270"/>
      <c r="AQ419" s="270"/>
      <c r="AR419" s="10"/>
    </row>
    <row r="420" spans="39:44" x14ac:dyDescent="0.25">
      <c r="AM420" s="10"/>
      <c r="AN420" s="10"/>
      <c r="AO420" s="10"/>
      <c r="AP420" s="270"/>
      <c r="AQ420" s="270"/>
      <c r="AR420" s="10"/>
    </row>
    <row r="421" spans="39:44" x14ac:dyDescent="0.25">
      <c r="AM421" s="10"/>
      <c r="AN421" s="10"/>
      <c r="AO421" s="10"/>
      <c r="AP421" s="270"/>
      <c r="AQ421" s="270"/>
      <c r="AR421" s="10"/>
    </row>
    <row r="422" spans="39:44" x14ac:dyDescent="0.25">
      <c r="AM422" s="10"/>
      <c r="AN422" s="10"/>
      <c r="AO422" s="10"/>
      <c r="AP422" s="270"/>
      <c r="AQ422" s="270"/>
      <c r="AR422" s="10"/>
    </row>
    <row r="423" spans="39:44" x14ac:dyDescent="0.25">
      <c r="AM423" s="10"/>
      <c r="AN423" s="10"/>
      <c r="AO423" s="10"/>
      <c r="AP423" s="270"/>
      <c r="AQ423" s="270"/>
      <c r="AR423" s="10"/>
    </row>
    <row r="424" spans="39:44" x14ac:dyDescent="0.25">
      <c r="AM424" s="10"/>
      <c r="AN424" s="10"/>
      <c r="AO424" s="10"/>
      <c r="AP424" s="270"/>
      <c r="AQ424" s="270"/>
      <c r="AR424" s="10"/>
    </row>
    <row r="425" spans="39:44" x14ac:dyDescent="0.25">
      <c r="AM425" s="10"/>
      <c r="AN425" s="10"/>
      <c r="AO425" s="10"/>
      <c r="AP425" s="270"/>
      <c r="AQ425" s="270"/>
      <c r="AR425" s="10"/>
    </row>
    <row r="426" spans="39:44" x14ac:dyDescent="0.25">
      <c r="AM426" s="10"/>
      <c r="AN426" s="10"/>
      <c r="AO426" s="10"/>
      <c r="AP426" s="270"/>
      <c r="AQ426" s="270"/>
      <c r="AR426" s="10"/>
    </row>
    <row r="427" spans="39:44" x14ac:dyDescent="0.25">
      <c r="AM427" s="10"/>
      <c r="AN427" s="10"/>
      <c r="AO427" s="10"/>
      <c r="AP427" s="270"/>
      <c r="AQ427" s="270"/>
      <c r="AR427" s="10"/>
    </row>
    <row r="428" spans="39:44" x14ac:dyDescent="0.25">
      <c r="AM428" s="10"/>
      <c r="AN428" s="10"/>
      <c r="AO428" s="10"/>
      <c r="AP428" s="270"/>
      <c r="AQ428" s="270"/>
      <c r="AR428" s="10"/>
    </row>
    <row r="429" spans="39:44" x14ac:dyDescent="0.25">
      <c r="AM429" s="10"/>
      <c r="AN429" s="10"/>
      <c r="AO429" s="10"/>
      <c r="AP429" s="270"/>
      <c r="AQ429" s="270"/>
      <c r="AR429" s="10"/>
    </row>
    <row r="430" spans="39:44" x14ac:dyDescent="0.25">
      <c r="AM430" s="10"/>
      <c r="AN430" s="10"/>
      <c r="AO430" s="10"/>
      <c r="AP430" s="270"/>
      <c r="AQ430" s="270"/>
      <c r="AR430" s="10"/>
    </row>
    <row r="431" spans="39:44" x14ac:dyDescent="0.25">
      <c r="AM431" s="10"/>
      <c r="AN431" s="10"/>
      <c r="AO431" s="10"/>
      <c r="AP431" s="270"/>
      <c r="AQ431" s="270"/>
      <c r="AR431" s="10"/>
    </row>
    <row r="432" spans="39:44" x14ac:dyDescent="0.25">
      <c r="AM432" s="10"/>
      <c r="AN432" s="10"/>
      <c r="AO432" s="10"/>
      <c r="AP432" s="270"/>
      <c r="AQ432" s="270"/>
      <c r="AR432" s="10"/>
    </row>
    <row r="433" spans="39:44" x14ac:dyDescent="0.25">
      <c r="AM433" s="10"/>
      <c r="AN433" s="10"/>
      <c r="AO433" s="10"/>
      <c r="AP433" s="270"/>
      <c r="AQ433" s="270"/>
      <c r="AR433" s="10"/>
    </row>
    <row r="434" spans="39:44" x14ac:dyDescent="0.25">
      <c r="AM434" s="10"/>
      <c r="AN434" s="10"/>
      <c r="AO434" s="10"/>
      <c r="AP434" s="270"/>
      <c r="AQ434" s="270"/>
      <c r="AR434" s="10"/>
    </row>
    <row r="435" spans="39:44" x14ac:dyDescent="0.25">
      <c r="AM435" s="10"/>
      <c r="AN435" s="10"/>
      <c r="AO435" s="10"/>
      <c r="AP435" s="270"/>
      <c r="AQ435" s="270"/>
      <c r="AR435" s="10"/>
    </row>
    <row r="436" spans="39:44" x14ac:dyDescent="0.25">
      <c r="AM436" s="10"/>
      <c r="AN436" s="10"/>
      <c r="AO436" s="10"/>
      <c r="AP436" s="270"/>
      <c r="AQ436" s="270"/>
      <c r="AR436" s="10"/>
    </row>
    <row r="437" spans="39:44" x14ac:dyDescent="0.25">
      <c r="AM437" s="10"/>
      <c r="AN437" s="10"/>
      <c r="AO437" s="10"/>
      <c r="AP437" s="270"/>
      <c r="AQ437" s="270"/>
      <c r="AR437" s="10"/>
    </row>
    <row r="438" spans="39:44" x14ac:dyDescent="0.25">
      <c r="AM438" s="10"/>
      <c r="AN438" s="10"/>
      <c r="AO438" s="10"/>
      <c r="AP438" s="270"/>
      <c r="AQ438" s="270"/>
      <c r="AR438" s="10"/>
    </row>
    <row r="439" spans="39:44" x14ac:dyDescent="0.25">
      <c r="AM439" s="10"/>
      <c r="AN439" s="10"/>
      <c r="AO439" s="10"/>
      <c r="AP439" s="270"/>
      <c r="AQ439" s="270"/>
      <c r="AR439" s="10"/>
    </row>
    <row r="440" spans="39:44" x14ac:dyDescent="0.25">
      <c r="AM440" s="10"/>
      <c r="AN440" s="10"/>
      <c r="AO440" s="10"/>
      <c r="AP440" s="270"/>
      <c r="AQ440" s="270"/>
      <c r="AR440" s="10"/>
    </row>
    <row r="441" spans="39:44" x14ac:dyDescent="0.25">
      <c r="AM441" s="10"/>
      <c r="AN441" s="10"/>
      <c r="AO441" s="10"/>
      <c r="AP441" s="270"/>
      <c r="AQ441" s="270"/>
      <c r="AR441" s="10"/>
    </row>
    <row r="442" spans="39:44" x14ac:dyDescent="0.25">
      <c r="AM442" s="10"/>
      <c r="AN442" s="10"/>
      <c r="AO442" s="10"/>
      <c r="AP442" s="270"/>
      <c r="AQ442" s="270"/>
      <c r="AR442" s="10"/>
    </row>
    <row r="443" spans="39:44" x14ac:dyDescent="0.25">
      <c r="AM443" s="10"/>
      <c r="AN443" s="10"/>
      <c r="AO443" s="10"/>
      <c r="AP443" s="270"/>
      <c r="AQ443" s="270"/>
      <c r="AR443" s="10"/>
    </row>
    <row r="444" spans="39:44" x14ac:dyDescent="0.25">
      <c r="AM444" s="10"/>
      <c r="AN444" s="10"/>
      <c r="AO444" s="10"/>
      <c r="AP444" s="270"/>
      <c r="AQ444" s="270"/>
      <c r="AR444" s="10"/>
    </row>
    <row r="445" spans="39:44" x14ac:dyDescent="0.25">
      <c r="AM445" s="10"/>
      <c r="AN445" s="10"/>
      <c r="AO445" s="10"/>
      <c r="AP445" s="270"/>
      <c r="AQ445" s="270"/>
      <c r="AR445" s="10"/>
    </row>
    <row r="446" spans="39:44" x14ac:dyDescent="0.25">
      <c r="AM446" s="10"/>
      <c r="AN446" s="10"/>
      <c r="AO446" s="10"/>
      <c r="AP446" s="270"/>
      <c r="AQ446" s="270"/>
      <c r="AR446" s="10"/>
    </row>
    <row r="447" spans="39:44" x14ac:dyDescent="0.25">
      <c r="AM447" s="10"/>
      <c r="AN447" s="10"/>
      <c r="AO447" s="10"/>
      <c r="AP447" s="270"/>
      <c r="AQ447" s="270"/>
      <c r="AR447" s="10"/>
    </row>
    <row r="448" spans="39:44" x14ac:dyDescent="0.25">
      <c r="AM448" s="10"/>
      <c r="AN448" s="10"/>
      <c r="AO448" s="10"/>
      <c r="AP448" s="270"/>
      <c r="AQ448" s="270"/>
      <c r="AR448" s="10"/>
    </row>
    <row r="449" spans="39:44" x14ac:dyDescent="0.25">
      <c r="AM449" s="10"/>
      <c r="AN449" s="10"/>
      <c r="AO449" s="10"/>
      <c r="AP449" s="270"/>
      <c r="AQ449" s="270"/>
      <c r="AR449" s="10"/>
    </row>
    <row r="450" spans="39:44" x14ac:dyDescent="0.25">
      <c r="AM450" s="10"/>
      <c r="AN450" s="10"/>
      <c r="AO450" s="10"/>
      <c r="AP450" s="270"/>
      <c r="AQ450" s="270"/>
      <c r="AR450" s="10"/>
    </row>
    <row r="451" spans="39:44" x14ac:dyDescent="0.25">
      <c r="AM451" s="10"/>
      <c r="AN451" s="10"/>
      <c r="AO451" s="10"/>
      <c r="AP451" s="270"/>
      <c r="AQ451" s="270"/>
      <c r="AR451" s="10"/>
    </row>
    <row r="452" spans="39:44" x14ac:dyDescent="0.25">
      <c r="AM452" s="10"/>
      <c r="AN452" s="10"/>
      <c r="AO452" s="10"/>
      <c r="AP452" s="270"/>
      <c r="AQ452" s="270"/>
      <c r="AR452" s="10"/>
    </row>
    <row r="453" spans="39:44" x14ac:dyDescent="0.25">
      <c r="AM453" s="10"/>
      <c r="AN453" s="10"/>
      <c r="AO453" s="10"/>
      <c r="AP453" s="270"/>
      <c r="AQ453" s="270"/>
      <c r="AR453" s="10"/>
    </row>
    <row r="454" spans="39:44" x14ac:dyDescent="0.25">
      <c r="AM454" s="10"/>
      <c r="AN454" s="10"/>
      <c r="AO454" s="10"/>
      <c r="AP454" s="270"/>
      <c r="AQ454" s="270"/>
      <c r="AR454" s="10"/>
    </row>
    <row r="455" spans="39:44" x14ac:dyDescent="0.25">
      <c r="AM455" s="10"/>
      <c r="AN455" s="10"/>
      <c r="AO455" s="10"/>
      <c r="AP455" s="270"/>
      <c r="AQ455" s="270"/>
      <c r="AR455" s="10"/>
    </row>
    <row r="456" spans="39:44" x14ac:dyDescent="0.25">
      <c r="AM456" s="10"/>
      <c r="AN456" s="10"/>
      <c r="AO456" s="10"/>
      <c r="AP456" s="270"/>
      <c r="AQ456" s="270"/>
      <c r="AR456" s="10"/>
    </row>
    <row r="457" spans="39:44" x14ac:dyDescent="0.25">
      <c r="AM457" s="10"/>
      <c r="AN457" s="10"/>
      <c r="AO457" s="10"/>
      <c r="AP457" s="270"/>
      <c r="AQ457" s="270"/>
      <c r="AR457" s="10"/>
    </row>
    <row r="458" spans="39:44" x14ac:dyDescent="0.25">
      <c r="AM458" s="10"/>
      <c r="AN458" s="10"/>
      <c r="AO458" s="10"/>
      <c r="AP458" s="270"/>
      <c r="AQ458" s="270"/>
      <c r="AR458" s="10"/>
    </row>
    <row r="459" spans="39:44" x14ac:dyDescent="0.25">
      <c r="AM459" s="10"/>
      <c r="AN459" s="10"/>
      <c r="AO459" s="10"/>
      <c r="AP459" s="270"/>
      <c r="AQ459" s="270"/>
      <c r="AR459" s="10"/>
    </row>
    <row r="460" spans="39:44" x14ac:dyDescent="0.25">
      <c r="AM460" s="10"/>
      <c r="AN460" s="10"/>
      <c r="AO460" s="10"/>
      <c r="AP460" s="270"/>
      <c r="AQ460" s="270"/>
      <c r="AR460" s="10"/>
    </row>
    <row r="461" spans="39:44" x14ac:dyDescent="0.25">
      <c r="AM461" s="10"/>
      <c r="AN461" s="10"/>
      <c r="AO461" s="10"/>
      <c r="AP461" s="270"/>
      <c r="AQ461" s="270"/>
      <c r="AR461" s="10"/>
    </row>
    <row r="462" spans="39:44" x14ac:dyDescent="0.25">
      <c r="AM462" s="10"/>
      <c r="AN462" s="10"/>
      <c r="AO462" s="10"/>
      <c r="AP462" s="270"/>
      <c r="AQ462" s="270"/>
      <c r="AR462" s="10"/>
    </row>
    <row r="463" spans="39:44" x14ac:dyDescent="0.25">
      <c r="AM463" s="10"/>
      <c r="AN463" s="10"/>
      <c r="AO463" s="10"/>
      <c r="AP463" s="270"/>
      <c r="AQ463" s="270"/>
      <c r="AR463" s="10"/>
    </row>
    <row r="464" spans="39:44" x14ac:dyDescent="0.25">
      <c r="AM464" s="10"/>
      <c r="AN464" s="10"/>
      <c r="AO464" s="10"/>
      <c r="AP464" s="270"/>
      <c r="AQ464" s="270"/>
      <c r="AR464" s="10"/>
    </row>
    <row r="465" spans="39:44" x14ac:dyDescent="0.25">
      <c r="AM465" s="10"/>
      <c r="AN465" s="10"/>
      <c r="AO465" s="10"/>
      <c r="AP465" s="270"/>
      <c r="AQ465" s="270"/>
      <c r="AR465" s="10"/>
    </row>
    <row r="466" spans="39:44" x14ac:dyDescent="0.25">
      <c r="AM466" s="10"/>
      <c r="AN466" s="10"/>
      <c r="AO466" s="10"/>
      <c r="AP466" s="270"/>
      <c r="AQ466" s="270"/>
      <c r="AR466" s="10"/>
    </row>
    <row r="467" spans="39:44" x14ac:dyDescent="0.25">
      <c r="AM467" s="10"/>
      <c r="AN467" s="10"/>
      <c r="AO467" s="10"/>
      <c r="AP467" s="270"/>
      <c r="AQ467" s="270"/>
      <c r="AR467" s="10"/>
    </row>
    <row r="468" spans="39:44" x14ac:dyDescent="0.25">
      <c r="AM468" s="10"/>
      <c r="AN468" s="10"/>
      <c r="AO468" s="10"/>
      <c r="AP468" s="270"/>
      <c r="AQ468" s="270"/>
      <c r="AR468" s="10"/>
    </row>
    <row r="469" spans="39:44" x14ac:dyDescent="0.25">
      <c r="AM469" s="10"/>
      <c r="AN469" s="10"/>
      <c r="AO469" s="10"/>
      <c r="AP469" s="270"/>
      <c r="AQ469" s="270"/>
      <c r="AR469" s="10"/>
    </row>
    <row r="470" spans="39:44" x14ac:dyDescent="0.25">
      <c r="AM470" s="10"/>
      <c r="AN470" s="10"/>
      <c r="AO470" s="10"/>
      <c r="AP470" s="270"/>
      <c r="AQ470" s="270"/>
      <c r="AR470" s="10"/>
    </row>
    <row r="471" spans="39:44" x14ac:dyDescent="0.25">
      <c r="AM471" s="10"/>
      <c r="AN471" s="10"/>
      <c r="AO471" s="10"/>
      <c r="AP471" s="270"/>
      <c r="AQ471" s="270"/>
      <c r="AR471" s="10"/>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M622"/>
  <sheetViews>
    <sheetView showGridLines="0" zoomScale="55" zoomScaleNormal="55" workbookViewId="0">
      <selection activeCell="A4" sqref="A4"/>
    </sheetView>
  </sheetViews>
  <sheetFormatPr defaultRowHeight="15" x14ac:dyDescent="0.25"/>
  <cols>
    <col min="1" max="1" width="12.140625" style="4" bestFit="1" customWidth="1"/>
    <col min="2" max="2" width="23.7109375" style="22" bestFit="1" customWidth="1"/>
    <col min="3" max="4" width="23.28515625" style="22" bestFit="1" customWidth="1"/>
    <col min="5" max="5" width="23.5703125" style="22" bestFit="1" customWidth="1"/>
    <col min="6" max="6" width="23.7109375" style="22" bestFit="1" customWidth="1"/>
    <col min="7" max="7" width="23.5703125" style="22" bestFit="1" customWidth="1"/>
    <col min="8" max="8" width="23.7109375" style="22" bestFit="1" customWidth="1"/>
    <col min="9" max="10" width="23.7109375" style="272" bestFit="1" customWidth="1"/>
    <col min="11" max="11" width="23.5703125" style="22" bestFit="1" customWidth="1"/>
    <col min="12" max="12" width="23.28515625" style="22" bestFit="1" customWidth="1"/>
    <col min="13" max="13" width="23.5703125" style="22" bestFit="1" customWidth="1"/>
    <col min="14" max="14" width="23.5703125" style="27" bestFit="1" customWidth="1"/>
    <col min="15" max="15" width="23" style="27" bestFit="1" customWidth="1"/>
    <col min="16" max="16" width="23" style="373" bestFit="1" customWidth="1"/>
    <col min="17" max="17" width="23.28515625" style="27" bestFit="1" customWidth="1"/>
    <col min="18" max="18" width="23.5703125" style="27" bestFit="1" customWidth="1"/>
    <col min="19" max="19" width="22.42578125" style="697" bestFit="1" customWidth="1"/>
    <col min="20" max="20" width="22" style="697" bestFit="1" customWidth="1"/>
    <col min="21" max="21" width="20.85546875" style="27" bestFit="1" customWidth="1"/>
    <col min="22" max="29" width="20.85546875" style="906" customWidth="1"/>
    <col min="30" max="30" width="6.140625" bestFit="1" customWidth="1"/>
    <col min="31" max="31" width="14.42578125" bestFit="1" customWidth="1"/>
    <col min="32" max="32" width="4.28515625" bestFit="1" customWidth="1"/>
    <col min="34" max="34" width="6.140625" bestFit="1" customWidth="1"/>
    <col min="35" max="35" width="8.42578125" bestFit="1" customWidth="1"/>
    <col min="36" max="36" width="3" bestFit="1" customWidth="1"/>
    <col min="37" max="37" width="13.42578125" bestFit="1" customWidth="1"/>
    <col min="38" max="38" width="10.5703125" style="699" bestFit="1" customWidth="1"/>
  </cols>
  <sheetData>
    <row r="1" spans="1:39" x14ac:dyDescent="0.25">
      <c r="B1" s="28" t="s">
        <v>99</v>
      </c>
      <c r="C1" s="28" t="s">
        <v>100</v>
      </c>
      <c r="D1" s="28" t="s">
        <v>101</v>
      </c>
      <c r="E1" s="28" t="s">
        <v>102</v>
      </c>
      <c r="F1" s="28" t="s">
        <v>97</v>
      </c>
      <c r="G1" s="28" t="s">
        <v>104</v>
      </c>
      <c r="H1" s="28" t="s">
        <v>103</v>
      </c>
      <c r="I1" s="275" t="s">
        <v>178</v>
      </c>
      <c r="J1" s="275" t="s">
        <v>200</v>
      </c>
      <c r="K1" s="275" t="s">
        <v>207</v>
      </c>
      <c r="L1" s="28" t="s">
        <v>105</v>
      </c>
      <c r="M1" s="28" t="s">
        <v>107</v>
      </c>
      <c r="N1" s="28" t="s">
        <v>98</v>
      </c>
      <c r="O1" s="28" t="s">
        <v>106</v>
      </c>
      <c r="P1" s="275" t="s">
        <v>179</v>
      </c>
      <c r="Q1" s="275" t="s">
        <v>199</v>
      </c>
      <c r="R1" s="275" t="s">
        <v>208</v>
      </c>
      <c r="S1" s="275" t="s">
        <v>182</v>
      </c>
      <c r="T1" s="275" t="s">
        <v>184</v>
      </c>
      <c r="U1" s="275" t="s">
        <v>222</v>
      </c>
      <c r="V1" s="275" t="s">
        <v>223</v>
      </c>
      <c r="W1" s="275" t="s">
        <v>256</v>
      </c>
      <c r="X1" s="275" t="s">
        <v>257</v>
      </c>
      <c r="Y1" s="275" t="s">
        <v>267</v>
      </c>
      <c r="Z1" s="275" t="s">
        <v>268</v>
      </c>
      <c r="AA1" s="275" t="s">
        <v>269</v>
      </c>
      <c r="AB1" s="275" t="s">
        <v>270</v>
      </c>
      <c r="AC1" s="275"/>
      <c r="AD1" s="27"/>
    </row>
    <row r="2" spans="1:39" s="15" customFormat="1" x14ac:dyDescent="0.25">
      <c r="A2" s="18"/>
      <c r="B2" s="127" t="s">
        <v>166</v>
      </c>
      <c r="C2" s="127" t="s">
        <v>167</v>
      </c>
      <c r="D2" s="127" t="s">
        <v>168</v>
      </c>
      <c r="E2" s="127" t="s">
        <v>169</v>
      </c>
      <c r="F2" s="127" t="s">
        <v>170</v>
      </c>
      <c r="G2" s="127" t="s">
        <v>171</v>
      </c>
      <c r="H2" s="127" t="s">
        <v>172</v>
      </c>
      <c r="I2" s="269" t="s">
        <v>215</v>
      </c>
      <c r="J2" s="373" t="s">
        <v>202</v>
      </c>
      <c r="K2" s="384" t="s">
        <v>209</v>
      </c>
      <c r="L2" s="127" t="s">
        <v>173</v>
      </c>
      <c r="M2" s="127" t="s">
        <v>174</v>
      </c>
      <c r="N2" s="127" t="s">
        <v>190</v>
      </c>
      <c r="O2" s="127" t="s">
        <v>175</v>
      </c>
      <c r="P2" s="127" t="s">
        <v>216</v>
      </c>
      <c r="Q2" s="373" t="s">
        <v>201</v>
      </c>
      <c r="R2" s="384" t="s">
        <v>210</v>
      </c>
      <c r="S2" s="697" t="s">
        <v>185</v>
      </c>
      <c r="T2" s="697" t="s">
        <v>186</v>
      </c>
      <c r="U2" s="697" t="s">
        <v>225</v>
      </c>
      <c r="V2" s="697" t="s">
        <v>224</v>
      </c>
      <c r="W2" s="904" t="s">
        <v>278</v>
      </c>
      <c r="X2" s="904" t="s">
        <v>280</v>
      </c>
      <c r="Y2" s="904" t="s">
        <v>279</v>
      </c>
      <c r="Z2" s="904" t="s">
        <v>281</v>
      </c>
      <c r="AA2" s="904" t="s">
        <v>282</v>
      </c>
      <c r="AB2" s="904" t="s">
        <v>291</v>
      </c>
      <c r="AC2" s="906"/>
      <c r="AD2" s="27" t="s">
        <v>96</v>
      </c>
      <c r="AE2" s="27" t="s">
        <v>77</v>
      </c>
      <c r="AF2" s="27">
        <f>MATCH(AE2,Table!$B:$B,0)</f>
        <v>11</v>
      </c>
      <c r="AG2" s="27"/>
      <c r="AH2" s="27" t="s">
        <v>96</v>
      </c>
      <c r="AI2" s="27" t="s">
        <v>0</v>
      </c>
      <c r="AJ2" s="27">
        <f>MATCH(AI2,Table!$A:$A,0)</f>
        <v>3</v>
      </c>
      <c r="AK2" s="27" t="s">
        <v>113</v>
      </c>
      <c r="AL2" s="700" t="s">
        <v>226</v>
      </c>
      <c r="AM2" s="15" t="s">
        <v>231</v>
      </c>
    </row>
    <row r="3" spans="1:39" s="743" customFormat="1" x14ac:dyDescent="0.25">
      <c r="A3" s="592">
        <v>41822</v>
      </c>
      <c r="B3" s="595">
        <f ca="1">IF(ISERROR(MATCH(B$1,INDIRECT("Table!A"&amp;$AH3):INDIRECT("Table!" &amp; $AK$86 &amp; $AH3),0)),"",INDIRECT(CONCATENATE("Table!",ADDRESS($AD3,MATCH(B$1,INDIRECT("Table!A" &amp; $AH3):INDIRECT("Table!" &amp; $AK$86 &amp; $AH3),0))))/1024)</f>
        <v>174.34718261718749</v>
      </c>
      <c r="C3" s="595">
        <f ca="1">IF(ISERROR(MATCH(C$1,INDIRECT("Table!A"&amp;$AH3):INDIRECT("Table!" &amp; $AK$86 &amp; $AH3),0)),"",INDIRECT(CONCATENATE("Table!",ADDRESS($AD3,MATCH(C$1,INDIRECT("Table!A" &amp; $AH3):INDIRECT("Table!" &amp; $AK$86 &amp; $AH3),0))))/1024)</f>
        <v>99.076614257812494</v>
      </c>
      <c r="D3" s="595">
        <f ca="1">IF(ISERROR(MATCH(D$1,INDIRECT("Table!A"&amp;$AH3):INDIRECT("Table!" &amp; $AK$86 &amp; $AH3),0)),"",INDIRECT(CONCATENATE("Table!",ADDRESS($AD3,MATCH(D$1,INDIRECT("Table!A" &amp; $AH3):INDIRECT("Table!" &amp; $AK$86 &amp; $AH3),0))))/1024)</f>
        <v>99.076614257812494</v>
      </c>
      <c r="E3" s="595">
        <f ca="1">IF(ISERROR(MATCH(E$1,INDIRECT("Table!A"&amp;$AH3):INDIRECT("Table!" &amp; $AK$86 &amp; $AH3),0)),"",INDIRECT(CONCATENATE("Table!",ADDRESS($AD3,MATCH(E$1,INDIRECT("Table!A" &amp; $AH3):INDIRECT("Table!" &amp; $AK$86 &amp; $AH3),0))))/1024)</f>
        <v>224.5275615234375</v>
      </c>
      <c r="F3" s="595">
        <f ca="1">IF(ISERROR(MATCH(F$1,INDIRECT("Table!A"&amp;$AH3):INDIRECT("Table!" &amp; $AK$86 &amp; $AH3),0)),"",INDIRECT(CONCATENATE("Table!",ADDRESS($AD3,MATCH(F$1,INDIRECT("Table!A" &amp; $AH3):INDIRECT("Table!" &amp; $AK$86 &amp; $AH3),0))))/1024)</f>
        <v>110.83146679687499</v>
      </c>
      <c r="G3" s="595">
        <f ca="1">IF(ISERROR(MATCH(G$1,INDIRECT("Table!A"&amp;$AH3):INDIRECT("Table!" &amp; $AK$86 &amp; $AH3),0)),"",INDIRECT(CONCATENATE("Table!",ADDRESS($AD3,MATCH(G$1,INDIRECT("Table!A" &amp; $AH3):INDIRECT("Table!" &amp; $AK$86 &amp; $AH3),0))))/1024)</f>
        <v>448.49536816406248</v>
      </c>
      <c r="H3" s="595">
        <f ca="1">IF(ISERROR(MATCH(H$1,INDIRECT("Table!A"&amp;$AH3):INDIRECT("Table!" &amp; $AK$86 &amp; $AH3),0)),"",INDIRECT(CONCATENATE("Table!",ADDRESS($AD3,MATCH(H$1,INDIRECT("Table!A" &amp; $AH3):INDIRECT("Table!" &amp; $AK$86 &amp; $AH3),0))))/1024)</f>
        <v>228.80804003906249</v>
      </c>
      <c r="I3" s="595">
        <f ca="1">IF(ISERROR(MATCH(I$1,INDIRECT("Table!A"&amp;$AH3):INDIRECT("Table!" &amp; $AK$63 &amp; $AH3),0)),"",INDIRECT(CONCATENATE("Table!",ADDRESS($AD3,MATCH(I$1,INDIRECT("Table!A" &amp; $AH3):INDIRECT("Table!" &amp; $AK$63 &amp; $AH3),0))))/1024)</f>
        <v>45.405999023437495</v>
      </c>
      <c r="J3" s="595">
        <f ca="1">IF(ISERROR(MATCH(J$1,INDIRECT("Table!A"&amp;$AH3):INDIRECT("Table!" &amp; $AK$63 &amp; $AH3),0)),"",INDIRECT(CONCATENATE("Table!",ADDRESS($AD3,MATCH(J$1,INDIRECT("Table!A" &amp; $AH3):INDIRECT("Table!" &amp; $AK$63 &amp; $AH3),0))))/1024)</f>
        <v>196.8690849609375</v>
      </c>
      <c r="K3" s="595">
        <f ca="1">IF(ISERROR(MATCH(K$1,INDIRECT("Table!A"&amp;$AH3):INDIRECT("Table!" &amp; $AK$63 &amp; $AH3),0)),"",INDIRECT(CONCATENATE("Table!",ADDRESS($AD3,MATCH(K$1,INDIRECT("Table!A" &amp; $AH3):INDIRECT("Table!" &amp; $AK$63 &amp; $AH3),0))))/1024)</f>
        <v>220.21415625</v>
      </c>
      <c r="L3" s="595">
        <f ca="1">IF(ISERROR(MATCH(L$1,INDIRECT("Table!A"&amp;$AH3):INDIRECT("Table!" &amp; $AK$63 &amp; $AH3),0)),"",INDIRECT(CONCATENATE("Table!",ADDRESS($AD3,MATCH(L$1,INDIRECT("Table!A" &amp; $AH3):INDIRECT("Table!" &amp; $AK$63 &amp; $AH3),0))))/1024)</f>
        <v>211.19222460937499</v>
      </c>
      <c r="M3" s="595">
        <f ca="1">IF(ISERROR(MATCH(M$1,INDIRECT("Table!A"&amp;$AH3):INDIRECT("Table!" &amp; $AK$63 &amp; $AH3),0)),"",INDIRECT(CONCATENATE("Table!",ADDRESS($AD3,MATCH(M$1,INDIRECT("Table!A" &amp; $AH3):INDIRECT("Table!" &amp; $AK$63 &amp; $AH3),0))))/1024)</f>
        <v>357.97971093749999</v>
      </c>
      <c r="N3" s="595">
        <f ca="1">IF(ISERROR(MATCH(N$1,INDIRECT("Table!A"&amp;$AH3):INDIRECT("Table!" &amp; $AK$63 &amp; $AH3),0)),"",INDIRECT(CONCATENATE("Table!",ADDRESS($AD3,MATCH(N$1,INDIRECT("Table!A" &amp; $AH3):INDIRECT("Table!" &amp; $AK$63 &amp; $AH3),0))))/1024)</f>
        <v>113.13633984374999</v>
      </c>
      <c r="O3" s="595">
        <f ca="1">IF(ISERROR(MATCH(O$1,INDIRECT("Table!A"&amp;$AH3):INDIRECT("Table!" &amp; $AK$63 &amp; $AH3),0)),"",INDIRECT(CONCATENATE("Table!",ADDRESS($AD3,MATCH(O$1,INDIRECT("Table!A" &amp; $AH3):INDIRECT("Table!" &amp; $AK$63 &amp; $AH3),0))))/1024)</f>
        <v>169.83621679687496</v>
      </c>
      <c r="P3" s="595">
        <f ca="1">IF(ISERROR(MATCH(P$1,INDIRECT("Table!A"&amp;$AH3):INDIRECT("Table!" &amp; $AK$63 &amp; $AH3),0)),"",INDIRECT(CONCATENATE("Table!",ADDRESS($AD3,MATCH(P$1,INDIRECT("Table!A" &amp; $AH3):INDIRECT("Table!" &amp; $AK$63 &amp; $AH3),0))))/1024)</f>
        <v>60.157186523437495</v>
      </c>
      <c r="Q3" s="595">
        <f ca="1">IF(ISERROR(MATCH(Q$1,INDIRECT("Table!A"&amp;$AH3):INDIRECT("Table!" &amp; $AK$63 &amp; $AH3),0)),"",INDIRECT(CONCATENATE("Table!",ADDRESS($AD3,MATCH(Q$1,INDIRECT("Table!A" &amp; $AH3):INDIRECT("Table!" &amp; $AK$63 &amp; $AH3),0))))/1024)</f>
        <v>151.397232421875</v>
      </c>
      <c r="R3" s="595">
        <f ca="1">IF(ISERROR(MATCH(R$1,INDIRECT("Table!A"&amp;$AH3):INDIRECT("Table!" &amp; $AK$63 &amp; $AH3),0)),"",INDIRECT(CONCATENATE("Table!",ADDRESS($AD3,MATCH(R$1,INDIRECT("Table!A" &amp; $AH3):INDIRECT("Table!" &amp; $AK$63 &amp; $AH3),0))))/1024)</f>
        <v>332.39562011718749</v>
      </c>
      <c r="S3" s="595">
        <f ca="1">IF(ISERROR(MATCH(S$1,INDIRECT("Table!A"&amp;$AH3):INDIRECT("Table!" &amp; $AK$63 &amp; $AH3),0)),"",INDIRECT(CONCATENATE("Table!",ADDRESS($AD3,MATCH(S$1,INDIRECT("Table!A" &amp; $AH3):INDIRECT("Table!" &amp; $AK$63 &amp; $AH3),0))))/1024)</f>
        <v>56.502316406249996</v>
      </c>
      <c r="T3" s="595">
        <f ca="1">IF(ISERROR(MATCH(T$1,INDIRECT("Table!A"&amp;$AH3):INDIRECT("Table!" &amp; $AK$63 &amp; $AH3),0)),"",INDIRECT(CONCATENATE("Table!",ADDRESS($AD3,MATCH(T$1,INDIRECT("Table!A" &amp; $AH3):INDIRECT("Table!" &amp; $AK$63 &amp; $AH3),0))))/1024)</f>
        <v>36.318213867187495</v>
      </c>
      <c r="U3" s="595">
        <f ca="1">IF(ISERROR(MATCH(U$1,INDIRECT("Table!A"&amp;$AH3):INDIRECT("Table!" &amp; $AK$63 &amp; $AH3),0)),"",INDIRECT(CONCATENATE("Table!",ADDRESS($AD3,MATCH(U$1,INDIRECT("Table!A" &amp; $AH3):INDIRECT("Table!" &amp; $AK$63 &amp; $AH3),0))))/1024)</f>
        <v>61.177916015624994</v>
      </c>
      <c r="V3" s="595">
        <f ca="1">IF(ISERROR(MATCH(V$1,INDIRECT("Table!A"&amp;$AH3):INDIRECT("Table!" &amp; $AK$63 &amp; $AH3),0)),"",INDIRECT(CONCATENATE("Table!",ADDRESS($AD3,MATCH(V$1,INDIRECT("Table!A" &amp; $AH3):INDIRECT("Table!" &amp; $AK$63 &amp; $AH3),0))))/1024)</f>
        <v>81.987626953125002</v>
      </c>
      <c r="W3" s="595">
        <f ca="1">IF(ISERROR(MATCH(W$1,INDIRECT("Table!A"&amp;$AH3):INDIRECT("Table!" &amp; $AK$63 &amp; $AH3),0)),"",INDIRECT(CONCATENATE("Table!",ADDRESS($AD3,MATCH(W$1,INDIRECT("Table!A" &amp; $AH3):INDIRECT("Table!" &amp; $AK$63 &amp; $AH3),0))))/1024)</f>
        <v>36.713334960937502</v>
      </c>
      <c r="X3" s="595">
        <f ca="1">IF(ISERROR(MATCH(X$1,INDIRECT("Table!A"&amp;$AH3):INDIRECT("Table!" &amp; $AK$63 &amp; $AH3),0)),"",INDIRECT(CONCATENATE("Table!",ADDRESS($AD3,MATCH(X$1,INDIRECT("Table!A" &amp; $AH3):INDIRECT("Table!" &amp; $AK$63 &amp; $AH3),0))))/1024)</f>
        <v>45.866973632812496</v>
      </c>
      <c r="Y3" s="595">
        <f ca="1">IF(ISERROR(MATCH(Y$1,INDIRECT("Table!A"&amp;$AH3):INDIRECT("Table!" &amp; $AK$63 &amp; $AH3),0)),"",INDIRECT(CONCATENATE("Table!",ADDRESS($AD3,MATCH(Y$1,INDIRECT("Table!A" &amp; $AH3):INDIRECT("Table!" &amp; $AK$63 &amp; $AH3),0))))/1024)</f>
        <v>18.471911132812501</v>
      </c>
      <c r="Z3" s="595">
        <f ca="1">IF(ISERROR(MATCH(Z$1,INDIRECT("Table!A"&amp;$AH3):INDIRECT("Table!" &amp; $AK$63 &amp; $AH3),0)),"",INDIRECT(CONCATENATE("Table!",ADDRESS($AD3,MATCH(Z$1,INDIRECT("Table!A" &amp; $AH3):INDIRECT("Table!" &amp; $AK$63 &amp; $AH3),0))))/1024)</f>
        <v>36.647481445312501</v>
      </c>
      <c r="AA3" s="595">
        <f ca="1">IF(ISERROR(MATCH(AA$1,INDIRECT("Table!A"&amp;$AH3):INDIRECT("Table!" &amp; $AK$63 &amp; $AH3),0)),"",INDIRECT(CONCATENATE("Table!",ADDRESS($AD3,MATCH(AA$1,INDIRECT("Table!A" &amp; $AH3):INDIRECT("Table!" &amp; $AK$63 &amp; $AH3),0))))/1024)</f>
        <v>65.129126953124995</v>
      </c>
      <c r="AB3" s="595">
        <f ca="1">IF(ISERROR(MATCH(AB$1,INDIRECT("Table!A"&amp;$AH3):INDIRECT("Table!" &amp; $AK$63 &amp; $AH3),0)),"",INDIRECT(CONCATENATE("Table!",ADDRESS($AD3,MATCH(AB$1,INDIRECT("Table!A" &amp; $AH3):INDIRECT("Table!" &amp; $AK$63 &amp; $AH3),0))))/1024)</f>
        <v>0</v>
      </c>
      <c r="AC3" s="595"/>
      <c r="AD3" s="595">
        <f>MATCH($A3,Table!$A:$A,0)+$AF$2-1</f>
        <v>11</v>
      </c>
      <c r="AE3" s="816"/>
      <c r="AF3" s="816"/>
      <c r="AG3" s="816"/>
      <c r="AH3" s="595">
        <f>MATCH($A3,Table!$A:$A,0)+$AJ$2-1</f>
        <v>3</v>
      </c>
      <c r="AI3" s="816"/>
      <c r="AJ3" s="816"/>
      <c r="AK3" s="816" t="s">
        <v>284</v>
      </c>
      <c r="AL3" s="699">
        <f t="shared" ref="AL3:AL21" ca="1" si="0">SUM(B3:V3)</f>
        <v>3479.7326923828123</v>
      </c>
      <c r="AM3" s="699">
        <f ca="1">AL3-AL20</f>
        <v>253.66774218750015</v>
      </c>
    </row>
    <row r="4" spans="1:39" s="743" customFormat="1" x14ac:dyDescent="0.25">
      <c r="A4" s="592">
        <v>41815</v>
      </c>
      <c r="B4" s="595">
        <f ca="1">IF(ISERROR(MATCH(B$1,INDIRECT("Table!A"&amp;$AH4):INDIRECT("Table!" &amp; $AK$86 &amp; $AH4),0)),"",INDIRECT(CONCATENATE("Table!",ADDRESS($AD4,MATCH(B$1,INDIRECT("Table!A" &amp; $AH4):INDIRECT("Table!" &amp; $AK$86 &amp; $AH4),0))))/1024)</f>
        <v>174.34718261718749</v>
      </c>
      <c r="C4" s="595">
        <f ca="1">IF(ISERROR(MATCH(C$1,INDIRECT("Table!A"&amp;$AH4):INDIRECT("Table!" &amp; $AK$86 &amp; $AH4),0)),"",INDIRECT(CONCATENATE("Table!",ADDRESS($AD4,MATCH(C$1,INDIRECT("Table!A" &amp; $AH4):INDIRECT("Table!" &amp; $AK$86 &amp; $AH4),0))))/1024)</f>
        <v>99.076614257812494</v>
      </c>
      <c r="D4" s="595">
        <f ca="1">IF(ISERROR(MATCH(D$1,INDIRECT("Table!A"&amp;$AH4):INDIRECT("Table!" &amp; $AK$86 &amp; $AH4),0)),"",INDIRECT(CONCATENATE("Table!",ADDRESS($AD4,MATCH(D$1,INDIRECT("Table!A" &amp; $AH4):INDIRECT("Table!" &amp; $AK$86 &amp; $AH4),0))))/1024)</f>
        <v>99.076614257812494</v>
      </c>
      <c r="E4" s="595">
        <f ca="1">IF(ISERROR(MATCH(E$1,INDIRECT("Table!A"&amp;$AH4):INDIRECT("Table!" &amp; $AK$86 &amp; $AH4),0)),"",INDIRECT(CONCATENATE("Table!",ADDRESS($AD4,MATCH(E$1,INDIRECT("Table!A" &amp; $AH4):INDIRECT("Table!" &amp; $AK$86 &amp; $AH4),0))))/1024)</f>
        <v>224.5275615234375</v>
      </c>
      <c r="F4" s="595">
        <f ca="1">IF(ISERROR(MATCH(F$1,INDIRECT("Table!A"&amp;$AH4):INDIRECT("Table!" &amp; $AK$86 &amp; $AH4),0)),"",INDIRECT(CONCATENATE("Table!",ADDRESS($AD4,MATCH(F$1,INDIRECT("Table!A" &amp; $AH4):INDIRECT("Table!" &amp; $AK$86 &amp; $AH4),0))))/1024)</f>
        <v>110.83146679687499</v>
      </c>
      <c r="G4" s="595">
        <f ca="1">IF(ISERROR(MATCH(G$1,INDIRECT("Table!A"&amp;$AH4):INDIRECT("Table!" &amp; $AK$86 &amp; $AH4),0)),"",INDIRECT(CONCATENATE("Table!",ADDRESS($AD4,MATCH(G$1,INDIRECT("Table!A" &amp; $AH4):INDIRECT("Table!" &amp; $AK$86 &amp; $AH4),0))))/1024)</f>
        <v>448.49536816406248</v>
      </c>
      <c r="H4" s="595">
        <f ca="1">IF(ISERROR(MATCH(H$1,INDIRECT("Table!A"&amp;$AH4):INDIRECT("Table!" &amp; $AK$86 &amp; $AH4),0)),"",INDIRECT(CONCATENATE("Table!",ADDRESS($AD4,MATCH(H$1,INDIRECT("Table!A" &amp; $AH4):INDIRECT("Table!" &amp; $AK$86 &amp; $AH4),0))))/1024)</f>
        <v>228.80804003906249</v>
      </c>
      <c r="I4" s="595">
        <f ca="1">IF(ISERROR(MATCH(I$1,INDIRECT("Table!A"&amp;$AH4):INDIRECT("Table!" &amp; $AK$63 &amp; $AH4),0)),"",INDIRECT(CONCATENATE("Table!",ADDRESS($AD4,MATCH(I$1,INDIRECT("Table!A" &amp; $AH4):INDIRECT("Table!" &amp; $AK$63 &amp; $AH4),0))))/1024)</f>
        <v>45.405999023437495</v>
      </c>
      <c r="J4" s="595">
        <f ca="1">IF(ISERROR(MATCH(J$1,INDIRECT("Table!A"&amp;$AH4):INDIRECT("Table!" &amp; $AK$63 &amp; $AH4),0)),"",INDIRECT(CONCATENATE("Table!",ADDRESS($AD4,MATCH(J$1,INDIRECT("Table!A" &amp; $AH4):INDIRECT("Table!" &amp; $AK$63 &amp; $AH4),0))))/1024)</f>
        <v>196.8690849609375</v>
      </c>
      <c r="K4" s="595">
        <f ca="1">IF(ISERROR(MATCH(K$1,INDIRECT("Table!A"&amp;$AH4):INDIRECT("Table!" &amp; $AK$63 &amp; $AH4),0)),"",INDIRECT(CONCATENATE("Table!",ADDRESS($AD4,MATCH(K$1,INDIRECT("Table!A" &amp; $AH4):INDIRECT("Table!" &amp; $AK$63 &amp; $AH4),0))))/1024)</f>
        <v>220.21415625</v>
      </c>
      <c r="L4" s="595">
        <f ca="1">IF(ISERROR(MATCH(L$1,INDIRECT("Table!A"&amp;$AH4):INDIRECT("Table!" &amp; $AK$63 &amp; $AH4),0)),"",INDIRECT(CONCATENATE("Table!",ADDRESS($AD4,MATCH(L$1,INDIRECT("Table!A" &amp; $AH4):INDIRECT("Table!" &amp; $AK$63 &amp; $AH4),0))))/1024)</f>
        <v>211.19222460937499</v>
      </c>
      <c r="M4" s="595">
        <f ca="1">IF(ISERROR(MATCH(M$1,INDIRECT("Table!A"&amp;$AH4):INDIRECT("Table!" &amp; $AK$63 &amp; $AH4),0)),"",INDIRECT(CONCATENATE("Table!",ADDRESS($AD4,MATCH(M$1,INDIRECT("Table!A" &amp; $AH4):INDIRECT("Table!" &amp; $AK$63 &amp; $AH4),0))))/1024)</f>
        <v>357.97971093749999</v>
      </c>
      <c r="N4" s="595">
        <f ca="1">IF(ISERROR(MATCH(N$1,INDIRECT("Table!A"&amp;$AH4):INDIRECT("Table!" &amp; $AK$63 &amp; $AH4),0)),"",INDIRECT(CONCATENATE("Table!",ADDRESS($AD4,MATCH(N$1,INDIRECT("Table!A" &amp; $AH4):INDIRECT("Table!" &amp; $AK$63 &amp; $AH4),0))))/1024)</f>
        <v>113.13633984374999</v>
      </c>
      <c r="O4" s="595">
        <f ca="1">IF(ISERROR(MATCH(O$1,INDIRECT("Table!A"&amp;$AH4):INDIRECT("Table!" &amp; $AK$63 &amp; $AH4),0)),"",INDIRECT(CONCATENATE("Table!",ADDRESS($AD4,MATCH(O$1,INDIRECT("Table!A" &amp; $AH4):INDIRECT("Table!" &amp; $AK$63 &amp; $AH4),0))))/1024)</f>
        <v>169.83621679687496</v>
      </c>
      <c r="P4" s="595">
        <f ca="1">IF(ISERROR(MATCH(P$1,INDIRECT("Table!A"&amp;$AH4):INDIRECT("Table!" &amp; $AK$63 &amp; $AH4),0)),"",INDIRECT(CONCATENATE("Table!",ADDRESS($AD4,MATCH(P$1,INDIRECT("Table!A" &amp; $AH4):INDIRECT("Table!" &amp; $AK$63 &amp; $AH4),0))))/1024)</f>
        <v>60.157186523437495</v>
      </c>
      <c r="Q4" s="595">
        <f ca="1">IF(ISERROR(MATCH(Q$1,INDIRECT("Table!A"&amp;$AH4):INDIRECT("Table!" &amp; $AK$63 &amp; $AH4),0)),"",INDIRECT(CONCATENATE("Table!",ADDRESS($AD4,MATCH(Q$1,INDIRECT("Table!A" &amp; $AH4):INDIRECT("Table!" &amp; $AK$63 &amp; $AH4),0))))/1024)</f>
        <v>151.397232421875</v>
      </c>
      <c r="R4" s="595">
        <f ca="1">IF(ISERROR(MATCH(R$1,INDIRECT("Table!A"&amp;$AH4):INDIRECT("Table!" &amp; $AK$63 &amp; $AH4),0)),"",INDIRECT(CONCATENATE("Table!",ADDRESS($AD4,MATCH(R$1,INDIRECT("Table!A" &amp; $AH4):INDIRECT("Table!" &amp; $AK$63 &amp; $AH4),0))))/1024)</f>
        <v>332.39562011718749</v>
      </c>
      <c r="S4" s="595">
        <f ca="1">IF(ISERROR(MATCH(S$1,INDIRECT("Table!A"&amp;$AH4):INDIRECT("Table!" &amp; $AK$63 &amp; $AH4),0)),"",INDIRECT(CONCATENATE("Table!",ADDRESS($AD4,MATCH(S$1,INDIRECT("Table!A" &amp; $AH4):INDIRECT("Table!" &amp; $AK$63 &amp; $AH4),0))))/1024)</f>
        <v>56.502316406249996</v>
      </c>
      <c r="T4" s="595">
        <f ca="1">IF(ISERROR(MATCH(T$1,INDIRECT("Table!A"&amp;$AH4):INDIRECT("Table!" &amp; $AK$63 &amp; $AH4),0)),"",INDIRECT(CONCATENATE("Table!",ADDRESS($AD4,MATCH(T$1,INDIRECT("Table!A" &amp; $AH4):INDIRECT("Table!" &amp; $AK$63 &amp; $AH4),0))))/1024)</f>
        <v>36.318213867187495</v>
      </c>
      <c r="U4" s="595">
        <f ca="1">IF(ISERROR(MATCH(U$1,INDIRECT("Table!A"&amp;$AH4):INDIRECT("Table!" &amp; $AK$63 &amp; $AH4),0)),"",INDIRECT(CONCATENATE("Table!",ADDRESS($AD4,MATCH(U$1,INDIRECT("Table!A" &amp; $AH4):INDIRECT("Table!" &amp; $AK$63 &amp; $AH4),0))))/1024)</f>
        <v>61.177916015624994</v>
      </c>
      <c r="V4" s="595">
        <f ca="1">IF(ISERROR(MATCH(V$1,INDIRECT("Table!A"&amp;$AH4):INDIRECT("Table!" &amp; $AK$63 &amp; $AH4),0)),"",INDIRECT(CONCATENATE("Table!",ADDRESS($AD4,MATCH(V$1,INDIRECT("Table!A" &amp; $AH4):INDIRECT("Table!" &amp; $AK$63 &amp; $AH4),0))))/1024)</f>
        <v>81.987626953125002</v>
      </c>
      <c r="W4" s="595">
        <f ca="1">IF(ISERROR(MATCH(W$1,INDIRECT("Table!A"&amp;$AH4):INDIRECT("Table!" &amp; $AK$63 &amp; $AH4),0)),"",INDIRECT(CONCATENATE("Table!",ADDRESS($AD4,MATCH(W$1,INDIRECT("Table!A" &amp; $AH4):INDIRECT("Table!" &amp; $AK$63 &amp; $AH4),0))))/1024)</f>
        <v>36.713334960937502</v>
      </c>
      <c r="X4" s="595">
        <f ca="1">IF(ISERROR(MATCH(X$1,INDIRECT("Table!A"&amp;$AH4):INDIRECT("Table!" &amp; $AK$63 &amp; $AH4),0)),"",INDIRECT(CONCATENATE("Table!",ADDRESS($AD4,MATCH(X$1,INDIRECT("Table!A" &amp; $AH4):INDIRECT("Table!" &amp; $AK$63 &amp; $AH4),0))))/1024)</f>
        <v>45.866973632812496</v>
      </c>
      <c r="Y4" s="595">
        <f ca="1">IF(ISERROR(MATCH(Y$1,INDIRECT("Table!A"&amp;$AH4):INDIRECT("Table!" &amp; $AK$63 &amp; $AH4),0)),"",INDIRECT(CONCATENATE("Table!",ADDRESS($AD4,MATCH(Y$1,INDIRECT("Table!A" &amp; $AH4):INDIRECT("Table!" &amp; $AK$63 &amp; $AH4),0))))/1024)</f>
        <v>18.471911132812501</v>
      </c>
      <c r="Z4" s="595">
        <f ca="1">IF(ISERROR(MATCH(Z$1,INDIRECT("Table!A"&amp;$AH4):INDIRECT("Table!" &amp; $AK$63 &amp; $AH4),0)),"",INDIRECT(CONCATENATE("Table!",ADDRESS($AD4,MATCH(Z$1,INDIRECT("Table!A" &amp; $AH4):INDIRECT("Table!" &amp; $AK$63 &amp; $AH4),0))))/1024)</f>
        <v>36.647481445312501</v>
      </c>
      <c r="AA4" s="595">
        <f ca="1">IF(ISERROR(MATCH(AA$1,INDIRECT("Table!A"&amp;$AH4):INDIRECT("Table!" &amp; $AK$63 &amp; $AH4),0)),"",INDIRECT(CONCATENATE("Table!",ADDRESS($AD4,MATCH(AA$1,INDIRECT("Table!A" &amp; $AH4):INDIRECT("Table!" &amp; $AK$63 &amp; $AH4),0))))/1024)</f>
        <v>65.129126953124995</v>
      </c>
      <c r="AB4" s="595">
        <f ca="1">IF(ISERROR(MATCH(AB$1,INDIRECT("Table!A"&amp;$AH4):INDIRECT("Table!" &amp; $AK$63 &amp; $AH4),0)),"",INDIRECT(CONCATENATE("Table!",ADDRESS($AD4,MATCH(AB$1,INDIRECT("Table!A" &amp; $AH4):INDIRECT("Table!" &amp; $AK$63 &amp; $AH4),0))))/1024)</f>
        <v>0</v>
      </c>
      <c r="AC4" s="595"/>
      <c r="AD4" s="595">
        <f>MATCH($A4,Table!$A:$A,0)+$AF$2-1</f>
        <v>25</v>
      </c>
      <c r="AE4" s="915"/>
      <c r="AF4" s="915"/>
      <c r="AG4" s="915"/>
      <c r="AH4" s="595">
        <f>MATCH($A4,Table!$A:$A,0)+$AJ$2-1</f>
        <v>17</v>
      </c>
      <c r="AI4" s="915"/>
      <c r="AJ4" s="915"/>
      <c r="AK4" s="915" t="s">
        <v>284</v>
      </c>
      <c r="AL4" s="699">
        <f t="shared" ref="AL4" ca="1" si="1">SUM(B4:V4)</f>
        <v>3479.7326923828123</v>
      </c>
      <c r="AM4" s="699">
        <f ca="1">AL4-AL21</f>
        <v>297.62496386718749</v>
      </c>
    </row>
    <row r="5" spans="1:39" s="743" customFormat="1" x14ac:dyDescent="0.25">
      <c r="A5" s="592">
        <v>41808</v>
      </c>
      <c r="B5" s="595">
        <f ca="1">IF(ISERROR(MATCH(B$1,INDIRECT("Table!A"&amp;$AH5):INDIRECT("Table!" &amp; $AK$86 &amp; $AH5),0)),"",INDIRECT(CONCATENATE("Table!",ADDRESS($AD5,MATCH(B$1,INDIRECT("Table!A" &amp; $AH5):INDIRECT("Table!" &amp; $AK$86 &amp; $AH5),0))))/1024)</f>
        <v>175.20327832031251</v>
      </c>
      <c r="C5" s="595">
        <f ca="1">IF(ISERROR(MATCH(C$1,INDIRECT("Table!A"&amp;$AH5):INDIRECT("Table!" &amp; $AK$86 &amp; $AH5),0)),"",INDIRECT(CONCATENATE("Table!",ADDRESS($AD5,MATCH(C$1,INDIRECT("Table!A" &amp; $AH5):INDIRECT("Table!" &amp; $AK$86 &amp; $AH5),0))))/1024)</f>
        <v>97.06808203125</v>
      </c>
      <c r="D5" s="595">
        <f ca="1">IF(ISERROR(MATCH(D$1,INDIRECT("Table!A"&amp;$AH5):INDIRECT("Table!" &amp; $AK$86 &amp; $AH5),0)),"",INDIRECT(CONCATENATE("Table!",ADDRESS($AD5,MATCH(D$1,INDIRECT("Table!A" &amp; $AH5):INDIRECT("Table!" &amp; $AK$86 &amp; $AH5),0))))/1024)</f>
        <v>97.06808203125</v>
      </c>
      <c r="E5" s="595">
        <f ca="1">IF(ISERROR(MATCH(E$1,INDIRECT("Table!A"&amp;$AH5):INDIRECT("Table!" &amp; $AK$86 &amp; $AH5),0)),"",INDIRECT(CONCATENATE("Table!",ADDRESS($AD5,MATCH(E$1,INDIRECT("Table!A" &amp; $AH5):INDIRECT("Table!" &amp; $AK$86 &amp; $AH5),0))))/1024)</f>
        <v>235.19583105468749</v>
      </c>
      <c r="F5" s="595">
        <f ca="1">IF(ISERROR(MATCH(F$1,INDIRECT("Table!A"&amp;$AH5):INDIRECT("Table!" &amp; $AK$86 &amp; $AH5),0)),"",INDIRECT(CONCATENATE("Table!",ADDRESS($AD5,MATCH(F$1,INDIRECT("Table!A" &amp; $AH5):INDIRECT("Table!" &amp; $AK$86 &amp; $AH5),0))))/1024)</f>
        <v>110.63390625</v>
      </c>
      <c r="G5" s="595">
        <f ca="1">IF(ISERROR(MATCH(G$1,INDIRECT("Table!A"&amp;$AH5):INDIRECT("Table!" &amp; $AK$86 &amp; $AH5),0)),"",INDIRECT(CONCATENATE("Table!",ADDRESS($AD5,MATCH(G$1,INDIRECT("Table!A" &amp; $AH5):INDIRECT("Table!" &amp; $AK$86 &amp; $AH5),0))))/1024)</f>
        <v>448.33073437499996</v>
      </c>
      <c r="H5" s="595">
        <f ca="1">IF(ISERROR(MATCH(H$1,INDIRECT("Table!A"&amp;$AH5):INDIRECT("Table!" &amp; $AK$86 &amp; $AH5),0)),"",INDIRECT(CONCATENATE("Table!",ADDRESS($AD5,MATCH(H$1,INDIRECT("Table!A" &amp; $AH5):INDIRECT("Table!" &amp; $AK$86 &amp; $AH5),0))))/1024)</f>
        <v>228.80804003906249</v>
      </c>
      <c r="I5" s="595">
        <f ca="1">IF(ISERROR(MATCH(I$1,INDIRECT("Table!A"&amp;$AH5):INDIRECT("Table!" &amp; $AK$63 &amp; $AH5),0)),"",INDIRECT(CONCATENATE("Table!",ADDRESS($AD5,MATCH(I$1,INDIRECT("Table!A" &amp; $AH5):INDIRECT("Table!" &amp; $AK$63 &amp; $AH5),0))))/1024)</f>
        <v>45.405999023437495</v>
      </c>
      <c r="J5" s="595">
        <f ca="1">IF(ISERROR(MATCH(J$1,INDIRECT("Table!A"&amp;$AH5):INDIRECT("Table!" &amp; $AK$63 &amp; $AH5),0)),"",INDIRECT(CONCATENATE("Table!",ADDRESS($AD5,MATCH(J$1,INDIRECT("Table!A" &amp; $AH5):INDIRECT("Table!" &amp; $AK$63 &amp; $AH5),0))))/1024)</f>
        <v>196.8690849609375</v>
      </c>
      <c r="K5" s="595">
        <f ca="1">IF(ISERROR(MATCH(K$1,INDIRECT("Table!A"&amp;$AH5):INDIRECT("Table!" &amp; $AK$63 &amp; $AH5),0)),"",INDIRECT(CONCATENATE("Table!",ADDRESS($AD5,MATCH(K$1,INDIRECT("Table!A" &amp; $AH5):INDIRECT("Table!" &amp; $AK$63 &amp; $AH5),0))))/1024)</f>
        <v>217.909283203125</v>
      </c>
      <c r="L5" s="595">
        <f ca="1">IF(ISERROR(MATCH(L$1,INDIRECT("Table!A"&amp;$AH5):INDIRECT("Table!" &amp; $AK$63 &amp; $AH5),0)),"",INDIRECT(CONCATENATE("Table!",ADDRESS($AD5,MATCH(L$1,INDIRECT("Table!A" &amp; $AH5):INDIRECT("Table!" &amp; $AK$63 &amp; $AH5),0))))/1024)</f>
        <v>219.58854785156248</v>
      </c>
      <c r="M5" s="595">
        <f ca="1">IF(ISERROR(MATCH(M$1,INDIRECT("Table!A"&amp;$AH5):INDIRECT("Table!" &amp; $AK$63 &amp; $AH5),0)),"",INDIRECT(CONCATENATE("Table!",ADDRESS($AD5,MATCH(M$1,INDIRECT("Table!A" &amp; $AH5):INDIRECT("Table!" &amp; $AK$63 &amp; $AH5),0))))/1024)</f>
        <v>357.97971093749999</v>
      </c>
      <c r="N5" s="595">
        <f ca="1">IF(ISERROR(MATCH(N$1,INDIRECT("Table!A"&amp;$AH5):INDIRECT("Table!" &amp; $AK$63 &amp; $AH5),0)),"",INDIRECT(CONCATENATE("Table!",ADDRESS($AD5,MATCH(N$1,INDIRECT("Table!A" &amp; $AH5):INDIRECT("Table!" &amp; $AK$63 &amp; $AH5),0))))/1024)</f>
        <v>112.938779296875</v>
      </c>
      <c r="O5" s="595">
        <f ca="1">IF(ISERROR(MATCH(O$1,INDIRECT("Table!A"&amp;$AH5):INDIRECT("Table!" &amp; $AK$63 &amp; $AH5),0)),"",INDIRECT(CONCATENATE("Table!",ADDRESS($AD5,MATCH(O$1,INDIRECT("Table!A" &amp; $AH5):INDIRECT("Table!" &amp; $AK$63 &amp; $AH5),0))))/1024)</f>
        <v>170.98865332031249</v>
      </c>
      <c r="P5" s="595">
        <f ca="1">IF(ISERROR(MATCH(P$1,INDIRECT("Table!A"&amp;$AH5):INDIRECT("Table!" &amp; $AK$63 &amp; $AH5),0)),"",INDIRECT(CONCATENATE("Table!",ADDRESS($AD5,MATCH(P$1,INDIRECT("Table!A" &amp; $AH5):INDIRECT("Table!" &amp; $AK$63 &amp; $AH5),0))))/1024)</f>
        <v>60.157186523437495</v>
      </c>
      <c r="Q5" s="595">
        <f ca="1">IF(ISERROR(MATCH(Q$1,INDIRECT("Table!A"&amp;$AH5):INDIRECT("Table!" &amp; $AK$63 &amp; $AH5),0)),"",INDIRECT(CONCATENATE("Table!",ADDRESS($AD5,MATCH(Q$1,INDIRECT("Table!A" &amp; $AH5):INDIRECT("Table!" &amp; $AK$63 &amp; $AH5),0))))/1024)</f>
        <v>151.397232421875</v>
      </c>
      <c r="R5" s="595">
        <f ca="1">IF(ISERROR(MATCH(R$1,INDIRECT("Table!A"&amp;$AH5):INDIRECT("Table!" &amp; $AK$63 &amp; $AH5),0)),"",INDIRECT(CONCATENATE("Table!",ADDRESS($AD5,MATCH(R$1,INDIRECT("Table!A" &amp; $AH5):INDIRECT("Table!" &amp; $AK$63 &amp; $AH5),0))))/1024)</f>
        <v>329.89318652343746</v>
      </c>
      <c r="S5" s="595">
        <f ca="1">IF(ISERROR(MATCH(S$1,INDIRECT("Table!A"&amp;$AH5):INDIRECT("Table!" &amp; $AK$63 &amp; $AH5),0)),"",INDIRECT(CONCATENATE("Table!",ADDRESS($AD5,MATCH(S$1,INDIRECT("Table!A" &amp; $AH5):INDIRECT("Table!" &amp; $AK$63 &amp; $AH5),0))))/1024)</f>
        <v>56.502316406249996</v>
      </c>
      <c r="T5" s="595">
        <f ca="1">IF(ISERROR(MATCH(T$1,INDIRECT("Table!A"&amp;$AH5):INDIRECT("Table!" &amp; $AK$63 &amp; $AH5),0)),"",INDIRECT(CONCATENATE("Table!",ADDRESS($AD5,MATCH(T$1,INDIRECT("Table!A" &amp; $AH5):INDIRECT("Table!" &amp; $AK$63 &amp; $AH5),0))))/1024)</f>
        <v>36.318213867187495</v>
      </c>
      <c r="U5" s="595">
        <f ca="1">IF(ISERROR(MATCH(U$1,INDIRECT("Table!A"&amp;$AH5):INDIRECT("Table!" &amp; $AK$63 &amp; $AH5),0)),"",INDIRECT(CONCATENATE("Table!",ADDRESS($AD5,MATCH(U$1,INDIRECT("Table!A" &amp; $AH5):INDIRECT("Table!" &amp; $AK$63 &amp; $AH5),0))))/1024)</f>
        <v>61.177916015624994</v>
      </c>
      <c r="V5" s="595">
        <f ca="1">IF(ISERROR(MATCH(V$1,INDIRECT("Table!A"&amp;$AH5):INDIRECT("Table!" &amp; $AK$63 &amp; $AH5),0)),"",INDIRECT(CONCATENATE("Table!",ADDRESS($AD5,MATCH(V$1,INDIRECT("Table!A" &amp; $AH5):INDIRECT("Table!" &amp; $AK$63 &amp; $AH5),0))))/1024)</f>
        <v>81.987626953125002</v>
      </c>
      <c r="W5" s="595">
        <f ca="1">IF(ISERROR(MATCH(W$1,INDIRECT("Table!A"&amp;$AH5):INDIRECT("Table!" &amp; $AK$63 &amp; $AH5),0)),"",INDIRECT(CONCATENATE("Table!",ADDRESS($AD5,MATCH(W$1,INDIRECT("Table!A" &amp; $AH5):INDIRECT("Table!" &amp; $AK$63 &amp; $AH5),0))))/1024)</f>
        <v>31.148712890624999</v>
      </c>
      <c r="X5" s="595">
        <f ca="1">IF(ISERROR(MATCH(X$1,INDIRECT("Table!A"&amp;$AH5):INDIRECT("Table!" &amp; $AK$63 &amp; $AH5),0)),"",INDIRECT(CONCATENATE("Table!",ADDRESS($AD5,MATCH(X$1,INDIRECT("Table!A" &amp; $AH5):INDIRECT("Table!" &amp; $AK$63 &amp; $AH5),0))))/1024)</f>
        <v>40.3023515625</v>
      </c>
      <c r="Y5" s="595">
        <f ca="1">IF(ISERROR(MATCH(Y$1,INDIRECT("Table!A"&amp;$AH5):INDIRECT("Table!" &amp; $AK$63 &amp; $AH5),0)),"",INDIRECT(CONCATENATE("Table!",ADDRESS($AD5,MATCH(Y$1,INDIRECT("Table!A" &amp; $AH5):INDIRECT("Table!" &amp; $AK$63 &amp; $AH5),0))))/1024)</f>
        <v>18.471911132812501</v>
      </c>
      <c r="Z5" s="595">
        <f ca="1">IF(ISERROR(MATCH(Z$1,INDIRECT("Table!A"&amp;$AH5):INDIRECT("Table!" &amp; $AK$63 &amp; $AH5),0)),"",INDIRECT(CONCATENATE("Table!",ADDRESS($AD5,MATCH(Z$1,INDIRECT("Table!A" &amp; $AH5):INDIRECT("Table!" &amp; $AK$63 &amp; $AH5),0))))/1024)</f>
        <v>36.647481445312501</v>
      </c>
      <c r="AA5" s="595">
        <f ca="1">IF(ISERROR(MATCH(AA$1,INDIRECT("Table!A"&amp;$AH5):INDIRECT("Table!" &amp; $AK$63 &amp; $AH5),0)),"",INDIRECT(CONCATENATE("Table!",ADDRESS($AD5,MATCH(AA$1,INDIRECT("Table!A" &amp; $AH5):INDIRECT("Table!" &amp; $AK$63 &amp; $AH5),0))))/1024)</f>
        <v>26.176772460937499</v>
      </c>
      <c r="AB5" s="595">
        <f ca="1">IF(ISERROR(MATCH(AB$1,INDIRECT("Table!A"&amp;$AH5):INDIRECT("Table!" &amp; $AK$63 &amp; $AH5),0)),"",INDIRECT(CONCATENATE("Table!",ADDRESS($AD5,MATCH(AB$1,INDIRECT("Table!A" &amp; $AH5):INDIRECT("Table!" &amp; $AK$63 &amp; $AH5),0))))/1024)</f>
        <v>0</v>
      </c>
      <c r="AC5" s="595"/>
      <c r="AD5" s="595">
        <f>MATCH($A5,Table!$A:$A,0)+$AF$2-1</f>
        <v>39</v>
      </c>
      <c r="AE5" s="912"/>
      <c r="AF5" s="912"/>
      <c r="AG5" s="912"/>
      <c r="AH5" s="595">
        <f>MATCH($A5,Table!$A:$A,0)+$AJ$2-1</f>
        <v>31</v>
      </c>
      <c r="AI5" s="912"/>
      <c r="AJ5" s="912"/>
      <c r="AK5" s="912" t="s">
        <v>284</v>
      </c>
      <c r="AL5" s="699">
        <f t="shared" ref="AL5" ca="1" si="2">SUM(B5:V5)</f>
        <v>3491.4216914062499</v>
      </c>
      <c r="AM5" s="699">
        <f ca="1">AL5-AL21</f>
        <v>309.31396289062513</v>
      </c>
    </row>
    <row r="6" spans="1:39" s="743" customFormat="1" x14ac:dyDescent="0.25">
      <c r="A6" s="592">
        <v>41801</v>
      </c>
      <c r="B6" s="595">
        <f ca="1">IF(ISERROR(MATCH(B$1,INDIRECT("Table!A"&amp;$AH6):INDIRECT("Table!" &amp; $AK$86 &amp; $AH6),0)),"",INDIRECT(CONCATENATE("Table!",ADDRESS($AD6,MATCH(B$1,INDIRECT("Table!A" &amp; $AH6):INDIRECT("Table!" &amp; $AK$86 &amp; $AH6),0))))/1024)</f>
        <v>175.20327832031251</v>
      </c>
      <c r="C6" s="595">
        <f ca="1">IF(ISERROR(MATCH(C$1,INDIRECT("Table!A"&amp;$AH6):INDIRECT("Table!" &amp; $AK$86 &amp; $AH6),0)),"",INDIRECT(CONCATENATE("Table!",ADDRESS($AD6,MATCH(C$1,INDIRECT("Table!A" &amp; $AH6):INDIRECT("Table!" &amp; $AK$86 &amp; $AH6),0))))/1024)</f>
        <v>97.06808203125</v>
      </c>
      <c r="D6" s="595">
        <f ca="1">IF(ISERROR(MATCH(D$1,INDIRECT("Table!A"&amp;$AH6):INDIRECT("Table!" &amp; $AK$86 &amp; $AH6),0)),"",INDIRECT(CONCATENATE("Table!",ADDRESS($AD6,MATCH(D$1,INDIRECT("Table!A" &amp; $AH6):INDIRECT("Table!" &amp; $AK$86 &amp; $AH6),0))))/1024)</f>
        <v>97.06808203125</v>
      </c>
      <c r="E6" s="595">
        <f ca="1">IF(ISERROR(MATCH(E$1,INDIRECT("Table!A"&amp;$AH6):INDIRECT("Table!" &amp; $AK$86 &amp; $AH6),0)),"",INDIRECT(CONCATENATE("Table!",ADDRESS($AD6,MATCH(E$1,INDIRECT("Table!A" &amp; $AH6):INDIRECT("Table!" &amp; $AK$86 &amp; $AH6),0))))/1024)</f>
        <v>247.74092578124998</v>
      </c>
      <c r="F6" s="595">
        <f ca="1">IF(ISERROR(MATCH(F$1,INDIRECT("Table!A"&amp;$AH6):INDIRECT("Table!" &amp; $AK$86 &amp; $AH6),0)),"",INDIRECT(CONCATENATE("Table!",ADDRESS($AD6,MATCH(F$1,INDIRECT("Table!A" &amp; $AH6):INDIRECT("Table!" &amp; $AK$86 &amp; $AH6),0))))/1024)</f>
        <v>110.23878515624999</v>
      </c>
      <c r="G6" s="595">
        <f ca="1">IF(ISERROR(MATCH(G$1,INDIRECT("Table!A"&amp;$AH6):INDIRECT("Table!" &amp; $AK$86 &amp; $AH6),0)),"",INDIRECT(CONCATENATE("Table!",ADDRESS($AD6,MATCH(G$1,INDIRECT("Table!A" &amp; $AH6):INDIRECT("Table!" &amp; $AK$86 &amp; $AH6),0))))/1024)</f>
        <v>448.33073437499996</v>
      </c>
      <c r="H6" s="595">
        <f ca="1">IF(ISERROR(MATCH(H$1,INDIRECT("Table!A"&amp;$AH6):INDIRECT("Table!" &amp; $AK$86 &amp; $AH6),0)),"",INDIRECT(CONCATENATE("Table!",ADDRESS($AD6,MATCH(H$1,INDIRECT("Table!A" &amp; $AH6):INDIRECT("Table!" &amp; $AK$86 &amp; $AH6),0))))/1024)</f>
        <v>228.80804003906249</v>
      </c>
      <c r="I6" s="595">
        <f ca="1">IF(ISERROR(MATCH(I$1,INDIRECT("Table!A"&amp;$AH6):INDIRECT("Table!" &amp; $AK$63 &amp; $AH6),0)),"",INDIRECT(CONCATENATE("Table!",ADDRESS($AD6,MATCH(I$1,INDIRECT("Table!A" &amp; $AH6):INDIRECT("Table!" &amp; $AK$63 &amp; $AH6),0))))/1024)</f>
        <v>45.405999023437495</v>
      </c>
      <c r="J6" s="595">
        <f ca="1">IF(ISERROR(MATCH(J$1,INDIRECT("Table!A"&amp;$AH6):INDIRECT("Table!" &amp; $AK$63 &amp; $AH6),0)),"",INDIRECT(CONCATENATE("Table!",ADDRESS($AD6,MATCH(J$1,INDIRECT("Table!A" &amp; $AH6):INDIRECT("Table!" &amp; $AK$63 &amp; $AH6),0))))/1024)</f>
        <v>196.11176953124999</v>
      </c>
      <c r="K6" s="595">
        <f ca="1">IF(ISERROR(MATCH(K$1,INDIRECT("Table!A"&amp;$AH6):INDIRECT("Table!" &amp; $AK$63 &amp; $AH6),0)),"",INDIRECT(CONCATENATE("Table!",ADDRESS($AD6,MATCH(K$1,INDIRECT("Table!A" &amp; $AH6):INDIRECT("Table!" &amp; $AK$63 &amp; $AH6),0))))/1024)</f>
        <v>216.92148046874999</v>
      </c>
      <c r="L6" s="595">
        <f ca="1">IF(ISERROR(MATCH(L$1,INDIRECT("Table!A"&amp;$AH6):INDIRECT("Table!" &amp; $AK$63 &amp; $AH6),0)),"",INDIRECT(CONCATENATE("Table!",ADDRESS($AD6,MATCH(L$1,INDIRECT("Table!A" &amp; $AH6):INDIRECT("Table!" &amp; $AK$63 &amp; $AH6),0))))/1024)</f>
        <v>231.80437499999999</v>
      </c>
      <c r="M6" s="595">
        <f ca="1">IF(ISERROR(MATCH(M$1,INDIRECT("Table!A"&amp;$AH6):INDIRECT("Table!" &amp; $AK$63 &amp; $AH6),0)),"",INDIRECT(CONCATENATE("Table!",ADDRESS($AD6,MATCH(M$1,INDIRECT("Table!A" &amp; $AH6):INDIRECT("Table!" &amp; $AK$63 &amp; $AH6),0))))/1024)</f>
        <v>357.97971093749999</v>
      </c>
      <c r="N6" s="595">
        <f ca="1">IF(ISERROR(MATCH(N$1,INDIRECT("Table!A"&amp;$AH6):INDIRECT("Table!" &amp; $AK$63 &amp; $AH6),0)),"",INDIRECT(CONCATENATE("Table!",ADDRESS($AD6,MATCH(N$1,INDIRECT("Table!A" &amp; $AH6):INDIRECT("Table!" &amp; $AK$63 &amp; $AH6),0))))/1024)</f>
        <v>112.938779296875</v>
      </c>
      <c r="O6" s="595">
        <f ca="1">IF(ISERROR(MATCH(O$1,INDIRECT("Table!A"&amp;$AH6):INDIRECT("Table!" &amp; $AK$63 &amp; $AH6),0)),"",INDIRECT(CONCATENATE("Table!",ADDRESS($AD6,MATCH(O$1,INDIRECT("Table!A" &amp; $AH6):INDIRECT("Table!" &amp; $AK$63 &amp; $AH6),0))))/1024)</f>
        <v>179.68131738281249</v>
      </c>
      <c r="P6" s="595">
        <f ca="1">IF(ISERROR(MATCH(P$1,INDIRECT("Table!A"&amp;$AH6):INDIRECT("Table!" &amp; $AK$63 &amp; $AH6),0)),"",INDIRECT(CONCATENATE("Table!",ADDRESS($AD6,MATCH(P$1,INDIRECT("Table!A" &amp; $AH6):INDIRECT("Table!" &amp; $AK$63 &amp; $AH6),0))))/1024)</f>
        <v>60.157186523437495</v>
      </c>
      <c r="Q6" s="595">
        <f ca="1">IF(ISERROR(MATCH(Q$1,INDIRECT("Table!A"&amp;$AH6):INDIRECT("Table!" &amp; $AK$63 &amp; $AH6),0)),"",INDIRECT(CONCATENATE("Table!",ADDRESS($AD6,MATCH(Q$1,INDIRECT("Table!A" &amp; $AH6):INDIRECT("Table!" &amp; $AK$63 &amp; $AH6),0))))/1024)</f>
        <v>150.63991699218749</v>
      </c>
      <c r="R6" s="595">
        <f ca="1">IF(ISERROR(MATCH(R$1,INDIRECT("Table!A"&amp;$AH6):INDIRECT("Table!" &amp; $AK$63 &amp; $AH6),0)),"",INDIRECT(CONCATENATE("Table!",ADDRESS($AD6,MATCH(R$1,INDIRECT("Table!A" &amp; $AH6):INDIRECT("Table!" &amp; $AK$63 &amp; $AH6),0))))/1024)</f>
        <v>329.79440625000001</v>
      </c>
      <c r="S6" s="595">
        <f ca="1">IF(ISERROR(MATCH(S$1,INDIRECT("Table!A"&amp;$AH6):INDIRECT("Table!" &amp; $AK$63 &amp; $AH6),0)),"",INDIRECT(CONCATENATE("Table!",ADDRESS($AD6,MATCH(S$1,INDIRECT("Table!A" &amp; $AH6):INDIRECT("Table!" &amp; $AK$63 &amp; $AH6),0))))/1024)</f>
        <v>56.502316406249996</v>
      </c>
      <c r="T6" s="595">
        <f ca="1">IF(ISERROR(MATCH(T$1,INDIRECT("Table!A"&amp;$AH6):INDIRECT("Table!" &amp; $AK$63 &amp; $AH6),0)),"",INDIRECT(CONCATENATE("Table!",ADDRESS($AD6,MATCH(T$1,INDIRECT("Table!A" &amp; $AH6):INDIRECT("Table!" &amp; $AK$63 &amp; $AH6),0))))/1024)</f>
        <v>36.318213867187495</v>
      </c>
      <c r="U6" s="595">
        <f ca="1">IF(ISERROR(MATCH(U$1,INDIRECT("Table!A"&amp;$AH6):INDIRECT("Table!" &amp; $AK$63 &amp; $AH6),0)),"",INDIRECT(CONCATENATE("Table!",ADDRESS($AD6,MATCH(U$1,INDIRECT("Table!A" &amp; $AH6):INDIRECT("Table!" &amp; $AK$63 &amp; $AH6),0))))/1024)</f>
        <v>60.848648437499996</v>
      </c>
      <c r="V6" s="595">
        <f ca="1">IF(ISERROR(MATCH(V$1,INDIRECT("Table!A"&amp;$AH6):INDIRECT("Table!" &amp; $AK$63 &amp; $AH6),0)),"",INDIRECT(CONCATENATE("Table!",ADDRESS($AD6,MATCH(V$1,INDIRECT("Table!A" &amp; $AH6):INDIRECT("Table!" &amp; $AK$63 &amp; $AH6),0))))/1024)</f>
        <v>81.658359375000003</v>
      </c>
      <c r="W6" s="595">
        <f ca="1">IF(ISERROR(MATCH(W$1,INDIRECT("Table!A"&amp;$AH6):INDIRECT("Table!" &amp; $AK$63 &amp; $AH6),0)),"",INDIRECT(CONCATENATE("Table!",ADDRESS($AD6,MATCH(W$1,INDIRECT("Table!A" &amp; $AH6):INDIRECT("Table!" &amp; $AK$63 &amp; $AH6),0))))/1024)</f>
        <v>22.456048828124999</v>
      </c>
      <c r="X6" s="595">
        <f ca="1">IF(ISERROR(MATCH(X$1,INDIRECT("Table!A"&amp;$AH6):INDIRECT("Table!" &amp; $AK$63 &amp; $AH6),0)),"",INDIRECT(CONCATENATE("Table!",ADDRESS($AD6,MATCH(X$1,INDIRECT("Table!A" &amp; $AH6):INDIRECT("Table!" &amp; $AK$63 &amp; $AH6),0))))/1024)</f>
        <v>31.6096875</v>
      </c>
      <c r="Y6" s="595">
        <f ca="1">IF(ISERROR(MATCH(Y$1,INDIRECT("Table!A"&amp;$AH6):INDIRECT("Table!" &amp; $AK$63 &amp; $AH6),0)),"",INDIRECT(CONCATENATE("Table!",ADDRESS($AD6,MATCH(Y$1,INDIRECT("Table!A" &amp; $AH6):INDIRECT("Table!" &amp; $AK$63 &amp; $AH6),0))))/1024)</f>
        <v>18.471911132812501</v>
      </c>
      <c r="Z6" s="595">
        <f ca="1">IF(ISERROR(MATCH(Z$1,INDIRECT("Table!A"&amp;$AH6):INDIRECT("Table!" &amp; $AK$63 &amp; $AH6),0)),"",INDIRECT(CONCATENATE("Table!",ADDRESS($AD6,MATCH(Z$1,INDIRECT("Table!A" &amp; $AH6):INDIRECT("Table!" &amp; $AK$63 &amp; $AH6),0))))/1024)</f>
        <v>36.647481445312501</v>
      </c>
      <c r="AA6" s="595">
        <f ca="1">IF(ISERROR(MATCH(AA$1,INDIRECT("Table!A"&amp;$AH6):INDIRECT("Table!" &amp; $AK$63 &amp; $AH6),0)),"",INDIRECT(CONCATENATE("Table!",ADDRESS($AD6,MATCH(AA$1,INDIRECT("Table!A" &amp; $AH6):INDIRECT("Table!" &amp; $AK$63 &amp; $AH6),0))))/1024)</f>
        <v>23.674338867187497</v>
      </c>
      <c r="AB6" s="595" t="str">
        <f ca="1">IF(ISERROR(MATCH(AB$1,INDIRECT("Table!A"&amp;$AH6):INDIRECT("Table!" &amp; $AK$63 &amp; $AH6),0)),"",INDIRECT(CONCATENATE("Table!",ADDRESS($AD6,MATCH(AB$1,INDIRECT("Table!A" &amp; $AH6):INDIRECT("Table!" &amp; $AK$63 &amp; $AH6),0))))/1024)</f>
        <v/>
      </c>
      <c r="AC6" s="595"/>
      <c r="AD6" s="595">
        <f>MATCH($A6,Table!$A:$A,0)+$AF$2-1</f>
        <v>53</v>
      </c>
      <c r="AE6" s="903"/>
      <c r="AF6" s="903"/>
      <c r="AG6" s="903"/>
      <c r="AH6" s="595">
        <f>MATCH($A6,Table!$A:$A,0)+$AJ$2-1</f>
        <v>45</v>
      </c>
      <c r="AI6" s="903"/>
      <c r="AJ6" s="903"/>
      <c r="AK6" s="904" t="s">
        <v>284</v>
      </c>
      <c r="AL6" s="699">
        <f t="shared" ca="1" si="0"/>
        <v>3521.2204072265622</v>
      </c>
      <c r="AM6" s="699">
        <f ca="1">AL6-AL21</f>
        <v>339.11267871093742</v>
      </c>
    </row>
    <row r="7" spans="1:39" s="743" customFormat="1" x14ac:dyDescent="0.25">
      <c r="A7" s="592">
        <v>41794</v>
      </c>
      <c r="B7" s="595">
        <f ca="1">IF(ISERROR(MATCH(B$1,INDIRECT("Table!A"&amp;$AH7):INDIRECT("Table!" &amp; $AK$86 &amp; $AH7),0)),"",INDIRECT(CONCATENATE("Table!",ADDRESS($AD7,MATCH(B$1,INDIRECT("Table!A" &amp; $AH7):INDIRECT("Table!" &amp; $AK$86 &amp; $AH7),0))))/1024)</f>
        <v>175.20327832031251</v>
      </c>
      <c r="C7" s="595">
        <f ca="1">IF(ISERROR(MATCH(C$1,INDIRECT("Table!A"&amp;$AH7):INDIRECT("Table!" &amp; $AK$86 &amp; $AH7),0)),"",INDIRECT(CONCATENATE("Table!",ADDRESS($AD7,MATCH(C$1,INDIRECT("Table!A" &amp; $AH7):INDIRECT("Table!" &amp; $AK$86 &amp; $AH7),0))))/1024)</f>
        <v>97.06808203125</v>
      </c>
      <c r="D7" s="595">
        <f ca="1">IF(ISERROR(MATCH(D$1,INDIRECT("Table!A"&amp;$AH7):INDIRECT("Table!" &amp; $AK$86 &amp; $AH7),0)),"",INDIRECT(CONCATENATE("Table!",ADDRESS($AD7,MATCH(D$1,INDIRECT("Table!A" &amp; $AH7):INDIRECT("Table!" &amp; $AK$86 &amp; $AH7),0))))/1024)</f>
        <v>97.06808203125</v>
      </c>
      <c r="E7" s="595">
        <f ca="1">IF(ISERROR(MATCH(E$1,INDIRECT("Table!A"&amp;$AH7):INDIRECT("Table!" &amp; $AK$86 &amp; $AH7),0)),"",INDIRECT(CONCATENATE("Table!",ADDRESS($AD7,MATCH(E$1,INDIRECT("Table!A" &amp; $AH7):INDIRECT("Table!" &amp; $AK$86 &amp; $AH7),0))))/1024)</f>
        <v>247.74092578124998</v>
      </c>
      <c r="F7" s="595">
        <f ca="1">IF(ISERROR(MATCH(F$1,INDIRECT("Table!A"&amp;$AH7):INDIRECT("Table!" &amp; $AK$86 &amp; $AH7),0)),"",INDIRECT(CONCATENATE("Table!",ADDRESS($AD7,MATCH(F$1,INDIRECT("Table!A" &amp; $AH7):INDIRECT("Table!" &amp; $AK$86 &amp; $AH7),0))))/1024)</f>
        <v>110.23878515624999</v>
      </c>
      <c r="G7" s="595">
        <f ca="1">IF(ISERROR(MATCH(G$1,INDIRECT("Table!A"&amp;$AH7):INDIRECT("Table!" &amp; $AK$86 &amp; $AH7),0)),"",INDIRECT(CONCATENATE("Table!",ADDRESS($AD7,MATCH(G$1,INDIRECT("Table!A" &amp; $AH7):INDIRECT("Table!" &amp; $AK$86 &amp; $AH7),0))))/1024)</f>
        <v>448.33073437499996</v>
      </c>
      <c r="H7" s="595">
        <f ca="1">IF(ISERROR(MATCH(H$1,INDIRECT("Table!A"&amp;$AH7):INDIRECT("Table!" &amp; $AK$86 &amp; $AH7),0)),"",INDIRECT(CONCATENATE("Table!",ADDRESS($AD7,MATCH(H$1,INDIRECT("Table!A" &amp; $AH7):INDIRECT("Table!" &amp; $AK$86 &amp; $AH7),0))))/1024)</f>
        <v>228.445845703125</v>
      </c>
      <c r="I7" s="595">
        <f ca="1">IF(ISERROR(MATCH(I$1,INDIRECT("Table!A"&amp;$AH7):INDIRECT("Table!" &amp; $AK$63 &amp; $AH7),0)),"",INDIRECT(CONCATENATE("Table!",ADDRESS($AD7,MATCH(I$1,INDIRECT("Table!A" &amp; $AH7):INDIRECT("Table!" &amp; $AK$63 &amp; $AH7),0))))/1024)</f>
        <v>45.405999023437495</v>
      </c>
      <c r="J7" s="595">
        <f ca="1">IF(ISERROR(MATCH(J$1,INDIRECT("Table!A"&amp;$AH7):INDIRECT("Table!" &amp; $AK$63 &amp; $AH7),0)),"",INDIRECT(CONCATENATE("Table!",ADDRESS($AD7,MATCH(J$1,INDIRECT("Table!A" &amp; $AH7):INDIRECT("Table!" &amp; $AK$63 &amp; $AH7),0))))/1024)</f>
        <v>196.11176953124999</v>
      </c>
      <c r="K7" s="595">
        <f ca="1">IF(ISERROR(MATCH(K$1,INDIRECT("Table!A"&amp;$AH7):INDIRECT("Table!" &amp; $AK$63 &amp; $AH7),0)),"",INDIRECT(CONCATENATE("Table!",ADDRESS($AD7,MATCH(K$1,INDIRECT("Table!A" &amp; $AH7):INDIRECT("Table!" &amp; $AK$63 &amp; $AH7),0))))/1024)</f>
        <v>216.526359375</v>
      </c>
      <c r="L7" s="595">
        <f ca="1">IF(ISERROR(MATCH(L$1,INDIRECT("Table!A"&amp;$AH7):INDIRECT("Table!" &amp; $AK$63 &amp; $AH7),0)),"",INDIRECT(CONCATENATE("Table!",ADDRESS($AD7,MATCH(L$1,INDIRECT("Table!A" &amp; $AH7):INDIRECT("Table!" &amp; $AK$63 &amp; $AH7),0))))/1024)</f>
        <v>231.80437499999999</v>
      </c>
      <c r="M7" s="595">
        <f ca="1">IF(ISERROR(MATCH(M$1,INDIRECT("Table!A"&amp;$AH7):INDIRECT("Table!" &amp; $AK$63 &amp; $AH7),0)),"",INDIRECT(CONCATENATE("Table!",ADDRESS($AD7,MATCH(M$1,INDIRECT("Table!A" &amp; $AH7):INDIRECT("Table!" &amp; $AK$63 &amp; $AH7),0))))/1024)</f>
        <v>357.97971093749999</v>
      </c>
      <c r="N7" s="595">
        <f ca="1">IF(ISERROR(MATCH(N$1,INDIRECT("Table!A"&amp;$AH7):INDIRECT("Table!" &amp; $AK$63 &amp; $AH7),0)),"",INDIRECT(CONCATENATE("Table!",ADDRESS($AD7,MATCH(N$1,INDIRECT("Table!A" &amp; $AH7):INDIRECT("Table!" &amp; $AK$63 &amp; $AH7),0))))/1024)</f>
        <v>112.938779296875</v>
      </c>
      <c r="O7" s="595">
        <f ca="1">IF(ISERROR(MATCH(O$1,INDIRECT("Table!A"&amp;$AH7):INDIRECT("Table!" &amp; $AK$63 &amp; $AH7),0)),"",INDIRECT(CONCATENATE("Table!",ADDRESS($AD7,MATCH(O$1,INDIRECT("Table!A" &amp; $AH7):INDIRECT("Table!" &amp; $AK$63 &amp; $AH7),0))))/1024)</f>
        <v>179.31912304687501</v>
      </c>
      <c r="P7" s="595">
        <f ca="1">IF(ISERROR(MATCH(P$1,INDIRECT("Table!A"&amp;$AH7):INDIRECT("Table!" &amp; $AK$63 &amp; $AH7),0)),"",INDIRECT(CONCATENATE("Table!",ADDRESS($AD7,MATCH(P$1,INDIRECT("Table!A" &amp; $AH7):INDIRECT("Table!" &amp; $AK$63 &amp; $AH7),0))))/1024)</f>
        <v>60.157186523437495</v>
      </c>
      <c r="Q7" s="595">
        <f ca="1">IF(ISERROR(MATCH(Q$1,INDIRECT("Table!A"&amp;$AH7):INDIRECT("Table!" &amp; $AK$63 &amp; $AH7),0)),"",INDIRECT(CONCATENATE("Table!",ADDRESS($AD7,MATCH(Q$1,INDIRECT("Table!A" &amp; $AH7):INDIRECT("Table!" &amp; $AK$63 &amp; $AH7),0))))/1024)</f>
        <v>150.63991699218749</v>
      </c>
      <c r="R7" s="595">
        <f ca="1">IF(ISERROR(MATCH(R$1,INDIRECT("Table!A"&amp;$AH7):INDIRECT("Table!" &amp; $AK$63 &amp; $AH7),0)),"",INDIRECT(CONCATENATE("Table!",ADDRESS($AD7,MATCH(R$1,INDIRECT("Table!A" &amp; $AH7):INDIRECT("Table!" &amp; $AK$63 &amp; $AH7),0))))/1024)</f>
        <v>328.41148242187501</v>
      </c>
      <c r="S7" s="595">
        <f ca="1">IF(ISERROR(MATCH(S$1,INDIRECT("Table!A"&amp;$AH7):INDIRECT("Table!" &amp; $AK$63 &amp; $AH7),0)),"",INDIRECT(CONCATENATE("Table!",ADDRESS($AD7,MATCH(S$1,INDIRECT("Table!A" &amp; $AH7):INDIRECT("Table!" &amp; $AK$63 &amp; $AH7),0))))/1024)</f>
        <v>56.502316406249996</v>
      </c>
      <c r="T7" s="595">
        <f ca="1">IF(ISERROR(MATCH(T$1,INDIRECT("Table!A"&amp;$AH7):INDIRECT("Table!" &amp; $AK$63 &amp; $AH7),0)),"",INDIRECT(CONCATENATE("Table!",ADDRESS($AD7,MATCH(T$1,INDIRECT("Table!A" &amp; $AH7):INDIRECT("Table!" &amp; $AK$63 &amp; $AH7),0))))/1024)</f>
        <v>36.318213867187495</v>
      </c>
      <c r="U7" s="595">
        <f ca="1">IF(ISERROR(MATCH(U$1,INDIRECT("Table!A"&amp;$AH7):INDIRECT("Table!" &amp; $AK$63 &amp; $AH7),0)),"",INDIRECT(CONCATENATE("Table!",ADDRESS($AD7,MATCH(U$1,INDIRECT("Table!A" &amp; $AH7):INDIRECT("Table!" &amp; $AK$63 &amp; $AH7),0))))/1024)</f>
        <v>60.848648437499996</v>
      </c>
      <c r="V7" s="595">
        <f ca="1">IF(ISERROR(MATCH(V$1,INDIRECT("Table!A"&amp;$AH7):INDIRECT("Table!" &amp; $AK$63 &amp; $AH7),0)),"",INDIRECT(CONCATENATE("Table!",ADDRESS($AD7,MATCH(V$1,INDIRECT("Table!A" &amp; $AH7):INDIRECT("Table!" &amp; $AK$63 &amp; $AH7),0))))/1024)</f>
        <v>81.658359375000003</v>
      </c>
      <c r="W7" s="595">
        <f ca="1">IF(ISERROR(MATCH(W$1,INDIRECT("Table!A"&amp;$AH7):INDIRECT("Table!" &amp; $AK$63 &amp; $AH7),0)),"",INDIRECT(CONCATENATE("Table!",ADDRESS($AD7,MATCH(W$1,INDIRECT("Table!A" &amp; $AH7):INDIRECT("Table!" &amp; $AK$63 &amp; $AH7),0))))/1024)</f>
        <v>21.8633671875</v>
      </c>
      <c r="X7" s="595">
        <f ca="1">IF(ISERROR(MATCH(X$1,INDIRECT("Table!A"&amp;$AH7):INDIRECT("Table!" &amp; $AK$63 &amp; $AH7),0)),"",INDIRECT(CONCATENATE("Table!",ADDRESS($AD7,MATCH(X$1,INDIRECT("Table!A" &amp; $AH7):INDIRECT("Table!" &amp; $AK$63 &amp; $AH7),0))))/1024)</f>
        <v>31.017005859374997</v>
      </c>
      <c r="Y7" s="595">
        <f ca="1">IF(ISERROR(MATCH(Y$1,INDIRECT("Table!A"&amp;$AH7):INDIRECT("Table!" &amp; $AK$63 &amp; $AH7),0)),"",INDIRECT(CONCATENATE("Table!",ADDRESS($AD7,MATCH(Y$1,INDIRECT("Table!A" &amp; $AH7):INDIRECT("Table!" &amp; $AK$63 &amp; $AH7),0))))/1024)</f>
        <v>15.442649414062499</v>
      </c>
      <c r="Z7" s="595">
        <f ca="1">IF(ISERROR(MATCH(Z$1,INDIRECT("Table!A"&amp;$AH7):INDIRECT("Table!" &amp; $AK$63 &amp; $AH7),0)),"",INDIRECT(CONCATENATE("Table!",ADDRESS($AD7,MATCH(Z$1,INDIRECT("Table!A" &amp; $AH7):INDIRECT("Table!" &amp; $AK$63 &amp; $AH7),0))))/1024)</f>
        <v>30.720665039062499</v>
      </c>
      <c r="AA7" s="595">
        <f ca="1">IF(ISERROR(MATCH(AA$1,INDIRECT("Table!A"&amp;$AH7):INDIRECT("Table!" &amp; $AK$63 &amp; $AH7),0)),"",INDIRECT(CONCATENATE("Table!",ADDRESS($AD7,MATCH(AA$1,INDIRECT("Table!A" &amp; $AH7):INDIRECT("Table!" &amp; $AK$63 &amp; $AH7),0))))/1024)</f>
        <v>19.2621533203125</v>
      </c>
      <c r="AB7" s="595" t="str">
        <f ca="1">IF(ISERROR(MATCH(AB$1,INDIRECT("Table!A"&amp;$AH7):INDIRECT("Table!" &amp; $AK$63 &amp; $AH7),0)),"",INDIRECT(CONCATENATE("Table!",ADDRESS($AD7,MATCH(AB$1,INDIRECT("Table!A" &amp; $AH7):INDIRECT("Table!" &amp; $AK$63 &amp; $AH7),0))))/1024)</f>
        <v/>
      </c>
      <c r="AC7" s="595"/>
      <c r="AD7" s="595">
        <f>MATCH($A7,Table!$A:$A,0)+$AF$2-1</f>
        <v>67</v>
      </c>
      <c r="AE7" s="900"/>
      <c r="AF7" s="900"/>
      <c r="AG7" s="900"/>
      <c r="AH7" s="595">
        <f>MATCH($A7,Table!$A:$A,0)+$AJ$2-1</f>
        <v>59</v>
      </c>
      <c r="AI7" s="900"/>
      <c r="AJ7" s="900"/>
      <c r="AK7" s="904" t="s">
        <v>284</v>
      </c>
      <c r="AL7" s="699">
        <f t="shared" ca="1" si="0"/>
        <v>3518.7179736328121</v>
      </c>
      <c r="AM7" s="699">
        <f ca="1">AL7-AL21</f>
        <v>336.61024511718733</v>
      </c>
    </row>
    <row r="8" spans="1:39" s="743" customFormat="1" x14ac:dyDescent="0.25">
      <c r="A8" s="592">
        <v>41787</v>
      </c>
      <c r="B8" s="595">
        <f ca="1">IF(ISERROR(MATCH(B$1,INDIRECT("Table!A"&amp;$AH8):INDIRECT("Table!" &amp; $AK$86 &amp; $AH8),0)),"",INDIRECT(CONCATENATE("Table!",ADDRESS($AD8,MATCH(B$1,INDIRECT("Table!A" &amp; $AH8):INDIRECT("Table!" &amp; $AK$86 &amp; $AH8),0))))/1024)</f>
        <v>176.65205566406249</v>
      </c>
      <c r="C8" s="595">
        <f ca="1">IF(ISERROR(MATCH(C$1,INDIRECT("Table!A"&amp;$AH8):INDIRECT("Table!" &amp; $AK$86 &amp; $AH8),0)),"",INDIRECT(CONCATENATE("Table!",ADDRESS($AD8,MATCH(C$1,INDIRECT("Table!A" &amp; $AH8):INDIRECT("Table!" &amp; $AK$86 &amp; $AH8),0))))/1024)</f>
        <v>97.06808203125</v>
      </c>
      <c r="D8" s="595">
        <f ca="1">IF(ISERROR(MATCH(D$1,INDIRECT("Table!A"&amp;$AH8):INDIRECT("Table!" &amp; $AK$86 &amp; $AH8),0)),"",INDIRECT(CONCATENATE("Table!",ADDRESS($AD8,MATCH(D$1,INDIRECT("Table!A" &amp; $AH8):INDIRECT("Table!" &amp; $AK$86 &amp; $AH8),0))))/1024)</f>
        <v>97.06808203125</v>
      </c>
      <c r="E8" s="595">
        <f ca="1">IF(ISERROR(MATCH(E$1,INDIRECT("Table!A"&amp;$AH8):INDIRECT("Table!" &amp; $AK$86 &amp; $AH8),0)),"",INDIRECT(CONCATENATE("Table!",ADDRESS($AD8,MATCH(E$1,INDIRECT("Table!A" &amp; $AH8):INDIRECT("Table!" &amp; $AK$86 &amp; $AH8),0))))/1024)</f>
        <v>247.74092578124998</v>
      </c>
      <c r="F8" s="595">
        <f ca="1">IF(ISERROR(MATCH(F$1,INDIRECT("Table!A"&amp;$AH8):INDIRECT("Table!" &amp; $AK$86 &amp; $AH8),0)),"",INDIRECT(CONCATENATE("Table!",ADDRESS($AD8,MATCH(F$1,INDIRECT("Table!A" &amp; $AH8):INDIRECT("Table!" &amp; $AK$86 &amp; $AH8),0))))/1024)</f>
        <v>110.23878515624999</v>
      </c>
      <c r="G8" s="595">
        <f ca="1">IF(ISERROR(MATCH(G$1,INDIRECT("Table!A"&amp;$AH8):INDIRECT("Table!" &amp; $AK$86 &amp; $AH8),0)),"",INDIRECT(CONCATENATE("Table!",ADDRESS($AD8,MATCH(G$1,INDIRECT("Table!A" &amp; $AH8):INDIRECT("Table!" &amp; $AK$86 &amp; $AH8),0))))/1024)</f>
        <v>448.33073437499996</v>
      </c>
      <c r="H8" s="595">
        <f ca="1">IF(ISERROR(MATCH(H$1,INDIRECT("Table!A"&amp;$AH8):INDIRECT("Table!" &amp; $AK$86 &amp; $AH8),0)),"",INDIRECT(CONCATENATE("Table!",ADDRESS($AD8,MATCH(H$1,INDIRECT("Table!A" &amp; $AH8):INDIRECT("Table!" &amp; $AK$86 &amp; $AH8),0))))/1024)</f>
        <v>231.11291308593749</v>
      </c>
      <c r="I8" s="595">
        <f ca="1">IF(ISERROR(MATCH(I$1,INDIRECT("Table!A"&amp;$AH8):INDIRECT("Table!" &amp; $AK$63 &amp; $AH8),0)),"",INDIRECT(CONCATENATE("Table!",ADDRESS($AD8,MATCH(I$1,INDIRECT("Table!A" &amp; $AH8):INDIRECT("Table!" &amp; $AK$63 &amp; $AH8),0))))/1024)</f>
        <v>45.405999023437495</v>
      </c>
      <c r="J8" s="595">
        <f ca="1">IF(ISERROR(MATCH(J$1,INDIRECT("Table!A"&amp;$AH8):INDIRECT("Table!" &amp; $AK$63 &amp; $AH8),0)),"",INDIRECT(CONCATENATE("Table!",ADDRESS($AD8,MATCH(J$1,INDIRECT("Table!A" &amp; $AH8):INDIRECT("Table!" &amp; $AK$63 &amp; $AH8),0))))/1024)</f>
        <v>195.58494140624998</v>
      </c>
      <c r="K8" s="595">
        <f ca="1">IF(ISERROR(MATCH(K$1,INDIRECT("Table!A"&amp;$AH8):INDIRECT("Table!" &amp; $AK$63 &amp; $AH8),0)),"",INDIRECT(CONCATENATE("Table!",ADDRESS($AD8,MATCH(K$1,INDIRECT("Table!A" &amp; $AH8):INDIRECT("Table!" &amp; $AK$63 &amp; $AH8),0))))/1024)</f>
        <v>197.2971328125</v>
      </c>
      <c r="L8" s="595">
        <f ca="1">IF(ISERROR(MATCH(L$1,INDIRECT("Table!A"&amp;$AH8):INDIRECT("Table!" &amp; $AK$63 &amp; $AH8),0)),"",INDIRECT(CONCATENATE("Table!",ADDRESS($AD8,MATCH(L$1,INDIRECT("Table!A" &amp; $AH8):INDIRECT("Table!" &amp; $AK$63 &amp; $AH8),0))))/1024)</f>
        <v>236.05192675781248</v>
      </c>
      <c r="M8" s="595">
        <f ca="1">IF(ISERROR(MATCH(M$1,INDIRECT("Table!A"&amp;$AH8):INDIRECT("Table!" &amp; $AK$63 &amp; $AH8),0)),"",INDIRECT(CONCATENATE("Table!",ADDRESS($AD8,MATCH(M$1,INDIRECT("Table!A" &amp; $AH8):INDIRECT("Table!" &amp; $AK$63 &amp; $AH8),0))))/1024)</f>
        <v>357.97971093749999</v>
      </c>
      <c r="N8" s="595">
        <f ca="1">IF(ISERROR(MATCH(N$1,INDIRECT("Table!A"&amp;$AH8):INDIRECT("Table!" &amp; $AK$63 &amp; $AH8),0)),"",INDIRECT(CONCATENATE("Table!",ADDRESS($AD8,MATCH(N$1,INDIRECT("Table!A" &amp; $AH8):INDIRECT("Table!" &amp; $AK$63 &amp; $AH8),0))))/1024)</f>
        <v>112.938779296875</v>
      </c>
      <c r="O8" s="595">
        <f ca="1">IF(ISERROR(MATCH(O$1,INDIRECT("Table!A"&amp;$AH8):INDIRECT("Table!" &amp; $AK$63 &amp; $AH8),0)),"",INDIRECT(CONCATENATE("Table!",ADDRESS($AD8,MATCH(O$1,INDIRECT("Table!A" &amp; $AH8):INDIRECT("Table!" &amp; $AK$63 &amp; $AH8),0))))/1024)</f>
        <v>183.99472265624996</v>
      </c>
      <c r="P8" s="595">
        <f ca="1">IF(ISERROR(MATCH(P$1,INDIRECT("Table!A"&amp;$AH8):INDIRECT("Table!" &amp; $AK$63 &amp; $AH8),0)),"",INDIRECT(CONCATENATE("Table!",ADDRESS($AD8,MATCH(P$1,INDIRECT("Table!A" &amp; $AH8):INDIRECT("Table!" &amp; $AK$63 &amp; $AH8),0))))/1024)</f>
        <v>60.157186523437495</v>
      </c>
      <c r="Q8" s="595">
        <f ca="1">IF(ISERROR(MATCH(Q$1,INDIRECT("Table!A"&amp;$AH8):INDIRECT("Table!" &amp; $AK$63 &amp; $AH8),0)),"",INDIRECT(CONCATENATE("Table!",ADDRESS($AD8,MATCH(Q$1,INDIRECT("Table!A" &amp; $AH8):INDIRECT("Table!" &amp; $AK$63 &amp; $AH8),0))))/1024)</f>
        <v>149.58626074218751</v>
      </c>
      <c r="R8" s="595">
        <f ca="1">IF(ISERROR(MATCH(R$1,INDIRECT("Table!A"&amp;$AH8):INDIRECT("Table!" &amp; $AK$63 &amp; $AH8),0)),"",INDIRECT(CONCATENATE("Table!",ADDRESS($AD8,MATCH(R$1,INDIRECT("Table!A" &amp; $AH8):INDIRECT("Table!" &amp; $AK$63 &amp; $AH8),0))))/1024)</f>
        <v>323.37368847656251</v>
      </c>
      <c r="S8" s="595">
        <f ca="1">IF(ISERROR(MATCH(S$1,INDIRECT("Table!A"&amp;$AH8):INDIRECT("Table!" &amp; $AK$63 &amp; $AH8),0)),"",INDIRECT(CONCATENATE("Table!",ADDRESS($AD8,MATCH(S$1,INDIRECT("Table!A" &amp; $AH8):INDIRECT("Table!" &amp; $AK$63 &amp; $AH8),0))))/1024)</f>
        <v>56.502316406249996</v>
      </c>
      <c r="T8" s="595">
        <f ca="1">IF(ISERROR(MATCH(T$1,INDIRECT("Table!A"&amp;$AH8):INDIRECT("Table!" &amp; $AK$63 &amp; $AH8),0)),"",INDIRECT(CONCATENATE("Table!",ADDRESS($AD8,MATCH(T$1,INDIRECT("Table!A" &amp; $AH8):INDIRECT("Table!" &amp; $AK$63 &amp; $AH8),0))))/1024)</f>
        <v>36.318213867187495</v>
      </c>
      <c r="U8" s="595">
        <f ca="1">IF(ISERROR(MATCH(U$1,INDIRECT("Table!A"&amp;$AH8):INDIRECT("Table!" &amp; $AK$63 &amp; $AH8),0)),"",INDIRECT(CONCATENATE("Table!",ADDRESS($AD8,MATCH(U$1,INDIRECT("Table!A" &amp; $AH8):INDIRECT("Table!" &amp; $AK$63 &amp; $AH8),0))))/1024)</f>
        <v>60.848648437499996</v>
      </c>
      <c r="V8" s="595">
        <f ca="1">IF(ISERROR(MATCH(V$1,INDIRECT("Table!A"&amp;$AH8):INDIRECT("Table!" &amp; $AK$63 &amp; $AH8),0)),"",INDIRECT(CONCATENATE("Table!",ADDRESS($AD8,MATCH(V$1,INDIRECT("Table!A" &amp; $AH8):INDIRECT("Table!" &amp; $AK$63 &amp; $AH8),0))))/1024)</f>
        <v>81.658359375000003</v>
      </c>
      <c r="W8" s="595">
        <f ca="1">IF(ISERROR(MATCH(W$1,INDIRECT("Table!A"&amp;$AH8):INDIRECT("Table!" &amp; $AK$63 &amp; $AH8),0)),"",INDIRECT(CONCATENATE("Table!",ADDRESS($AD8,MATCH(W$1,INDIRECT("Table!A" &amp; $AH8):INDIRECT("Table!" &amp; $AK$63 &amp; $AH8),0))))/1024)</f>
        <v>21.8633671875</v>
      </c>
      <c r="X8" s="595">
        <f ca="1">IF(ISERROR(MATCH(X$1,INDIRECT("Table!A"&amp;$AH8):INDIRECT("Table!" &amp; $AK$63 &amp; $AH8),0)),"",INDIRECT(CONCATENATE("Table!",ADDRESS($AD8,MATCH(X$1,INDIRECT("Table!A" &amp; $AH8):INDIRECT("Table!" &amp; $AK$63 &amp; $AH8),0))))/1024)</f>
        <v>31.017005859374997</v>
      </c>
      <c r="Y8" s="595">
        <f ca="1">IF(ISERROR(MATCH(Y$1,INDIRECT("Table!A"&amp;$AH8):INDIRECT("Table!" &amp; $AK$63 &amp; $AH8),0)),"",INDIRECT(CONCATENATE("Table!",ADDRESS($AD8,MATCH(Y$1,INDIRECT("Table!A" &amp; $AH8):INDIRECT("Table!" &amp; $AK$63 &amp; $AH8),0))))/1024)</f>
        <v>15.442649414062499</v>
      </c>
      <c r="Z8" s="595">
        <f ca="1">IF(ISERROR(MATCH(Z$1,INDIRECT("Table!A"&amp;$AH8):INDIRECT("Table!" &amp; $AK$63 &amp; $AH8),0)),"",INDIRECT(CONCATENATE("Table!",ADDRESS($AD8,MATCH(Z$1,INDIRECT("Table!A" &amp; $AH8):INDIRECT("Table!" &amp; $AK$63 &amp; $AH8),0))))/1024)</f>
        <v>30.720665039062499</v>
      </c>
      <c r="AA8" s="595">
        <f ca="1">IF(ISERROR(MATCH(AA$1,INDIRECT("Table!A"&amp;$AH8):INDIRECT("Table!" &amp; $AK$63 &amp; $AH8),0)),"",INDIRECT(CONCATENATE("Table!",ADDRESS($AD8,MATCH(AA$1,INDIRECT("Table!A" &amp; $AH8):INDIRECT("Table!" &amp; $AK$63 &amp; $AH8),0))))/1024)</f>
        <v>6.5524248046875</v>
      </c>
      <c r="AB8" s="595" t="str">
        <f ca="1">IF(ISERROR(MATCH(AB$1,INDIRECT("Table!A"&amp;$AH8):INDIRECT("Table!" &amp; $AK$63 &amp; $AH8),0)),"",INDIRECT(CONCATENATE("Table!",ADDRESS($AD8,MATCH(AB$1,INDIRECT("Table!A" &amp; $AH8):INDIRECT("Table!" &amp; $AK$63 &amp; $AH8),0))))/1024)</f>
        <v/>
      </c>
      <c r="AC8" s="595"/>
      <c r="AD8" s="595">
        <f>MATCH($A8,Table!$A:$A,0)+$AF$2-1</f>
        <v>81</v>
      </c>
      <c r="AE8" s="897"/>
      <c r="AF8" s="897"/>
      <c r="AG8" s="897"/>
      <c r="AH8" s="595">
        <f>MATCH($A8,Table!$A:$A,0)+$AJ$2-1</f>
        <v>73</v>
      </c>
      <c r="AI8" s="897"/>
      <c r="AJ8" s="897"/>
      <c r="AK8" s="904" t="s">
        <v>284</v>
      </c>
      <c r="AL8" s="699">
        <f t="shared" ca="1" si="0"/>
        <v>3505.9094648437494</v>
      </c>
      <c r="AM8" s="699">
        <f ca="1">AL8-AL21</f>
        <v>323.80173632812466</v>
      </c>
    </row>
    <row r="9" spans="1:39" s="743" customFormat="1" x14ac:dyDescent="0.25">
      <c r="A9" s="592">
        <v>41780</v>
      </c>
      <c r="B9" s="595">
        <f ca="1">IF(ISERROR(MATCH(B$1,INDIRECT("Table!A"&amp;$AH9):INDIRECT("Table!" &amp; $AK$86 &amp; $AH9),0)),"",INDIRECT(CONCATENATE("Table!",ADDRESS($AD9,MATCH(B$1,INDIRECT("Table!A" &amp; $AH9):INDIRECT("Table!" &amp; $AK$86 &amp; $AH9),0))))/1024)</f>
        <v>177.7057119140625</v>
      </c>
      <c r="C9" s="595">
        <f ca="1">IF(ISERROR(MATCH(C$1,INDIRECT("Table!A"&amp;$AH9):INDIRECT("Table!" &amp; $AK$86 &amp; $AH9),0)),"",INDIRECT(CONCATENATE("Table!",ADDRESS($AD9,MATCH(C$1,INDIRECT("Table!A" &amp; $AH9):INDIRECT("Table!" &amp; $AK$86 &amp; $AH9),0))))/1024)</f>
        <v>98.154665039062493</v>
      </c>
      <c r="D9" s="595">
        <f ca="1">IF(ISERROR(MATCH(D$1,INDIRECT("Table!A"&amp;$AH9):INDIRECT("Table!" &amp; $AK$86 &amp; $AH9),0)),"",INDIRECT(CONCATENATE("Table!",ADDRESS($AD9,MATCH(D$1,INDIRECT("Table!A" &amp; $AH9):INDIRECT("Table!" &amp; $AK$86 &amp; $AH9),0))))/1024)</f>
        <v>99.0107607421875</v>
      </c>
      <c r="E9" s="595">
        <f ca="1">IF(ISERROR(MATCH(E$1,INDIRECT("Table!A"&amp;$AH9):INDIRECT("Table!" &amp; $AK$86 &amp; $AH9),0)),"",INDIRECT(CONCATENATE("Table!",ADDRESS($AD9,MATCH(E$1,INDIRECT("Table!A" &amp; $AH9):INDIRECT("Table!" &amp; $AK$86 &amp; $AH9),0))))/1024)</f>
        <v>253.5689619140625</v>
      </c>
      <c r="F9" s="595">
        <f ca="1">IF(ISERROR(MATCH(F$1,INDIRECT("Table!A"&amp;$AH9):INDIRECT("Table!" &amp; $AK$86 &amp; $AH9),0)),"",INDIRECT(CONCATENATE("Table!",ADDRESS($AD9,MATCH(F$1,INDIRECT("Table!A" &amp; $AH9):INDIRECT("Table!" &amp; $AK$86 &amp; $AH9),0))))/1024)</f>
        <v>110.50219921874999</v>
      </c>
      <c r="G9" s="595">
        <f ca="1">IF(ISERROR(MATCH(G$1,INDIRECT("Table!A"&amp;$AH9):INDIRECT("Table!" &amp; $AK$86 &amp; $AH9),0)),"",INDIRECT(CONCATENATE("Table!",ADDRESS($AD9,MATCH(G$1,INDIRECT("Table!A" &amp; $AH9):INDIRECT("Table!" &amp; $AK$86 &amp; $AH9),0))))/1024)</f>
        <v>448.29780761718746</v>
      </c>
      <c r="H9" s="595">
        <f ca="1">IF(ISERROR(MATCH(H$1,INDIRECT("Table!A"&amp;$AH9):INDIRECT("Table!" &amp; $AK$86 &amp; $AH9),0)),"",INDIRECT(CONCATENATE("Table!",ADDRESS($AD9,MATCH(H$1,INDIRECT("Table!A" &amp; $AH9):INDIRECT("Table!" &amp; $AK$86 &amp; $AH9),0))))/1024)</f>
        <v>233.54949316406248</v>
      </c>
      <c r="I9" s="595">
        <f ca="1">IF(ISERROR(MATCH(I$1,INDIRECT("Table!A"&amp;$AH9):INDIRECT("Table!" &amp; $AK$63 &amp; $AH9),0)),"",INDIRECT(CONCATENATE("Table!",ADDRESS($AD9,MATCH(I$1,INDIRECT("Table!A" &amp; $AH9):INDIRECT("Table!" &amp; $AK$63 &amp; $AH9),0))))/1024)</f>
        <v>45.405999023437495</v>
      </c>
      <c r="J9" s="595">
        <f ca="1">IF(ISERROR(MATCH(J$1,INDIRECT("Table!A"&amp;$AH9):INDIRECT("Table!" &amp; $AK$63 &amp; $AH9),0)),"",INDIRECT(CONCATENATE("Table!",ADDRESS($AD9,MATCH(J$1,INDIRECT("Table!A" &amp; $AH9):INDIRECT("Table!" &amp; $AK$63 &amp; $AH9),0))))/1024)</f>
        <v>192.5556796875</v>
      </c>
      <c r="K9" s="595">
        <f ca="1">IF(ISERROR(MATCH(K$1,INDIRECT("Table!A"&amp;$AH9):INDIRECT("Table!" &amp; $AK$63 &amp; $AH9),0)),"",INDIRECT(CONCATENATE("Table!",ADDRESS($AD9,MATCH(K$1,INDIRECT("Table!A" &amp; $AH9):INDIRECT("Table!" &amp; $AK$63 &amp; $AH9),0))))/1024)</f>
        <v>186.00325488281248</v>
      </c>
      <c r="L9" s="595">
        <f ca="1">IF(ISERROR(MATCH(L$1,INDIRECT("Table!A"&amp;$AH9):INDIRECT("Table!" &amp; $AK$63 &amp; $AH9),0)),"",INDIRECT(CONCATENATE("Table!",ADDRESS($AD9,MATCH(L$1,INDIRECT("Table!A" &amp; $AH9):INDIRECT("Table!" &amp; $AK$63 &amp; $AH9),0))))/1024)</f>
        <v>250.50677343749999</v>
      </c>
      <c r="M9" s="595">
        <f ca="1">IF(ISERROR(MATCH(M$1,INDIRECT("Table!A"&amp;$AH9):INDIRECT("Table!" &amp; $AK$63 &amp; $AH9),0)),"",INDIRECT(CONCATENATE("Table!",ADDRESS($AD9,MATCH(M$1,INDIRECT("Table!A" &amp; $AH9):INDIRECT("Table!" &amp; $AK$63 &amp; $AH9),0))))/1024)</f>
        <v>357.97971093749999</v>
      </c>
      <c r="N9" s="595">
        <f ca="1">IF(ISERROR(MATCH(N$1,INDIRECT("Table!A"&amp;$AH9):INDIRECT("Table!" &amp; $AK$63 &amp; $AH9),0)),"",INDIRECT(CONCATENATE("Table!",ADDRESS($AD9,MATCH(N$1,INDIRECT("Table!A" &amp; $AH9):INDIRECT("Table!" &amp; $AK$63 &amp; $AH9),0))))/1024)</f>
        <v>112.938779296875</v>
      </c>
      <c r="O9" s="595">
        <f ca="1">IF(ISERROR(MATCH(O$1,INDIRECT("Table!A"&amp;$AH9):INDIRECT("Table!" &amp; $AK$63 &amp; $AH9),0)),"",INDIRECT(CONCATENATE("Table!",ADDRESS($AD9,MATCH(O$1,INDIRECT("Table!A" &amp; $AH9):INDIRECT("Table!" &amp; $AK$63 &amp; $AH9),0))))/1024)</f>
        <v>183.99472265624996</v>
      </c>
      <c r="P9" s="595">
        <f ca="1">IF(ISERROR(MATCH(P$1,INDIRECT("Table!A"&amp;$AH9):INDIRECT("Table!" &amp; $AK$63 &amp; $AH9),0)),"",INDIRECT(CONCATENATE("Table!",ADDRESS($AD9,MATCH(P$1,INDIRECT("Table!A" &amp; $AH9):INDIRECT("Table!" &amp; $AK$63 &amp; $AH9),0))))/1024)</f>
        <v>60.157186523437495</v>
      </c>
      <c r="Q9" s="595">
        <f ca="1">IF(ISERROR(MATCH(Q$1,INDIRECT("Table!A"&amp;$AH9):INDIRECT("Table!" &amp; $AK$63 &amp; $AH9),0)),"",INDIRECT(CONCATENATE("Table!",ADDRESS($AD9,MATCH(Q$1,INDIRECT("Table!A" &amp; $AH9):INDIRECT("Table!" &amp; $AK$63 &amp; $AH9),0))))/1024)</f>
        <v>146.5569990234375</v>
      </c>
      <c r="R9" s="595">
        <f ca="1">IF(ISERROR(MATCH(R$1,INDIRECT("Table!A"&amp;$AH9):INDIRECT("Table!" &amp; $AK$63 &amp; $AH9),0)),"",INDIRECT(CONCATENATE("Table!",ADDRESS($AD9,MATCH(R$1,INDIRECT("Table!A" &amp; $AH9):INDIRECT("Table!" &amp; $AK$63 &amp; $AH9),0))))/1024)</f>
        <v>317.94077343750001</v>
      </c>
      <c r="S9" s="595">
        <f ca="1">IF(ISERROR(MATCH(S$1,INDIRECT("Table!A"&amp;$AH9):INDIRECT("Table!" &amp; $AK$63 &amp; $AH9),0)),"",INDIRECT(CONCATENATE("Table!",ADDRESS($AD9,MATCH(S$1,INDIRECT("Table!A" &amp; $AH9):INDIRECT("Table!" &amp; $AK$63 &amp; $AH9),0))))/1024)</f>
        <v>56.502316406249996</v>
      </c>
      <c r="T9" s="595">
        <f ca="1">IF(ISERROR(MATCH(T$1,INDIRECT("Table!A"&amp;$AH9):INDIRECT("Table!" &amp; $AK$63 &amp; $AH9),0)),"",INDIRECT(CONCATENATE("Table!",ADDRESS($AD9,MATCH(T$1,INDIRECT("Table!A" &amp; $AH9):INDIRECT("Table!" &amp; $AK$63 &amp; $AH9),0))))/1024)</f>
        <v>36.318213867187495</v>
      </c>
      <c r="U9" s="595">
        <f ca="1">IF(ISERROR(MATCH(U$1,INDIRECT("Table!A"&amp;$AH9):INDIRECT("Table!" &amp; $AK$63 &amp; $AH9),0)),"",INDIRECT(CONCATENATE("Table!",ADDRESS($AD9,MATCH(U$1,INDIRECT("Table!A" &amp; $AH9):INDIRECT("Table!" &amp; $AK$63 &amp; $AH9),0))))/1024)</f>
        <v>60.848648437499996</v>
      </c>
      <c r="V9" s="595">
        <f ca="1">IF(ISERROR(MATCH(V$1,INDIRECT("Table!A"&amp;$AH9):INDIRECT("Table!" &amp; $AK$63 &amp; $AH9),0)),"",INDIRECT(CONCATENATE("Table!",ADDRESS($AD9,MATCH(V$1,INDIRECT("Table!A" &amp; $AH9):INDIRECT("Table!" &amp; $AK$63 &amp; $AH9),0))))/1024)</f>
        <v>81.658359375000003</v>
      </c>
      <c r="W9" s="595">
        <f ca="1">IF(ISERROR(MATCH(W$1,INDIRECT("Table!A"&amp;$AH9):INDIRECT("Table!" &amp; $AK$63 &amp; $AH9),0)),"",INDIRECT(CONCATENATE("Table!",ADDRESS($AD9,MATCH(W$1,INDIRECT("Table!A" &amp; $AH9):INDIRECT("Table!" &amp; $AK$63 &amp; $AH9),0))))/1024)</f>
        <v>16.562159179687498</v>
      </c>
      <c r="X9" s="595">
        <f ca="1">IF(ISERROR(MATCH(X$1,INDIRECT("Table!A"&amp;$AH9):INDIRECT("Table!" &amp; $AK$63 &amp; $AH9),0)),"",INDIRECT(CONCATENATE("Table!",ADDRESS($AD9,MATCH(X$1,INDIRECT("Table!A" &amp; $AH9):INDIRECT("Table!" &amp; $AK$63 &amp; $AH9),0))))/1024)</f>
        <v>22.851169921874998</v>
      </c>
      <c r="Y9" s="595">
        <f ca="1">IF(ISERROR(MATCH(Y$1,INDIRECT("Table!A"&amp;$AH9):INDIRECT("Table!" &amp; $AK$63 &amp; $AH9),0)),"",INDIRECT(CONCATENATE("Table!",ADDRESS($AD9,MATCH(Y$1,INDIRECT("Table!A" &amp; $AH9):INDIRECT("Table!" &amp; $AK$63 &amp; $AH9),0))))/1024)</f>
        <v>15.442649414062499</v>
      </c>
      <c r="Z9" s="595">
        <f ca="1">IF(ISERROR(MATCH(Z$1,INDIRECT("Table!A"&amp;$AH9):INDIRECT("Table!" &amp; $AK$63 &amp; $AH9),0)),"",INDIRECT(CONCATENATE("Table!",ADDRESS($AD9,MATCH(Z$1,INDIRECT("Table!A" &amp; $AH9):INDIRECT("Table!" &amp; $AK$63 &amp; $AH9),0))))/1024)</f>
        <v>30.720665039062499</v>
      </c>
      <c r="AA9" s="595">
        <f ca="1">IF(ISERROR(MATCH(AA$1,INDIRECT("Table!A"&amp;$AH9):INDIRECT("Table!" &amp; $AK$63 &amp; $AH9),0)),"",INDIRECT(CONCATENATE("Table!",ADDRESS($AD9,MATCH(AA$1,INDIRECT("Table!A" &amp; $AH9):INDIRECT("Table!" &amp; $AK$63 &amp; $AH9),0))))/1024)</f>
        <v>-3.2926757812499999E-2</v>
      </c>
      <c r="AB9" s="595" t="str">
        <f ca="1">IF(ISERROR(MATCH(AB$1,INDIRECT("Table!A"&amp;$AH9):INDIRECT("Table!" &amp; $AK$63 &amp; $AH9),0)),"",INDIRECT(CONCATENATE("Table!",ADDRESS($AD9,MATCH(AB$1,INDIRECT("Table!A" &amp; $AH9):INDIRECT("Table!" &amp; $AK$63 &amp; $AH9),0))))/1024)</f>
        <v/>
      </c>
      <c r="AC9" s="595"/>
      <c r="AD9" s="595">
        <f>MATCH($A9,Table!$A:$A,0)+$AF$2-1</f>
        <v>95</v>
      </c>
      <c r="AE9" s="897"/>
      <c r="AF9" s="897"/>
      <c r="AG9" s="897"/>
      <c r="AH9" s="595">
        <f>MATCH($A9,Table!$A:$A,0)+$AJ$2-1</f>
        <v>87</v>
      </c>
      <c r="AI9" s="897"/>
      <c r="AJ9" s="897"/>
      <c r="AK9" s="904" t="s">
        <v>284</v>
      </c>
      <c r="AL9" s="699">
        <f t="shared" ca="1" si="0"/>
        <v>3510.1570166015617</v>
      </c>
      <c r="AM9" s="699">
        <f ca="1">AL9-AL21</f>
        <v>328.04928808593695</v>
      </c>
    </row>
    <row r="10" spans="1:39" s="743" customFormat="1" x14ac:dyDescent="0.25">
      <c r="A10" s="592">
        <v>41773</v>
      </c>
      <c r="B10" s="595">
        <f ca="1">IF(ISERROR(MATCH(B$1,INDIRECT("Table!A"&amp;$AH10):INDIRECT("Table!" &amp; $AK$86 &amp; $AH10),0)),"",INDIRECT(CONCATENATE("Table!",ADDRESS($AD10,MATCH(B$1,INDIRECT("Table!A" &amp; $AH10):INDIRECT("Table!" &amp; $AK$86 &amp; $AH10),0))))/1024)</f>
        <v>177.7057119140625</v>
      </c>
      <c r="C10" s="595">
        <f ca="1">IF(ISERROR(MATCH(C$1,INDIRECT("Table!A"&amp;$AH10):INDIRECT("Table!" &amp; $AK$86 &amp; $AH10),0)),"",INDIRECT(CONCATENATE("Table!",ADDRESS($AD10,MATCH(C$1,INDIRECT("Table!A" &amp; $AH10):INDIRECT("Table!" &amp; $AK$86 &amp; $AH10),0))))/1024)</f>
        <v>97.858324218749999</v>
      </c>
      <c r="D10" s="595">
        <f ca="1">IF(ISERROR(MATCH(D$1,INDIRECT("Table!A"&amp;$AH10):INDIRECT("Table!" &amp; $AK$86 &amp; $AH10),0)),"",INDIRECT(CONCATENATE("Table!",ADDRESS($AD10,MATCH(D$1,INDIRECT("Table!A" &amp; $AH10):INDIRECT("Table!" &amp; $AK$86 &amp; $AH10),0))))/1024)</f>
        <v>98.714419921874992</v>
      </c>
      <c r="E10" s="595">
        <f ca="1">IF(ISERROR(MATCH(E$1,INDIRECT("Table!A"&amp;$AH10):INDIRECT("Table!" &amp; $AK$86 &amp; $AH10),0)),"",INDIRECT(CONCATENATE("Table!",ADDRESS($AD10,MATCH(E$1,INDIRECT("Table!A" &amp; $AH10):INDIRECT("Table!" &amp; $AK$86 &amp; $AH10),0))))/1024)</f>
        <v>253.5689619140625</v>
      </c>
      <c r="F10" s="595">
        <f ca="1">IF(ISERROR(MATCH(F$1,INDIRECT("Table!A"&amp;$AH10):INDIRECT("Table!" &amp; $AK$86 &amp; $AH10),0)),"",INDIRECT(CONCATENATE("Table!",ADDRESS($AD10,MATCH(F$1,INDIRECT("Table!A" &amp; $AH10):INDIRECT("Table!" &amp; $AK$86 &amp; $AH10),0))))/1024)</f>
        <v>110.50219921874999</v>
      </c>
      <c r="G10" s="595">
        <f ca="1">IF(ISERROR(MATCH(G$1,INDIRECT("Table!A"&amp;$AH10):INDIRECT("Table!" &amp; $AK$86 &amp; $AH10),0)),"",INDIRECT(CONCATENATE("Table!",ADDRESS($AD10,MATCH(G$1,INDIRECT("Table!A" &amp; $AH10):INDIRECT("Table!" &amp; $AK$86 &amp; $AH10),0))))/1024)</f>
        <v>448.26488085937495</v>
      </c>
      <c r="H10" s="595">
        <f ca="1">IF(ISERROR(MATCH(H$1,INDIRECT("Table!A"&amp;$AH10):INDIRECT("Table!" &amp; $AK$86 &amp; $AH10),0)),"",INDIRECT(CONCATENATE("Table!",ADDRESS($AD10,MATCH(H$1,INDIRECT("Table!A" &amp; $AH10):INDIRECT("Table!" &amp; $AK$86 &amp; $AH10),0))))/1024)</f>
        <v>233.54949316406248</v>
      </c>
      <c r="I10" s="595">
        <f ca="1">IF(ISERROR(MATCH(I$1,INDIRECT("Table!A"&amp;$AH10):INDIRECT("Table!" &amp; $AK$63 &amp; $AH10),0)),"",INDIRECT(CONCATENATE("Table!",ADDRESS($AD10,MATCH(I$1,INDIRECT("Table!A" &amp; $AH10):INDIRECT("Table!" &amp; $AK$63 &amp; $AH10),0))))/1024)</f>
        <v>45.405999023437495</v>
      </c>
      <c r="J10" s="595">
        <f ca="1">IF(ISERROR(MATCH(J$1,INDIRECT("Table!A"&amp;$AH10):INDIRECT("Table!" &amp; $AK$63 &amp; $AH10),0)),"",INDIRECT(CONCATENATE("Table!",ADDRESS($AD10,MATCH(J$1,INDIRECT("Table!A" &amp; $AH10):INDIRECT("Table!" &amp; $AK$63 &amp; $AH10),0))))/1024)</f>
        <v>192.5556796875</v>
      </c>
      <c r="K10" s="595">
        <f ca="1">IF(ISERROR(MATCH(K$1,INDIRECT("Table!A"&amp;$AH10):INDIRECT("Table!" &amp; $AK$63 &amp; $AH10),0)),"",INDIRECT(CONCATENATE("Table!",ADDRESS($AD10,MATCH(K$1,INDIRECT("Table!A" &amp; $AH10):INDIRECT("Table!" &amp; $AK$63 &amp; $AH10),0))))/1024)</f>
        <v>178.95692871093749</v>
      </c>
      <c r="L10" s="595">
        <f ca="1">IF(ISERROR(MATCH(L$1,INDIRECT("Table!A"&amp;$AH10):INDIRECT("Table!" &amp; $AK$63 &amp; $AH10),0)),"",INDIRECT(CONCATENATE("Table!",ADDRESS($AD10,MATCH(L$1,INDIRECT("Table!A" &amp; $AH10):INDIRECT("Table!" &amp; $AK$63 &amp; $AH10),0))))/1024)</f>
        <v>251.00067480468749</v>
      </c>
      <c r="M10" s="595">
        <f ca="1">IF(ISERROR(MATCH(M$1,INDIRECT("Table!A"&amp;$AH10):INDIRECT("Table!" &amp; $AK$63 &amp; $AH10),0)),"",INDIRECT(CONCATENATE("Table!",ADDRESS($AD10,MATCH(M$1,INDIRECT("Table!A" &amp; $AH10):INDIRECT("Table!" &amp; $AK$63 &amp; $AH10),0))))/1024)</f>
        <v>357.97971093749999</v>
      </c>
      <c r="N10" s="595">
        <f ca="1">IF(ISERROR(MATCH(N$1,INDIRECT("Table!A"&amp;$AH10):INDIRECT("Table!" &amp; $AK$63 &amp; $AH10),0)),"",INDIRECT(CONCATENATE("Table!",ADDRESS($AD10,MATCH(N$1,INDIRECT("Table!A" &amp; $AH10):INDIRECT("Table!" &amp; $AK$63 &amp; $AH10),0))))/1024)</f>
        <v>112.938779296875</v>
      </c>
      <c r="O10" s="595">
        <f ca="1">IF(ISERROR(MATCH(O$1,INDIRECT("Table!A"&amp;$AH10):INDIRECT("Table!" &amp; $AK$63 &amp; $AH10),0)),"",INDIRECT(CONCATENATE("Table!",ADDRESS($AD10,MATCH(O$1,INDIRECT("Table!A" &amp; $AH10):INDIRECT("Table!" &amp; $AK$63 &amp; $AH10),0))))/1024)</f>
        <v>186.43130273437498</v>
      </c>
      <c r="P10" s="595">
        <f ca="1">IF(ISERROR(MATCH(P$1,INDIRECT("Table!A"&amp;$AH10):INDIRECT("Table!" &amp; $AK$63 &amp; $AH10),0)),"",INDIRECT(CONCATENATE("Table!",ADDRESS($AD10,MATCH(P$1,INDIRECT("Table!A" &amp; $AH10):INDIRECT("Table!" &amp; $AK$63 &amp; $AH10),0))))/1024)</f>
        <v>60.157186523437495</v>
      </c>
      <c r="Q10" s="595">
        <f ca="1">IF(ISERROR(MATCH(Q$1,INDIRECT("Table!A"&amp;$AH10):INDIRECT("Table!" &amp; $AK$63 &amp; $AH10),0)),"",INDIRECT(CONCATENATE("Table!",ADDRESS($AD10,MATCH(Q$1,INDIRECT("Table!A" &amp; $AH10):INDIRECT("Table!" &amp; $AK$63 &amp; $AH10),0))))/1024)</f>
        <v>146.5569990234375</v>
      </c>
      <c r="R10" s="595">
        <f ca="1">IF(ISERROR(MATCH(R$1,INDIRECT("Table!A"&amp;$AH10):INDIRECT("Table!" &amp; $AK$63 &amp; $AH10),0)),"",INDIRECT(CONCATENATE("Table!",ADDRESS($AD10,MATCH(R$1,INDIRECT("Table!A" &amp; $AH10):INDIRECT("Table!" &amp; $AK$63 &amp; $AH10),0))))/1024)</f>
        <v>312.24444433593749</v>
      </c>
      <c r="S10" s="595">
        <f ca="1">IF(ISERROR(MATCH(S$1,INDIRECT("Table!A"&amp;$AH10):INDIRECT("Table!" &amp; $AK$63 &amp; $AH10),0)),"",INDIRECT(CONCATENATE("Table!",ADDRESS($AD10,MATCH(S$1,INDIRECT("Table!A" &amp; $AH10):INDIRECT("Table!" &amp; $AK$63 &amp; $AH10),0))))/1024)</f>
        <v>56.502316406249996</v>
      </c>
      <c r="T10" s="595">
        <f ca="1">IF(ISERROR(MATCH(T$1,INDIRECT("Table!A"&amp;$AH10):INDIRECT("Table!" &amp; $AK$63 &amp; $AH10),0)),"",INDIRECT(CONCATENATE("Table!",ADDRESS($AD10,MATCH(T$1,INDIRECT("Table!A" &amp; $AH10):INDIRECT("Table!" &amp; $AK$63 &amp; $AH10),0))))/1024)</f>
        <v>36.318213867187495</v>
      </c>
      <c r="U10" s="595">
        <f ca="1">IF(ISERROR(MATCH(U$1,INDIRECT("Table!A"&amp;$AH10):INDIRECT("Table!" &amp; $AK$63 &amp; $AH10),0)),"",INDIRECT(CONCATENATE("Table!",ADDRESS($AD10,MATCH(U$1,INDIRECT("Table!A" &amp; $AH10):INDIRECT("Table!" &amp; $AK$63 &amp; $AH10),0))))/1024)</f>
        <v>60.848648437499996</v>
      </c>
      <c r="V10" s="595">
        <f ca="1">IF(ISERROR(MATCH(V$1,INDIRECT("Table!A"&amp;$AH10):INDIRECT("Table!" &amp; $AK$63 &amp; $AH10),0)),"",INDIRECT(CONCATENATE("Table!",ADDRESS($AD10,MATCH(V$1,INDIRECT("Table!A" &amp; $AH10):INDIRECT("Table!" &amp; $AK$63 &amp; $AH10),0))))/1024)</f>
        <v>81.658359375000003</v>
      </c>
      <c r="W10" s="595">
        <f ca="1">IF(ISERROR(MATCH(W$1,INDIRECT("Table!A"&amp;$AH10):INDIRECT("Table!" &amp; $AK$63 &amp; $AH10),0)),"",INDIRECT(CONCATENATE("Table!",ADDRESS($AD10,MATCH(W$1,INDIRECT("Table!A" &amp; $AH10):INDIRECT("Table!" &amp; $AK$63 &amp; $AH10),0))))/1024)</f>
        <v>13.829238281249999</v>
      </c>
      <c r="X10" s="595">
        <f ca="1">IF(ISERROR(MATCH(X$1,INDIRECT("Table!A"&amp;$AH10):INDIRECT("Table!" &amp; $AK$63 &amp; $AH10),0)),"",INDIRECT(CONCATENATE("Table!",ADDRESS($AD10,MATCH(X$1,INDIRECT("Table!A" &amp; $AH10):INDIRECT("Table!" &amp; $AK$63 &amp; $AH10),0))))/1024)</f>
        <v>20.1182490234375</v>
      </c>
      <c r="Y10" s="595">
        <f ca="1">IF(ISERROR(MATCH(Y$1,INDIRECT("Table!A"&amp;$AH10):INDIRECT("Table!" &amp; $AK$63 &amp; $AH10),0)),"",INDIRECT(CONCATENATE("Table!",ADDRESS($AD10,MATCH(Y$1,INDIRECT("Table!A" &amp; $AH10):INDIRECT("Table!" &amp; $AK$63 &amp; $AH10),0))))/1024)</f>
        <v>15.442649414062499</v>
      </c>
      <c r="Z10" s="595">
        <f ca="1">IF(ISERROR(MATCH(Z$1,INDIRECT("Table!A"&amp;$AH10):INDIRECT("Table!" &amp; $AK$63 &amp; $AH10),0)),"",INDIRECT(CONCATENATE("Table!",ADDRESS($AD10,MATCH(Z$1,INDIRECT("Table!A" &amp; $AH10):INDIRECT("Table!" &amp; $AK$63 &amp; $AH10),0))))/1024)</f>
        <v>30.720665039062499</v>
      </c>
      <c r="AA10" s="595" t="str">
        <f ca="1">IF(ISERROR(MATCH(AA$1,INDIRECT("Table!A"&amp;$AH10):INDIRECT("Table!" &amp; $AK$63 &amp; $AH10),0)),"",INDIRECT(CONCATENATE("Table!",ADDRESS($AD10,MATCH(AA$1,INDIRECT("Table!A" &amp; $AH10):INDIRECT("Table!" &amp; $AK$63 &amp; $AH10),0))))/1024)</f>
        <v/>
      </c>
      <c r="AB10" s="595" t="str">
        <f ca="1">IF(ISERROR(MATCH(AB$1,INDIRECT("Table!A"&amp;$AH10):INDIRECT("Table!" &amp; $AK$63 &amp; $AH10),0)),"",INDIRECT(CONCATENATE("Table!",ADDRESS($AD10,MATCH(AB$1,INDIRECT("Table!A" &amp; $AH10):INDIRECT("Table!" &amp; $AK$63 &amp; $AH10),0))))/1024)</f>
        <v/>
      </c>
      <c r="AC10" s="595"/>
      <c r="AD10" s="595">
        <f>MATCH($A10,Table!$A:$A,0)+$AF$2-1</f>
        <v>109</v>
      </c>
      <c r="AE10" s="894"/>
      <c r="AF10" s="894"/>
      <c r="AG10" s="894"/>
      <c r="AH10" s="595">
        <f>MATCH($A10,Table!$A:$A,0)+$AJ$2-1</f>
        <v>101</v>
      </c>
      <c r="AI10" s="894"/>
      <c r="AJ10" s="894"/>
      <c r="AK10" s="904" t="s">
        <v>284</v>
      </c>
      <c r="AL10" s="699">
        <f t="shared" ca="1" si="0"/>
        <v>3499.7192343749998</v>
      </c>
      <c r="AM10" s="699">
        <f ca="1">AL10-AL21</f>
        <v>317.61150585937503</v>
      </c>
    </row>
    <row r="11" spans="1:39" s="743" customFormat="1" x14ac:dyDescent="0.25">
      <c r="A11" s="592">
        <v>41766</v>
      </c>
      <c r="B11" s="595">
        <f ca="1">IF(ISERROR(MATCH(B$1,INDIRECT("Table!A"&amp;$AH11):INDIRECT("Table!" &amp; $AK$86 &amp; $AH11),0)),"",INDIRECT(CONCATENATE("Table!",ADDRESS($AD11,MATCH(B$1,INDIRECT("Table!A" &amp; $AH11):INDIRECT("Table!" &amp; $AK$86 &amp; $AH11),0))))/1024)</f>
        <v>177.7060546875</v>
      </c>
      <c r="C11" s="595">
        <f ca="1">IF(ISERROR(MATCH(C$1,INDIRECT("Table!A"&amp;$AH11):INDIRECT("Table!" &amp; $AK$86 &amp; $AH11),0)),"",INDIRECT(CONCATENATE("Table!",ADDRESS($AD11,MATCH(C$1,INDIRECT("Table!A" &amp; $AH11):INDIRECT("Table!" &amp; $AK$86 &amp; $AH11),0))))/1024)</f>
        <v>97.529296875</v>
      </c>
      <c r="D11" s="595">
        <f ca="1">IF(ISERROR(MATCH(D$1,INDIRECT("Table!A"&amp;$AH11):INDIRECT("Table!" &amp; $AK$86 &amp; $AH11),0)),"",INDIRECT(CONCATENATE("Table!",ADDRESS($AD11,MATCH(D$1,INDIRECT("Table!A" &amp; $AH11):INDIRECT("Table!" &amp; $AK$86 &amp; $AH11),0))))/1024)</f>
        <v>98.384765625</v>
      </c>
      <c r="E11" s="595">
        <f ca="1">IF(ISERROR(MATCH(E$1,INDIRECT("Table!A"&amp;$AH11):INDIRECT("Table!" &amp; $AK$86 &amp; $AH11),0)),"",INDIRECT(CONCATENATE("Table!",ADDRESS($AD11,MATCH(E$1,INDIRECT("Table!A" &amp; $AH11):INDIRECT("Table!" &amp; $AK$86 &amp; $AH11),0))))/1024)</f>
        <v>253.4697265625</v>
      </c>
      <c r="F11" s="595">
        <f ca="1">IF(ISERROR(MATCH(F$1,INDIRECT("Table!A"&amp;$AH11):INDIRECT("Table!" &amp; $AK$86 &amp; $AH11),0)),"",INDIRECT(CONCATENATE("Table!",ADDRESS($AD11,MATCH(F$1,INDIRECT("Table!A" &amp; $AH11):INDIRECT("Table!" &amp; $AK$86 &amp; $AH11),0))))/1024)</f>
        <v>110.501953125</v>
      </c>
      <c r="G11" s="595">
        <f ca="1">IF(ISERROR(MATCH(G$1,INDIRECT("Table!A"&amp;$AH11):INDIRECT("Table!" &amp; $AK$86 &amp; $AH11),0)),"",INDIRECT(CONCATENATE("Table!",ADDRESS($AD11,MATCH(G$1,INDIRECT("Table!A" &amp; $AH11):INDIRECT("Table!" &amp; $AK$86 &amp; $AH11),0))))/1024)</f>
        <v>448.2646484375</v>
      </c>
      <c r="H11" s="595">
        <f ca="1">IF(ISERROR(MATCH(H$1,INDIRECT("Table!A"&amp;$AH11):INDIRECT("Table!" &amp; $AK$86 &amp; $AH11),0)),"",INDIRECT(CONCATENATE("Table!",ADDRESS($AD11,MATCH(H$1,INDIRECT("Table!A" &amp; $AH11):INDIRECT("Table!" &amp; $AK$86 &amp; $AH11),0))))/1024)</f>
        <v>233.5498046875</v>
      </c>
      <c r="I11" s="595">
        <f ca="1">IF(ISERROR(MATCH(I$1,INDIRECT("Table!A"&amp;$AH11):INDIRECT("Table!" &amp; $AK$63 &amp; $AH11),0)),"",INDIRECT(CONCATENATE("Table!",ADDRESS($AD11,MATCH(I$1,INDIRECT("Table!A" &amp; $AH11):INDIRECT("Table!" &amp; $AK$63 &amp; $AH11),0))))/1024)</f>
        <v>45.3076171875</v>
      </c>
      <c r="J11" s="595">
        <f ca="1">IF(ISERROR(MATCH(J$1,INDIRECT("Table!A"&amp;$AH11):INDIRECT("Table!" &amp; $AK$63 &amp; $AH11),0)),"",INDIRECT(CONCATENATE("Table!",ADDRESS($AD11,MATCH(J$1,INDIRECT("Table!A" &amp; $AH11):INDIRECT("Table!" &amp; $AK$63 &amp; $AH11),0))))/1024)</f>
        <v>192.5556640625</v>
      </c>
      <c r="K11" s="595">
        <f ca="1">IF(ISERROR(MATCH(K$1,INDIRECT("Table!A"&amp;$AH11):INDIRECT("Table!" &amp; $AK$63 &amp; $AH11),0)),"",INDIRECT(CONCATENATE("Table!",ADDRESS($AD11,MATCH(K$1,INDIRECT("Table!A" &amp; $AH11):INDIRECT("Table!" &amp; $AK$63 &amp; $AH11),0))))/1024)</f>
        <v>174.544921875</v>
      </c>
      <c r="L11" s="595">
        <f ca="1">IF(ISERROR(MATCH(L$1,INDIRECT("Table!A"&amp;$AH11):INDIRECT("Table!" &amp; $AK$63 &amp; $AH11),0)),"",INDIRECT(CONCATENATE("Table!",ADDRESS($AD11,MATCH(L$1,INDIRECT("Table!A" &amp; $AH11):INDIRECT("Table!" &amp; $AK$63 &amp; $AH11),0))))/1024)</f>
        <v>250.7705078125</v>
      </c>
      <c r="M11" s="595">
        <f ca="1">IF(ISERROR(MATCH(M$1,INDIRECT("Table!A"&amp;$AH11):INDIRECT("Table!" &amp; $AK$63 &amp; $AH11),0)),"",INDIRECT(CONCATENATE("Table!",ADDRESS($AD11,MATCH(M$1,INDIRECT("Table!A" &amp; $AH11):INDIRECT("Table!" &amp; $AK$63 &amp; $AH11),0))))/1024)</f>
        <v>357.9794921875</v>
      </c>
      <c r="N11" s="595">
        <f ca="1">IF(ISERROR(MATCH(N$1,INDIRECT("Table!A"&amp;$AH11):INDIRECT("Table!" &amp; $AK$63 &amp; $AH11),0)),"",INDIRECT(CONCATENATE("Table!",ADDRESS($AD11,MATCH(N$1,INDIRECT("Table!A" &amp; $AH11):INDIRECT("Table!" &amp; $AK$63 &amp; $AH11),0))))/1024)</f>
        <v>112.9384765625</v>
      </c>
      <c r="O11" s="595">
        <f ca="1">IF(ISERROR(MATCH(O$1,INDIRECT("Table!A"&amp;$AH11):INDIRECT("Table!" &amp; $AK$63 &amp; $AH11),0)),"",INDIRECT(CONCATENATE("Table!",ADDRESS($AD11,MATCH(O$1,INDIRECT("Table!A" &amp; $AH11):INDIRECT("Table!" &amp; $AK$63 &amp; $AH11),0))))/1024)</f>
        <v>186.431640625</v>
      </c>
      <c r="P11" s="595">
        <f ca="1">IF(ISERROR(MATCH(P$1,INDIRECT("Table!A"&amp;$AH11):INDIRECT("Table!" &amp; $AK$63 &amp; $AH11),0)),"",INDIRECT(CONCATENATE("Table!",ADDRESS($AD11,MATCH(P$1,INDIRECT("Table!A" &amp; $AH11):INDIRECT("Table!" &amp; $AK$63 &amp; $AH11),0))))/1024)</f>
        <v>60.05859375</v>
      </c>
      <c r="Q11" s="595">
        <f ca="1">IF(ISERROR(MATCH(Q$1,INDIRECT("Table!A"&amp;$AH11):INDIRECT("Table!" &amp; $AK$63 &amp; $AH11),0)),"",INDIRECT(CONCATENATE("Table!",ADDRESS($AD11,MATCH(Q$1,INDIRECT("Table!A" &amp; $AH11):INDIRECT("Table!" &amp; $AK$63 &amp; $AH11),0))))/1024)</f>
        <v>146.556640625</v>
      </c>
      <c r="R11" s="595">
        <f ca="1">IF(ISERROR(MATCH(R$1,INDIRECT("Table!A"&amp;$AH11):INDIRECT("Table!" &amp; $AK$63 &amp; $AH11),0)),"",INDIRECT(CONCATENATE("Table!",ADDRESS($AD11,MATCH(R$1,INDIRECT("Table!A" &amp; $AH11):INDIRECT("Table!" &amp; $AK$63 &amp; $AH11),0))))/1024)</f>
        <v>309.8740234375</v>
      </c>
      <c r="S11" s="595">
        <f ca="1">IF(ISERROR(MATCH(S$1,INDIRECT("Table!A"&amp;$AH11):INDIRECT("Table!" &amp; $AK$63 &amp; $AH11),0)),"",INDIRECT(CONCATENATE("Table!",ADDRESS($AD11,MATCH(S$1,INDIRECT("Table!A" &amp; $AH11):INDIRECT("Table!" &amp; $AK$63 &amp; $AH11),0))))/1024)</f>
        <v>56.501953125</v>
      </c>
      <c r="T11" s="595">
        <f ca="1">IF(ISERROR(MATCH(T$1,INDIRECT("Table!A"&amp;$AH11):INDIRECT("Table!" &amp; $AK$63 &amp; $AH11),0)),"",INDIRECT(CONCATENATE("Table!",ADDRESS($AD11,MATCH(T$1,INDIRECT("Table!A" &amp; $AH11):INDIRECT("Table!" &amp; $AK$63 &amp; $AH11),0))))/1024)</f>
        <v>36.318359375</v>
      </c>
      <c r="U11" s="595">
        <f ca="1">IF(ISERROR(MATCH(U$1,INDIRECT("Table!A"&amp;$AH11):INDIRECT("Table!" &amp; $AK$63 &amp; $AH11),0)),"",INDIRECT(CONCATENATE("Table!",ADDRESS($AD11,MATCH(U$1,INDIRECT("Table!A" &amp; $AH11):INDIRECT("Table!" &amp; $AK$63 &amp; $AH11),0))))/1024)</f>
        <v>39.314453125</v>
      </c>
      <c r="V11" s="595">
        <f ca="1">IF(ISERROR(MATCH(V$1,INDIRECT("Table!A"&amp;$AH11):INDIRECT("Table!" &amp; $AK$63 &amp; $AH11),0)),"",INDIRECT(CONCATENATE("Table!",ADDRESS($AD11,MATCH(V$1,INDIRECT("Table!A" &amp; $AH11):INDIRECT("Table!" &amp; $AK$63 &amp; $AH11),0))))/1024)</f>
        <v>39.314453125</v>
      </c>
      <c r="W11" s="595">
        <f ca="1">IF(ISERROR(MATCH(W$1,INDIRECT("Table!A"&amp;$AH11):INDIRECT("Table!" &amp; $AK$63 &amp; $AH11),0)),"",INDIRECT(CONCATENATE("Table!",ADDRESS($AD11,MATCH(W$1,INDIRECT("Table!A" &amp; $AH11):INDIRECT("Table!" &amp; $AK$63 &amp; $AH11),0))))/1024)</f>
        <v>13.763671875</v>
      </c>
      <c r="X11" s="595">
        <f ca="1">IF(ISERROR(MATCH(X$1,INDIRECT("Table!A"&amp;$AH11):INDIRECT("Table!" &amp; $AK$63 &amp; $AH11),0)),"",INDIRECT(CONCATENATE("Table!",ADDRESS($AD11,MATCH(X$1,INDIRECT("Table!A" &amp; $AH11):INDIRECT("Table!" &amp; $AK$63 &amp; $AH11),0))))/1024)</f>
        <v>20.052734375</v>
      </c>
      <c r="Y11" s="595">
        <f ca="1">IF(ISERROR(MATCH(Y$1,INDIRECT("Table!A"&amp;$AH11):INDIRECT("Table!" &amp; $AK$63 &amp; $AH11),0)),"",INDIRECT(CONCATENATE("Table!",ADDRESS($AD11,MATCH(Y$1,INDIRECT("Table!A" &amp; $AH11):INDIRECT("Table!" &amp; $AK$63 &amp; $AH11),0))))/1024)</f>
        <v>-3.3203125E-2</v>
      </c>
      <c r="Z11" s="595">
        <f ca="1">IF(ISERROR(MATCH(Z$1,INDIRECT("Table!A"&amp;$AH11):INDIRECT("Table!" &amp; $AK$63 &amp; $AH11),0)),"",INDIRECT(CONCATENATE("Table!",ADDRESS($AD11,MATCH(Z$1,INDIRECT("Table!A" &amp; $AH11):INDIRECT("Table!" &amp; $AK$63 &amp; $AH11),0))))/1024)</f>
        <v>-3.3203125E-2</v>
      </c>
      <c r="AA11" s="595" t="str">
        <f ca="1">IF(ISERROR(MATCH(AA$1,INDIRECT("Table!A"&amp;$AH11):INDIRECT("Table!" &amp; $AK$63 &amp; $AH11),0)),"",INDIRECT(CONCATENATE("Table!",ADDRESS($AD11,MATCH(AA$1,INDIRECT("Table!A" &amp; $AH11):INDIRECT("Table!" &amp; $AK$63 &amp; $AH11),0))))/1024)</f>
        <v/>
      </c>
      <c r="AB11" s="595" t="str">
        <f ca="1">IF(ISERROR(MATCH(AB$1,INDIRECT("Table!A"&amp;$AH11):INDIRECT("Table!" &amp; $AK$63 &amp; $AH11),0)),"",INDIRECT(CONCATENATE("Table!",ADDRESS($AD11,MATCH(AB$1,INDIRECT("Table!A" &amp; $AH11):INDIRECT("Table!" &amp; $AK$63 &amp; $AH11),0))))/1024)</f>
        <v/>
      </c>
      <c r="AC11" s="595"/>
      <c r="AD11" s="595">
        <f>MATCH($A11,Table!$A:$A,0)+$AF$2-1</f>
        <v>123</v>
      </c>
      <c r="AE11" s="886"/>
      <c r="AF11" s="886"/>
      <c r="AG11" s="886"/>
      <c r="AH11" s="595">
        <f>MATCH($A11,Table!$A:$A,0)+$AJ$2-1</f>
        <v>115</v>
      </c>
      <c r="AI11" s="886"/>
      <c r="AJ11" s="886"/>
      <c r="AK11" s="904" t="s">
        <v>284</v>
      </c>
      <c r="AL11" s="699">
        <f t="shared" ca="1" si="0"/>
        <v>3427.873046875</v>
      </c>
      <c r="AM11" s="699">
        <f ca="1">AL11-AL21</f>
        <v>245.76531835937521</v>
      </c>
    </row>
    <row r="12" spans="1:39" s="743" customFormat="1" x14ac:dyDescent="0.25">
      <c r="A12" s="592">
        <v>41752</v>
      </c>
      <c r="B12" s="595">
        <f ca="1">IF(ISERROR(MATCH(B$1,INDIRECT("Table!A"&amp;$AH12):INDIRECT("Table!" &amp; $AK$86 &amp; $AH12),0)),"",INDIRECT(CONCATENATE("Table!",ADDRESS($AD12,MATCH(B$1,INDIRECT("Table!A" &amp; $AH12):INDIRECT("Table!" &amp; $AK$86 &amp; $AH12),0))))/1024)</f>
        <v>181.7886298828125</v>
      </c>
      <c r="C12" s="595">
        <f ca="1">IF(ISERROR(MATCH(C$1,INDIRECT("Table!A"&amp;$AH12):INDIRECT("Table!" &amp; $AK$86 &amp; $AH12),0)),"",INDIRECT(CONCATENATE("Table!",ADDRESS($AD12,MATCH(C$1,INDIRECT("Table!A" &amp; $AH12):INDIRECT("Table!" &amp; $AK$86 &amp; $AH12),0))))/1024)</f>
        <v>97.430276367187503</v>
      </c>
      <c r="D12" s="595">
        <f ca="1">IF(ISERROR(MATCH(D$1,INDIRECT("Table!A"&amp;$AH12):INDIRECT("Table!" &amp; $AK$86 &amp; $AH12),0)),"",INDIRECT(CONCATENATE("Table!",ADDRESS($AD12,MATCH(D$1,INDIRECT("Table!A" &amp; $AH12):INDIRECT("Table!" &amp; $AK$86 &amp; $AH12),0))))/1024)</f>
        <v>98.286372070312495</v>
      </c>
      <c r="E12" s="595">
        <f ca="1">IF(ISERROR(MATCH(E$1,INDIRECT("Table!A"&amp;$AH12):INDIRECT("Table!" &amp; $AK$86 &amp; $AH12),0)),"",INDIRECT(CONCATENATE("Table!",ADDRESS($AD12,MATCH(E$1,INDIRECT("Table!A" &amp; $AH12):INDIRECT("Table!" &amp; $AK$86 &amp; $AH12),0))))/1024)</f>
        <v>253.47018164062499</v>
      </c>
      <c r="F12" s="595">
        <f ca="1">IF(ISERROR(MATCH(F$1,INDIRECT("Table!A"&amp;$AH12):INDIRECT("Table!" &amp; $AK$86 &amp; $AH12),0)),"",INDIRECT(CONCATENATE("Table!",ADDRESS($AD12,MATCH(F$1,INDIRECT("Table!A" &amp; $AH12):INDIRECT("Table!" &amp; $AK$86 &amp; $AH12),0))))/1024)</f>
        <v>110.50219921874999</v>
      </c>
      <c r="G12" s="595">
        <f ca="1">IF(ISERROR(MATCH(G$1,INDIRECT("Table!A"&amp;$AH12):INDIRECT("Table!" &amp; $AK$86 &amp; $AH12),0)),"",INDIRECT(CONCATENATE("Table!",ADDRESS($AD12,MATCH(G$1,INDIRECT("Table!A" &amp; $AH12):INDIRECT("Table!" &amp; $AK$86 &amp; $AH12),0))))/1024)</f>
        <v>448.26488085937495</v>
      </c>
      <c r="H12" s="595">
        <f ca="1">IF(ISERROR(MATCH(H$1,INDIRECT("Table!A"&amp;$AH12):INDIRECT("Table!" &amp; $AK$86 &amp; $AH12),0)),"",INDIRECT(CONCATENATE("Table!",ADDRESS($AD12,MATCH(H$1,INDIRECT("Table!A" &amp; $AH12):INDIRECT("Table!" &amp; $AK$86 &amp; $AH12),0))))/1024)</f>
        <v>234.6031494140625</v>
      </c>
      <c r="I12" s="595">
        <f ca="1">IF(ISERROR(MATCH(I$1,INDIRECT("Table!A"&amp;$AH12):INDIRECT("Table!" &amp; $AK$63 &amp; $AH12),0)),"",INDIRECT(CONCATENATE("Table!",ADDRESS($AD12,MATCH(I$1,INDIRECT("Table!A" &amp; $AH12):INDIRECT("Table!" &amp; $AK$63 &amp; $AH12),0))))/1024)</f>
        <v>45.307218749999997</v>
      </c>
      <c r="J12" s="595">
        <f ca="1">IF(ISERROR(MATCH(J$1,INDIRECT("Table!A"&amp;$AH12):INDIRECT("Table!" &amp; $AK$63 &amp; $AH12),0)),"",INDIRECT(CONCATENATE("Table!",ADDRESS($AD12,MATCH(J$1,INDIRECT("Table!A" &amp; $AH12):INDIRECT("Table!" &amp; $AK$63 &amp; $AH12),0))))/1024)</f>
        <v>134.11068457031249</v>
      </c>
      <c r="K12" s="595">
        <f ca="1">IF(ISERROR(MATCH(K$1,INDIRECT("Table!A"&amp;$AH12):INDIRECT("Table!" &amp; $AK$63 &amp; $AH12),0)),"",INDIRECT(CONCATENATE("Table!",ADDRESS($AD12,MATCH(K$1,INDIRECT("Table!A" &amp; $AH12):INDIRECT("Table!" &amp; $AK$63 &amp; $AH12),0))))/1024)</f>
        <v>164.1398876953125</v>
      </c>
      <c r="L12" s="595">
        <f ca="1">IF(ISERROR(MATCH(L$1,INDIRECT("Table!A"&amp;$AH12):INDIRECT("Table!" &amp; $AK$63 &amp; $AH12),0)),"",INDIRECT(CONCATENATE("Table!",ADDRESS($AD12,MATCH(L$1,INDIRECT("Table!A" &amp; $AH12):INDIRECT("Table!" &amp; $AK$63 &amp; $AH12),0))))/1024)</f>
        <v>250.77018749999999</v>
      </c>
      <c r="M12" s="595">
        <f ca="1">IF(ISERROR(MATCH(M$1,INDIRECT("Table!A"&amp;$AH12):INDIRECT("Table!" &amp; $AK$63 &amp; $AH12),0)),"",INDIRECT(CONCATENATE("Table!",ADDRESS($AD12,MATCH(M$1,INDIRECT("Table!A" &amp; $AH12):INDIRECT("Table!" &amp; $AK$63 &amp; $AH12),0))))/1024)</f>
        <v>357.97971093749999</v>
      </c>
      <c r="N12" s="595">
        <f ca="1">IF(ISERROR(MATCH(N$1,INDIRECT("Table!A"&amp;$AH12):INDIRECT("Table!" &amp; $AK$63 &amp; $AH12),0)),"",INDIRECT(CONCATENATE("Table!",ADDRESS($AD12,MATCH(N$1,INDIRECT("Table!A" &amp; $AH12):INDIRECT("Table!" &amp; $AK$63 &amp; $AH12),0))))/1024)</f>
        <v>112.938779296875</v>
      </c>
      <c r="O12" s="595">
        <f ca="1">IF(ISERROR(MATCH(O$1,INDIRECT("Table!A"&amp;$AH12):INDIRECT("Table!" &amp; $AK$63 &amp; $AH12),0)),"",INDIRECT(CONCATENATE("Table!",ADDRESS($AD12,MATCH(O$1,INDIRECT("Table!A" &amp; $AH12):INDIRECT("Table!" &amp; $AK$63 &amp; $AH12),0))))/1024)</f>
        <v>191.172755859375</v>
      </c>
      <c r="P12" s="595">
        <f ca="1">IF(ISERROR(MATCH(P$1,INDIRECT("Table!A"&amp;$AH12):INDIRECT("Table!" &amp; $AK$63 &amp; $AH12),0)),"",INDIRECT(CONCATENATE("Table!",ADDRESS($AD12,MATCH(P$1,INDIRECT("Table!A" &amp; $AH12):INDIRECT("Table!" &amp; $AK$63 &amp; $AH12),0))))/1024)</f>
        <v>60.058406249999997</v>
      </c>
      <c r="Q12" s="595">
        <f ca="1">IF(ISERROR(MATCH(Q$1,INDIRECT("Table!A"&amp;$AH12):INDIRECT("Table!" &amp; $AK$63 &amp; $AH12),0)),"",INDIRECT(CONCATENATE("Table!",ADDRESS($AD12,MATCH(Q$1,INDIRECT("Table!A" &amp; $AH12):INDIRECT("Table!" &amp; $AK$63 &amp; $AH12),0))))/1024)</f>
        <v>146.06309765624999</v>
      </c>
      <c r="R12" s="595">
        <f ca="1">IF(ISERROR(MATCH(R$1,INDIRECT("Table!A"&amp;$AH12):INDIRECT("Table!" &amp; $AK$63 &amp; $AH12),0)),"",INDIRECT(CONCATENATE("Table!",ADDRESS($AD12,MATCH(R$1,INDIRECT("Table!A" &amp; $AH12):INDIRECT("Table!" &amp; $AK$63 &amp; $AH12),0))))/1024)</f>
        <v>303.81519433593746</v>
      </c>
      <c r="S12" s="595">
        <f ca="1">IF(ISERROR(MATCH(S$1,INDIRECT("Table!A"&amp;$AH12):INDIRECT("Table!" &amp; $AK$63 &amp; $AH12),0)),"",INDIRECT(CONCATENATE("Table!",ADDRESS($AD12,MATCH(S$1,INDIRECT("Table!A" &amp; $AH12):INDIRECT("Table!" &amp; $AK$63 &amp; $AH12),0))))/1024)</f>
        <v>56.502316406249996</v>
      </c>
      <c r="T12" s="595">
        <f ca="1">IF(ISERROR(MATCH(T$1,INDIRECT("Table!A"&amp;$AH12):INDIRECT("Table!" &amp; $AK$63 &amp; $AH12),0)),"",INDIRECT(CONCATENATE("Table!",ADDRESS($AD12,MATCH(T$1,INDIRECT("Table!A" &amp; $AH12):INDIRECT("Table!" &amp; $AK$63 &amp; $AH12),0))))/1024)</f>
        <v>36.318213867187495</v>
      </c>
      <c r="U12" s="595">
        <f ca="1">IF(ISERROR(MATCH(U$1,INDIRECT("Table!A"&amp;$AH12):INDIRECT("Table!" &amp; $AK$63 &amp; $AH12),0)),"",INDIRECT(CONCATENATE("Table!",ADDRESS($AD12,MATCH(U$1,INDIRECT("Table!A" &amp; $AH12):INDIRECT("Table!" &amp; $AK$63 &amp; $AH12),0))))/1024)</f>
        <v>38.7547939453125</v>
      </c>
      <c r="V12" s="595">
        <f ca="1">IF(ISERROR(MATCH(V$1,INDIRECT("Table!A"&amp;$AH12):INDIRECT("Table!" &amp; $AK$63 &amp; $AH12),0)),"",INDIRECT(CONCATENATE("Table!",ADDRESS($AD12,MATCH(V$1,INDIRECT("Table!A" &amp; $AH12):INDIRECT("Table!" &amp; $AK$63 &amp; $AH12),0))))/1024)</f>
        <v>38.7547939453125</v>
      </c>
      <c r="W12" s="595">
        <f ca="1">IF(ISERROR(MATCH(W$1,INDIRECT("Table!A"&amp;$AH12):INDIRECT("Table!" &amp; $AK$63 &amp; $AH12),0)),"",INDIRECT(CONCATENATE("Table!",ADDRESS($AD12,MATCH(W$1,INDIRECT("Table!A" &amp; $AH12):INDIRECT("Table!" &amp; $AK$63 &amp; $AH12),0))))/1024)</f>
        <v>7.6390078125</v>
      </c>
      <c r="X12" s="595">
        <f ca="1">IF(ISERROR(MATCH(X$1,INDIRECT("Table!A"&amp;$AH12):INDIRECT("Table!" &amp; $AK$63 &amp; $AH12),0)),"",INDIRECT(CONCATENATE("Table!",ADDRESS($AD12,MATCH(X$1,INDIRECT("Table!A" &amp; $AH12):INDIRECT("Table!" &amp; $AK$63 &amp; $AH12),0))))/1024)</f>
        <v>9.7133935546874994</v>
      </c>
      <c r="Y12" s="595" t="str">
        <f ca="1">IF(ISERROR(MATCH(Y$1,INDIRECT("Table!A"&amp;$AH12):INDIRECT("Table!" &amp; $AK$63 &amp; $AH12),0)),"",INDIRECT(CONCATENATE("Table!",ADDRESS($AD12,MATCH(Y$1,INDIRECT("Table!A" &amp; $AH12):INDIRECT("Table!" &amp; $AK$63 &amp; $AH12),0))))/1024)</f>
        <v/>
      </c>
      <c r="Z12" s="595" t="str">
        <f ca="1">IF(ISERROR(MATCH(Z$1,INDIRECT("Table!A"&amp;$AH12):INDIRECT("Table!" &amp; $AK$63 &amp; $AH12),0)),"",INDIRECT(CONCATENATE("Table!",ADDRESS($AD12,MATCH(Z$1,INDIRECT("Table!A" &amp; $AH12):INDIRECT("Table!" &amp; $AK$63 &amp; $AH12),0))))/1024)</f>
        <v/>
      </c>
      <c r="AA12" s="595" t="str">
        <f ca="1">IF(ISERROR(MATCH(AA$1,INDIRECT("Table!A"&amp;$AH12):INDIRECT("Table!" &amp; $AK$63 &amp; $AH12),0)),"",INDIRECT(CONCATENATE("Table!",ADDRESS($AD12,MATCH(AA$1,INDIRECT("Table!A" &amp; $AH12):INDIRECT("Table!" &amp; $AK$63 &amp; $AH12),0))))/1024)</f>
        <v/>
      </c>
      <c r="AB12" s="595" t="str">
        <f ca="1">IF(ISERROR(MATCH(AB$1,INDIRECT("Table!A"&amp;$AH12):INDIRECT("Table!" &amp; $AK$63 &amp; $AH12),0)),"",INDIRECT(CONCATENATE("Table!",ADDRESS($AD12,MATCH(AB$1,INDIRECT("Table!A" &amp; $AH12):INDIRECT("Table!" &amp; $AK$63 &amp; $AH12),0))))/1024)</f>
        <v/>
      </c>
      <c r="AC12" s="595"/>
      <c r="AD12" s="595">
        <f>MATCH($A12,Table!$A:$A,0)+$AF$2-1</f>
        <v>137</v>
      </c>
      <c r="AE12" s="886"/>
      <c r="AF12" s="886"/>
      <c r="AG12" s="886"/>
      <c r="AH12" s="595">
        <f>MATCH($A12,Table!$A:$A,0)+$AJ$2-1</f>
        <v>129</v>
      </c>
      <c r="AI12" s="886"/>
      <c r="AJ12" s="886"/>
      <c r="AK12" s="904" t="s">
        <v>284</v>
      </c>
      <c r="AL12" s="699">
        <f t="shared" ca="1" si="0"/>
        <v>3361.0317304687501</v>
      </c>
      <c r="AM12" s="699">
        <f t="shared" ref="AM12" ca="1" si="3">AL12-AL21</f>
        <v>178.9240019531253</v>
      </c>
    </row>
    <row r="13" spans="1:39" s="743" customFormat="1" x14ac:dyDescent="0.25">
      <c r="A13" s="592">
        <v>41745</v>
      </c>
      <c r="B13" s="595">
        <f ca="1">IF(ISERROR(MATCH(B$1,INDIRECT("Table!A"&amp;$AH13):INDIRECT("Table!" &amp; $AK$86 &amp; $AH13),0)),"",INDIRECT(CONCATENATE("Table!",ADDRESS($AD13,MATCH(B$1,INDIRECT("Table!A" &amp; $AH13):INDIRECT("Table!" &amp; $AK$86 &amp; $AH13),0))))/1024)</f>
        <v>181.755703125</v>
      </c>
      <c r="C13" s="595">
        <f ca="1">IF(ISERROR(MATCH(C$1,INDIRECT("Table!A"&amp;$AH13):INDIRECT("Table!" &amp; $AK$86 &amp; $AH13),0)),"",INDIRECT(CONCATENATE("Table!",ADDRESS($AD13,MATCH(C$1,INDIRECT("Table!A" &amp; $AH13):INDIRECT("Table!" &amp; $AK$86 &amp; $AH13),0))))/1024)</f>
        <v>96.771741210937492</v>
      </c>
      <c r="D13" s="595">
        <f ca="1">IF(ISERROR(MATCH(D$1,INDIRECT("Table!A"&amp;$AH13):INDIRECT("Table!" &amp; $AK$86 &amp; $AH13),0)),"",INDIRECT(CONCATENATE("Table!",ADDRESS($AD13,MATCH(D$1,INDIRECT("Table!A" &amp; $AH13):INDIRECT("Table!" &amp; $AK$86 &amp; $AH13),0))))/1024)</f>
        <v>97.627836914062499</v>
      </c>
      <c r="E13" s="595">
        <f ca="1">IF(ISERROR(MATCH(E$1,INDIRECT("Table!A"&amp;$AH13):INDIRECT("Table!" &amp; $AK$86 &amp; $AH13),0)),"",INDIRECT(CONCATENATE("Table!",ADDRESS($AD13,MATCH(E$1,INDIRECT("Table!A" &amp; $AH13):INDIRECT("Table!" &amp; $AK$86 &amp; $AH13),0))))/1024)</f>
        <v>253.47018164062499</v>
      </c>
      <c r="F13" s="595">
        <f ca="1">IF(ISERROR(MATCH(F$1,INDIRECT("Table!A"&amp;$AH13):INDIRECT("Table!" &amp; $AK$86 &amp; $AH13),0)),"",INDIRECT(CONCATENATE("Table!",ADDRESS($AD13,MATCH(F$1,INDIRECT("Table!A" &amp; $AH13):INDIRECT("Table!" &amp; $AK$86 &amp; $AH13),0))))/1024)</f>
        <v>113.00463281249999</v>
      </c>
      <c r="G13" s="595">
        <f ca="1">IF(ISERROR(MATCH(G$1,INDIRECT("Table!A"&amp;$AH13):INDIRECT("Table!" &amp; $AK$86 &amp; $AH13),0)),"",INDIRECT(CONCATENATE("Table!",ADDRESS($AD13,MATCH(G$1,INDIRECT("Table!A" &amp; $AH13):INDIRECT("Table!" &amp; $AK$86 &amp; $AH13),0))))/1024)</f>
        <v>448.39658789062497</v>
      </c>
      <c r="H13" s="595">
        <f ca="1">IF(ISERROR(MATCH(H$1,INDIRECT("Table!A"&amp;$AH13):INDIRECT("Table!" &amp; $AK$86 &amp; $AH13),0)),"",INDIRECT(CONCATENATE("Table!",ADDRESS($AD13,MATCH(H$1,INDIRECT("Table!A" &amp; $AH13):INDIRECT("Table!" &amp; $AK$86 &amp; $AH13),0))))/1024)</f>
        <v>234.57022265625</v>
      </c>
      <c r="I13" s="595">
        <f ca="1">IF(ISERROR(MATCH(I$1,INDIRECT("Table!A"&amp;$AH13):INDIRECT("Table!" &amp; $AK$63 &amp; $AH13),0)),"",INDIRECT(CONCATENATE("Table!",ADDRESS($AD13,MATCH(I$1,INDIRECT("Table!A" &amp; $AH13):INDIRECT("Table!" &amp; $AK$63 &amp; $AH13),0))))/1024)</f>
        <v>45.307218749999997</v>
      </c>
      <c r="J13" s="595">
        <f ca="1">IF(ISERROR(MATCH(J$1,INDIRECT("Table!A"&amp;$AH13):INDIRECT("Table!" &amp; $AK$63 &amp; $AH13),0)),"",INDIRECT(CONCATENATE("Table!",ADDRESS($AD13,MATCH(J$1,INDIRECT("Table!A" &amp; $AH13):INDIRECT("Table!" &amp; $AK$63 &amp; $AH13),0))))/1024)</f>
        <v>133.748490234375</v>
      </c>
      <c r="K13" s="595">
        <f ca="1">IF(ISERROR(MATCH(K$1,INDIRECT("Table!A"&amp;$AH13):INDIRECT("Table!" &amp; $AK$63 &amp; $AH13),0)),"",INDIRECT(CONCATENATE("Table!",ADDRESS($AD13,MATCH(K$1,INDIRECT("Table!A" &amp; $AH13):INDIRECT("Table!" &amp; $AK$63 &amp; $AH13),0))))/1024)</f>
        <v>163.0203779296875</v>
      </c>
      <c r="L13" s="595">
        <f ca="1">IF(ISERROR(MATCH(L$1,INDIRECT("Table!A"&amp;$AH13):INDIRECT("Table!" &amp; $AK$63 &amp; $AH13),0)),"",INDIRECT(CONCATENATE("Table!",ADDRESS($AD13,MATCH(L$1,INDIRECT("Table!A" &amp; $AH13):INDIRECT("Table!" &amp; $AK$63 &amp; $AH13),0))))/1024)</f>
        <v>250.77018749999999</v>
      </c>
      <c r="M13" s="595">
        <f ca="1">IF(ISERROR(MATCH(M$1,INDIRECT("Table!A"&amp;$AH13):INDIRECT("Table!" &amp; $AK$63 &amp; $AH13),0)),"",INDIRECT(CONCATENATE("Table!",ADDRESS($AD13,MATCH(M$1,INDIRECT("Table!A" &amp; $AH13):INDIRECT("Table!" &amp; $AK$63 &amp; $AH13),0))))/1024)</f>
        <v>358.17727148437501</v>
      </c>
      <c r="N13" s="595">
        <f ca="1">IF(ISERROR(MATCH(N$1,INDIRECT("Table!A"&amp;$AH13):INDIRECT("Table!" &amp; $AK$63 &amp; $AH13),0)),"",INDIRECT(CONCATENATE("Table!",ADDRESS($AD13,MATCH(N$1,INDIRECT("Table!A" &amp; $AH13):INDIRECT("Table!" &amp; $AK$63 &amp; $AH13),0))))/1024)</f>
        <v>113.92658203124999</v>
      </c>
      <c r="O13" s="595">
        <f ca="1">IF(ISERROR(MATCH(O$1,INDIRECT("Table!A"&amp;$AH13):INDIRECT("Table!" &amp; $AK$63 &amp; $AH13),0)),"",INDIRECT(CONCATENATE("Table!",ADDRESS($AD13,MATCH(O$1,INDIRECT("Table!A" &amp; $AH13):INDIRECT("Table!" &amp; $AK$63 &amp; $AH13),0))))/1024)</f>
        <v>196.70445117187495</v>
      </c>
      <c r="P13" s="595">
        <f ca="1">IF(ISERROR(MATCH(P$1,INDIRECT("Table!A"&amp;$AH13):INDIRECT("Table!" &amp; $AK$63 &amp; $AH13),0)),"",INDIRECT(CONCATENATE("Table!",ADDRESS($AD13,MATCH(P$1,INDIRECT("Table!A" &amp; $AH13):INDIRECT("Table!" &amp; $AK$63 &amp; $AH13),0))))/1024)</f>
        <v>60.058406249999997</v>
      </c>
      <c r="Q13" s="595">
        <f ca="1">IF(ISERROR(MATCH(Q$1,INDIRECT("Table!A"&amp;$AH13):INDIRECT("Table!" &amp; $AK$63 &amp; $AH13),0)),"",INDIRECT(CONCATENATE("Table!",ADDRESS($AD13,MATCH(Q$1,INDIRECT("Table!A" &amp; $AH13):INDIRECT("Table!" &amp; $AK$63 &amp; $AH13),0))))/1024)</f>
        <v>145.56919628906249</v>
      </c>
      <c r="R13" s="595">
        <f ca="1">IF(ISERROR(MATCH(R$1,INDIRECT("Table!A"&amp;$AH13):INDIRECT("Table!" &amp; $AK$63 &amp; $AH13),0)),"",INDIRECT(CONCATENATE("Table!",ADDRESS($AD13,MATCH(R$1,INDIRECT("Table!A" &amp; $AH13):INDIRECT("Table!" &amp; $AK$63 &amp; $AH13),0))))/1024)</f>
        <v>302.79446484375001</v>
      </c>
      <c r="S13" s="595">
        <f ca="1">IF(ISERROR(MATCH(S$1,INDIRECT("Table!A"&amp;$AH13):INDIRECT("Table!" &amp; $AK$63 &amp; $AH13),0)),"",INDIRECT(CONCATENATE("Table!",ADDRESS($AD13,MATCH(S$1,INDIRECT("Table!A" &amp; $AH13):INDIRECT("Table!" &amp; $AK$63 &amp; $AH13),0))))/1024)</f>
        <v>56.502316406249996</v>
      </c>
      <c r="T13" s="595">
        <f ca="1">IF(ISERROR(MATCH(T$1,INDIRECT("Table!A"&amp;$AH13):INDIRECT("Table!" &amp; $AK$63 &amp; $AH13),0)),"",INDIRECT(CONCATENATE("Table!",ADDRESS($AD13,MATCH(T$1,INDIRECT("Table!A" &amp; $AH13):INDIRECT("Table!" &amp; $AK$63 &amp; $AH13),0))))/1024)</f>
        <v>36.318213867187495</v>
      </c>
      <c r="U13" s="595">
        <f ca="1">IF(ISERROR(MATCH(U$1,INDIRECT("Table!A"&amp;$AH13):INDIRECT("Table!" &amp; $AK$63 &amp; $AH13),0)),"",INDIRECT(CONCATENATE("Table!",ADDRESS($AD13,MATCH(U$1,INDIRECT("Table!A" &amp; $AH13):INDIRECT("Table!" &amp; $AK$63 &amp; $AH13),0))))/1024)</f>
        <v>38.7547939453125</v>
      </c>
      <c r="V13" s="595">
        <f ca="1">IF(ISERROR(MATCH(V$1,INDIRECT("Table!A"&amp;$AH13):INDIRECT("Table!" &amp; $AK$63 &amp; $AH13),0)),"",INDIRECT(CONCATENATE("Table!",ADDRESS($AD13,MATCH(V$1,INDIRECT("Table!A" &amp; $AH13):INDIRECT("Table!" &amp; $AK$63 &amp; $AH13),0))))/1024)</f>
        <v>38.7547939453125</v>
      </c>
      <c r="W13" s="595">
        <f ca="1">IF(ISERROR(MATCH(W$1,INDIRECT("Table!A"&amp;$AH13):INDIRECT("Table!" &amp; $AK$63 &amp; $AH13),0)),"",INDIRECT(CONCATENATE("Table!",ADDRESS($AD13,MATCH(W$1,INDIRECT("Table!A" &amp; $AH13):INDIRECT("Table!" &amp; $AK$63 &amp; $AH13),0))))/1024)</f>
        <v>-3.2926757812499999E-2</v>
      </c>
      <c r="X13" s="595">
        <f ca="1">IF(ISERROR(MATCH(X$1,INDIRECT("Table!A"&amp;$AH13):INDIRECT("Table!" &amp; $AK$63 &amp; $AH13),0)),"",INDIRECT(CONCATENATE("Table!",ADDRESS($AD13,MATCH(X$1,INDIRECT("Table!A" &amp; $AH13):INDIRECT("Table!" &amp; $AK$63 &amp; $AH13),0))))/1024)</f>
        <v>-3.2926757812499999E-2</v>
      </c>
      <c r="Y13" s="595" t="str">
        <f ca="1">IF(ISERROR(MATCH(Y$1,INDIRECT("Table!A"&amp;$AH13):INDIRECT("Table!" &amp; $AK$63 &amp; $AH13),0)),"",INDIRECT(CONCATENATE("Table!",ADDRESS($AD13,MATCH(Y$1,INDIRECT("Table!A" &amp; $AH13):INDIRECT("Table!" &amp; $AK$63 &amp; $AH13),0))))/1024)</f>
        <v/>
      </c>
      <c r="Z13" s="595" t="str">
        <f ca="1">IF(ISERROR(MATCH(Z$1,INDIRECT("Table!A"&amp;$AH13):INDIRECT("Table!" &amp; $AK$63 &amp; $AH13),0)),"",INDIRECT(CONCATENATE("Table!",ADDRESS($AD13,MATCH(Z$1,INDIRECT("Table!A" &amp; $AH13):INDIRECT("Table!" &amp; $AK$63 &amp; $AH13),0))))/1024)</f>
        <v/>
      </c>
      <c r="AA13" s="595" t="str">
        <f ca="1">IF(ISERROR(MATCH(AA$1,INDIRECT("Table!A"&amp;$AH13):INDIRECT("Table!" &amp; $AK$63 &amp; $AH13),0)),"",INDIRECT(CONCATENATE("Table!",ADDRESS($AD13,MATCH(AA$1,INDIRECT("Table!A" &amp; $AH13):INDIRECT("Table!" &amp; $AK$63 &amp; $AH13),0))))/1024)</f>
        <v/>
      </c>
      <c r="AB13" s="595" t="str">
        <f ca="1">IF(ISERROR(MATCH(AB$1,INDIRECT("Table!A"&amp;$AH13):INDIRECT("Table!" &amp; $AK$63 &amp; $AH13),0)),"",INDIRECT(CONCATENATE("Table!",ADDRESS($AD13,MATCH(AB$1,INDIRECT("Table!A" &amp; $AH13):INDIRECT("Table!" &amp; $AK$63 &amp; $AH13),0))))/1024)</f>
        <v/>
      </c>
      <c r="AC13" s="595"/>
      <c r="AD13" s="595">
        <f>MATCH($A13,Table!$A:$A,0)+$AF$2-1</f>
        <v>151</v>
      </c>
      <c r="AE13" s="769"/>
      <c r="AF13" s="769"/>
      <c r="AG13" s="769"/>
      <c r="AH13" s="595">
        <f>MATCH($A13,Table!$A:$A,0)+$AJ$2-1</f>
        <v>143</v>
      </c>
      <c r="AI13" s="769"/>
      <c r="AJ13" s="769"/>
      <c r="AK13" s="904" t="s">
        <v>284</v>
      </c>
      <c r="AL13" s="699">
        <f t="shared" ca="1" si="0"/>
        <v>3366.0036708984371</v>
      </c>
      <c r="AM13" s="699">
        <f t="shared" ref="AM13" ca="1" si="4">AL13-AL20</f>
        <v>139.938720703125</v>
      </c>
    </row>
    <row r="14" spans="1:39" s="743" customFormat="1" x14ac:dyDescent="0.25">
      <c r="A14" s="592">
        <v>41739</v>
      </c>
      <c r="B14" s="595">
        <f ca="1">IF(ISERROR(MATCH(B$1,INDIRECT("Table!A"&amp;$AH14):INDIRECT("Table!" &amp; $AK$86 &amp; $AH14),0)),"",INDIRECT(CONCATENATE("Table!",ADDRESS($AD14,MATCH(B$1,INDIRECT("Table!A" &amp; $AH14):INDIRECT("Table!" &amp; $AK$86 &amp; $AH14),0))))/1024)</f>
        <v>181.72277636718749</v>
      </c>
      <c r="C14" s="595">
        <f ca="1">IF(ISERROR(MATCH(C$1,INDIRECT("Table!A"&amp;$AH14):INDIRECT("Table!" &amp; $AK$86 &amp; $AH14),0)),"",INDIRECT(CONCATENATE("Table!",ADDRESS($AD14,MATCH(C$1,INDIRECT("Table!A" &amp; $AH14):INDIRECT("Table!" &amp; $AK$86 &amp; $AH14),0))))/1024)</f>
        <v>96.771741210937492</v>
      </c>
      <c r="D14" s="595">
        <f ca="1">IF(ISERROR(MATCH(D$1,INDIRECT("Table!A"&amp;$AH14):INDIRECT("Table!" &amp; $AK$86 &amp; $AH14),0)),"",INDIRECT(CONCATENATE("Table!",ADDRESS($AD14,MATCH(D$1,INDIRECT("Table!A" &amp; $AH14):INDIRECT("Table!" &amp; $AK$86 &amp; $AH14),0))))/1024)</f>
        <v>97.627836914062499</v>
      </c>
      <c r="E14" s="595">
        <f ca="1">IF(ISERROR(MATCH(E$1,INDIRECT("Table!A"&amp;$AH14):INDIRECT("Table!" &amp; $AK$86 &amp; $AH14),0)),"",INDIRECT(CONCATENATE("Table!",ADDRESS($AD14,MATCH(E$1,INDIRECT("Table!A" &amp; $AH14):INDIRECT("Table!" &amp; $AK$86 &amp; $AH14),0))))/1024)</f>
        <v>253.53603515624999</v>
      </c>
      <c r="F14" s="595">
        <f ca="1">IF(ISERROR(MATCH(F$1,INDIRECT("Table!A"&amp;$AH14):INDIRECT("Table!" &amp; $AK$86 &amp; $AH14),0)),"",INDIRECT(CONCATENATE("Table!",ADDRESS($AD14,MATCH(F$1,INDIRECT("Table!A" &amp; $AH14):INDIRECT("Table!" &amp; $AK$86 &amp; $AH14),0))))/1024)</f>
        <v>115.30950585937499</v>
      </c>
      <c r="G14" s="595">
        <f ca="1">IF(ISERROR(MATCH(G$1,INDIRECT("Table!A"&amp;$AH14):INDIRECT("Table!" &amp; $AK$86 &amp; $AH14),0)),"",INDIRECT(CONCATENATE("Table!",ADDRESS($AD14,MATCH(G$1,INDIRECT("Table!A" &amp; $AH14):INDIRECT("Table!" &amp; $AK$86 &amp; $AH14),0))))/1024)</f>
        <v>448.39658789062497</v>
      </c>
      <c r="H14" s="595">
        <f ca="1">IF(ISERROR(MATCH(H$1,INDIRECT("Table!A"&amp;$AH14):INDIRECT("Table!" &amp; $AK$86 &amp; $AH14),0)),"",INDIRECT(CONCATENATE("Table!",ADDRESS($AD14,MATCH(H$1,INDIRECT("Table!A" &amp; $AH14):INDIRECT("Table!" &amp; $AK$86 &amp; $AH14),0))))/1024)</f>
        <v>234.53729589843749</v>
      </c>
      <c r="I14" s="595">
        <f ca="1">IF(ISERROR(MATCH(I$1,INDIRECT("Table!A"&amp;$AH14):INDIRECT("Table!" &amp; $AK$63 &amp; $AH14),0)),"",INDIRECT(CONCATENATE("Table!",ADDRESS($AD14,MATCH(I$1,INDIRECT("Table!A" &amp; $AH14):INDIRECT("Table!" &amp; $AK$63 &amp; $AH14),0))))/1024)</f>
        <v>45.307218749999997</v>
      </c>
      <c r="J14" s="595">
        <f ca="1">IF(ISERROR(MATCH(J$1,INDIRECT("Table!A"&amp;$AH14):INDIRECT("Table!" &amp; $AK$63 &amp; $AH14),0)),"",INDIRECT(CONCATENATE("Table!",ADDRESS($AD14,MATCH(J$1,INDIRECT("Table!A" &amp; $AH14):INDIRECT("Table!" &amp; $AK$63 &amp; $AH14),0))))/1024)</f>
        <v>124.29851074218749</v>
      </c>
      <c r="K14" s="595">
        <f ca="1">IF(ISERROR(MATCH(K$1,INDIRECT("Table!A"&amp;$AH14):INDIRECT("Table!" &amp; $AK$63 &amp; $AH14),0)),"",INDIRECT(CONCATENATE("Table!",ADDRESS($AD14,MATCH(K$1,INDIRECT("Table!A" &amp; $AH14):INDIRECT("Table!" &amp; $AK$63 &amp; $AH14),0))))/1024)</f>
        <v>162.62525683593751</v>
      </c>
      <c r="L14" s="595">
        <f ca="1">IF(ISERROR(MATCH(L$1,INDIRECT("Table!A"&amp;$AH14):INDIRECT("Table!" &amp; $AK$63 &amp; $AH14),0)),"",INDIRECT(CONCATENATE("Table!",ADDRESS($AD14,MATCH(L$1,INDIRECT("Table!A" &amp; $AH14):INDIRECT("Table!" &amp; $AK$63 &amp; $AH14),0))))/1024)</f>
        <v>250.77018749999999</v>
      </c>
      <c r="M14" s="595">
        <f ca="1">IF(ISERROR(MATCH(M$1,INDIRECT("Table!A"&amp;$AH14):INDIRECT("Table!" &amp; $AK$63 &amp; $AH14),0)),"",INDIRECT(CONCATENATE("Table!",ADDRESS($AD14,MATCH(M$1,INDIRECT("Table!A" &amp; $AH14):INDIRECT("Table!" &amp; $AK$63 &amp; $AH14),0))))/1024)</f>
        <v>358.17727148437501</v>
      </c>
      <c r="N14" s="595">
        <f ca="1">IF(ISERROR(MATCH(N$1,INDIRECT("Table!A"&amp;$AH14):INDIRECT("Table!" &amp; $AK$63 &amp; $AH14),0)),"",INDIRECT(CONCATENATE("Table!",ADDRESS($AD14,MATCH(N$1,INDIRECT("Table!A" &amp; $AH14):INDIRECT("Table!" &amp; $AK$63 &amp; $AH14),0))))/1024)</f>
        <v>119.9521787109375</v>
      </c>
      <c r="O14" s="595">
        <f ca="1">IF(ISERROR(MATCH(O$1,INDIRECT("Table!A"&amp;$AH14):INDIRECT("Table!" &amp; $AK$63 &amp; $AH14),0)),"",INDIRECT(CONCATENATE("Table!",ADDRESS($AD14,MATCH(O$1,INDIRECT("Table!A" &amp; $AH14):INDIRECT("Table!" &amp; $AK$63 &amp; $AH14),0))))/1024)</f>
        <v>196.6715244140625</v>
      </c>
      <c r="P14" s="595">
        <f ca="1">IF(ISERROR(MATCH(P$1,INDIRECT("Table!A"&amp;$AH14):INDIRECT("Table!" &amp; $AK$63 &amp; $AH14),0)),"",INDIRECT(CONCATENATE("Table!",ADDRESS($AD14,MATCH(P$1,INDIRECT("Table!A" &amp; $AH14):INDIRECT("Table!" &amp; $AK$63 &amp; $AH14),0))))/1024)</f>
        <v>60.058406249999997</v>
      </c>
      <c r="Q14" s="595">
        <f ca="1">IF(ISERROR(MATCH(Q$1,INDIRECT("Table!A"&amp;$AH14):INDIRECT("Table!" &amp; $AK$63 &amp; $AH14),0)),"",INDIRECT(CONCATENATE("Table!",ADDRESS($AD14,MATCH(Q$1,INDIRECT("Table!A" &amp; $AH14):INDIRECT("Table!" &amp; $AK$63 &amp; $AH14),0))))/1024)</f>
        <v>136.11921679687501</v>
      </c>
      <c r="R14" s="595">
        <f ca="1">IF(ISERROR(MATCH(R$1,INDIRECT("Table!A"&amp;$AH14):INDIRECT("Table!" &amp; $AK$63 &amp; $AH14),0)),"",INDIRECT(CONCATENATE("Table!",ADDRESS($AD14,MATCH(R$1,INDIRECT("Table!A" &amp; $AH14):INDIRECT("Table!" &amp; $AK$63 &amp; $AH14),0))))/1024)</f>
        <v>302.79446484375001</v>
      </c>
      <c r="S14" s="595">
        <f ca="1">IF(ISERROR(MATCH(S$1,INDIRECT("Table!A"&amp;$AH14):INDIRECT("Table!" &amp; $AK$63 &amp; $AH14),0)),"",INDIRECT(CONCATENATE("Table!",ADDRESS($AD14,MATCH(S$1,INDIRECT("Table!A" &amp; $AH14):INDIRECT("Table!" &amp; $AK$63 &amp; $AH14),0))))/1024)</f>
        <v>55.613293945312499</v>
      </c>
      <c r="T14" s="595">
        <f ca="1">IF(ISERROR(MATCH(T$1,INDIRECT("Table!A"&amp;$AH14):INDIRECT("Table!" &amp; $AK$63 &amp; $AH14),0)),"",INDIRECT(CONCATENATE("Table!",ADDRESS($AD14,MATCH(T$1,INDIRECT("Table!A" &amp; $AH14):INDIRECT("Table!" &amp; $AK$63 &amp; $AH14),0))))/1024)</f>
        <v>35.791385742187501</v>
      </c>
      <c r="U14" s="595">
        <f ca="1">IF(ISERROR(MATCH(U$1,INDIRECT("Table!A"&amp;$AH14):INDIRECT("Table!" &amp; $AK$63 &amp; $AH14),0)),"",INDIRECT(CONCATENATE("Table!",ADDRESS($AD14,MATCH(U$1,INDIRECT("Table!A" &amp; $AH14):INDIRECT("Table!" &amp; $AK$63 &amp; $AH14),0))))/1024)</f>
        <v>38.7547939453125</v>
      </c>
      <c r="V14" s="595">
        <f ca="1">IF(ISERROR(MATCH(V$1,INDIRECT("Table!A"&amp;$AH14):INDIRECT("Table!" &amp; $AK$63 &amp; $AH14),0)),"",INDIRECT(CONCATENATE("Table!",ADDRESS($AD14,MATCH(V$1,INDIRECT("Table!A" &amp; $AH14):INDIRECT("Table!" &amp; $AK$63 &amp; $AH14),0))))/1024)</f>
        <v>38.7547939453125</v>
      </c>
      <c r="W14" s="595" t="str">
        <f ca="1">IF(ISERROR(MATCH(W$1,INDIRECT("Table!A"&amp;$AH14):INDIRECT("Table!" &amp; $AK$63 &amp; $AH14),0)),"",INDIRECT(CONCATENATE("Table!",ADDRESS($AD14,MATCH(W$1,INDIRECT("Table!A" &amp; $AH14):INDIRECT("Table!" &amp; $AK$63 &amp; $AH14),0))))/1024)</f>
        <v/>
      </c>
      <c r="X14" s="595"/>
      <c r="Y14" s="595"/>
      <c r="Z14" s="595"/>
      <c r="AA14" s="595"/>
      <c r="AB14" s="595"/>
      <c r="AC14" s="595"/>
      <c r="AD14" s="595">
        <f>MATCH($A14,Table!$A:$A,0)+$AF$2-1</f>
        <v>165</v>
      </c>
      <c r="AE14" s="764"/>
      <c r="AF14" s="764"/>
      <c r="AG14" s="764"/>
      <c r="AH14" s="595">
        <f>MATCH($A14,Table!$A:$A,0)+$AJ$2-1</f>
        <v>157</v>
      </c>
      <c r="AI14" s="764"/>
      <c r="AJ14" s="764"/>
      <c r="AK14" s="904" t="s">
        <v>284</v>
      </c>
      <c r="AL14" s="699">
        <f t="shared" ca="1" si="0"/>
        <v>3353.5902832031252</v>
      </c>
      <c r="AM14" s="699">
        <f t="shared" ref="AM14" ca="1" si="5">AL14-AL20</f>
        <v>127.52533300781306</v>
      </c>
    </row>
    <row r="15" spans="1:39" s="743" customFormat="1" x14ac:dyDescent="0.25">
      <c r="A15" s="592">
        <v>41732</v>
      </c>
      <c r="B15" s="595">
        <f ca="1">IF(ISERROR(MATCH(B$1,INDIRECT("Table!A"&amp;$AH15):INDIRECT("Table!" &amp; $AK$86 &amp; $AH15),0)),"",INDIRECT(CONCATENATE("Table!",ADDRESS($AD15,MATCH(B$1,INDIRECT("Table!A" &amp; $AH15):INDIRECT("Table!" &amp; $AK$86 &amp; $AH15),0))))/1024)</f>
        <v>181.45936230468749</v>
      </c>
      <c r="C15" s="595">
        <f ca="1">IF(ISERROR(MATCH(C$1,INDIRECT("Table!A"&amp;$AH15):INDIRECT("Table!" &amp; $AK$86 &amp; $AH15),0)),"",INDIRECT(CONCATENATE("Table!",ADDRESS($AD15,MATCH(C$1,INDIRECT("Table!A" &amp; $AH15):INDIRECT("Table!" &amp; $AK$86 &amp; $AH15),0))))/1024)</f>
        <v>96.771741210937492</v>
      </c>
      <c r="D15" s="595">
        <f ca="1">IF(ISERROR(MATCH(D$1,INDIRECT("Table!A"&amp;$AH15):INDIRECT("Table!" &amp; $AK$86 &amp; $AH15),0)),"",INDIRECT(CONCATENATE("Table!",ADDRESS($AD15,MATCH(D$1,INDIRECT("Table!A" &amp; $AH15):INDIRECT("Table!" &amp; $AK$86 &amp; $AH15),0))))/1024)</f>
        <v>97.627836914062499</v>
      </c>
      <c r="E15" s="595">
        <f ca="1">IF(ISERROR(MATCH(E$1,INDIRECT("Table!A"&amp;$AH15):INDIRECT("Table!" &amp; $AK$86 &amp; $AH15),0)),"",INDIRECT(CONCATENATE("Table!",ADDRESS($AD15,MATCH(E$1,INDIRECT("Table!A" &amp; $AH15):INDIRECT("Table!" &amp; $AK$86 &amp; $AH15),0))))/1024)</f>
        <v>253.53603515624999</v>
      </c>
      <c r="F15" s="595">
        <f ca="1">IF(ISERROR(MATCH(F$1,INDIRECT("Table!A"&amp;$AH15):INDIRECT("Table!" &amp; $AK$86 &amp; $AH15),0)),"",INDIRECT(CONCATENATE("Table!",ADDRESS($AD15,MATCH(F$1,INDIRECT("Table!A" &amp; $AH15):INDIRECT("Table!" &amp; $AK$86 &amp; $AH15),0))))/1024)</f>
        <v>115.30950585937499</v>
      </c>
      <c r="G15" s="595">
        <f ca="1">IF(ISERROR(MATCH(G$1,INDIRECT("Table!A"&amp;$AH15):INDIRECT("Table!" &amp; $AK$86 &amp; $AH15),0)),"",INDIRECT(CONCATENATE("Table!",ADDRESS($AD15,MATCH(G$1,INDIRECT("Table!A" &amp; $AH15):INDIRECT("Table!" &amp; $AK$86 &amp; $AH15),0))))/1024)</f>
        <v>448.39658789062497</v>
      </c>
      <c r="H15" s="595">
        <f ca="1">IF(ISERROR(MATCH(H$1,INDIRECT("Table!A"&amp;$AH15):INDIRECT("Table!" &amp; $AK$86 &amp; $AH15),0)),"",INDIRECT(CONCATENATE("Table!",ADDRESS($AD15,MATCH(H$1,INDIRECT("Table!A" &amp; $AH15):INDIRECT("Table!" &amp; $AK$86 &amp; $AH15),0))))/1024)</f>
        <v>234.1421748046875</v>
      </c>
      <c r="I15" s="595">
        <f ca="1">IF(ISERROR(MATCH(I$1,INDIRECT("Table!A"&amp;$AH15):INDIRECT("Table!" &amp; $AK$63 &amp; $AH15),0)),"",INDIRECT(CONCATENATE("Table!",ADDRESS($AD15,MATCH(I$1,INDIRECT("Table!A" &amp; $AH15):INDIRECT("Table!" &amp; $AK$63 &amp; $AH15),0))))/1024)</f>
        <v>45.109658203125001</v>
      </c>
      <c r="J15" s="595">
        <f ca="1">IF(ISERROR(MATCH(J$1,INDIRECT("Table!A"&amp;$AH15):INDIRECT("Table!" &amp; $AK$63 &amp; $AH15),0)),"",INDIRECT(CONCATENATE("Table!",ADDRESS($AD15,MATCH(J$1,INDIRECT("Table!A" &amp; $AH15):INDIRECT("Table!" &amp; $AK$63 &amp; $AH15),0))))/1024)</f>
        <v>123.93631640625</v>
      </c>
      <c r="K15" s="595">
        <f ca="1">IF(ISERROR(MATCH(K$1,INDIRECT("Table!A"&amp;$AH15):INDIRECT("Table!" &amp; $AK$63 &amp; $AH15),0)),"",INDIRECT(CONCATENATE("Table!",ADDRESS($AD15,MATCH(K$1,INDIRECT("Table!A" &amp; $AH15):INDIRECT("Table!" &amp; $AK$63 &amp; $AH15),0))))/1024)</f>
        <v>160.485017578125</v>
      </c>
      <c r="L15" s="595">
        <f ca="1">IF(ISERROR(MATCH(L$1,INDIRECT("Table!A"&amp;$AH15):INDIRECT("Table!" &amp; $AK$63 &amp; $AH15),0)),"",INDIRECT(CONCATENATE("Table!",ADDRESS($AD15,MATCH(L$1,INDIRECT("Table!A" &amp; $AH15):INDIRECT("Table!" &amp; $AK$63 &amp; $AH15),0))))/1024)</f>
        <v>250.77018749999999</v>
      </c>
      <c r="M15" s="595">
        <f ca="1">IF(ISERROR(MATCH(M$1,INDIRECT("Table!A"&amp;$AH15):INDIRECT("Table!" &amp; $AK$63 &amp; $AH15),0)),"",INDIRECT(CONCATENATE("Table!",ADDRESS($AD15,MATCH(M$1,INDIRECT("Table!A" &amp; $AH15):INDIRECT("Table!" &amp; $AK$63 &amp; $AH15),0))))/1024)</f>
        <v>358.17727148437501</v>
      </c>
      <c r="N15" s="595">
        <f ca="1">IF(ISERROR(MATCH(N$1,INDIRECT("Table!A"&amp;$AH15):INDIRECT("Table!" &amp; $AK$63 &amp; $AH15),0)),"",INDIRECT(CONCATENATE("Table!",ADDRESS($AD15,MATCH(N$1,INDIRECT("Table!A" &amp; $AH15):INDIRECT("Table!" &amp; $AK$63 &amp; $AH15),0))))/1024)</f>
        <v>119.9521787109375</v>
      </c>
      <c r="O15" s="595">
        <f ca="1">IF(ISERROR(MATCH(O$1,INDIRECT("Table!A"&amp;$AH15):INDIRECT("Table!" &amp; $AK$63 &amp; $AH15),0)),"",INDIRECT(CONCATENATE("Table!",ADDRESS($AD15,MATCH(O$1,INDIRECT("Table!A" &amp; $AH15):INDIRECT("Table!" &amp; $AK$63 &amp; $AH15),0))))/1024)</f>
        <v>196.27640332031245</v>
      </c>
      <c r="P15" s="595">
        <f ca="1">IF(ISERROR(MATCH(P$1,INDIRECT("Table!A"&amp;$AH15):INDIRECT("Table!" &amp; $AK$63 &amp; $AH15),0)),"",INDIRECT(CONCATENATE("Table!",ADDRESS($AD15,MATCH(P$1,INDIRECT("Table!A" &amp; $AH15):INDIRECT("Table!" &amp; $AK$63 &amp; $AH15),0))))/1024)</f>
        <v>59.860845703125001</v>
      </c>
      <c r="Q15" s="595">
        <f ca="1">IF(ISERROR(MATCH(Q$1,INDIRECT("Table!A"&amp;$AH15):INDIRECT("Table!" &amp; $AK$63 &amp; $AH15),0)),"",INDIRECT(CONCATENATE("Table!",ADDRESS($AD15,MATCH(Q$1,INDIRECT("Table!A" &amp; $AH15):INDIRECT("Table!" &amp; $AK$63 &amp; $AH15),0))))/1024)</f>
        <v>134.933853515625</v>
      </c>
      <c r="R15" s="595">
        <f ca="1">IF(ISERROR(MATCH(R$1,INDIRECT("Table!A"&amp;$AH15):INDIRECT("Table!" &amp; $AK$63 &amp; $AH15),0)),"",INDIRECT(CONCATENATE("Table!",ADDRESS($AD15,MATCH(R$1,INDIRECT("Table!A" &amp; $AH15):INDIRECT("Table!" &amp; $AK$63 &amp; $AH15),0))))/1024)</f>
        <v>285.60669726562497</v>
      </c>
      <c r="S15" s="595">
        <f ca="1">IF(ISERROR(MATCH(S$1,INDIRECT("Table!A"&amp;$AH15):INDIRECT("Table!" &amp; $AK$63 &amp; $AH15),0)),"",INDIRECT(CONCATENATE("Table!",ADDRESS($AD15,MATCH(S$1,INDIRECT("Table!A" &amp; $AH15):INDIRECT("Table!" &amp; $AK$63 &amp; $AH15),0))))/1024)</f>
        <v>55.613293945312499</v>
      </c>
      <c r="T15" s="595">
        <f ca="1">IF(ISERROR(MATCH(T$1,INDIRECT("Table!A"&amp;$AH15):INDIRECT("Table!" &amp; $AK$63 &amp; $AH15),0)),"",INDIRECT(CONCATENATE("Table!",ADDRESS($AD15,MATCH(T$1,INDIRECT("Table!A" &amp; $AH15):INDIRECT("Table!" &amp; $AK$63 &amp; $AH15),0))))/1024)</f>
        <v>35.791385742187501</v>
      </c>
      <c r="U15" s="595">
        <f ca="1">IF(ISERROR(MATCH(U$1,INDIRECT("Table!A"&amp;$AH15):INDIRECT("Table!" &amp; $AK$63 &amp; $AH15),0)),"",INDIRECT(CONCATENATE("Table!",ADDRESS($AD15,MATCH(U$1,INDIRECT("Table!A" &amp; $AH15):INDIRECT("Table!" &amp; $AK$63 &amp; $AH15),0))))/1024)</f>
        <v>38.260892578124995</v>
      </c>
      <c r="V15" s="595">
        <f ca="1">IF(ISERROR(MATCH(V$1,INDIRECT("Table!A"&amp;$AH15):INDIRECT("Table!" &amp; $AK$63 &amp; $AH15),0)),"",INDIRECT(CONCATENATE("Table!",ADDRESS($AD15,MATCH(V$1,INDIRECT("Table!A" &amp; $AH15):INDIRECT("Table!" &amp; $AK$63 &amp; $AH15),0))))/1024)</f>
        <v>38.260892578124995</v>
      </c>
      <c r="W15" s="595" t="str">
        <f ca="1">IF(ISERROR(MATCH(W$1,INDIRECT("Table!A"&amp;$AH15):INDIRECT("Table!" &amp; $AK$63 &amp; $AH15),0)),"",INDIRECT(CONCATENATE("Table!",ADDRESS($AD15,MATCH(W$1,INDIRECT("Table!A" &amp; $AH15):INDIRECT("Table!" &amp; $AK$63 &amp; $AH15),0))))/1024)</f>
        <v/>
      </c>
      <c r="X15" s="595"/>
      <c r="Y15" s="595"/>
      <c r="Z15" s="595"/>
      <c r="AA15" s="595"/>
      <c r="AB15" s="595"/>
      <c r="AC15" s="595"/>
      <c r="AD15" s="595">
        <f>MATCH($A15,Table!$A:$A,0)+$AF$2-1</f>
        <v>179</v>
      </c>
      <c r="AE15" s="759"/>
      <c r="AF15" s="759"/>
      <c r="AG15" s="759"/>
      <c r="AH15" s="595">
        <f>MATCH($A15,Table!$A:$A,0)+$AJ$2-1</f>
        <v>171</v>
      </c>
      <c r="AI15" s="759"/>
      <c r="AJ15" s="759"/>
      <c r="AK15" s="904" t="s">
        <v>284</v>
      </c>
      <c r="AL15" s="699">
        <f t="shared" ca="1" si="0"/>
        <v>3330.2781386718748</v>
      </c>
      <c r="AM15" s="699">
        <f t="shared" ref="AM15" ca="1" si="6">AL15-AL20</f>
        <v>104.21318847656266</v>
      </c>
    </row>
    <row r="16" spans="1:39" s="743" customFormat="1" x14ac:dyDescent="0.25">
      <c r="A16" s="592">
        <v>41725</v>
      </c>
      <c r="B16" s="595">
        <f ca="1">IF(ISERROR(MATCH(B$1,INDIRECT("Table!A"&amp;$AH16):INDIRECT("Table!" &amp; $AK$86 &amp; $AH16),0)),"",INDIRECT(CONCATENATE("Table!",ADDRESS($AD16,MATCH(B$1,INDIRECT("Table!A" &amp; $AH16):INDIRECT("Table!" &amp; $AK$86 &amp; $AH16),0))))/1024)</f>
        <v>181.45936230468749</v>
      </c>
      <c r="C16" s="595">
        <f ca="1">IF(ISERROR(MATCH(C$1,INDIRECT("Table!A"&amp;$AH16):INDIRECT("Table!" &amp; $AK$86 &amp; $AH16),0)),"",INDIRECT(CONCATENATE("Table!",ADDRESS($AD16,MATCH(C$1,INDIRECT("Table!A" &amp; $AH16):INDIRECT("Table!" &amp; $AK$86 &amp; $AH16),0))))/1024)</f>
        <v>96.771741210937492</v>
      </c>
      <c r="D16" s="595">
        <f ca="1">IF(ISERROR(MATCH(D$1,INDIRECT("Table!A"&amp;$AH16):INDIRECT("Table!" &amp; $AK$86 &amp; $AH16),0)),"",INDIRECT(CONCATENATE("Table!",ADDRESS($AD16,MATCH(D$1,INDIRECT("Table!A" &amp; $AH16):INDIRECT("Table!" &amp; $AK$86 &amp; $AH16),0))))/1024)</f>
        <v>97.627836914062499</v>
      </c>
      <c r="E16" s="595">
        <f ca="1">IF(ISERROR(MATCH(E$1,INDIRECT("Table!A"&amp;$AH16):INDIRECT("Table!" &amp; $AK$86 &amp; $AH16),0)),"",INDIRECT(CONCATENATE("Table!",ADDRESS($AD16,MATCH(E$1,INDIRECT("Table!A" &amp; $AH16):INDIRECT("Table!" &amp; $AK$86 &amp; $AH16),0))))/1024)</f>
        <v>253.53603515624999</v>
      </c>
      <c r="F16" s="595">
        <f ca="1">IF(ISERROR(MATCH(F$1,INDIRECT("Table!A"&amp;$AH16):INDIRECT("Table!" &amp; $AK$86 &amp; $AH16),0)),"",INDIRECT(CONCATENATE("Table!",ADDRESS($AD16,MATCH(F$1,INDIRECT("Table!A" &amp; $AH16):INDIRECT("Table!" &amp; $AK$86 &amp; $AH16),0))))/1024)</f>
        <v>115.30950585937499</v>
      </c>
      <c r="G16" s="595">
        <f ca="1">IF(ISERROR(MATCH(G$1,INDIRECT("Table!A"&amp;$AH16):INDIRECT("Table!" &amp; $AK$86 &amp; $AH16),0)),"",INDIRECT(CONCATENATE("Table!",ADDRESS($AD16,MATCH(G$1,INDIRECT("Table!A" &amp; $AH16):INDIRECT("Table!" &amp; $AK$86 &amp; $AH16),0))))/1024)</f>
        <v>448.39658789062497</v>
      </c>
      <c r="H16" s="595">
        <f ca="1">IF(ISERROR(MATCH(H$1,INDIRECT("Table!A"&amp;$AH16):INDIRECT("Table!" &amp; $AK$86 &amp; $AH16),0)),"",INDIRECT(CONCATENATE("Table!",ADDRESS($AD16,MATCH(H$1,INDIRECT("Table!A" &amp; $AH16):INDIRECT("Table!" &amp; $AK$86 &amp; $AH16),0))))/1024)</f>
        <v>234.1421748046875</v>
      </c>
      <c r="I16" s="595">
        <f ca="1">IF(ISERROR(MATCH(I$1,INDIRECT("Table!A"&amp;$AH16):INDIRECT("Table!" &amp; $AK$63 &amp; $AH16),0)),"",INDIRECT(CONCATENATE("Table!",ADDRESS($AD16,MATCH(I$1,INDIRECT("Table!A" &amp; $AH16):INDIRECT("Table!" &amp; $AK$63 &amp; $AH16),0))))/1024)</f>
        <v>45.109658203125001</v>
      </c>
      <c r="J16" s="595">
        <f ca="1">IF(ISERROR(MATCH(J$1,INDIRECT("Table!A"&amp;$AH16):INDIRECT("Table!" &amp; $AK$63 &amp; $AH16),0)),"",INDIRECT(CONCATENATE("Table!",ADDRESS($AD16,MATCH(J$1,INDIRECT("Table!A" &amp; $AH16):INDIRECT("Table!" &amp; $AK$63 &amp; $AH16),0))))/1024)</f>
        <v>123.93631640625</v>
      </c>
      <c r="K16" s="595">
        <f ca="1">IF(ISERROR(MATCH(K$1,INDIRECT("Table!A"&amp;$AH16):INDIRECT("Table!" &amp; $AK$63 &amp; $AH16),0)),"",INDIRECT(CONCATENATE("Table!",ADDRESS($AD16,MATCH(K$1,INDIRECT("Table!A" &amp; $AH16):INDIRECT("Table!" &amp; $AK$63 &amp; $AH16),0))))/1024)</f>
        <v>160.485017578125</v>
      </c>
      <c r="L16" s="595">
        <f ca="1">IF(ISERROR(MATCH(L$1,INDIRECT("Table!A"&amp;$AH16):INDIRECT("Table!" &amp; $AK$63 &amp; $AH16),0)),"",INDIRECT(CONCATENATE("Table!",ADDRESS($AD16,MATCH(L$1,INDIRECT("Table!A" &amp; $AH16):INDIRECT("Table!" &amp; $AK$63 &amp; $AH16),0))))/1024)</f>
        <v>250.77018749999999</v>
      </c>
      <c r="M16" s="595">
        <f ca="1">IF(ISERROR(MATCH(M$1,INDIRECT("Table!A"&amp;$AH16):INDIRECT("Table!" &amp; $AK$63 &amp; $AH16),0)),"",INDIRECT(CONCATENATE("Table!",ADDRESS($AD16,MATCH(M$1,INDIRECT("Table!A" &amp; $AH16):INDIRECT("Table!" &amp; $AK$63 &amp; $AH16),0))))/1024)</f>
        <v>358.17727148437501</v>
      </c>
      <c r="N16" s="595">
        <f ca="1">IF(ISERROR(MATCH(N$1,INDIRECT("Table!A"&amp;$AH16):INDIRECT("Table!" &amp; $AK$63 &amp; $AH16),0)),"",INDIRECT(CONCATENATE("Table!",ADDRESS($AD16,MATCH(N$1,INDIRECT("Table!A" &amp; $AH16):INDIRECT("Table!" &amp; $AK$63 &amp; $AH16),0))))/1024)</f>
        <v>119.9521787109375</v>
      </c>
      <c r="O16" s="595">
        <f ca="1">IF(ISERROR(MATCH(O$1,INDIRECT("Table!A"&amp;$AH16):INDIRECT("Table!" &amp; $AK$63 &amp; $AH16),0)),"",INDIRECT(CONCATENATE("Table!",ADDRESS($AD16,MATCH(O$1,INDIRECT("Table!A" &amp; $AH16):INDIRECT("Table!" &amp; $AK$63 &amp; $AH16),0))))/1024)</f>
        <v>196.27640332031245</v>
      </c>
      <c r="P16" s="595">
        <f ca="1">IF(ISERROR(MATCH(P$1,INDIRECT("Table!A"&amp;$AH16):INDIRECT("Table!" &amp; $AK$63 &amp; $AH16),0)),"",INDIRECT(CONCATENATE("Table!",ADDRESS($AD16,MATCH(P$1,INDIRECT("Table!A" &amp; $AH16):INDIRECT("Table!" &amp; $AK$63 &amp; $AH16),0))))/1024)</f>
        <v>59.860845703125001</v>
      </c>
      <c r="Q16" s="595">
        <f ca="1">IF(ISERROR(MATCH(Q$1,INDIRECT("Table!A"&amp;$AH16):INDIRECT("Table!" &amp; $AK$63 &amp; $AH16),0)),"",INDIRECT(CONCATENATE("Table!",ADDRESS($AD16,MATCH(Q$1,INDIRECT("Table!A" &amp; $AH16):INDIRECT("Table!" &amp; $AK$63 &amp; $AH16),0))))/1024)</f>
        <v>134.933853515625</v>
      </c>
      <c r="R16" s="595">
        <f ca="1">IF(ISERROR(MATCH(R$1,INDIRECT("Table!A"&amp;$AH16):INDIRECT("Table!" &amp; $AK$63 &amp; $AH16),0)),"",INDIRECT(CONCATENATE("Table!",ADDRESS($AD16,MATCH(R$1,INDIRECT("Table!A" &amp; $AH16):INDIRECT("Table!" &amp; $AK$63 &amp; $AH16),0))))/1024)</f>
        <v>285.60669726562497</v>
      </c>
      <c r="S16" s="595">
        <f ca="1">IF(ISERROR(MATCH(S$1,INDIRECT("Table!A"&amp;$AH16):INDIRECT("Table!" &amp; $AK$63 &amp; $AH16),0)),"",INDIRECT(CONCATENATE("Table!",ADDRESS($AD16,MATCH(S$1,INDIRECT("Table!A" &amp; $AH16):INDIRECT("Table!" &amp; $AK$63 &amp; $AH16),0))))/1024)</f>
        <v>55.613293945312499</v>
      </c>
      <c r="T16" s="595">
        <f ca="1">IF(ISERROR(MATCH(T$1,INDIRECT("Table!A"&amp;$AH16):INDIRECT("Table!" &amp; $AK$63 &amp; $AH16),0)),"",INDIRECT(CONCATENATE("Table!",ADDRESS($AD16,MATCH(T$1,INDIRECT("Table!A" &amp; $AH16):INDIRECT("Table!" &amp; $AK$63 &amp; $AH16),0))))/1024)</f>
        <v>35.791385742187501</v>
      </c>
      <c r="U16" s="595">
        <f ca="1">IF(ISERROR(MATCH(U$1,INDIRECT("Table!A"&amp;$AH16):INDIRECT("Table!" &amp; $AK$63 &amp; $AH16),0)),"",INDIRECT(CONCATENATE("Table!",ADDRESS($AD16,MATCH(U$1,INDIRECT("Table!A" &amp; $AH16):INDIRECT("Table!" &amp; $AK$63 &amp; $AH16),0))))/1024)</f>
        <v>38.260892578124995</v>
      </c>
      <c r="V16" s="595">
        <f ca="1">IF(ISERROR(MATCH(V$1,INDIRECT("Table!A"&amp;$AH16):INDIRECT("Table!" &amp; $AK$63 &amp; $AH16),0)),"",INDIRECT(CONCATENATE("Table!",ADDRESS($AD16,MATCH(V$1,INDIRECT("Table!A" &amp; $AH16):INDIRECT("Table!" &amp; $AK$63 &amp; $AH16),0))))/1024)</f>
        <v>38.260892578124995</v>
      </c>
      <c r="W16" s="595" t="str">
        <f ca="1">IF(ISERROR(MATCH(W$1,INDIRECT("Table!A"&amp;$AH16):INDIRECT("Table!" &amp; $AK$63 &amp; $AH16),0)),"",INDIRECT(CONCATENATE("Table!",ADDRESS($AD16,MATCH(W$1,INDIRECT("Table!A" &amp; $AH16):INDIRECT("Table!" &amp; $AK$63 &amp; $AH16),0))))/1024)</f>
        <v/>
      </c>
      <c r="X16" s="595"/>
      <c r="Y16" s="595"/>
      <c r="Z16" s="595"/>
      <c r="AA16" s="595"/>
      <c r="AB16" s="595"/>
      <c r="AC16" s="595"/>
      <c r="AD16" s="595">
        <f>MATCH($A16,Table!$A:$A,0)+$AF$2-1</f>
        <v>193</v>
      </c>
      <c r="AE16" s="742"/>
      <c r="AF16" s="742"/>
      <c r="AG16" s="742"/>
      <c r="AH16" s="595">
        <f>MATCH($A16,Table!$A:$A,0)+$AJ$2-1</f>
        <v>185</v>
      </c>
      <c r="AI16" s="742"/>
      <c r="AJ16" s="742"/>
      <c r="AK16" s="904" t="s">
        <v>284</v>
      </c>
      <c r="AL16" s="699">
        <f t="shared" ca="1" si="0"/>
        <v>3330.2781386718748</v>
      </c>
      <c r="AM16" s="699">
        <f t="shared" ref="AM16" ca="1" si="7">AL16-AL20</f>
        <v>104.21318847656266</v>
      </c>
    </row>
    <row r="17" spans="1:39" s="743" customFormat="1" x14ac:dyDescent="0.25">
      <c r="A17" s="592">
        <v>41709</v>
      </c>
      <c r="B17" s="595">
        <f ca="1">IF(ISERROR(MATCH(B$1,INDIRECT("Table!A"&amp;$AH17):INDIRECT("Table!" &amp; $AK$86 &amp; $AH17),0)),"",INDIRECT(CONCATENATE("Table!",ADDRESS($AD17,MATCH(B$1,INDIRECT("Table!A" &amp; $AH17):INDIRECT("Table!" &amp; $AK$86 &amp; $AH17),0))))/1024)</f>
        <v>182.4471650390625</v>
      </c>
      <c r="C17" s="595">
        <f ca="1">IF(ISERROR(MATCH(C$1,INDIRECT("Table!A"&amp;$AH17):INDIRECT("Table!" &amp; $AK$86 &amp; $AH17),0)),"",INDIRECT(CONCATENATE("Table!",ADDRESS($AD17,MATCH(C$1,INDIRECT("Table!A" &amp; $AH17):INDIRECT("Table!" &amp; $AK$86 &amp; $AH17),0))))/1024)</f>
        <v>96.771741210937492</v>
      </c>
      <c r="D17" s="595">
        <f ca="1">IF(ISERROR(MATCH(D$1,INDIRECT("Table!A"&amp;$AH17):INDIRECT("Table!" &amp; $AK$86 &amp; $AH17),0)),"",INDIRECT(CONCATENATE("Table!",ADDRESS($AD17,MATCH(D$1,INDIRECT("Table!A" &amp; $AH17):INDIRECT("Table!" &amp; $AK$86 &amp; $AH17),0))))/1024)</f>
        <v>97.627836914062499</v>
      </c>
      <c r="E17" s="595">
        <f ca="1">IF(ISERROR(MATCH(E$1,INDIRECT("Table!A"&amp;$AH17):INDIRECT("Table!" &amp; $AK$86 &amp; $AH17),0)),"",INDIRECT(CONCATENATE("Table!",ADDRESS($AD17,MATCH(E$1,INDIRECT("Table!A" &amp; $AH17):INDIRECT("Table!" &amp; $AK$86 &amp; $AH17),0))))/1024)</f>
        <v>255.11651953124999</v>
      </c>
      <c r="F17" s="595">
        <f ca="1">IF(ISERROR(MATCH(F$1,INDIRECT("Table!A"&amp;$AH17):INDIRECT("Table!" &amp; $AK$86 &amp; $AH17),0)),"",INDIRECT(CONCATENATE("Table!",ADDRESS($AD17,MATCH(F$1,INDIRECT("Table!A" &amp; $AH17):INDIRECT("Table!" &amp; $AK$86 &amp; $AH17),0))))/1024)</f>
        <v>116.23145507812499</v>
      </c>
      <c r="G17" s="595">
        <f ca="1">IF(ISERROR(MATCH(G$1,INDIRECT("Table!A"&amp;$AH17):INDIRECT("Table!" &amp; $AK$86 &amp; $AH17),0)),"",INDIRECT(CONCATENATE("Table!",ADDRESS($AD17,MATCH(G$1,INDIRECT("Table!A" &amp; $AH17):INDIRECT("Table!" &amp; $AK$86 &amp; $AH17),0))))/1024)</f>
        <v>448.39658789062497</v>
      </c>
      <c r="H17" s="595">
        <f ca="1">IF(ISERROR(MATCH(H$1,INDIRECT("Table!A"&amp;$AH17):INDIRECT("Table!" &amp; $AK$86 &amp; $AH17),0)),"",INDIRECT(CONCATENATE("Table!",ADDRESS($AD17,MATCH(H$1,INDIRECT("Table!A" &amp; $AH17):INDIRECT("Table!" &amp; $AK$86 &amp; $AH17),0))))/1024)</f>
        <v>233.6812001953125</v>
      </c>
      <c r="I17" s="595">
        <f ca="1">IF(ISERROR(MATCH(I$1,INDIRECT("Table!A"&amp;$AH17):INDIRECT("Table!" &amp; $AK$63 &amp; $AH17),0)),"",INDIRECT(CONCATENATE("Table!",ADDRESS($AD17,MATCH(I$1,INDIRECT("Table!A" &amp; $AH17):INDIRECT("Table!" &amp; $AK$63 &amp; $AH17),0))))/1024)</f>
        <v>43.298686523437496</v>
      </c>
      <c r="J17" s="595">
        <f ca="1">IF(ISERROR(MATCH(J$1,INDIRECT("Table!A"&amp;$AH17):INDIRECT("Table!" &amp; $AK$63 &amp; $AH17),0)),"",INDIRECT(CONCATENATE("Table!",ADDRESS($AD17,MATCH(J$1,INDIRECT("Table!A" &amp; $AH17):INDIRECT("Table!" &amp; $AK$63 &amp; $AH17),0))))/1024)</f>
        <v>123.04729394531249</v>
      </c>
      <c r="K17" s="595">
        <f ca="1">IF(ISERROR(MATCH(K$1,INDIRECT("Table!A"&amp;$AH17):INDIRECT("Table!" &amp; $AK$63 &amp; $AH17),0)),"",INDIRECT(CONCATENATE("Table!",ADDRESS($AD17,MATCH(K$1,INDIRECT("Table!A" &amp; $AH17):INDIRECT("Table!" &amp; $AK$63 &amp; $AH17),0))))/1024)</f>
        <v>158.64111914062499</v>
      </c>
      <c r="L17" s="595">
        <f ca="1">IF(ISERROR(MATCH(L$1,INDIRECT("Table!A"&amp;$AH17):INDIRECT("Table!" &amp; $AK$63 &amp; $AH17),0)),"",INDIRECT(CONCATENATE("Table!",ADDRESS($AD17,MATCH(L$1,INDIRECT("Table!A" &amp; $AH17):INDIRECT("Table!" &amp; $AK$63 &amp; $AH17),0))))/1024)</f>
        <v>250.77018749999999</v>
      </c>
      <c r="M17" s="595">
        <f ca="1">IF(ISERROR(MATCH(M$1,INDIRECT("Table!A"&amp;$AH17):INDIRECT("Table!" &amp; $AK$63 &amp; $AH17),0)),"",INDIRECT(CONCATENATE("Table!",ADDRESS($AD17,MATCH(M$1,INDIRECT("Table!A" &amp; $AH17):INDIRECT("Table!" &amp; $AK$63 &amp; $AH17),0))))/1024)</f>
        <v>357.97971093749999</v>
      </c>
      <c r="N17" s="595">
        <f ca="1">IF(ISERROR(MATCH(N$1,INDIRECT("Table!A"&amp;$AH17):INDIRECT("Table!" &amp; $AK$63 &amp; $AH17),0)),"",INDIRECT(CONCATENATE("Table!",ADDRESS($AD17,MATCH(N$1,INDIRECT("Table!A" &amp; $AH17):INDIRECT("Table!" &amp; $AK$63 &amp; $AH17),0))))/1024)</f>
        <v>121.0716884765625</v>
      </c>
      <c r="O17" s="595">
        <f ca="1">IF(ISERROR(MATCH(O$1,INDIRECT("Table!A"&amp;$AH17):INDIRECT("Table!" &amp; $AK$63 &amp; $AH17),0)),"",INDIRECT(CONCATENATE("Table!",ADDRESS($AD17,MATCH(O$1,INDIRECT("Table!A" &amp; $AH17):INDIRECT("Table!" &amp; $AK$63 &amp; $AH17),0))))/1024)</f>
        <v>195.81542871093745</v>
      </c>
      <c r="P17" s="595">
        <f ca="1">IF(ISERROR(MATCH(P$1,INDIRECT("Table!A"&amp;$AH17):INDIRECT("Table!" &amp; $AK$63 &amp; $AH17),0)),"",INDIRECT(CONCATENATE("Table!",ADDRESS($AD17,MATCH(P$1,INDIRECT("Table!A" &amp; $AH17):INDIRECT("Table!" &amp; $AK$63 &amp; $AH17),0))))/1024)</f>
        <v>58.049874023437496</v>
      </c>
      <c r="Q17" s="595">
        <f ca="1">IF(ISERROR(MATCH(Q$1,INDIRECT("Table!A"&amp;$AH17):INDIRECT("Table!" &amp; $AK$63 &amp; $AH17),0)),"",INDIRECT(CONCATENATE("Table!",ADDRESS($AD17,MATCH(Q$1,INDIRECT("Table!A" &amp; $AH17):INDIRECT("Table!" &amp; $AK$63 &amp; $AH17),0))))/1024)</f>
        <v>134.86799999999999</v>
      </c>
      <c r="R17" s="595">
        <f ca="1">IF(ISERROR(MATCH(R$1,INDIRECT("Table!A"&amp;$AH17):INDIRECT("Table!" &amp; $AK$63 &amp; $AH17),0)),"",INDIRECT(CONCATENATE("Table!",ADDRESS($AD17,MATCH(R$1,INDIRECT("Table!A" &amp; $AH17):INDIRECT("Table!" &amp; $AK$63 &amp; $AH17),0))))/1024)</f>
        <v>282.6432890625</v>
      </c>
      <c r="S17" s="595">
        <f ca="1">IF(ISERROR(MATCH(S$1,INDIRECT("Table!A"&amp;$AH17):INDIRECT("Table!" &amp; $AK$63 &amp; $AH17),0)),"",INDIRECT(CONCATENATE("Table!",ADDRESS($AD17,MATCH(S$1,INDIRECT("Table!A" &amp; $AH17):INDIRECT("Table!" &amp; $AK$63 &amp; $AH17),0))))/1024)</f>
        <v>55.613293945312499</v>
      </c>
      <c r="T17" s="595">
        <f ca="1">IF(ISERROR(MATCH(T$1,INDIRECT("Table!A"&amp;$AH17):INDIRECT("Table!" &amp; $AK$63 &amp; $AH17),0)),"",INDIRECT(CONCATENATE("Table!",ADDRESS($AD17,MATCH(T$1,INDIRECT("Table!A" &amp; $AH17):INDIRECT("Table!" &amp; $AK$63 &amp; $AH17),0))))/1024)</f>
        <v>35.791385742187501</v>
      </c>
      <c r="U17" s="595">
        <f ca="1">IF(ISERROR(MATCH(U$1,INDIRECT("Table!A"&amp;$AH17):INDIRECT("Table!" &amp; $AK$63 &amp; $AH17),0)),"",INDIRECT(CONCATENATE("Table!",ADDRESS($AD17,MATCH(U$1,INDIRECT("Table!A" &amp; $AH17):INDIRECT("Table!" &amp; $AK$63 &amp; $AH17),0))))/1024)</f>
        <v>24.793848632812498</v>
      </c>
      <c r="V17" s="595">
        <f ca="1">IF(ISERROR(MATCH(V$1,INDIRECT("Table!A"&amp;$AH17):INDIRECT("Table!" &amp; $AK$63 &amp; $AH17),0)),"",INDIRECT(CONCATENATE("Table!",ADDRESS($AD17,MATCH(V$1,INDIRECT("Table!A" &amp; $AH17):INDIRECT("Table!" &amp; $AK$63 &amp; $AH17),0))))/1024)</f>
        <v>24.793848632812498</v>
      </c>
      <c r="W17" s="595" t="str">
        <f ca="1">IF(ISERROR(MATCH(W$1,INDIRECT("Table!A"&amp;$AH17):INDIRECT("Table!" &amp; $AK$63 &amp; $AH17),0)),"",INDIRECT(CONCATENATE("Table!",ADDRESS($AD17,MATCH(W$1,INDIRECT("Table!A" &amp; $AH17):INDIRECT("Table!" &amp; $AK$63 &amp; $AH17),0))))/1024)</f>
        <v/>
      </c>
      <c r="X17" s="595"/>
      <c r="Y17" s="595"/>
      <c r="Z17" s="595"/>
      <c r="AA17" s="595"/>
      <c r="AB17" s="595"/>
      <c r="AC17" s="595"/>
      <c r="AD17" s="595">
        <f>MATCH($A17,Table!$A:$A,0)+$AF$2-1</f>
        <v>207</v>
      </c>
      <c r="AE17" s="737"/>
      <c r="AF17" s="737"/>
      <c r="AG17" s="737"/>
      <c r="AH17" s="595">
        <f>MATCH($A17,Table!$A:$A,0)+$AJ$2-1</f>
        <v>199</v>
      </c>
      <c r="AI17" s="737"/>
      <c r="AJ17" s="737"/>
      <c r="AK17" s="904" t="s">
        <v>284</v>
      </c>
      <c r="AL17" s="699">
        <f t="shared" ca="1" si="0"/>
        <v>3297.4501611328128</v>
      </c>
      <c r="AM17" s="699">
        <f t="shared" ref="AM17" ca="1" si="8">AL17-AL20</f>
        <v>71.385210937500688</v>
      </c>
    </row>
    <row r="18" spans="1:39" s="591" customFormat="1" x14ac:dyDescent="0.25">
      <c r="A18" s="592">
        <v>41704</v>
      </c>
      <c r="B18" s="595">
        <f ca="1">IF(ISERROR(MATCH(B$1,INDIRECT("Table!A"&amp;$AH18):INDIRECT("Table!" &amp; $AK$86 &amp; $AH18),0)),"",INDIRECT(CONCATENATE("Table!",ADDRESS($AD18,MATCH(B$1,INDIRECT("Table!A" &amp; $AH18):INDIRECT("Table!" &amp; $AK$86 &amp; $AH18),0))))/1024)</f>
        <v>184.88374511718749</v>
      </c>
      <c r="C18" s="595">
        <f ca="1">IF(ISERROR(MATCH(C$1,INDIRECT("Table!A"&amp;$AH18):INDIRECT("Table!" &amp; $AK$86 &amp; $AH18),0)),"",INDIRECT(CONCATENATE("Table!",ADDRESS($AD18,MATCH(C$1,INDIRECT("Table!A" &amp; $AH18):INDIRECT("Table!" &amp; $AK$86 &amp; $AH18),0))))/1024)</f>
        <v>96.771741210937492</v>
      </c>
      <c r="D18" s="595">
        <f ca="1">IF(ISERROR(MATCH(D$1,INDIRECT("Table!A"&amp;$AH18):INDIRECT("Table!" &amp; $AK$86 &amp; $AH18),0)),"",INDIRECT(CONCATENATE("Table!",ADDRESS($AD18,MATCH(D$1,INDIRECT("Table!A" &amp; $AH18):INDIRECT("Table!" &amp; $AK$86 &amp; $AH18),0))))/1024)</f>
        <v>97.627836914062499</v>
      </c>
      <c r="E18" s="595">
        <f ca="1">IF(ISERROR(MATCH(E$1,INDIRECT("Table!A"&amp;$AH18):INDIRECT("Table!" &amp; $AK$86 &amp; $AH18),0)),"",INDIRECT(CONCATENATE("Table!",ADDRESS($AD18,MATCH(E$1,INDIRECT("Table!A" &amp; $AH18):INDIRECT("Table!" &amp; $AK$86 &amp; $AH18),0))))/1024)</f>
        <v>266.57503124999999</v>
      </c>
      <c r="F18" s="595">
        <f ca="1">IF(ISERROR(MATCH(F$1,INDIRECT("Table!A"&amp;$AH18):INDIRECT("Table!" &amp; $AK$86 &amp; $AH18),0)),"",INDIRECT(CONCATENATE("Table!",ADDRESS($AD18,MATCH(F$1,INDIRECT("Table!A" &amp; $AH18):INDIRECT("Table!" &amp; $AK$86 &amp; $AH18),0))))/1024)</f>
        <v>118.14120703124999</v>
      </c>
      <c r="G18" s="595">
        <f ca="1">IF(ISERROR(MATCH(G$1,INDIRECT("Table!A"&amp;$AH18):INDIRECT("Table!" &amp; $AK$86 &amp; $AH18),0)),"",INDIRECT(CONCATENATE("Table!",ADDRESS($AD18,MATCH(G$1,INDIRECT("Table!A" &amp; $AH18):INDIRECT("Table!" &amp; $AK$86 &amp; $AH18),0))))/1024)</f>
        <v>448.39658789062497</v>
      </c>
      <c r="H18" s="595">
        <f ca="1">IF(ISERROR(MATCH(H$1,INDIRECT("Table!A"&amp;$AH18):INDIRECT("Table!" &amp; $AK$86 &amp; $AH18),0)),"",INDIRECT(CONCATENATE("Table!",ADDRESS($AD18,MATCH(H$1,INDIRECT("Table!A" &amp; $AH18):INDIRECT("Table!" &amp; $AK$86 &amp; $AH18),0))))/1024)</f>
        <v>233.6812001953125</v>
      </c>
      <c r="I18" s="595">
        <f ca="1">IF(ISERROR(MATCH(I$1,INDIRECT("Table!A"&amp;$AH18):INDIRECT("Table!" &amp; $AK$63 &amp; $AH18),0)),"",INDIRECT(CONCATENATE("Table!",ADDRESS($AD18,MATCH(I$1,INDIRECT("Table!A" &amp; $AH18):INDIRECT("Table!" &amp; $AK$63 &amp; $AH18),0))))/1024)</f>
        <v>42.442590820312496</v>
      </c>
      <c r="J18" s="595">
        <f ca="1">IF(ISERROR(MATCH(J$1,INDIRECT("Table!A"&amp;$AH18):INDIRECT("Table!" &amp; $AK$63 &amp; $AH18),0)),"",INDIRECT(CONCATENATE("Table!",ADDRESS($AD18,MATCH(J$1,INDIRECT("Table!A" &amp; $AH18):INDIRECT("Table!" &amp; $AK$63 &amp; $AH18),0))))/1024)</f>
        <v>122.553392578125</v>
      </c>
      <c r="K18" s="595">
        <f ca="1">IF(ISERROR(MATCH(K$1,INDIRECT("Table!A"&amp;$AH18):INDIRECT("Table!" &amp; $AK$63 &amp; $AH18),0)),"",INDIRECT(CONCATENATE("Table!",ADDRESS($AD18,MATCH(K$1,INDIRECT("Table!A" &amp; $AH18):INDIRECT("Table!" &amp; $AK$63 &amp; $AH18),0))))/1024)</f>
        <v>155.743564453125</v>
      </c>
      <c r="L18" s="595">
        <f ca="1">IF(ISERROR(MATCH(L$1,INDIRECT("Table!A"&amp;$AH18):INDIRECT("Table!" &amp; $AK$63 &amp; $AH18),0)),"",INDIRECT(CONCATENATE("Table!",ADDRESS($AD18,MATCH(L$1,INDIRECT("Table!A" &amp; $AH18):INDIRECT("Table!" &amp; $AK$63 &amp; $AH18),0))))/1024)</f>
        <v>265.98234960937498</v>
      </c>
      <c r="M18" s="595">
        <f ca="1">IF(ISERROR(MATCH(M$1,INDIRECT("Table!A"&amp;$AH18):INDIRECT("Table!" &amp; $AK$63 &amp; $AH18),0)),"",INDIRECT(CONCATENATE("Table!",ADDRESS($AD18,MATCH(M$1,INDIRECT("Table!A" &amp; $AH18):INDIRECT("Table!" &amp; $AK$63 &amp; $AH18),0))))/1024)</f>
        <v>357.97971093749999</v>
      </c>
      <c r="N18" s="595">
        <f ca="1">IF(ISERROR(MATCH(N$1,INDIRECT("Table!A"&amp;$AH18):INDIRECT("Table!" &amp; $AK$63 &amp; $AH18),0)),"",INDIRECT(CONCATENATE("Table!",ADDRESS($AD18,MATCH(N$1,INDIRECT("Table!A" &amp; $AH18):INDIRECT("Table!" &amp; $AK$63 &amp; $AH18),0))))/1024)</f>
        <v>122.3229052734375</v>
      </c>
      <c r="O18" s="595">
        <f ca="1">IF(ISERROR(MATCH(O$1,INDIRECT("Table!A"&amp;$AH18):INDIRECT("Table!" &amp; $AK$63 &amp; $AH18),0)),"",INDIRECT(CONCATENATE("Table!",ADDRESS($AD18,MATCH(O$1,INDIRECT("Table!A" &amp; $AH18):INDIRECT("Table!" &amp; $AK$63 &amp; $AH18),0))))/1024)</f>
        <v>195.81542871093745</v>
      </c>
      <c r="P18" s="595">
        <f ca="1">IF(ISERROR(MATCH(P$1,INDIRECT("Table!A"&amp;$AH18):INDIRECT("Table!" &amp; $AK$63 &amp; $AH18),0)),"",INDIRECT(CONCATENATE("Table!",ADDRESS($AD18,MATCH(P$1,INDIRECT("Table!A" &amp; $AH18):INDIRECT("Table!" &amp; $AK$63 &amp; $AH18),0))))/1024)</f>
        <v>57.193778320312497</v>
      </c>
      <c r="Q18" s="595">
        <f ca="1">IF(ISERROR(MATCH(Q$1,INDIRECT("Table!A"&amp;$AH18):INDIRECT("Table!" &amp; $AK$63 &amp; $AH18),0)),"",INDIRECT(CONCATENATE("Table!",ADDRESS($AD18,MATCH(Q$1,INDIRECT("Table!A" &amp; $AH18):INDIRECT("Table!" &amp; $AK$63 &amp; $AH18),0))))/1024)</f>
        <v>134.37409863281249</v>
      </c>
      <c r="R18" s="595">
        <f ca="1">IF(ISERROR(MATCH(R$1,INDIRECT("Table!A"&amp;$AH18):INDIRECT("Table!" &amp; $AK$63 &amp; $AH18),0)),"",INDIRECT(CONCATENATE("Table!",ADDRESS($AD18,MATCH(R$1,INDIRECT("Table!A" &amp; $AH18):INDIRECT("Table!" &amp; $AK$63 &amp; $AH18),0))))/1024)</f>
        <v>254.39213085937499</v>
      </c>
      <c r="S18" s="595">
        <f ca="1">IF(ISERROR(MATCH(S$1,INDIRECT("Table!A"&amp;$AH18):INDIRECT("Table!" &amp; $AK$63 &amp; $AH18),0)),"",INDIRECT(CONCATENATE("Table!",ADDRESS($AD18,MATCH(S$1,INDIRECT("Table!A" &amp; $AH18):INDIRECT("Table!" &amp; $AK$63 &amp; $AH18),0))))/1024)</f>
        <v>55.613293945312499</v>
      </c>
      <c r="T18" s="595">
        <f ca="1">IF(ISERROR(MATCH(T$1,INDIRECT("Table!A"&amp;$AH18):INDIRECT("Table!" &amp; $AK$63 &amp; $AH18),0)),"",INDIRECT(CONCATENATE("Table!",ADDRESS($AD18,MATCH(T$1,INDIRECT("Table!A" &amp; $AH18):INDIRECT("Table!" &amp; $AK$63 &amp; $AH18),0))))/1024)</f>
        <v>35.791385742187501</v>
      </c>
      <c r="U18" s="595">
        <f ca="1">IF(ISERROR(MATCH(U$1,INDIRECT("Table!A"&amp;$AH18):INDIRECT("Table!" &amp; $AK$63 &amp; $AH18),0)),"",INDIRECT(CONCATENATE("Table!",ADDRESS($AD18,MATCH(U$1,INDIRECT("Table!A" &amp; $AH18):INDIRECT("Table!" &amp; $AK$63 &amp; $AH18),0))))/1024)</f>
        <v>21.402392578124999</v>
      </c>
      <c r="V18" s="595">
        <f ca="1">IF(ISERROR(MATCH(V$1,INDIRECT("Table!A"&amp;$AH18):INDIRECT("Table!" &amp; $AK$63 &amp; $AH18),0)),"",INDIRECT(CONCATENATE("Table!",ADDRESS($AD18,MATCH(V$1,INDIRECT("Table!A" &amp; $AH18):INDIRECT("Table!" &amp; $AK$63 &amp; $AH18),0))))/1024)</f>
        <v>21.402392578124999</v>
      </c>
      <c r="W18" s="595" t="str">
        <f ca="1">IF(ISERROR(MATCH(W$1,INDIRECT("Table!A"&amp;$AH18):INDIRECT("Table!" &amp; $AK$63 &amp; $AH18),0)),"",INDIRECT(CONCATENATE("Table!",ADDRESS($AD18,MATCH(W$1,INDIRECT("Table!A" &amp; $AH18):INDIRECT("Table!" &amp; $AK$63 &amp; $AH18),0))))/1024)</f>
        <v/>
      </c>
      <c r="X18" s="595"/>
      <c r="Y18" s="595"/>
      <c r="Z18" s="595"/>
      <c r="AA18" s="595"/>
      <c r="AB18" s="595"/>
      <c r="AC18" s="595"/>
      <c r="AD18" s="595">
        <f>MATCH($A18,Table!$A:$A,0)+$AF$2-1</f>
        <v>221</v>
      </c>
      <c r="AE18" s="732"/>
      <c r="AF18" s="732"/>
      <c r="AG18" s="732"/>
      <c r="AH18" s="595">
        <f>MATCH($A18,Table!$A:$A,0)+$AJ$2-1</f>
        <v>213</v>
      </c>
      <c r="AI18" s="732"/>
      <c r="AJ18" s="732"/>
      <c r="AK18" s="904" t="s">
        <v>284</v>
      </c>
      <c r="AL18" s="699">
        <f t="shared" ca="1" si="0"/>
        <v>3289.0867646484371</v>
      </c>
      <c r="AM18" s="699">
        <f t="shared" ref="AM18" ca="1" si="9">AL18-AL20</f>
        <v>63.021814453124989</v>
      </c>
    </row>
    <row r="19" spans="1:39" s="591" customFormat="1" x14ac:dyDescent="0.25">
      <c r="A19" s="592">
        <v>41703</v>
      </c>
      <c r="B19" s="595">
        <f ca="1">IF(ISERROR(MATCH(B$1,INDIRECT("Table!A"&amp;$AH19):INDIRECT("Table!" &amp; $AK$86 &amp; $AH19),0)),"",INDIRECT(CONCATENATE("Table!",ADDRESS($AD19,MATCH(B$1,INDIRECT("Table!A" &amp; $AH19):INDIRECT("Table!" &amp; $AK$86 &amp; $AH19),0))))/1024)</f>
        <v>184.88374511718749</v>
      </c>
      <c r="C19" s="595">
        <f ca="1">IF(ISERROR(MATCH(C$1,INDIRECT("Table!A"&amp;$AH19):INDIRECT("Table!" &amp; $AK$86 &amp; $AH19),0)),"",INDIRECT(CONCATENATE("Table!",ADDRESS($AD19,MATCH(C$1,INDIRECT("Table!A" &amp; $AH19):INDIRECT("Table!" &amp; $AK$86 &amp; $AH19),0))))/1024)</f>
        <v>96.771741210937492</v>
      </c>
      <c r="D19" s="595">
        <f ca="1">IF(ISERROR(MATCH(D$1,INDIRECT("Table!A"&amp;$AH19):INDIRECT("Table!" &amp; $AK$86 &amp; $AH19),0)),"",INDIRECT(CONCATENATE("Table!",ADDRESS($AD19,MATCH(D$1,INDIRECT("Table!A" &amp; $AH19):INDIRECT("Table!" &amp; $AK$86 &amp; $AH19),0))))/1024)</f>
        <v>97.627836914062499</v>
      </c>
      <c r="E19" s="595">
        <f ca="1">IF(ISERROR(MATCH(E$1,INDIRECT("Table!A"&amp;$AH19):INDIRECT("Table!" &amp; $AK$86 &amp; $AH19),0)),"",INDIRECT(CONCATENATE("Table!",ADDRESS($AD19,MATCH(E$1,INDIRECT("Table!A" &amp; $AH19):INDIRECT("Table!" &amp; $AK$86 &amp; $AH19),0))))/1024)</f>
        <v>266.57503124999999</v>
      </c>
      <c r="F19" s="595">
        <f ca="1">IF(ISERROR(MATCH(F$1,INDIRECT("Table!A"&amp;$AH19):INDIRECT("Table!" &amp; $AK$86 &amp; $AH19),0)),"",INDIRECT(CONCATENATE("Table!",ADDRESS($AD19,MATCH(F$1,INDIRECT("Table!A" &amp; $AH19):INDIRECT("Table!" &amp; $AK$86 &amp; $AH19),0))))/1024)</f>
        <v>118.14120703124999</v>
      </c>
      <c r="G19" s="595">
        <f ca="1">IF(ISERROR(MATCH(G$1,INDIRECT("Table!A"&amp;$AH19):INDIRECT("Table!" &amp; $AK$86 &amp; $AH19),0)),"",INDIRECT(CONCATENATE("Table!",ADDRESS($AD19,MATCH(G$1,INDIRECT("Table!A" &amp; $AH19):INDIRECT("Table!" &amp; $AK$86 &amp; $AH19),0))))/1024)</f>
        <v>448.39658789062497</v>
      </c>
      <c r="H19" s="595">
        <f ca="1">IF(ISERROR(MATCH(H$1,INDIRECT("Table!A"&amp;$AH19):INDIRECT("Table!" &amp; $AK$86 &amp; $AH19),0)),"",INDIRECT(CONCATENATE("Table!",ADDRESS($AD19,MATCH(H$1,INDIRECT("Table!A" &amp; $AH19):INDIRECT("Table!" &amp; $AK$86 &amp; $AH19),0))))/1024)</f>
        <v>233.18729882812499</v>
      </c>
      <c r="I19" s="595">
        <f ca="1">IF(ISERROR(MATCH(I$1,INDIRECT("Table!A"&amp;$AH19):INDIRECT("Table!" &amp; $AK$63 &amp; $AH19),0)),"",INDIRECT(CONCATENATE("Table!",ADDRESS($AD19,MATCH(I$1,INDIRECT("Table!A" &amp; $AH19):INDIRECT("Table!" &amp; $AK$63 &amp; $AH19),0))))/1024)</f>
        <v>42.442590820312496</v>
      </c>
      <c r="J19" s="595">
        <f ca="1">IF(ISERROR(MATCH(J$1,INDIRECT("Table!A"&amp;$AH19):INDIRECT("Table!" &amp; $AK$63 &amp; $AH19),0)),"",INDIRECT(CONCATENATE("Table!",ADDRESS($AD19,MATCH(J$1,INDIRECT("Table!A" &amp; $AH19):INDIRECT("Table!" &amp; $AK$63 &amp; $AH19),0))))/1024)</f>
        <v>122.4546123046875</v>
      </c>
      <c r="K19" s="595">
        <f ca="1">IF(ISERROR(MATCH(K$1,INDIRECT("Table!A"&amp;$AH19):INDIRECT("Table!" &amp; $AK$63 &amp; $AH19),0)),"",INDIRECT(CONCATENATE("Table!",ADDRESS($AD19,MATCH(K$1,INDIRECT("Table!A" &amp; $AH19):INDIRECT("Table!" &amp; $AK$63 &amp; $AH19),0))))/1024)</f>
        <v>134.04483105468751</v>
      </c>
      <c r="L19" s="595">
        <f ca="1">IF(ISERROR(MATCH(L$1,INDIRECT("Table!A"&amp;$AH19):INDIRECT("Table!" &amp; $AK$63 &amp; $AH19),0)),"",INDIRECT(CONCATENATE("Table!",ADDRESS($AD19,MATCH(L$1,INDIRECT("Table!A" &amp; $AH19):INDIRECT("Table!" &amp; $AK$63 &amp; $AH19),0))))/1024)</f>
        <v>265.98234960937498</v>
      </c>
      <c r="M19" s="595">
        <f ca="1">IF(ISERROR(MATCH(M$1,INDIRECT("Table!A"&amp;$AH19):INDIRECT("Table!" &amp; $AK$63 &amp; $AH19),0)),"",INDIRECT(CONCATENATE("Table!",ADDRESS($AD19,MATCH(M$1,INDIRECT("Table!A" &amp; $AH19):INDIRECT("Table!" &amp; $AK$63 &amp; $AH19),0))))/1024)</f>
        <v>357.97971093749999</v>
      </c>
      <c r="N19" s="595">
        <f ca="1">IF(ISERROR(MATCH(N$1,INDIRECT("Table!A"&amp;$AH19):INDIRECT("Table!" &amp; $AK$63 &amp; $AH19),0)),"",INDIRECT(CONCATENATE("Table!",ADDRESS($AD19,MATCH(N$1,INDIRECT("Table!A" &amp; $AH19):INDIRECT("Table!" &amp; $AK$63 &amp; $AH19),0))))/1024)</f>
        <v>122.3229052734375</v>
      </c>
      <c r="O19" s="595">
        <f ca="1">IF(ISERROR(MATCH(O$1,INDIRECT("Table!A"&amp;$AH19):INDIRECT("Table!" &amp; $AK$63 &amp; $AH19),0)),"",INDIRECT(CONCATENATE("Table!",ADDRESS($AD19,MATCH(O$1,INDIRECT("Table!A" &amp; $AH19):INDIRECT("Table!" &amp; $AK$63 &amp; $AH19),0))))/1024)</f>
        <v>195.32152734375001</v>
      </c>
      <c r="P19" s="595">
        <f ca="1">IF(ISERROR(MATCH(P$1,INDIRECT("Table!A"&amp;$AH19):INDIRECT("Table!" &amp; $AK$63 &amp; $AH19),0)),"",INDIRECT(CONCATENATE("Table!",ADDRESS($AD19,MATCH(P$1,INDIRECT("Table!A" &amp; $AH19):INDIRECT("Table!" &amp; $AK$63 &amp; $AH19),0))))/1024)</f>
        <v>57.193778320312497</v>
      </c>
      <c r="Q19" s="595">
        <f ca="1">IF(ISERROR(MATCH(Q$1,INDIRECT("Table!A"&amp;$AH19):INDIRECT("Table!" &amp; $AK$63 &amp; $AH19),0)),"",INDIRECT(CONCATENATE("Table!",ADDRESS($AD19,MATCH(Q$1,INDIRECT("Table!A" &amp; $AH19):INDIRECT("Table!" &amp; $AK$63 &amp; $AH19),0))))/1024)</f>
        <v>134.27531835937501</v>
      </c>
      <c r="R19" s="595">
        <f ca="1">IF(ISERROR(MATCH(R$1,INDIRECT("Table!A"&amp;$AH19):INDIRECT("Table!" &amp; $AK$63 &amp; $AH19),0)),"",INDIRECT(CONCATENATE("Table!",ADDRESS($AD19,MATCH(R$1,INDIRECT("Table!A" &amp; $AH19):INDIRECT("Table!" &amp; $AK$63 &amp; $AH19),0))))/1024)</f>
        <v>254.22749707031249</v>
      </c>
      <c r="S19" s="595">
        <f ca="1">IF(ISERROR(MATCH(S$1,INDIRECT("Table!A"&amp;$AH19):INDIRECT("Table!" &amp; $AK$63 &amp; $AH19),0)),"",INDIRECT(CONCATENATE("Table!",ADDRESS($AD19,MATCH(S$1,INDIRECT("Table!A" &amp; $AH19):INDIRECT("Table!" &amp; $AK$63 &amp; $AH19),0))))/1024)</f>
        <v>55.613293945312499</v>
      </c>
      <c r="T19" s="595">
        <f ca="1">IF(ISERROR(MATCH(T$1,INDIRECT("Table!A"&amp;$AH19):INDIRECT("Table!" &amp; $AK$63 &amp; $AH19),0)),"",INDIRECT(CONCATENATE("Table!",ADDRESS($AD19,MATCH(T$1,INDIRECT("Table!A" &amp; $AH19):INDIRECT("Table!" &amp; $AK$63 &amp; $AH19),0))))/1024)</f>
        <v>35.791385742187501</v>
      </c>
      <c r="U19" s="595">
        <f ca="1">IF(ISERROR(MATCH(U$1,INDIRECT("Table!A"&amp;$AH19):INDIRECT("Table!" &amp; $AK$63 &amp; $AH19),0)),"",INDIRECT(CONCATENATE("Table!",ADDRESS($AD19,MATCH(U$1,INDIRECT("Table!A" &amp; $AH19):INDIRECT("Table!" &amp; $AK$63 &amp; $AH19),0))))/1024)</f>
        <v>21.073124999999997</v>
      </c>
      <c r="V19" s="595">
        <f ca="1">IF(ISERROR(MATCH(V$1,INDIRECT("Table!A"&amp;$AH19):INDIRECT("Table!" &amp; $AK$63 &amp; $AH19),0)),"",INDIRECT(CONCATENATE("Table!",ADDRESS($AD19,MATCH(V$1,INDIRECT("Table!A" &amp; $AH19):INDIRECT("Table!" &amp; $AK$63 &amp; $AH19),0))))/1024)</f>
        <v>21.073124999999997</v>
      </c>
      <c r="W19" s="595" t="str">
        <f ca="1">IF(ISERROR(MATCH(W$1,INDIRECT("Table!A"&amp;$AH19):INDIRECT("Table!" &amp; $AK$63 &amp; $AH19),0)),"",INDIRECT(CONCATENATE("Table!",ADDRESS($AD19,MATCH(W$1,INDIRECT("Table!A" &amp; $AH19):INDIRECT("Table!" &amp; $AK$63 &amp; $AH19),0))))/1024)</f>
        <v/>
      </c>
      <c r="X19" s="595"/>
      <c r="Y19" s="595"/>
      <c r="Z19" s="595"/>
      <c r="AA19" s="595"/>
      <c r="AB19" s="595"/>
      <c r="AC19" s="595"/>
      <c r="AD19" s="595">
        <f>MATCH($A19,Table!$A:$A,0)+$AF$2-1</f>
        <v>235</v>
      </c>
      <c r="AE19" s="698"/>
      <c r="AF19" s="698"/>
      <c r="AG19" s="698"/>
      <c r="AH19" s="595">
        <f>MATCH($A19,Table!$A:$A,0)+$AJ$2-1</f>
        <v>227</v>
      </c>
      <c r="AI19" s="698"/>
      <c r="AJ19" s="698"/>
      <c r="AK19" s="904" t="s">
        <v>284</v>
      </c>
      <c r="AL19" s="699">
        <f t="shared" ca="1" si="0"/>
        <v>3265.3794990234369</v>
      </c>
      <c r="AM19" s="699">
        <f t="shared" ref="AM19:AM82" ca="1" si="10">AL19-AL20</f>
        <v>39.314548828124771</v>
      </c>
    </row>
    <row r="20" spans="1:39" s="591" customFormat="1" x14ac:dyDescent="0.25">
      <c r="A20" s="592">
        <v>41702</v>
      </c>
      <c r="B20" s="595">
        <f ca="1">IF(ISERROR(MATCH(B$1,INDIRECT("Table!A"&amp;$AH20):INDIRECT("Table!" &amp; $AK$86 &amp; $AH20),0)),"",INDIRECT(CONCATENATE("Table!",ADDRESS($AD20,MATCH(B$1,INDIRECT("Table!A" &amp; $AH20):INDIRECT("Table!" &amp; $AK$86 &amp; $AH20),0))))/1024)</f>
        <v>184.88374511718749</v>
      </c>
      <c r="C20" s="595">
        <f ca="1">IF(ISERROR(MATCH(C$1,INDIRECT("Table!A"&amp;$AH20):INDIRECT("Table!" &amp; $AK$86 &amp; $AH20),0)),"",INDIRECT(CONCATENATE("Table!",ADDRESS($AD20,MATCH(C$1,INDIRECT("Table!A" &amp; $AH20):INDIRECT("Table!" &amp; $AK$86 &amp; $AH20),0))))/1024)</f>
        <v>86.235178710937504</v>
      </c>
      <c r="D20" s="595">
        <f ca="1">IF(ISERROR(MATCH(D$1,INDIRECT("Table!A"&amp;$AH20):INDIRECT("Table!" &amp; $AK$86 &amp; $AH20),0)),"",INDIRECT(CONCATENATE("Table!",ADDRESS($AD20,MATCH(D$1,INDIRECT("Table!A" &amp; $AH20):INDIRECT("Table!" &amp; $AK$86 &amp; $AH20),0))))/1024)</f>
        <v>87.091274414062497</v>
      </c>
      <c r="E20" s="595">
        <f ca="1">IF(ISERROR(MATCH(E$1,INDIRECT("Table!A"&amp;$AH20):INDIRECT("Table!" &amp; $AK$86 &amp; $AH20),0)),"",INDIRECT(CONCATENATE("Table!",ADDRESS($AD20,MATCH(E$1,INDIRECT("Table!A" &amp; $AH20):INDIRECT("Table!" &amp; $AK$86 &amp; $AH20),0))))/1024)</f>
        <v>266.57503124999999</v>
      </c>
      <c r="F20" s="595">
        <f ca="1">IF(ISERROR(MATCH(F$1,INDIRECT("Table!A"&amp;$AH20):INDIRECT("Table!" &amp; $AK$86 &amp; $AH20),0)),"",INDIRECT(CONCATENATE("Table!",ADDRESS($AD20,MATCH(F$1,INDIRECT("Table!A" &amp; $AH20):INDIRECT("Table!" &amp; $AK$86 &amp; $AH20),0))))/1024)</f>
        <v>118.14120703124999</v>
      </c>
      <c r="G20" s="595">
        <f ca="1">IF(ISERROR(MATCH(G$1,INDIRECT("Table!A"&amp;$AH20):INDIRECT("Table!" &amp; $AK$86 &amp; $AH20),0)),"",INDIRECT(CONCATENATE("Table!",ADDRESS($AD20,MATCH(G$1,INDIRECT("Table!A" &amp; $AH20):INDIRECT("Table!" &amp; $AK$86 &amp; $AH20),0))))/1024)</f>
        <v>448.39658789062497</v>
      </c>
      <c r="H20" s="595">
        <f ca="1">IF(ISERROR(MATCH(H$1,INDIRECT("Table!A"&amp;$AH20):INDIRECT("Table!" &amp; $AK$86 &amp; $AH20),0)),"",INDIRECT(CONCATENATE("Table!",ADDRESS($AD20,MATCH(H$1,INDIRECT("Table!A" &amp; $AH20):INDIRECT("Table!" &amp; $AK$86 &amp; $AH20),0))))/1024)</f>
        <v>220.01659570312501</v>
      </c>
      <c r="I20" s="595">
        <f ca="1">IF(ISERROR(MATCH(I$1,INDIRECT("Table!A"&amp;$AH20):INDIRECT("Table!" &amp; $AK$63 &amp; $AH20),0)),"",INDIRECT(CONCATENATE("Table!",ADDRESS($AD20,MATCH(I$1,INDIRECT("Table!A" &amp; $AH20):INDIRECT("Table!" &amp; $AK$63 &amp; $AH20),0))))/1024)</f>
        <v>42.442590820312496</v>
      </c>
      <c r="J20" s="595">
        <f ca="1">IF(ISERROR(MATCH(J$1,INDIRECT("Table!A"&amp;$AH20):INDIRECT("Table!" &amp; $AK$63 &amp; $AH20),0)),"",INDIRECT(CONCATENATE("Table!",ADDRESS($AD20,MATCH(J$1,INDIRECT("Table!A" &amp; $AH20):INDIRECT("Table!" &amp; $AK$63 &amp; $AH20),0))))/1024)</f>
        <v>122.4546123046875</v>
      </c>
      <c r="K20" s="595">
        <f ca="1">IF(ISERROR(MATCH(K$1,INDIRECT("Table!A"&amp;$AH20):INDIRECT("Table!" &amp; $AK$63 &amp; $AH20),0)),"",INDIRECT(CONCATENATE("Table!",ADDRESS($AD20,MATCH(K$1,INDIRECT("Table!A" &amp; $AH20):INDIRECT("Table!" &amp; $AK$63 &amp; $AH20),0))))/1024)</f>
        <v>135.855802734375</v>
      </c>
      <c r="L20" s="595">
        <f ca="1">IF(ISERROR(MATCH(L$1,INDIRECT("Table!A"&amp;$AH20):INDIRECT("Table!" &amp; $AK$63 &amp; $AH20),0)),"",INDIRECT(CONCATENATE("Table!",ADDRESS($AD20,MATCH(L$1,INDIRECT("Table!A" &amp; $AH20):INDIRECT("Table!" &amp; $AK$63 &amp; $AH20),0))))/1024)</f>
        <v>272.27136035156246</v>
      </c>
      <c r="M20" s="595">
        <f ca="1">IF(ISERROR(MATCH(M$1,INDIRECT("Table!A"&amp;$AH20):INDIRECT("Table!" &amp; $AK$63 &amp; $AH20),0)),"",INDIRECT(CONCATENATE("Table!",ADDRESS($AD20,MATCH(M$1,INDIRECT("Table!A" &amp; $AH20):INDIRECT("Table!" &amp; $AK$63 &amp; $AH20),0))))/1024)</f>
        <v>357.97971093749999</v>
      </c>
      <c r="N20" s="595">
        <f ca="1">IF(ISERROR(MATCH(N$1,INDIRECT("Table!A"&amp;$AH20):INDIRECT("Table!" &amp; $AK$63 &amp; $AH20),0)),"",INDIRECT(CONCATENATE("Table!",ADDRESS($AD20,MATCH(N$1,INDIRECT("Table!A" &amp; $AH20):INDIRECT("Table!" &amp; $AK$63 &amp; $AH20),0))))/1024)</f>
        <v>122.3229052734375</v>
      </c>
      <c r="O20" s="595">
        <f ca="1">IF(ISERROR(MATCH(O$1,INDIRECT("Table!A"&amp;$AH20):INDIRECT("Table!" &amp; $AK$63 &amp; $AH20),0)),"",INDIRECT(CONCATENATE("Table!",ADDRESS($AD20,MATCH(O$1,INDIRECT("Table!A" &amp; $AH20):INDIRECT("Table!" &amp; $AK$63 &amp; $AH20),0))))/1024)</f>
        <v>182.15082421874996</v>
      </c>
      <c r="P20" s="595">
        <f ca="1">IF(ISERROR(MATCH(P$1,INDIRECT("Table!A"&amp;$AH20):INDIRECT("Table!" &amp; $AK$63 &amp; $AH20),0)),"",INDIRECT(CONCATENATE("Table!",ADDRESS($AD20,MATCH(P$1,INDIRECT("Table!A" &amp; $AH20):INDIRECT("Table!" &amp; $AK$63 &amp; $AH20),0))))/1024)</f>
        <v>57.193778320312497</v>
      </c>
      <c r="Q20" s="595">
        <f ca="1">IF(ISERROR(MATCH(Q$1,INDIRECT("Table!A"&amp;$AH20):INDIRECT("Table!" &amp; $AK$63 &amp; $AH20),0)),"",INDIRECT(CONCATENATE("Table!",ADDRESS($AD20,MATCH(Q$1,INDIRECT("Table!A" &amp; $AH20):INDIRECT("Table!" &amp; $AK$63 &amp; $AH20),0))))/1024)</f>
        <v>134.27531835937501</v>
      </c>
      <c r="R20" s="595">
        <f ca="1">IF(ISERROR(MATCH(R$1,INDIRECT("Table!A"&amp;$AH20):INDIRECT("Table!" &amp; $AK$63 &amp; $AH20),0)),"",INDIRECT(CONCATENATE("Table!",ADDRESS($AD20,MATCH(R$1,INDIRECT("Table!A" &amp; $AH20):INDIRECT("Table!" &amp; $AK$63 &amp; $AH20),0))))/1024)</f>
        <v>254.22749707031249</v>
      </c>
      <c r="S20" s="595">
        <f ca="1">IF(ISERROR(MATCH(S$1,INDIRECT("Table!A"&amp;$AH20):INDIRECT("Table!" &amp; $AK$63 &amp; $AH20),0)),"",INDIRECT(CONCATENATE("Table!",ADDRESS($AD20,MATCH(S$1,INDIRECT("Table!A" &amp; $AH20):INDIRECT("Table!" &amp; $AK$63 &amp; $AH20),0))))/1024)</f>
        <v>55.613293945312499</v>
      </c>
      <c r="T20" s="595">
        <f ca="1">IF(ISERROR(MATCH(T$1,INDIRECT("Table!A"&amp;$AH20):INDIRECT("Table!" &amp; $AK$63 &amp; $AH20),0)),"",INDIRECT(CONCATENATE("Table!",ADDRESS($AD20,MATCH(T$1,INDIRECT("Table!A" &amp; $AH20):INDIRECT("Table!" &amp; $AK$63 &amp; $AH20),0))))/1024)</f>
        <v>35.791385742187501</v>
      </c>
      <c r="U20" s="595">
        <f ca="1">IF(ISERROR(MATCH(U$1,INDIRECT("Table!A"&amp;$AH20):INDIRECT("Table!" &amp; $AK$63 &amp; $AH20),0)),"",INDIRECT(CONCATENATE("Table!",ADDRESS($AD20,MATCH(U$1,INDIRECT("Table!A" &amp; $AH20):INDIRECT("Table!" &amp; $AK$63 &amp; $AH20),0))))/1024)</f>
        <v>21.073124999999997</v>
      </c>
      <c r="V20" s="595">
        <f ca="1">IF(ISERROR(MATCH(V$1,INDIRECT("Table!A"&amp;$AH20):INDIRECT("Table!" &amp; $AK$63 &amp; $AH20),0)),"",INDIRECT(CONCATENATE("Table!",ADDRESS($AD20,MATCH(V$1,INDIRECT("Table!A" &amp; $AH20):INDIRECT("Table!" &amp; $AK$63 &amp; $AH20),0))))/1024)</f>
        <v>21.073124999999997</v>
      </c>
      <c r="W20" s="595" t="str">
        <f ca="1">IF(ISERROR(MATCH(W$1,INDIRECT("Table!A"&amp;$AH20):INDIRECT("Table!" &amp; $AK$63 &amp; $AH20),0)),"",INDIRECT(CONCATENATE("Table!",ADDRESS($AD20,MATCH(W$1,INDIRECT("Table!A" &amp; $AH20):INDIRECT("Table!" &amp; $AK$63 &amp; $AH20),0))))/1024)</f>
        <v/>
      </c>
      <c r="X20" s="595"/>
      <c r="Y20" s="595"/>
      <c r="Z20" s="595"/>
      <c r="AA20" s="595"/>
      <c r="AB20" s="595"/>
      <c r="AC20" s="595"/>
      <c r="AD20" s="595">
        <f>MATCH($A20,Table!$A:$A,0)+$AF$2-1</f>
        <v>249</v>
      </c>
      <c r="AE20" s="698"/>
      <c r="AF20" s="698"/>
      <c r="AG20" s="698"/>
      <c r="AH20" s="595">
        <f>MATCH($A20,Table!$A:$A,0)+$AJ$2-1</f>
        <v>241</v>
      </c>
      <c r="AI20" s="698"/>
      <c r="AJ20" s="698"/>
      <c r="AK20" s="904" t="s">
        <v>284</v>
      </c>
      <c r="AL20" s="699">
        <f t="shared" ca="1" si="0"/>
        <v>3226.0649501953121</v>
      </c>
      <c r="AM20" s="699">
        <f t="shared" ca="1" si="10"/>
        <v>43.957221679687336</v>
      </c>
    </row>
    <row r="21" spans="1:39" s="591" customFormat="1" x14ac:dyDescent="0.25">
      <c r="A21" s="592">
        <v>41695</v>
      </c>
      <c r="B21" s="595">
        <f ca="1">IF(ISERROR(MATCH(B$1,INDIRECT("Table!A"&amp;$AH21):INDIRECT("Table!" &amp; $AK$86 &amp; $AH21),0)),"",INDIRECT(CONCATENATE("Table!",ADDRESS($AD21,MATCH(B$1,INDIRECT("Table!A" &amp; $AH21):INDIRECT("Table!" &amp; $AK$86 &amp; $AH21),0))))/1024)</f>
        <v>184.88374511718749</v>
      </c>
      <c r="C21" s="595">
        <f ca="1">IF(ISERROR(MATCH(C$1,INDIRECT("Table!A"&amp;$AH21):INDIRECT("Table!" &amp; $AK$86 &amp; $AH21),0)),"",INDIRECT(CONCATENATE("Table!",ADDRESS($AD21,MATCH(C$1,INDIRECT("Table!A" &amp; $AH21):INDIRECT("Table!" &amp; $AK$86 &amp; $AH21),0))))/1024)</f>
        <v>86.235178710937504</v>
      </c>
      <c r="D21" s="595">
        <f ca="1">IF(ISERROR(MATCH(D$1,INDIRECT("Table!A"&amp;$AH21):INDIRECT("Table!" &amp; $AK$86 &amp; $AH21),0)),"",INDIRECT(CONCATENATE("Table!",ADDRESS($AD21,MATCH(D$1,INDIRECT("Table!A" &amp; $AH21):INDIRECT("Table!" &amp; $AK$86 &amp; $AH21),0))))/1024)</f>
        <v>87.091274414062497</v>
      </c>
      <c r="E21" s="595">
        <f ca="1">IF(ISERROR(MATCH(E$1,INDIRECT("Table!A"&amp;$AH21):INDIRECT("Table!" &amp; $AK$86 &amp; $AH21),0)),"",INDIRECT(CONCATENATE("Table!",ADDRESS($AD21,MATCH(E$1,INDIRECT("Table!A" &amp; $AH21):INDIRECT("Table!" &amp; $AK$86 &amp; $AH21),0))))/1024)</f>
        <v>266.57503124999999</v>
      </c>
      <c r="F21" s="595">
        <f ca="1">IF(ISERROR(MATCH(F$1,INDIRECT("Table!A"&amp;$AH21):INDIRECT("Table!" &amp; $AK$86 &amp; $AH21),0)),"",INDIRECT(CONCATENATE("Table!",ADDRESS($AD21,MATCH(F$1,INDIRECT("Table!A" &amp; $AH21):INDIRECT("Table!" &amp; $AK$86 &amp; $AH21),0))))/1024)</f>
        <v>118.60218164062499</v>
      </c>
      <c r="G21" s="595">
        <f ca="1">IF(ISERROR(MATCH(G$1,INDIRECT("Table!A"&amp;$AH21):INDIRECT("Table!" &amp; $AK$86 &amp; $AH21),0)),"",INDIRECT(CONCATENATE("Table!",ADDRESS($AD21,MATCH(G$1,INDIRECT("Table!A" &amp; $AH21):INDIRECT("Table!" &amp; $AK$86 &amp; $AH21),0))))/1024)</f>
        <v>448.39658789062497</v>
      </c>
      <c r="H21" s="595">
        <f ca="1">IF(ISERROR(MATCH(H$1,INDIRECT("Table!A"&amp;$AH21):INDIRECT("Table!" &amp; $AK$86 &amp; $AH21),0)),"",INDIRECT(CONCATENATE("Table!",ADDRESS($AD21,MATCH(H$1,INDIRECT("Table!A" &amp; $AH21):INDIRECT("Table!" &amp; $AK$86 &amp; $AH21),0))))/1024)</f>
        <v>219.489767578125</v>
      </c>
      <c r="I21" s="595">
        <f ca="1">IF(ISERROR(MATCH(I$1,INDIRECT("Table!A"&amp;$AH21):INDIRECT("Table!" &amp; $AK$63 &amp; $AH21),0)),"",INDIRECT(CONCATENATE("Table!",ADDRESS($AD21,MATCH(I$1,INDIRECT("Table!A" &amp; $AH21):INDIRECT("Table!" &amp; $AK$63 &amp; $AH21),0))))/1024)</f>
        <v>42.179176757812499</v>
      </c>
      <c r="J21" s="595">
        <f ca="1">IF(ISERROR(MATCH(J$1,INDIRECT("Table!A"&amp;$AH21):INDIRECT("Table!" &amp; $AK$63 &amp; $AH21),0)),"",INDIRECT(CONCATENATE("Table!",ADDRESS($AD21,MATCH(J$1,INDIRECT("Table!A" &amp; $AH21):INDIRECT("Table!" &amp; $AK$63 &amp; $AH21),0))))/1024)</f>
        <v>120.31437304687499</v>
      </c>
      <c r="K21" s="595">
        <f ca="1">IF(ISERROR(MATCH(K$1,INDIRECT("Table!A"&amp;$AH21):INDIRECT("Table!" &amp; $AK$63 &amp; $AH21),0)),"",INDIRECT(CONCATENATE("Table!",ADDRESS($AD21,MATCH(K$1,INDIRECT("Table!A" &amp; $AH21):INDIRECT("Table!" &amp; $AK$63 &amp; $AH21),0))))/1024)</f>
        <v>126.6692373046875</v>
      </c>
      <c r="L21" s="595">
        <f ca="1">IF(ISERROR(MATCH(L$1,INDIRECT("Table!A"&amp;$AH21):INDIRECT("Table!" &amp; $AK$63 &amp; $AH21),0)),"",INDIRECT(CONCATENATE("Table!",ADDRESS($AD21,MATCH(L$1,INDIRECT("Table!A" &amp; $AH21):INDIRECT("Table!" &amp; $AK$63 &amp; $AH21),0))))/1024)</f>
        <v>266.21283691406251</v>
      </c>
      <c r="M21" s="595">
        <f ca="1">IF(ISERROR(MATCH(M$1,INDIRECT("Table!A"&amp;$AH21):INDIRECT("Table!" &amp; $AK$63 &amp; $AH21),0)),"",INDIRECT(CONCATENATE("Table!",ADDRESS($AD21,MATCH(M$1,INDIRECT("Table!A" &amp; $AH21):INDIRECT("Table!" &amp; $AK$63 &amp; $AH21),0))))/1024)</f>
        <v>357.97971093749999</v>
      </c>
      <c r="N21" s="595">
        <f ca="1">IF(ISERROR(MATCH(N$1,INDIRECT("Table!A"&amp;$AH21):INDIRECT("Table!" &amp; $AK$63 &amp; $AH21),0)),"",INDIRECT(CONCATENATE("Table!",ADDRESS($AD21,MATCH(N$1,INDIRECT("Table!A" &amp; $AH21):INDIRECT("Table!" &amp; $AK$63 &amp; $AH21),0))))/1024)</f>
        <v>122.3229052734375</v>
      </c>
      <c r="O21" s="595">
        <f ca="1">IF(ISERROR(MATCH(O$1,INDIRECT("Table!A"&amp;$AH21):INDIRECT("Table!" &amp; $AK$63 &amp; $AH21),0)),"",INDIRECT(CONCATENATE("Table!",ADDRESS($AD21,MATCH(O$1,INDIRECT("Table!A" &amp; $AH21):INDIRECT("Table!" &amp; $AK$63 &amp; $AH21),0))))/1024)</f>
        <v>181.68984960937496</v>
      </c>
      <c r="P21" s="595">
        <f ca="1">IF(ISERROR(MATCH(P$1,INDIRECT("Table!A"&amp;$AH21):INDIRECT("Table!" &amp; $AK$63 &amp; $AH21),0)),"",INDIRECT(CONCATENATE("Table!",ADDRESS($AD21,MATCH(P$1,INDIRECT("Table!A" &amp; $AH21):INDIRECT("Table!" &amp; $AK$63 &amp; $AH21),0))))/1024)</f>
        <v>56.930364257812499</v>
      </c>
      <c r="Q21" s="595">
        <f ca="1">IF(ISERROR(MATCH(Q$1,INDIRECT("Table!A"&amp;$AH21):INDIRECT("Table!" &amp; $AK$63 &amp; $AH21),0)),"",INDIRECT(CONCATENATE("Table!",ADDRESS($AD21,MATCH(Q$1,INDIRECT("Table!A" &amp; $AH21):INDIRECT("Table!" &amp; $AK$63 &amp; $AH21),0))))/1024)</f>
        <v>132.1350791015625</v>
      </c>
      <c r="R21" s="595">
        <f ca="1">IF(ISERROR(MATCH(R$1,INDIRECT("Table!A"&amp;$AH21):INDIRECT("Table!" &amp; $AK$63 &amp; $AH21),0)),"",INDIRECT(CONCATENATE("Table!",ADDRESS($AD21,MATCH(R$1,INDIRECT("Table!A" &amp; $AH21):INDIRECT("Table!" &amp; $AK$63 &amp; $AH21),0))))/1024)</f>
        <v>249.28848339843748</v>
      </c>
      <c r="S21" s="595">
        <f ca="1">IF(ISERROR(MATCH(S$1,INDIRECT("Table!A"&amp;$AH21):INDIRECT("Table!" &amp; $AK$63 &amp; $AH21),0)),"",INDIRECT(CONCATENATE("Table!",ADDRESS($AD21,MATCH(S$1,INDIRECT("Table!A" &amp; $AH21):INDIRECT("Table!" &amp; $AK$63 &amp; $AH21),0))))/1024)</f>
        <v>55.613293945312499</v>
      </c>
      <c r="T21" s="595">
        <f ca="1">IF(ISERROR(MATCH(T$1,INDIRECT("Table!A"&amp;$AH21):INDIRECT("Table!" &amp; $AK$63 &amp; $AH21),0)),"",INDIRECT(CONCATENATE("Table!",ADDRESS($AD21,MATCH(T$1,INDIRECT("Table!A" &amp; $AH21):INDIRECT("Table!" &amp; $AK$63 &amp; $AH21),0))))/1024)</f>
        <v>35.791385742187501</v>
      </c>
      <c r="U21" s="595">
        <f ca="1">IF(ISERROR(MATCH(U$1,INDIRECT("Table!A"&amp;$AH21):INDIRECT("Table!" &amp; $AK$63 &amp; $AH21),0)),"",INDIRECT(CONCATENATE("Table!",ADDRESS($AD21,MATCH(U$1,INDIRECT("Table!A" &amp; $AH21):INDIRECT("Table!" &amp; $AK$63 &amp; $AH21),0))))/1024)</f>
        <v>2.6341406249999997</v>
      </c>
      <c r="V21" s="595">
        <f ca="1">IF(ISERROR(MATCH(V$1,INDIRECT("Table!A"&amp;$AH21):INDIRECT("Table!" &amp; $AK$63 &amp; $AH21),0)),"",INDIRECT(CONCATENATE("Table!",ADDRESS($AD21,MATCH(V$1,INDIRECT("Table!A" &amp; $AH21):INDIRECT("Table!" &amp; $AK$63 &amp; $AH21),0))))/1024)</f>
        <v>21.073124999999997</v>
      </c>
      <c r="W21" s="595" t="str">
        <f ca="1">IF(ISERROR(MATCH(W$1,INDIRECT("Table!A"&amp;$AH21):INDIRECT("Table!" &amp; $AK$63 &amp; $AH21),0)),"",INDIRECT(CONCATENATE("Table!",ADDRESS($AD21,MATCH(W$1,INDIRECT("Table!A" &amp; $AH21):INDIRECT("Table!" &amp; $AK$63 &amp; $AH21),0))))/1024)</f>
        <v/>
      </c>
      <c r="X21" s="595"/>
      <c r="Y21" s="595"/>
      <c r="Z21" s="595"/>
      <c r="AA21" s="595"/>
      <c r="AB21" s="595"/>
      <c r="AC21" s="595"/>
      <c r="AD21" s="595">
        <f>MATCH($A21,Table!$A:$A,0)+$AF$2-1</f>
        <v>263</v>
      </c>
      <c r="AE21" s="698"/>
      <c r="AF21" s="698"/>
      <c r="AG21" s="698"/>
      <c r="AH21" s="595">
        <f>MATCH($A21,Table!$A:$A,0)+$AJ$2-1</f>
        <v>255</v>
      </c>
      <c r="AI21" s="698"/>
      <c r="AJ21" s="698"/>
      <c r="AK21" s="904" t="s">
        <v>284</v>
      </c>
      <c r="AL21" s="699">
        <f t="shared" ca="1" si="0"/>
        <v>3182.1077285156248</v>
      </c>
      <c r="AM21" s="699">
        <f t="shared" ca="1" si="10"/>
        <v>69.113264648437053</v>
      </c>
    </row>
    <row r="22" spans="1:39" s="591" customFormat="1" x14ac:dyDescent="0.25">
      <c r="A22" s="592">
        <v>41690</v>
      </c>
      <c r="B22" s="595">
        <f ca="1">IF(ISERROR(MATCH(B$1,INDIRECT("Table!A"&amp;$AH22):INDIRECT("Table!" &amp; $AK$86 &amp; $AH22),0)),"",INDIRECT(CONCATENATE("Table!",ADDRESS($AD22,MATCH(B$1,INDIRECT("Table!A" &amp; $AH22):INDIRECT("Table!" &amp; $AK$86 &amp; $AH22),0))))/1024)</f>
        <v>183.5996015625</v>
      </c>
      <c r="C22" s="595">
        <f ca="1">IF(ISERROR(MATCH(C$1,INDIRECT("Table!A"&amp;$AH22):INDIRECT("Table!" &amp; $AK$86 &amp; $AH22),0)),"",INDIRECT(CONCATENATE("Table!",ADDRESS($AD22,MATCH(C$1,INDIRECT("Table!A" &amp; $AH22):INDIRECT("Table!" &amp; $AK$86 &amp; $AH22),0))))/1024)</f>
        <v>83.963232421874991</v>
      </c>
      <c r="D22" s="595">
        <f ca="1">IF(ISERROR(MATCH(D$1,INDIRECT("Table!A"&amp;$AH22):INDIRECT("Table!" &amp; $AK$86 &amp; $AH22),0)),"",INDIRECT(CONCATENATE("Table!",ADDRESS($AD22,MATCH(D$1,INDIRECT("Table!A" &amp; $AH22):INDIRECT("Table!" &amp; $AK$86 &amp; $AH22),0))))/1024)</f>
        <v>84.951035156250001</v>
      </c>
      <c r="E22" s="595">
        <f ca="1">IF(ISERROR(MATCH(E$1,INDIRECT("Table!A"&amp;$AH22):INDIRECT("Table!" &amp; $AK$86 &amp; $AH22),0)),"",INDIRECT(CONCATENATE("Table!",ADDRESS($AD22,MATCH(E$1,INDIRECT("Table!A" &amp; $AH22):INDIRECT("Table!" &amp; $AK$86 &amp; $AH22),0))))/1024)</f>
        <v>273.06160253906251</v>
      </c>
      <c r="F22" s="595">
        <f ca="1">IF(ISERROR(MATCH(F$1,INDIRECT("Table!A"&amp;$AH22):INDIRECT("Table!" &amp; $AK$86 &amp; $AH22),0)),"",INDIRECT(CONCATENATE("Table!",ADDRESS($AD22,MATCH(F$1,INDIRECT("Table!A" &amp; $AH22):INDIRECT("Table!" &amp; $AK$86 &amp; $AH22),0))))/1024)</f>
        <v>119.129009765625</v>
      </c>
      <c r="G22" s="595">
        <f ca="1">IF(ISERROR(MATCH(G$1,INDIRECT("Table!A"&amp;$AH22):INDIRECT("Table!" &amp; $AK$86 &amp; $AH22),0)),"",INDIRECT(CONCATENATE("Table!",ADDRESS($AD22,MATCH(G$1,INDIRECT("Table!A" &amp; $AH22):INDIRECT("Table!" &amp; $AK$86 &amp; $AH22),0))))/1024)</f>
        <v>449.84536523437498</v>
      </c>
      <c r="H22" s="595">
        <f ca="1">IF(ISERROR(MATCH(H$1,INDIRECT("Table!A"&amp;$AH22):INDIRECT("Table!" &amp; $AK$86 &amp; $AH22),0)),"",INDIRECT(CONCATENATE("Table!",ADDRESS($AD22,MATCH(H$1,INDIRECT("Table!A" &amp; $AH22):INDIRECT("Table!" &amp; $AK$86 &amp; $AH22),0))))/1024)</f>
        <v>218.53489160156249</v>
      </c>
      <c r="I22" s="595">
        <f ca="1">IF(ISERROR(MATCH(I$1,INDIRECT("Table!A"&amp;$AH22):INDIRECT("Table!" &amp; $AK$63 &amp; $AH22),0)),"",INDIRECT(CONCATENATE("Table!",ADDRESS($AD22,MATCH(I$1,INDIRECT("Table!A" &amp; $AH22):INDIRECT("Table!" &amp; $AK$63 &amp; $AH22),0))))/1024)</f>
        <v>40.895033203124996</v>
      </c>
      <c r="J22" s="595">
        <f ca="1">IF(ISERROR(MATCH(J$1,INDIRECT("Table!A"&amp;$AH22):INDIRECT("Table!" &amp; $AK$63 &amp; $AH22),0)),"",INDIRECT(CONCATENATE("Table!",ADDRESS($AD22,MATCH(J$1,INDIRECT("Table!A" &amp; $AH22):INDIRECT("Table!" &amp; $AK$63 &amp; $AH22),0))))/1024)</f>
        <v>118.7997421875</v>
      </c>
      <c r="K22" s="595">
        <f ca="1">IF(ISERROR(MATCH(K$1,INDIRECT("Table!A"&amp;$AH22):INDIRECT("Table!" &amp; $AK$63 &amp; $AH22),0)),"",INDIRECT(CONCATENATE("Table!",ADDRESS($AD22,MATCH(K$1,INDIRECT("Table!A" &amp; $AH22):INDIRECT("Table!" &amp; $AK$63 &amp; $AH22),0))))/1024)</f>
        <v>98.58271289062499</v>
      </c>
      <c r="L22" s="595">
        <f ca="1">IF(ISERROR(MATCH(L$1,INDIRECT("Table!A"&amp;$AH22):INDIRECT("Table!" &amp; $AK$63 &amp; $AH22),0)),"",INDIRECT(CONCATENATE("Table!",ADDRESS($AD22,MATCH(L$1,INDIRECT("Table!A" &amp; $AH22):INDIRECT("Table!" &amp; $AK$63 &amp; $AH22),0))))/1024)</f>
        <v>272.5347744140625</v>
      </c>
      <c r="M22" s="595">
        <f ca="1">IF(ISERROR(MATCH(M$1,INDIRECT("Table!A"&amp;$AH22):INDIRECT("Table!" &amp; $AK$63 &amp; $AH22),0)),"",INDIRECT(CONCATENATE("Table!",ADDRESS($AD22,MATCH(M$1,INDIRECT("Table!A" &amp; $AH22):INDIRECT("Table!" &amp; $AK$63 &amp; $AH22),0))))/1024)</f>
        <v>357.97971093749999</v>
      </c>
      <c r="N22" s="595">
        <f ca="1">IF(ISERROR(MATCH(N$1,INDIRECT("Table!A"&amp;$AH22):INDIRECT("Table!" &amp; $AK$63 &amp; $AH22),0)),"",INDIRECT(CONCATENATE("Table!",ADDRESS($AD22,MATCH(N$1,INDIRECT("Table!A" &amp; $AH22):INDIRECT("Table!" &amp; $AK$63 &amp; $AH22),0))))/1024)</f>
        <v>122.553392578125</v>
      </c>
      <c r="O22" s="595">
        <f ca="1">IF(ISERROR(MATCH(O$1,INDIRECT("Table!A"&amp;$AH22):INDIRECT("Table!" &amp; $AK$63 &amp; $AH22),0)),"",INDIRECT(CONCATENATE("Table!",ADDRESS($AD22,MATCH(O$1,INDIRECT("Table!A" &amp; $AH22):INDIRECT("Table!" &amp; $AK$63 &amp; $AH22),0))))/1024)</f>
        <v>181.68984960937496</v>
      </c>
      <c r="P22" s="595">
        <f ca="1">IF(ISERROR(MATCH(P$1,INDIRECT("Table!A"&amp;$AH22):INDIRECT("Table!" &amp; $AK$63 &amp; $AH22),0)),"",INDIRECT(CONCATENATE("Table!",ADDRESS($AD22,MATCH(P$1,INDIRECT("Table!A" &amp; $AH22):INDIRECT("Table!" &amp; $AK$63 &amp; $AH22),0))))/1024)</f>
        <v>56.008415039062498</v>
      </c>
      <c r="Q22" s="595">
        <f ca="1">IF(ISERROR(MATCH(Q$1,INDIRECT("Table!A"&amp;$AH22):INDIRECT("Table!" &amp; $AK$63 &amp; $AH22),0)),"",INDIRECT(CONCATENATE("Table!",ADDRESS($AD22,MATCH(Q$1,INDIRECT("Table!A" &amp; $AH22):INDIRECT("Table!" &amp; $AK$63 &amp; $AH22),0))))/1024)</f>
        <v>132.1350791015625</v>
      </c>
      <c r="R22" s="595">
        <f ca="1">IF(ISERROR(MATCH(R$1,INDIRECT("Table!A"&amp;$AH22):INDIRECT("Table!" &amp; $AK$63 &amp; $AH22),0)),"",INDIRECT(CONCATENATE("Table!",ADDRESS($AD22,MATCH(R$1,INDIRECT("Table!A" &amp; $AH22):INDIRECT("Table!" &amp; $AK$63 &amp; $AH22),0))))/1024)</f>
        <v>225.15316992187499</v>
      </c>
      <c r="S22" s="595">
        <f ca="1">IF(ISERROR(MATCH(S$1,INDIRECT("Table!A"&amp;$AH22):INDIRECT("Table!" &amp; $AK$63 &amp; $AH22),0)),"",INDIRECT(CONCATENATE("Table!",ADDRESS($AD22,MATCH(S$1,INDIRECT("Table!A" &amp; $AH22):INDIRECT("Table!" &amp; $AK$63 &amp; $AH22),0))))/1024)</f>
        <v>55.613293945312499</v>
      </c>
      <c r="T22" s="595">
        <f ca="1">IF(ISERROR(MATCH(T$1,INDIRECT("Table!A"&amp;$AH22):INDIRECT("Table!" &amp; $AK$63 &amp; $AH22),0)),"",INDIRECT(CONCATENATE("Table!",ADDRESS($AD22,MATCH(T$1,INDIRECT("Table!A" &amp; $AH22):INDIRECT("Table!" &amp; $AK$63 &amp; $AH22),0))))/1024)</f>
        <v>35.791385742187501</v>
      </c>
      <c r="U22" s="595">
        <f ca="1">IF(ISERROR(MATCH(U$1,INDIRECT("Table!A"&amp;$AH22):INDIRECT("Table!" &amp; $AK$63 &amp; $AH22),0)),"",INDIRECT(CONCATENATE("Table!",ADDRESS($AD22,MATCH(U$1,INDIRECT("Table!A" &amp; $AH22):INDIRECT("Table!" &amp; $AK$63 &amp; $AH22),0))))/1024)</f>
        <v>2.1731660156250001</v>
      </c>
      <c r="V22" s="595"/>
      <c r="W22" s="595"/>
      <c r="X22" s="595"/>
      <c r="Y22" s="595"/>
      <c r="Z22" s="595"/>
      <c r="AA22" s="595"/>
      <c r="AB22" s="595"/>
      <c r="AC22" s="595"/>
      <c r="AD22" s="595">
        <f>MATCH($A22,Table!$A:$A,0)+$AF$2-1</f>
        <v>277</v>
      </c>
      <c r="AE22" s="698"/>
      <c r="AF22" s="698"/>
      <c r="AG22" s="698"/>
      <c r="AH22" s="595">
        <f>MATCH($A22,Table!$A:$A,0)+$AJ$2-1</f>
        <v>269</v>
      </c>
      <c r="AI22" s="698"/>
      <c r="AJ22" s="698"/>
      <c r="AK22" s="904" t="s">
        <v>284</v>
      </c>
      <c r="AL22" s="699">
        <f t="shared" ref="AL22:AL53" ca="1" si="11">SUM(B22:AB22)</f>
        <v>3112.9944638671877</v>
      </c>
      <c r="AM22" s="699">
        <f t="shared" ca="1" si="10"/>
        <v>75.138861328125131</v>
      </c>
    </row>
    <row r="23" spans="1:39" s="591" customFormat="1" x14ac:dyDescent="0.25">
      <c r="A23" s="592">
        <v>41684</v>
      </c>
      <c r="B23" s="595">
        <f ca="1">IF(ISERROR(MATCH(B$1,INDIRECT("Table!A"&amp;$AH23):INDIRECT("Table!" &amp; $AK$86 &amp; $AH23),0)),"",INDIRECT(CONCATENATE("Table!",ADDRESS($AD23,MATCH(B$1,INDIRECT("Table!A" &amp; $AH23):INDIRECT("Table!" &amp; $AK$86 &amp; $AH23),0))))/1024)</f>
        <v>183.5996015625</v>
      </c>
      <c r="C23" s="595">
        <f ca="1">IF(ISERROR(MATCH(C$1,INDIRECT("Table!A"&amp;$AH23):INDIRECT("Table!" &amp; $AK$86 &amp; $AH23),0)),"",INDIRECT(CONCATENATE("Table!",ADDRESS($AD23,MATCH(C$1,INDIRECT("Table!A" &amp; $AH23):INDIRECT("Table!" &amp; $AK$86 &amp; $AH23),0))))/1024)</f>
        <v>83.963232421874991</v>
      </c>
      <c r="D23" s="595">
        <f ca="1">IF(ISERROR(MATCH(D$1,INDIRECT("Table!A"&amp;$AH23):INDIRECT("Table!" &amp; $AK$86 &amp; $AH23),0)),"",INDIRECT(CONCATENATE("Table!",ADDRESS($AD23,MATCH(D$1,INDIRECT("Table!A" &amp; $AH23):INDIRECT("Table!" &amp; $AK$86 &amp; $AH23),0))))/1024)</f>
        <v>84.951035156250001</v>
      </c>
      <c r="E23" s="595">
        <f ca="1">IF(ISERROR(MATCH(E$1,INDIRECT("Table!A"&amp;$AH23):INDIRECT("Table!" &amp; $AK$86 &amp; $AH23),0)),"",INDIRECT(CONCATENATE("Table!",ADDRESS($AD23,MATCH(E$1,INDIRECT("Table!A" &amp; $AH23):INDIRECT("Table!" &amp; $AK$86 &amp; $AH23),0))))/1024)</f>
        <v>273.06160253906251</v>
      </c>
      <c r="F23" s="595">
        <f ca="1">IF(ISERROR(MATCH(F$1,INDIRECT("Table!A"&amp;$AH23):INDIRECT("Table!" &amp; $AK$86 &amp; $AH23),0)),"",INDIRECT(CONCATENATE("Table!",ADDRESS($AD23,MATCH(F$1,INDIRECT("Table!A" &amp; $AH23):INDIRECT("Table!" &amp; $AK$86 &amp; $AH23),0))))/1024)</f>
        <v>119.129009765625</v>
      </c>
      <c r="G23" s="595">
        <f ca="1">IF(ISERROR(MATCH(G$1,INDIRECT("Table!A"&amp;$AH23):INDIRECT("Table!" &amp; $AK$86 &amp; $AH23),0)),"",INDIRECT(CONCATENATE("Table!",ADDRESS($AD23,MATCH(G$1,INDIRECT("Table!A" &amp; $AH23):INDIRECT("Table!" &amp; $AK$86 &amp; $AH23),0))))/1024)</f>
        <v>449.84536523437498</v>
      </c>
      <c r="H23" s="595">
        <f ca="1">IF(ISERROR(MATCH(H$1,INDIRECT("Table!A"&amp;$AH23):INDIRECT("Table!" &amp; $AK$86 &amp; $AH23),0)),"",INDIRECT(CONCATENATE("Table!",ADDRESS($AD23,MATCH(H$1,INDIRECT("Table!A" &amp; $AH23):INDIRECT("Table!" &amp; $AK$86 &amp; $AH23),0))))/1024)</f>
        <v>152.68137597656249</v>
      </c>
      <c r="I23" s="595">
        <f ca="1">IF(ISERROR(MATCH(I$1,INDIRECT("Table!A"&amp;$AH23):INDIRECT("Table!" &amp; $AK$63 &amp; $AH23),0)),"",INDIRECT(CONCATENATE("Table!",ADDRESS($AD23,MATCH(I$1,INDIRECT("Table!A" &amp; $AH23):INDIRECT("Table!" &amp; $AK$63 &amp; $AH23),0))))/1024)</f>
        <v>40.895033203124996</v>
      </c>
      <c r="J23" s="595">
        <f ca="1">IF(ISERROR(MATCH(J$1,INDIRECT("Table!A"&amp;$AH23):INDIRECT("Table!" &amp; $AK$63 &amp; $AH23),0)),"",INDIRECT(CONCATENATE("Table!",ADDRESS($AD23,MATCH(J$1,INDIRECT("Table!A" &amp; $AH23):INDIRECT("Table!" &amp; $AK$63 &amp; $AH23),0))))/1024)</f>
        <v>118.7997421875</v>
      </c>
      <c r="K23" s="595">
        <f ca="1">IF(ISERROR(MATCH(K$1,INDIRECT("Table!A"&amp;$AH23):INDIRECT("Table!" &amp; $AK$63 &amp; $AH23),0)),"",INDIRECT(CONCATENATE("Table!",ADDRESS($AD23,MATCH(K$1,INDIRECT("Table!A" &amp; $AH23):INDIRECT("Table!" &amp; $AK$63 &amp; $AH23),0))))/1024)</f>
        <v>98.58271289062499</v>
      </c>
      <c r="L23" s="595">
        <f ca="1">IF(ISERROR(MATCH(L$1,INDIRECT("Table!A"&amp;$AH23):INDIRECT("Table!" &amp; $AK$63 &amp; $AH23),0)),"",INDIRECT(CONCATENATE("Table!",ADDRESS($AD23,MATCH(L$1,INDIRECT("Table!A" &amp; $AH23):INDIRECT("Table!" &amp; $AK$63 &amp; $AH23),0))))/1024)</f>
        <v>272.96282226562499</v>
      </c>
      <c r="M23" s="595">
        <f ca="1">IF(ISERROR(MATCH(M$1,INDIRECT("Table!A"&amp;$AH23):INDIRECT("Table!" &amp; $AK$63 &amp; $AH23),0)),"",INDIRECT(CONCATENATE("Table!",ADDRESS($AD23,MATCH(M$1,INDIRECT("Table!A" &amp; $AH23):INDIRECT("Table!" &amp; $AK$63 &amp; $AH23),0))))/1024)</f>
        <v>357.97971093749999</v>
      </c>
      <c r="N23" s="595">
        <f ca="1">IF(ISERROR(MATCH(N$1,INDIRECT("Table!A"&amp;$AH23):INDIRECT("Table!" &amp; $AK$63 &amp; $AH23),0)),"",INDIRECT(CONCATENATE("Table!",ADDRESS($AD23,MATCH(N$1,INDIRECT("Table!A" &amp; $AH23):INDIRECT("Table!" &amp; $AK$63 &amp; $AH23),0))))/1024)</f>
        <v>122.553392578125</v>
      </c>
      <c r="O23" s="595">
        <f ca="1">IF(ISERROR(MATCH(O$1,INDIRECT("Table!A"&amp;$AH23):INDIRECT("Table!" &amp; $AK$63 &amp; $AH23),0)),"",INDIRECT(CONCATENATE("Table!",ADDRESS($AD23,MATCH(O$1,INDIRECT("Table!A" &amp; $AH23):INDIRECT("Table!" &amp; $AK$63 &amp; $AH23),0))))/1024)</f>
        <v>180.6691201171875</v>
      </c>
      <c r="P23" s="595">
        <f ca="1">IF(ISERROR(MATCH(P$1,INDIRECT("Table!A"&amp;$AH23):INDIRECT("Table!" &amp; $AK$63 &amp; $AH23),0)),"",INDIRECT(CONCATENATE("Table!",ADDRESS($AD23,MATCH(P$1,INDIRECT("Table!A" &amp; $AH23):INDIRECT("Table!" &amp; $AK$63 &amp; $AH23),0))))/1024)</f>
        <v>55.646220703124996</v>
      </c>
      <c r="Q23" s="595">
        <f ca="1">IF(ISERROR(MATCH(Q$1,INDIRECT("Table!A"&amp;$AH23):INDIRECT("Table!" &amp; $AK$63 &amp; $AH23),0)),"",INDIRECT(CONCATENATE("Table!",ADDRESS($AD23,MATCH(Q$1,INDIRECT("Table!A" &amp; $AH23):INDIRECT("Table!" &amp; $AK$63 &amp; $AH23),0))))/1024)</f>
        <v>130.62044824218751</v>
      </c>
      <c r="R23" s="595">
        <f ca="1">IF(ISERROR(MATCH(R$1,INDIRECT("Table!A"&amp;$AH23):INDIRECT("Table!" &amp; $AK$63 &amp; $AH23),0)),"",INDIRECT(CONCATENATE("Table!",ADDRESS($AD23,MATCH(R$1,INDIRECT("Table!A" &amp; $AH23):INDIRECT("Table!" &amp; $AK$63 &amp; $AH23),0))))/1024)</f>
        <v>220.51049707031248</v>
      </c>
      <c r="S23" s="595">
        <f ca="1">IF(ISERROR(MATCH(S$1,INDIRECT("Table!A"&amp;$AH23):INDIRECT("Table!" &amp; $AK$63 &amp; $AH23),0)),"",INDIRECT(CONCATENATE("Table!",ADDRESS($AD23,MATCH(S$1,INDIRECT("Table!A" &amp; $AH23):INDIRECT("Table!" &amp; $AK$63 &amp; $AH23),0))))/1024)</f>
        <v>55.613293945312499</v>
      </c>
      <c r="T23" s="595">
        <f ca="1">IF(ISERROR(MATCH(T$1,INDIRECT("Table!A"&amp;$AH23):INDIRECT("Table!" &amp; $AK$63 &amp; $AH23),0)),"",INDIRECT(CONCATENATE("Table!",ADDRESS($AD23,MATCH(T$1,INDIRECT("Table!A" &amp; $AH23):INDIRECT("Table!" &amp; $AK$63 &amp; $AH23),0))))/1024)</f>
        <v>35.791385742187501</v>
      </c>
      <c r="U23" s="595" t="str">
        <f ca="1">IF(ISERROR(MATCH(U$1,INDIRECT("Table!A"&amp;$AH23):INDIRECT("Table!" &amp; $AK$63 &amp; $AH23),0)),"",INDIRECT(CONCATENATE("Table!",ADDRESS($AD23,MATCH(U$1,INDIRECT("Table!A" &amp; $AH23):INDIRECT("Table!" &amp; $AK$63 &amp; $AH23),0))))/1024)</f>
        <v/>
      </c>
      <c r="V23" s="595"/>
      <c r="W23" s="595"/>
      <c r="X23" s="595"/>
      <c r="Y23" s="595"/>
      <c r="Z23" s="595"/>
      <c r="AA23" s="595"/>
      <c r="AB23" s="595"/>
      <c r="AC23" s="595"/>
      <c r="AD23" s="595">
        <f>MATCH($A23,Table!$A:$A,0)+$AF$2-1</f>
        <v>291</v>
      </c>
      <c r="AE23" s="698"/>
      <c r="AF23" s="698"/>
      <c r="AG23" s="698"/>
      <c r="AH23" s="595">
        <f>MATCH($A23,Table!$A:$A,0)+$AJ$2-1</f>
        <v>283</v>
      </c>
      <c r="AI23" s="698"/>
      <c r="AJ23" s="698"/>
      <c r="AK23" s="904" t="s">
        <v>284</v>
      </c>
      <c r="AL23" s="699">
        <f t="shared" ca="1" si="11"/>
        <v>3037.8556025390626</v>
      </c>
      <c r="AM23" s="699">
        <f t="shared" ca="1" si="10"/>
        <v>-13.038996093749574</v>
      </c>
    </row>
    <row r="24" spans="1:39" s="591" customFormat="1" x14ac:dyDescent="0.25">
      <c r="A24" s="592">
        <v>41676</v>
      </c>
      <c r="B24" s="595">
        <f ca="1">IF(ISERROR(MATCH(B$1,INDIRECT("Table!A"&amp;$AH24):INDIRECT("Table!" &amp; $AK$86 &amp; $AH24),0)),"",INDIRECT(CONCATENATE("Table!",ADDRESS($AD24,MATCH(B$1,INDIRECT("Table!A" &amp; $AH24):INDIRECT("Table!" &amp; $AK$86 &amp; $AH24),0))))/1024)</f>
        <v>183.5996015625</v>
      </c>
      <c r="C24" s="595">
        <f ca="1">IF(ISERROR(MATCH(C$1,INDIRECT("Table!A"&amp;$AH24):INDIRECT("Table!" &amp; $AK$86 &amp; $AH24),0)),"",INDIRECT(CONCATENATE("Table!",ADDRESS($AD24,MATCH(C$1,INDIRECT("Table!A" &amp; $AH24):INDIRECT("Table!" &amp; $AK$86 &amp; $AH24),0))))/1024)</f>
        <v>94.499794921874994</v>
      </c>
      <c r="D24" s="595">
        <f ca="1">IF(ISERROR(MATCH(D$1,INDIRECT("Table!A"&amp;$AH24):INDIRECT("Table!" &amp; $AK$86 &amp; $AH24),0)),"",INDIRECT(CONCATENATE("Table!",ADDRESS($AD24,MATCH(D$1,INDIRECT("Table!A" &amp; $AH24):INDIRECT("Table!" &amp; $AK$86 &amp; $AH24),0))))/1024)</f>
        <v>95.487597656250003</v>
      </c>
      <c r="E24" s="595">
        <f ca="1">IF(ISERROR(MATCH(E$1,INDIRECT("Table!A"&amp;$AH24):INDIRECT("Table!" &amp; $AK$86 &amp; $AH24),0)),"",INDIRECT(CONCATENATE("Table!",ADDRESS($AD24,MATCH(E$1,INDIRECT("Table!A" &amp; $AH24):INDIRECT("Table!" &amp; $AK$86 &amp; $AH24),0))))/1024)</f>
        <v>273.06160253906251</v>
      </c>
      <c r="F24" s="595">
        <f ca="1">IF(ISERROR(MATCH(F$1,INDIRECT("Table!A"&amp;$AH24):INDIRECT("Table!" &amp; $AK$86 &amp; $AH24),0)),"",INDIRECT(CONCATENATE("Table!",ADDRESS($AD24,MATCH(F$1,INDIRECT("Table!A" &amp; $AH24):INDIRECT("Table!" &amp; $AK$86 &amp; $AH24),0))))/1024)</f>
        <v>119.129009765625</v>
      </c>
      <c r="G24" s="595">
        <f ca="1">IF(ISERROR(MATCH(G$1,INDIRECT("Table!A"&amp;$AH24):INDIRECT("Table!" &amp; $AK$86 &amp; $AH24),0)),"",INDIRECT(CONCATENATE("Table!",ADDRESS($AD24,MATCH(G$1,INDIRECT("Table!A" &amp; $AH24):INDIRECT("Table!" &amp; $AK$86 &amp; $AH24),0))))/1024)</f>
        <v>449.84536523437498</v>
      </c>
      <c r="H24" s="595">
        <f ca="1">IF(ISERROR(MATCH(H$1,INDIRECT("Table!A"&amp;$AH24):INDIRECT("Table!" &amp; $AK$86 &amp; $AH24),0)),"",INDIRECT(CONCATENATE("Table!",ADDRESS($AD24,MATCH(H$1,INDIRECT("Table!A" &amp; $AH24):INDIRECT("Table!" &amp; $AK$86 &amp; $AH24),0))))/1024)</f>
        <v>152.38503515624998</v>
      </c>
      <c r="I24" s="595">
        <f ca="1">IF(ISERROR(MATCH(I$1,INDIRECT("Table!A"&amp;$AH24):INDIRECT("Table!" &amp; $AK$63 &amp; $AH24),0)),"",INDIRECT(CONCATENATE("Table!",ADDRESS($AD24,MATCH(I$1,INDIRECT("Table!A" &amp; $AH24):INDIRECT("Table!" &amp; $AK$63 &amp; $AH24),0))))/1024)</f>
        <v>40.895033203124996</v>
      </c>
      <c r="J24" s="595">
        <f ca="1">IF(ISERROR(MATCH(J$1,INDIRECT("Table!A"&amp;$AH24):INDIRECT("Table!" &amp; $AK$63 &amp; $AH24),0)),"",INDIRECT(CONCATENATE("Table!",ADDRESS($AD24,MATCH(J$1,INDIRECT("Table!A" &amp; $AH24):INDIRECT("Table!" &amp; $AK$63 &amp; $AH24),0))))/1024)</f>
        <v>117.81193945312499</v>
      </c>
      <c r="K24" s="595">
        <f ca="1">IF(ISERROR(MATCH(K$1,INDIRECT("Table!A"&amp;$AH24):INDIRECT("Table!" &amp; $AK$63 &amp; $AH24),0)),"",INDIRECT(CONCATENATE("Table!",ADDRESS($AD24,MATCH(K$1,INDIRECT("Table!A" &amp; $AH24):INDIRECT("Table!" &amp; $AK$63 &amp; $AH24),0))))/1024)</f>
        <v>96.574180664062496</v>
      </c>
      <c r="L24" s="595">
        <f ca="1">IF(ISERROR(MATCH(L$1,INDIRECT("Table!A"&amp;$AH24):INDIRECT("Table!" &amp; $AK$63 &amp; $AH24),0)),"",INDIRECT(CONCATENATE("Table!",ADDRESS($AD24,MATCH(L$1,INDIRECT("Table!A" &amp; $AH24):INDIRECT("Table!" &amp; $AK$63 &amp; $AH24),0))))/1024)</f>
        <v>272.96282226562499</v>
      </c>
      <c r="M24" s="595">
        <f ca="1">IF(ISERROR(MATCH(M$1,INDIRECT("Table!A"&amp;$AH24):INDIRECT("Table!" &amp; $AK$63 &amp; $AH24),0)),"",INDIRECT(CONCATENATE("Table!",ADDRESS($AD24,MATCH(M$1,INDIRECT("Table!A" &amp; $AH24):INDIRECT("Table!" &amp; $AK$63 &amp; $AH24),0))))/1024)</f>
        <v>357.97971093749999</v>
      </c>
      <c r="N24" s="595">
        <f ca="1">IF(ISERROR(MATCH(N$1,INDIRECT("Table!A"&amp;$AH24):INDIRECT("Table!" &amp; $AK$63 &amp; $AH24),0)),"",INDIRECT(CONCATENATE("Table!",ADDRESS($AD24,MATCH(N$1,INDIRECT("Table!A" &amp; $AH24):INDIRECT("Table!" &amp; $AK$63 &amp; $AH24),0))))/1024)</f>
        <v>122.553392578125</v>
      </c>
      <c r="O24" s="595">
        <f ca="1">IF(ISERROR(MATCH(O$1,INDIRECT("Table!A"&amp;$AH24):INDIRECT("Table!" &amp; $AK$63 &amp; $AH24),0)),"",INDIRECT(CONCATENATE("Table!",ADDRESS($AD24,MATCH(O$1,INDIRECT("Table!A" &amp; $AH24):INDIRECT("Table!" &amp; $AK$63 &amp; $AH24),0))))/1024)</f>
        <v>180.37277929687497</v>
      </c>
      <c r="P24" s="595">
        <f ca="1">IF(ISERROR(MATCH(P$1,INDIRECT("Table!A"&amp;$AH24):INDIRECT("Table!" &amp; $AK$63 &amp; $AH24),0)),"",INDIRECT(CONCATENATE("Table!",ADDRESS($AD24,MATCH(P$1,INDIRECT("Table!A" &amp; $AH24):INDIRECT("Table!" &amp; $AK$63 &amp; $AH24),0))))/1024)</f>
        <v>55.646220703124996</v>
      </c>
      <c r="Q24" s="595">
        <f ca="1">IF(ISERROR(MATCH(Q$1,INDIRECT("Table!A"&amp;$AH24):INDIRECT("Table!" &amp; $AK$63 &amp; $AH24),0)),"",INDIRECT(CONCATENATE("Table!",ADDRESS($AD24,MATCH(Q$1,INDIRECT("Table!A" &amp; $AH24):INDIRECT("Table!" &amp; $AK$63 &amp; $AH24),0))))/1024)</f>
        <v>129.6326455078125</v>
      </c>
      <c r="R24" s="595">
        <f ca="1">IF(ISERROR(MATCH(R$1,INDIRECT("Table!A"&amp;$AH24):INDIRECT("Table!" &amp; $AK$63 &amp; $AH24),0)),"",INDIRECT(CONCATENATE("Table!",ADDRESS($AD24,MATCH(R$1,INDIRECT("Table!A" &amp; $AH24):INDIRECT("Table!" &amp; $AK$63 &amp; $AH24),0))))/1024)</f>
        <v>217.05318749999998</v>
      </c>
      <c r="S24" s="595">
        <f ca="1">IF(ISERROR(MATCH(S$1,INDIRECT("Table!A"&amp;$AH24):INDIRECT("Table!" &amp; $AK$63 &amp; $AH24),0)),"",INDIRECT(CONCATENATE("Table!",ADDRESS($AD24,MATCH(S$1,INDIRECT("Table!A" &amp; $AH24):INDIRECT("Table!" &amp; $AK$63 &amp; $AH24),0))))/1024)</f>
        <v>55.613293945312499</v>
      </c>
      <c r="T24" s="595">
        <f ca="1">IF(ISERROR(MATCH(T$1,INDIRECT("Table!A"&amp;$AH24):INDIRECT("Table!" &amp; $AK$63 &amp; $AH24),0)),"",INDIRECT(CONCATENATE("Table!",ADDRESS($AD24,MATCH(T$1,INDIRECT("Table!A" &amp; $AH24):INDIRECT("Table!" &amp; $AK$63 &amp; $AH24),0))))/1024)</f>
        <v>35.791385742187501</v>
      </c>
      <c r="U24" s="595" t="str">
        <f ca="1">IF(ISERROR(MATCH(U$1,INDIRECT("Table!A"&amp;$AH24):INDIRECT("Table!" &amp; $AK$63 &amp; $AH24),0)),"",INDIRECT(CONCATENATE("Table!",ADDRESS($AD24,MATCH(U$1,INDIRECT("Table!A" &amp; $AH24):INDIRECT("Table!" &amp; $AK$63 &amp; $AH24),0))))/1024)</f>
        <v/>
      </c>
      <c r="V24" s="595"/>
      <c r="W24" s="595"/>
      <c r="X24" s="595"/>
      <c r="Y24" s="595"/>
      <c r="Z24" s="595"/>
      <c r="AA24" s="595"/>
      <c r="AB24" s="595"/>
      <c r="AC24" s="595"/>
      <c r="AD24" s="595">
        <f>MATCH($A24,Table!$A:$A,0)+$AF$2-1</f>
        <v>305</v>
      </c>
      <c r="AE24" s="698"/>
      <c r="AF24" s="698"/>
      <c r="AG24" s="698"/>
      <c r="AH24" s="595">
        <f>MATCH($A24,Table!$A:$A,0)+$AJ$2-1</f>
        <v>297</v>
      </c>
      <c r="AI24" s="698"/>
      <c r="AJ24" s="698"/>
      <c r="AK24" s="904" t="s">
        <v>284</v>
      </c>
      <c r="AL24" s="699">
        <f t="shared" ca="1" si="11"/>
        <v>3050.8945986328122</v>
      </c>
      <c r="AM24" s="699">
        <f t="shared" ca="1" si="10"/>
        <v>108.92171484374967</v>
      </c>
    </row>
    <row r="25" spans="1:39" s="591" customFormat="1" x14ac:dyDescent="0.25">
      <c r="A25" s="592">
        <v>41642</v>
      </c>
      <c r="B25" s="595">
        <f ca="1">IF(ISERROR(MATCH(B$1,INDIRECT("Table!A"&amp;$AH25):INDIRECT("Table!" &amp; $AK$86 &amp; $AH25),0)),"",INDIRECT(CONCATENATE("Table!",ADDRESS($AD25,MATCH(B$1,INDIRECT("Table!A" &amp; $AH25):INDIRECT("Table!" &amp; $AK$86 &amp; $AH25),0))))/1024)</f>
        <v>182.216677734375</v>
      </c>
      <c r="C25" s="595">
        <f ca="1">IF(ISERROR(MATCH(C$1,INDIRECT("Table!A"&amp;$AH25):INDIRECT("Table!" &amp; $AK$86 &amp; $AH25),0)),"",INDIRECT(CONCATENATE("Table!",ADDRESS($AD25,MATCH(C$1,INDIRECT("Table!A" &amp; $AH25):INDIRECT("Table!" &amp; $AK$86 &amp; $AH25),0))))/1024)</f>
        <v>94.335161132812502</v>
      </c>
      <c r="D25" s="595">
        <f ca="1">IF(ISERROR(MATCH(D$1,INDIRECT("Table!A"&amp;$AH25):INDIRECT("Table!" &amp; $AK$86 &amp; $AH25),0)),"",INDIRECT(CONCATENATE("Table!",ADDRESS($AD25,MATCH(D$1,INDIRECT("Table!A" &amp; $AH25):INDIRECT("Table!" &amp; $AK$86 &amp; $AH25),0))))/1024)</f>
        <v>95.322963867187497</v>
      </c>
      <c r="E25" s="595">
        <f ca="1">IF(ISERROR(MATCH(E$1,INDIRECT("Table!A"&amp;$AH25):INDIRECT("Table!" &amp; $AK$86 &amp; $AH25),0)),"",INDIRECT(CONCATENATE("Table!",ADDRESS($AD25,MATCH(E$1,INDIRECT("Table!A" &amp; $AH25):INDIRECT("Table!" &amp; $AK$86 &amp; $AH25),0))))/1024)</f>
        <v>274.18111230468747</v>
      </c>
      <c r="F25" s="595">
        <f ca="1">IF(ISERROR(MATCH(F$1,INDIRECT("Table!A"&amp;$AH25):INDIRECT("Table!" &amp; $AK$86 &amp; $AH25),0)),"",INDIRECT(CONCATENATE("Table!",ADDRESS($AD25,MATCH(F$1,INDIRECT("Table!A" &amp; $AH25):INDIRECT("Table!" &amp; $AK$86 &amp; $AH25),0))))/1024)</f>
        <v>119.129009765625</v>
      </c>
      <c r="G25" s="595">
        <f ca="1">IF(ISERROR(MATCH(G$1,INDIRECT("Table!A"&amp;$AH25):INDIRECT("Table!" &amp; $AK$86 &amp; $AH25),0)),"",INDIRECT(CONCATENATE("Table!",ADDRESS($AD25,MATCH(G$1,INDIRECT("Table!A" &amp; $AH25):INDIRECT("Table!" &amp; $AK$86 &amp; $AH25),0))))/1024)</f>
        <v>449.84536523437498</v>
      </c>
      <c r="H25" s="595">
        <f ca="1">IF(ISERROR(MATCH(H$1,INDIRECT("Table!A"&amp;$AH25):INDIRECT("Table!" &amp; $AK$86 &amp; $AH25),0)),"",INDIRECT(CONCATENATE("Table!",ADDRESS($AD25,MATCH(H$1,INDIRECT("Table!A" &amp; $AH25):INDIRECT("Table!" &amp; $AK$86 &amp; $AH25),0))))/1024)</f>
        <v>161.76916113281248</v>
      </c>
      <c r="I25" s="595">
        <f ca="1">IF(ISERROR(MATCH(I$1,INDIRECT("Table!A"&amp;$AH25):INDIRECT("Table!" &amp; $AK$63 &amp; $AH25),0)),"",INDIRECT(CONCATENATE("Table!",ADDRESS($AD25,MATCH(I$1,INDIRECT("Table!A" &amp; $AH25):INDIRECT("Table!" &amp; $AK$63 &amp; $AH25),0))))/1024)</f>
        <v>26.802380859374999</v>
      </c>
      <c r="J25" s="595">
        <f ca="1">IF(ISERROR(MATCH(J$1,INDIRECT("Table!A"&amp;$AH25):INDIRECT("Table!" &amp; $AK$63 &amp; $AH25),0)),"",INDIRECT(CONCATENATE("Table!",ADDRESS($AD25,MATCH(J$1,INDIRECT("Table!A" &amp; $AH25):INDIRECT("Table!" &amp; $AK$63 &amp; $AH25),0))))/1024)</f>
        <v>99.340028320312499</v>
      </c>
      <c r="K25" s="595">
        <f ca="1">IF(ISERROR(MATCH(K$1,INDIRECT("Table!A"&amp;$AH25):INDIRECT("Table!" &amp; $AK$63 &amp; $AH25),0)),"",INDIRECT(CONCATENATE("Table!",ADDRESS($AD25,MATCH(K$1,INDIRECT("Table!A" &amp; $AH25):INDIRECT("Table!" &amp; $AK$63 &amp; $AH25),0))))/1024)</f>
        <v>72.537647460937492</v>
      </c>
      <c r="L25" s="595">
        <f ca="1">IF(ISERROR(MATCH(L$1,INDIRECT("Table!A"&amp;$AH25):INDIRECT("Table!" &amp; $AK$63 &amp; $AH25),0)),"",INDIRECT(CONCATENATE("Table!",ADDRESS($AD25,MATCH(L$1,INDIRECT("Table!A" &amp; $AH25):INDIRECT("Table!" &amp; $AK$63 &amp; $AH25),0))))/1024)</f>
        <v>274.87257421875</v>
      </c>
      <c r="M25" s="595">
        <f ca="1">IF(ISERROR(MATCH(M$1,INDIRECT("Table!A"&amp;$AH25):INDIRECT("Table!" &amp; $AK$63 &amp; $AH25),0)),"",INDIRECT(CONCATENATE("Table!",ADDRESS($AD25,MATCH(M$1,INDIRECT("Table!A" &amp; $AH25):INDIRECT("Table!" &amp; $AK$63 &amp; $AH25),0))))/1024)</f>
        <v>360.15287695312497</v>
      </c>
      <c r="N25" s="595">
        <f ca="1">IF(ISERROR(MATCH(N$1,INDIRECT("Table!A"&amp;$AH25):INDIRECT("Table!" &amp; $AK$63 &amp; $AH25),0)),"",INDIRECT(CONCATENATE("Table!",ADDRESS($AD25,MATCH(N$1,INDIRECT("Table!A" &amp; $AH25):INDIRECT("Table!" &amp; $AK$63 &amp; $AH25),0))))/1024)</f>
        <v>123.96924316406249</v>
      </c>
      <c r="O25" s="595">
        <f ca="1">IF(ISERROR(MATCH(O$1,INDIRECT("Table!A"&amp;$AH25):INDIRECT("Table!" &amp; $AK$63 &amp; $AH25),0)),"",INDIRECT(CONCATENATE("Table!",ADDRESS($AD25,MATCH(O$1,INDIRECT("Table!A" &amp; $AH25):INDIRECT("Table!" &amp; $AK$63 &amp; $AH25),0))))/1024)</f>
        <v>189.7569052734375</v>
      </c>
      <c r="P25" s="595">
        <f ca="1">IF(ISERROR(MATCH(P$1,INDIRECT("Table!A"&amp;$AH25):INDIRECT("Table!" &amp; $AK$63 &amp; $AH25),0)),"",INDIRECT(CONCATENATE("Table!",ADDRESS($AD25,MATCH(P$1,INDIRECT("Table!A" &amp; $AH25):INDIRECT("Table!" &amp; $AK$63 &amp; $AH25),0))))/1024)</f>
        <v>41.553568359374999</v>
      </c>
      <c r="Q25" s="595">
        <f ca="1">IF(ISERROR(MATCH(Q$1,INDIRECT("Table!A"&amp;$AH25):INDIRECT("Table!" &amp; $AK$63 &amp; $AH25),0)),"",INDIRECT(CONCATENATE("Table!",ADDRESS($AD25,MATCH(Q$1,INDIRECT("Table!A" &amp; $AH25):INDIRECT("Table!" &amp; $AK$63 &amp; $AH25),0))))/1024)</f>
        <v>103.12660546875</v>
      </c>
      <c r="R25" s="595">
        <f ca="1">IF(ISERROR(MATCH(R$1,INDIRECT("Table!A"&amp;$AH25):INDIRECT("Table!" &amp; $AK$63 &amp; $AH25),0)),"",INDIRECT(CONCATENATE("Table!",ADDRESS($AD25,MATCH(R$1,INDIRECT("Table!A" &amp; $AH25):INDIRECT("Table!" &amp; $AK$63 &amp; $AH25),0))))/1024)</f>
        <v>186.26666894531249</v>
      </c>
      <c r="S25" s="595">
        <f ca="1">IF(ISERROR(MATCH(S$1,INDIRECT("Table!A"&amp;$AH25):INDIRECT("Table!" &amp; $AK$63 &amp; $AH25),0)),"",INDIRECT(CONCATENATE("Table!",ADDRESS($AD25,MATCH(S$1,INDIRECT("Table!A" &amp; $AH25):INDIRECT("Table!" &amp; $AK$63 &amp; $AH25),0))))/1024)</f>
        <v>53.374274414062498</v>
      </c>
      <c r="T25" s="595">
        <f ca="1">IF(ISERROR(MATCH(T$1,INDIRECT("Table!A"&amp;$AH25):INDIRECT("Table!" &amp; $AK$63 &amp; $AH25),0)),"",INDIRECT(CONCATENATE("Table!",ADDRESS($AD25,MATCH(T$1,INDIRECT("Table!A" &amp; $AH25):INDIRECT("Table!" &amp; $AK$63 &amp; $AH25),0))))/1024)</f>
        <v>33.420659179687497</v>
      </c>
      <c r="U25" s="595" t="str">
        <f ca="1">IF(ISERROR(MATCH(U$1,INDIRECT("Table!A"&amp;$AH25):INDIRECT("Table!" &amp; $AK$63 &amp; $AH25),0)),"",INDIRECT(CONCATENATE("Table!",ADDRESS($AD25,MATCH(U$1,INDIRECT("Table!A" &amp; $AH25):INDIRECT("Table!" &amp; $AK$63 &amp; $AH25),0))))/1024)</f>
        <v/>
      </c>
      <c r="V25" s="595"/>
      <c r="W25" s="595"/>
      <c r="X25" s="595"/>
      <c r="Y25" s="595"/>
      <c r="Z25" s="595"/>
      <c r="AA25" s="595"/>
      <c r="AB25" s="595"/>
      <c r="AC25" s="595"/>
      <c r="AD25" s="595">
        <f>MATCH($A25,Table!$A:$A,0)+$AF$2-1</f>
        <v>347</v>
      </c>
      <c r="AE25" s="698"/>
      <c r="AF25" s="698"/>
      <c r="AG25" s="698"/>
      <c r="AH25" s="595">
        <f>MATCH($A25,Table!$A:$A,0)+$AJ$2-1</f>
        <v>339</v>
      </c>
      <c r="AI25" s="698"/>
      <c r="AJ25" s="698"/>
      <c r="AK25" s="904" t="s">
        <v>284</v>
      </c>
      <c r="AL25" s="699">
        <f t="shared" ca="1" si="11"/>
        <v>2941.9728837890625</v>
      </c>
      <c r="AM25" s="699">
        <f t="shared" ca="1" si="10"/>
        <v>2.4695068359374091</v>
      </c>
    </row>
    <row r="26" spans="1:39" s="591" customFormat="1" x14ac:dyDescent="0.25">
      <c r="A26" s="592">
        <v>41626</v>
      </c>
      <c r="B26" s="595">
        <f ca="1">IF(ISERROR(MATCH(B$1,INDIRECT("Table!A"&amp;$AH26):INDIRECT("Table!" &amp; $AK$86 &amp; $AH26),0)),"",INDIRECT(CONCATENATE("Table!",ADDRESS($AD26,MATCH(B$1,INDIRECT("Table!A" &amp; $AH26):INDIRECT("Table!" &amp; $AK$86 &amp; $AH26),0))))/1024)</f>
        <v>182.216677734375</v>
      </c>
      <c r="C26" s="595">
        <f ca="1">IF(ISERROR(MATCH(C$1,INDIRECT("Table!A"&amp;$AH26):INDIRECT("Table!" &amp; $AK$86 &amp; $AH26),0)),"",INDIRECT(CONCATENATE("Table!",ADDRESS($AD26,MATCH(C$1,INDIRECT("Table!A" &amp; $AH26):INDIRECT("Table!" &amp; $AK$86 &amp; $AH26),0))))/1024)</f>
        <v>94.335161132812502</v>
      </c>
      <c r="D26" s="595">
        <f ca="1">IF(ISERROR(MATCH(D$1,INDIRECT("Table!A"&amp;$AH26):INDIRECT("Table!" &amp; $AK$86 &amp; $AH26),0)),"",INDIRECT(CONCATENATE("Table!",ADDRESS($AD26,MATCH(D$1,INDIRECT("Table!A" &amp; $AH26):INDIRECT("Table!" &amp; $AK$86 &amp; $AH26),0))))/1024)</f>
        <v>95.322963867187497</v>
      </c>
      <c r="E26" s="595">
        <f ca="1">IF(ISERROR(MATCH(E$1,INDIRECT("Table!A"&amp;$AH26):INDIRECT("Table!" &amp; $AK$86 &amp; $AH26),0)),"",INDIRECT(CONCATENATE("Table!",ADDRESS($AD26,MATCH(E$1,INDIRECT("Table!A" &amp; $AH26):INDIRECT("Table!" &amp; $AK$86 &amp; $AH26),0))))/1024)</f>
        <v>274.18111230468747</v>
      </c>
      <c r="F26" s="595">
        <f ca="1">IF(ISERROR(MATCH(F$1,INDIRECT("Table!A"&amp;$AH26):INDIRECT("Table!" &amp; $AK$86 &amp; $AH26),0)),"",INDIRECT(CONCATENATE("Table!",ADDRESS($AD26,MATCH(F$1,INDIRECT("Table!A" &amp; $AH26):INDIRECT("Table!" &amp; $AK$86 &amp; $AH26),0))))/1024)</f>
        <v>119.129009765625</v>
      </c>
      <c r="G26" s="595">
        <f ca="1">IF(ISERROR(MATCH(G$1,INDIRECT("Table!A"&amp;$AH26):INDIRECT("Table!" &amp; $AK$86 &amp; $AH26),0)),"",INDIRECT(CONCATENATE("Table!",ADDRESS($AD26,MATCH(G$1,INDIRECT("Table!A" &amp; $AH26):INDIRECT("Table!" &amp; $AK$86 &amp; $AH26),0))))/1024)</f>
        <v>449.84536523437498</v>
      </c>
      <c r="H26" s="595">
        <f ca="1">IF(ISERROR(MATCH(H$1,INDIRECT("Table!A"&amp;$AH26):INDIRECT("Table!" &amp; $AK$86 &amp; $AH26),0)),"",INDIRECT(CONCATENATE("Table!",ADDRESS($AD26,MATCH(H$1,INDIRECT("Table!A" &amp; $AH26):INDIRECT("Table!" &amp; $AK$86 &amp; $AH26),0))))/1024)</f>
        <v>161.76916113281248</v>
      </c>
      <c r="I26" s="595">
        <f ca="1">IF(ISERROR(MATCH(I$1,INDIRECT("Table!A"&amp;$AH26):INDIRECT("Table!" &amp; $AK$63 &amp; $AH26),0)),"",INDIRECT(CONCATENATE("Table!",ADDRESS($AD26,MATCH(I$1,INDIRECT("Table!A" &amp; $AH26):INDIRECT("Table!" &amp; $AK$63 &amp; $AH26),0))))/1024)</f>
        <v>25.5840908203125</v>
      </c>
      <c r="J26" s="595">
        <f ca="1">IF(ISERROR(MATCH(J$1,INDIRECT("Table!A"&amp;$AH26):INDIRECT("Table!" &amp; $AK$63 &amp; $AH26),0)),"",INDIRECT(CONCATENATE("Table!",ADDRESS($AD26,MATCH(J$1,INDIRECT("Table!A" &amp; $AH26):INDIRECT("Table!" &amp; $AK$63 &amp; $AH26),0))))/1024)</f>
        <v>99.340028320312499</v>
      </c>
      <c r="K26" s="595">
        <f ca="1">IF(ISERROR(MATCH(K$1,INDIRECT("Table!A"&amp;$AH26):INDIRECT("Table!" &amp; $AK$63 &amp; $AH26),0)),"",INDIRECT(CONCATENATE("Table!",ADDRESS($AD26,MATCH(K$1,INDIRECT("Table!A" &amp; $AH26):INDIRECT("Table!" &amp; $AK$63 &amp; $AH26),0))))/1024)</f>
        <v>72.537647460937492</v>
      </c>
      <c r="L26" s="595">
        <f ca="1">IF(ISERROR(MATCH(L$1,INDIRECT("Table!A"&amp;$AH26):INDIRECT("Table!" &amp; $AK$63 &amp; $AH26),0)),"",INDIRECT(CONCATENATE("Table!",ADDRESS($AD26,MATCH(L$1,INDIRECT("Table!A" &amp; $AH26):INDIRECT("Table!" &amp; $AK$63 &amp; $AH26),0))))/1024)</f>
        <v>274.87257421875</v>
      </c>
      <c r="M26" s="595">
        <f ca="1">IF(ISERROR(MATCH(M$1,INDIRECT("Table!A"&amp;$AH26):INDIRECT("Table!" &amp; $AK$63 &amp; $AH26),0)),"",INDIRECT(CONCATENATE("Table!",ADDRESS($AD26,MATCH(M$1,INDIRECT("Table!A" &amp; $AH26):INDIRECT("Table!" &amp; $AK$63 &amp; $AH26),0))))/1024)</f>
        <v>360.11995019531247</v>
      </c>
      <c r="N26" s="595">
        <f ca="1">IF(ISERROR(MATCH(N$1,INDIRECT("Table!A"&amp;$AH26):INDIRECT("Table!" &amp; $AK$63 &amp; $AH26),0)),"",INDIRECT(CONCATENATE("Table!",ADDRESS($AD26,MATCH(N$1,INDIRECT("Table!A" &amp; $AH26):INDIRECT("Table!" &amp; $AK$63 &amp; $AH26),0))))/1024)</f>
        <v>123.96924316406249</v>
      </c>
      <c r="O26" s="595">
        <f ca="1">IF(ISERROR(MATCH(O$1,INDIRECT("Table!A"&amp;$AH26):INDIRECT("Table!" &amp; $AK$63 &amp; $AH26),0)),"",INDIRECT(CONCATENATE("Table!",ADDRESS($AD26,MATCH(O$1,INDIRECT("Table!A" &amp; $AH26):INDIRECT("Table!" &amp; $AK$63 &amp; $AH26),0))))/1024)</f>
        <v>189.7569052734375</v>
      </c>
      <c r="P26" s="595">
        <f ca="1">IF(ISERROR(MATCH(P$1,INDIRECT("Table!A"&amp;$AH26):INDIRECT("Table!" &amp; $AK$63 &amp; $AH26),0)),"",INDIRECT(CONCATENATE("Table!",ADDRESS($AD26,MATCH(P$1,INDIRECT("Table!A" &amp; $AH26):INDIRECT("Table!" &amp; $AK$63 &amp; $AH26),0))))/1024)</f>
        <v>40.335278320312497</v>
      </c>
      <c r="Q26" s="595">
        <f ca="1">IF(ISERROR(MATCH(Q$1,INDIRECT("Table!A"&amp;$AH26):INDIRECT("Table!" &amp; $AK$63 &amp; $AH26),0)),"",INDIRECT(CONCATENATE("Table!",ADDRESS($AD26,MATCH(Q$1,INDIRECT("Table!A" &amp; $AH26):INDIRECT("Table!" &amp; $AK$63 &amp; $AH26),0))))/1024)</f>
        <v>103.12660546875</v>
      </c>
      <c r="R26" s="595">
        <f ca="1">IF(ISERROR(MATCH(R$1,INDIRECT("Table!A"&amp;$AH26):INDIRECT("Table!" &amp; $AK$63 &amp; $AH26),0)),"",INDIRECT(CONCATENATE("Table!",ADDRESS($AD26,MATCH(R$1,INDIRECT("Table!A" &amp; $AH26):INDIRECT("Table!" &amp; $AK$63 &amp; $AH26),0))))/1024)</f>
        <v>186.26666894531249</v>
      </c>
      <c r="S26" s="595">
        <f ca="1">IF(ISERROR(MATCH(S$1,INDIRECT("Table!A"&amp;$AH26):INDIRECT("Table!" &amp; $AK$63 &amp; $AH26),0)),"",INDIRECT(CONCATENATE("Table!",ADDRESS($AD26,MATCH(S$1,INDIRECT("Table!A" &amp; $AH26):INDIRECT("Table!" &amp; $AK$63 &amp; $AH26),0))))/1024)</f>
        <v>53.374274414062498</v>
      </c>
      <c r="T26" s="595">
        <f ca="1">IF(ISERROR(MATCH(T$1,INDIRECT("Table!A"&amp;$AH26):INDIRECT("Table!" &amp; $AK$63 &amp; $AH26),0)),"",INDIRECT(CONCATENATE("Table!",ADDRESS($AD26,MATCH(T$1,INDIRECT("Table!A" &amp; $AH26):INDIRECT("Table!" &amp; $AK$63 &amp; $AH26),0))))/1024)</f>
        <v>33.420659179687497</v>
      </c>
      <c r="U26" s="595" t="str">
        <f ca="1">IF(ISERROR(MATCH(U$1,INDIRECT("Table!A"&amp;$AH26):INDIRECT("Table!" &amp; $AK$63 &amp; $AH26),0)),"",INDIRECT(CONCATENATE("Table!",ADDRESS($AD26,MATCH(U$1,INDIRECT("Table!A" &amp; $AH26):INDIRECT("Table!" &amp; $AK$63 &amp; $AH26),0))))/1024)</f>
        <v/>
      </c>
      <c r="V26" s="595"/>
      <c r="W26" s="595"/>
      <c r="X26" s="595"/>
      <c r="Y26" s="595"/>
      <c r="Z26" s="595"/>
      <c r="AA26" s="595"/>
      <c r="AB26" s="595"/>
      <c r="AC26" s="595"/>
      <c r="AD26" s="595">
        <f>MATCH($A26,Table!$A:$A,0)+$AF$2-1</f>
        <v>361</v>
      </c>
      <c r="AE26" s="607"/>
      <c r="AF26" s="607"/>
      <c r="AG26" s="607"/>
      <c r="AH26" s="595">
        <f>MATCH($A26,Table!$A:$A,0)+$AJ$2-1</f>
        <v>353</v>
      </c>
      <c r="AI26" s="607"/>
      <c r="AJ26" s="607"/>
      <c r="AK26" s="904" t="s">
        <v>284</v>
      </c>
      <c r="AL26" s="699">
        <f t="shared" ca="1" si="11"/>
        <v>2939.5033769531251</v>
      </c>
      <c r="AM26" s="699">
        <f t="shared" ca="1" si="10"/>
        <v>-98.81320019531222</v>
      </c>
    </row>
    <row r="27" spans="1:39" s="591" customFormat="1" x14ac:dyDescent="0.25">
      <c r="A27" s="592">
        <v>41617</v>
      </c>
      <c r="B27" s="595">
        <f ca="1">IF(ISERROR(MATCH(B$1,INDIRECT("Table!A"&amp;$AH27):INDIRECT("Table!" &amp; $AK$86 &amp; $AH27),0)),"",INDIRECT(CONCATENATE("Table!",ADDRESS($AD27,MATCH(B$1,INDIRECT("Table!A" &amp; $AH27):INDIRECT("Table!" &amp; $AK$86 &amp; $AH27),0))))/1024)</f>
        <v>182.216677734375</v>
      </c>
      <c r="C27" s="595">
        <f ca="1">IF(ISERROR(MATCH(C$1,INDIRECT("Table!A"&amp;$AH27):INDIRECT("Table!" &amp; $AK$86 &amp; $AH27),0)),"",INDIRECT(CONCATENATE("Table!",ADDRESS($AD27,MATCH(C$1,INDIRECT("Table!A" &amp; $AH27):INDIRECT("Table!" &amp; $AK$86 &amp; $AH27),0))))/1024)</f>
        <v>94.335161132812502</v>
      </c>
      <c r="D27" s="595">
        <f ca="1">IF(ISERROR(MATCH(D$1,INDIRECT("Table!A"&amp;$AH27):INDIRECT("Table!" &amp; $AK$86 &amp; $AH27),0)),"",INDIRECT(CONCATENATE("Table!",ADDRESS($AD27,MATCH(D$1,INDIRECT("Table!A" &amp; $AH27):INDIRECT("Table!" &amp; $AK$86 &amp; $AH27),0))))/1024)</f>
        <v>95.322963867187497</v>
      </c>
      <c r="E27" s="595">
        <f ca="1">IF(ISERROR(MATCH(E$1,INDIRECT("Table!A"&amp;$AH27):INDIRECT("Table!" &amp; $AK$86 &amp; $AH27),0)),"",INDIRECT(CONCATENATE("Table!",ADDRESS($AD27,MATCH(E$1,INDIRECT("Table!A" &amp; $AH27):INDIRECT("Table!" &amp; $AK$86 &amp; $AH27),0))))/1024)</f>
        <v>274.18111230468747</v>
      </c>
      <c r="F27" s="595">
        <f ca="1">IF(ISERROR(MATCH(F$1,INDIRECT("Table!A"&amp;$AH27):INDIRECT("Table!" &amp; $AK$86 &amp; $AH27),0)),"",INDIRECT(CONCATENATE("Table!",ADDRESS($AD27,MATCH(F$1,INDIRECT("Table!A" &amp; $AH27):INDIRECT("Table!" &amp; $AK$86 &amp; $AH27),0))))/1024)</f>
        <v>251.42872265624999</v>
      </c>
      <c r="G27" s="595">
        <f ca="1">IF(ISERROR(MATCH(G$1,INDIRECT("Table!A"&amp;$AH27):INDIRECT("Table!" &amp; $AK$86 &amp; $AH27),0)),"",INDIRECT(CONCATENATE("Table!",ADDRESS($AD27,MATCH(G$1,INDIRECT("Table!A" &amp; $AH27):INDIRECT("Table!" &amp; $AK$86 &amp; $AH27),0))))/1024)</f>
        <v>449.84536523437498</v>
      </c>
      <c r="H27" s="595">
        <f ca="1">IF(ISERROR(MATCH(H$1,INDIRECT("Table!A"&amp;$AH27):INDIRECT("Table!" &amp; $AK$86 &amp; $AH27),0)),"",INDIRECT(CONCATENATE("Table!",ADDRESS($AD27,MATCH(H$1,INDIRECT("Table!A" &amp; $AH27):INDIRECT("Table!" &amp; $AK$86 &amp; $AH27),0))))/1024)</f>
        <v>161.6374541015625</v>
      </c>
      <c r="I27" s="595">
        <f ca="1">IF(ISERROR(MATCH(I$1,INDIRECT("Table!A"&amp;$AH27):INDIRECT("Table!" &amp; $AK$63 &amp; $AH27),0)),"",INDIRECT(CONCATENATE("Table!",ADDRESS($AD27,MATCH(I$1,INDIRECT("Table!A" &amp; $AH27):INDIRECT("Table!" &amp; $AK$63 &amp; $AH27),0))))/1024)</f>
        <v>21.369465820312499</v>
      </c>
      <c r="J27" s="595">
        <f ca="1">IF(ISERROR(MATCH(J$1,INDIRECT("Table!A"&amp;$AH27):INDIRECT("Table!" &amp; $AK$63 &amp; $AH27),0)),"",INDIRECT(CONCATENATE("Table!",ADDRESS($AD27,MATCH(J$1,INDIRECT("Table!A" &amp; $AH27):INDIRECT("Table!" &amp; $AK$63 &amp; $AH27),0))))/1024)</f>
        <v>98.846126953124994</v>
      </c>
      <c r="K27" s="595">
        <f ca="1">IF(ISERROR(MATCH(K$1,INDIRECT("Table!A"&amp;$AH27):INDIRECT("Table!" &amp; $AK$63 &amp; $AH27),0)),"",INDIRECT(CONCATENATE("Table!",ADDRESS($AD27,MATCH(K$1,INDIRECT("Table!A" &amp; $AH27):INDIRECT("Table!" &amp; $AK$63 &amp; $AH27),0))))/1024)</f>
        <v>69.738873046875</v>
      </c>
      <c r="L27" s="595">
        <f ca="1">IF(ISERROR(MATCH(L$1,INDIRECT("Table!A"&amp;$AH27):INDIRECT("Table!" &amp; $AK$63 &amp; $AH27),0)),"",INDIRECT(CONCATENATE("Table!",ADDRESS($AD27,MATCH(L$1,INDIRECT("Table!A" &amp; $AH27):INDIRECT("Table!" &amp; $AK$63 &amp; $AH27),0))))/1024)</f>
        <v>274.54330664062496</v>
      </c>
      <c r="M27" s="595">
        <f ca="1">IF(ISERROR(MATCH(M$1,INDIRECT("Table!A"&amp;$AH27):INDIRECT("Table!" &amp; $AK$63 &amp; $AH27),0)),"",INDIRECT(CONCATENATE("Table!",ADDRESS($AD27,MATCH(M$1,INDIRECT("Table!A" &amp; $AH27):INDIRECT("Table!" &amp; $AK$63 &amp; $AH27),0))))/1024)</f>
        <v>360.11995019531247</v>
      </c>
      <c r="N27" s="595">
        <f ca="1">IF(ISERROR(MATCH(N$1,INDIRECT("Table!A"&amp;$AH27):INDIRECT("Table!" &amp; $AK$63 &amp; $AH27),0)),"",INDIRECT(CONCATENATE("Table!",ADDRESS($AD27,MATCH(N$1,INDIRECT("Table!A" &amp; $AH27):INDIRECT("Table!" &amp; $AK$63 &amp; $AH27),0))))/1024)</f>
        <v>130.5545947265625</v>
      </c>
      <c r="O27" s="595">
        <f ca="1">IF(ISERROR(MATCH(O$1,INDIRECT("Table!A"&amp;$AH27):INDIRECT("Table!" &amp; $AK$63 &amp; $AH27),0)),"",INDIRECT(CONCATENATE("Table!",ADDRESS($AD27,MATCH(O$1,INDIRECT("Table!A" &amp; $AH27):INDIRECT("Table!" &amp; $AK$63 &amp; $AH27),0))))/1024)</f>
        <v>275.69574316406249</v>
      </c>
      <c r="P27" s="595">
        <f ca="1">IF(ISERROR(MATCH(P$1,INDIRECT("Table!A"&amp;$AH27):INDIRECT("Table!" &amp; $AK$63 &amp; $AH27),0)),"",INDIRECT(CONCATENATE("Table!",ADDRESS($AD27,MATCH(P$1,INDIRECT("Table!A" &amp; $AH27):INDIRECT("Table!" &amp; $AK$63 &amp; $AH27),0))))/1024)</f>
        <v>36.120653320312499</v>
      </c>
      <c r="Q27" s="595">
        <f ca="1">IF(ISERROR(MATCH(Q$1,INDIRECT("Table!A"&amp;$AH27):INDIRECT("Table!" &amp; $AK$63 &amp; $AH27),0)),"",INDIRECT(CONCATENATE("Table!",ADDRESS($AD27,MATCH(Q$1,INDIRECT("Table!A" &amp; $AH27):INDIRECT("Table!" &amp; $AK$63 &amp; $AH27),0))))/1024)</f>
        <v>102.6327041015625</v>
      </c>
      <c r="R27" s="595">
        <f ca="1">IF(ISERROR(MATCH(R$1,INDIRECT("Table!A"&amp;$AH27):INDIRECT("Table!" &amp; $AK$63 &amp; $AH27),0)),"",INDIRECT(CONCATENATE("Table!",ADDRESS($AD27,MATCH(R$1,INDIRECT("Table!A" &amp; $AH27):INDIRECT("Table!" &amp; $AK$63 &amp; $AH27),0))))/1024)</f>
        <v>72.932768554687499</v>
      </c>
      <c r="S27" s="595">
        <f ca="1">IF(ISERROR(MATCH(S$1,INDIRECT("Table!A"&amp;$AH27):INDIRECT("Table!" &amp; $AK$63 &amp; $AH27),0)),"",INDIRECT(CONCATENATE("Table!",ADDRESS($AD27,MATCH(S$1,INDIRECT("Table!A" &amp; $AH27):INDIRECT("Table!" &amp; $AK$63 &amp; $AH27),0))))/1024)</f>
        <v>53.374274414062498</v>
      </c>
      <c r="T27" s="595">
        <f ca="1">IF(ISERROR(MATCH(T$1,INDIRECT("Table!A"&amp;$AH27):INDIRECT("Table!" &amp; $AK$63 &amp; $AH27),0)),"",INDIRECT(CONCATENATE("Table!",ADDRESS($AD27,MATCH(T$1,INDIRECT("Table!A" &amp; $AH27):INDIRECT("Table!" &amp; $AK$63 &amp; $AH27),0))))/1024)</f>
        <v>33.420659179687497</v>
      </c>
      <c r="U27" s="595" t="str">
        <f ca="1">IF(ISERROR(MATCH(U$1,INDIRECT("Table!A"&amp;$AH27):INDIRECT("Table!" &amp; $AK$63 &amp; $AH27),0)),"",INDIRECT(CONCATENATE("Table!",ADDRESS($AD27,MATCH(U$1,INDIRECT("Table!A" &amp; $AH27):INDIRECT("Table!" &amp; $AK$63 &amp; $AH27),0))))/1024)</f>
        <v/>
      </c>
      <c r="V27" s="595"/>
      <c r="W27" s="595"/>
      <c r="X27" s="595"/>
      <c r="Y27" s="595"/>
      <c r="Z27" s="595"/>
      <c r="AA27" s="595"/>
      <c r="AB27" s="595"/>
      <c r="AC27" s="595"/>
      <c r="AD27" s="595">
        <f>MATCH($A27,Table!$A:$A,0)+$AF$2-1</f>
        <v>373</v>
      </c>
      <c r="AE27" s="593"/>
      <c r="AF27" s="593"/>
      <c r="AG27" s="593"/>
      <c r="AH27" s="595">
        <f>MATCH($A27,Table!$A:$A,0)+$AJ$2-1</f>
        <v>365</v>
      </c>
      <c r="AI27" s="593"/>
      <c r="AJ27" s="593"/>
      <c r="AK27" s="904" t="s">
        <v>284</v>
      </c>
      <c r="AL27" s="699">
        <f t="shared" ca="1" si="11"/>
        <v>3038.3165771484373</v>
      </c>
      <c r="AM27" s="699">
        <f t="shared" ca="1" si="10"/>
        <v>14.12557910156238</v>
      </c>
    </row>
    <row r="28" spans="1:39" s="591" customFormat="1" x14ac:dyDescent="0.25">
      <c r="A28" s="592">
        <v>41610</v>
      </c>
      <c r="B28" s="595">
        <f ca="1">IF(ISERROR(MATCH(B$1,INDIRECT("Table!A"&amp;$AH28):INDIRECT("Table!" &amp; $AK$86 &amp; $AH28),0)),"",INDIRECT(CONCATENATE("Table!",ADDRESS($AD28,MATCH(B$1,INDIRECT("Table!A" &amp; $AH28):INDIRECT("Table!" &amp; $AK$86 &amp; $AH28),0))))/1024)</f>
        <v>184.65325781249999</v>
      </c>
      <c r="C28" s="595">
        <f ca="1">IF(ISERROR(MATCH(C$1,INDIRECT("Table!A"&amp;$AH28):INDIRECT("Table!" &amp; $AK$86 &amp; $AH28),0)),"",INDIRECT(CONCATENATE("Table!",ADDRESS($AD28,MATCH(C$1,INDIRECT("Table!A" &amp; $AH28):INDIRECT("Table!" &amp; $AK$86 &amp; $AH28),0))))/1024)</f>
        <v>94.335161132812502</v>
      </c>
      <c r="D28" s="595">
        <f ca="1">IF(ISERROR(MATCH(D$1,INDIRECT("Table!A"&amp;$AH28):INDIRECT("Table!" &amp; $AK$86 &amp; $AH28),0)),"",INDIRECT(CONCATENATE("Table!",ADDRESS($AD28,MATCH(D$1,INDIRECT("Table!A" &amp; $AH28):INDIRECT("Table!" &amp; $AK$86 &amp; $AH28),0))))/1024)</f>
        <v>95.322963867187497</v>
      </c>
      <c r="E28" s="595">
        <f ca="1">IF(ISERROR(MATCH(E$1,INDIRECT("Table!A"&amp;$AH28):INDIRECT("Table!" &amp; $AK$86 &amp; $AH28),0)),"",INDIRECT(CONCATENATE("Table!",ADDRESS($AD28,MATCH(E$1,INDIRECT("Table!A" &amp; $AH28):INDIRECT("Table!" &amp; $AK$86 &amp; $AH28),0))))/1024)</f>
        <v>274.18111230468747</v>
      </c>
      <c r="F28" s="595">
        <f ca="1">IF(ISERROR(MATCH(F$1,INDIRECT("Table!A"&amp;$AH28):INDIRECT("Table!" &amp; $AK$86 &amp; $AH28),0)),"",INDIRECT(CONCATENATE("Table!",ADDRESS($AD28,MATCH(F$1,INDIRECT("Table!A" &amp; $AH28):INDIRECT("Table!" &amp; $AK$86 &amp; $AH28),0))))/1024)</f>
        <v>251.42872265624999</v>
      </c>
      <c r="G28" s="595">
        <f ca="1">IF(ISERROR(MATCH(G$1,INDIRECT("Table!A"&amp;$AH28):INDIRECT("Table!" &amp; $AK$86 &amp; $AH28),0)),"",INDIRECT(CONCATENATE("Table!",ADDRESS($AD28,MATCH(G$1,INDIRECT("Table!A" &amp; $AH28):INDIRECT("Table!" &amp; $AK$86 &amp; $AH28),0))))/1024)</f>
        <v>449.84536523437498</v>
      </c>
      <c r="H28" s="595">
        <f ca="1">IF(ISERROR(MATCH(H$1,INDIRECT("Table!A"&amp;$AH28):INDIRECT("Table!" &amp; $AK$86 &amp; $AH28),0)),"",INDIRECT(CONCATENATE("Table!",ADDRESS($AD28,MATCH(H$1,INDIRECT("Table!A" &amp; $AH28):INDIRECT("Table!" &amp; $AK$86 &amp; $AH28),0))))/1024)</f>
        <v>161.6374541015625</v>
      </c>
      <c r="I28" s="595">
        <f ca="1">IF(ISERROR(MATCH(I$1,INDIRECT("Table!A"&amp;$AH28):INDIRECT("Table!" &amp; $AK$63 &amp; $AH28),0)),"",INDIRECT(CONCATENATE("Table!",ADDRESS($AD28,MATCH(I$1,INDIRECT("Table!A" &amp; $AH28):INDIRECT("Table!" &amp; $AK$63 &amp; $AH28),0))))/1024)</f>
        <v>21.369465820312499</v>
      </c>
      <c r="J28" s="595">
        <f ca="1">IF(ISERROR(MATCH(J$1,INDIRECT("Table!A"&amp;$AH28):INDIRECT("Table!" &amp; $AK$63 &amp; $AH28),0)),"",INDIRECT(CONCATENATE("Table!",ADDRESS($AD28,MATCH(J$1,INDIRECT("Table!A" &amp; $AH28):INDIRECT("Table!" &amp; $AK$63 &amp; $AH28),0))))/1024)</f>
        <v>98.846126953124994</v>
      </c>
      <c r="K28" s="595">
        <f ca="1">IF(ISERROR(MATCH(K$1,INDIRECT("Table!A"&amp;$AH28):INDIRECT("Table!" &amp; $AK$63 &amp; $AH28),0)),"",INDIRECT(CONCATENATE("Table!",ADDRESS($AD28,MATCH(K$1,INDIRECT("Table!A" &amp; $AH28):INDIRECT("Table!" &amp; $AK$63 &amp; $AH28),0))))/1024)</f>
        <v>67.697414062500002</v>
      </c>
      <c r="L28" s="595">
        <f ca="1">IF(ISERROR(MATCH(L$1,INDIRECT("Table!A"&amp;$AH28):INDIRECT("Table!" &amp; $AK$63 &amp; $AH28),0)),"",INDIRECT(CONCATENATE("Table!",ADDRESS($AD28,MATCH(L$1,INDIRECT("Table!A" &amp; $AH28):INDIRECT("Table!" &amp; $AK$63 &amp; $AH28),0))))/1024)</f>
        <v>274.87257421875</v>
      </c>
      <c r="M28" s="595">
        <f ca="1">IF(ISERROR(MATCH(M$1,INDIRECT("Table!A"&amp;$AH28):INDIRECT("Table!" &amp; $AK$63 &amp; $AH28),0)),"",INDIRECT(CONCATENATE("Table!",ADDRESS($AD28,MATCH(M$1,INDIRECT("Table!A" &amp; $AH28):INDIRECT("Table!" &amp; $AK$63 &amp; $AH28),0))))/1024)</f>
        <v>360.11995019531247</v>
      </c>
      <c r="N28" s="595">
        <f ca="1">IF(ISERROR(MATCH(N$1,INDIRECT("Table!A"&amp;$AH28):INDIRECT("Table!" &amp; $AK$63 &amp; $AH28),0)),"",INDIRECT(CONCATENATE("Table!",ADDRESS($AD28,MATCH(N$1,INDIRECT("Table!A" &amp; $AH28):INDIRECT("Table!" &amp; $AK$63 &amp; $AH28),0))))/1024)</f>
        <v>130.5545947265625</v>
      </c>
      <c r="O28" s="595">
        <f ca="1">IF(ISERROR(MATCH(O$1,INDIRECT("Table!A"&amp;$AH28):INDIRECT("Table!" &amp; $AK$63 &amp; $AH28),0)),"",INDIRECT(CONCATENATE("Table!",ADDRESS($AD28,MATCH(O$1,INDIRECT("Table!A" &amp; $AH28):INDIRECT("Table!" &amp; $AK$63 &amp; $AH28),0))))/1024)</f>
        <v>275.69574316406249</v>
      </c>
      <c r="P28" s="595">
        <f ca="1">IF(ISERROR(MATCH(P$1,INDIRECT("Table!A"&amp;$AH28):INDIRECT("Table!" &amp; $AK$63 &amp; $AH28),0)),"",INDIRECT(CONCATENATE("Table!",ADDRESS($AD28,MATCH(P$1,INDIRECT("Table!A" &amp; $AH28):INDIRECT("Table!" &amp; $AK$63 &amp; $AH28),0))))/1024)</f>
        <v>36.120653320312499</v>
      </c>
      <c r="Q28" s="595">
        <f ca="1">IF(ISERROR(MATCH(Q$1,INDIRECT("Table!A"&amp;$AH28):INDIRECT("Table!" &amp; $AK$63 &amp; $AH28),0)),"",INDIRECT(CONCATENATE("Table!",ADDRESS($AD28,MATCH(Q$1,INDIRECT("Table!A" &amp; $AH28):INDIRECT("Table!" &amp; $AK$63 &amp; $AH28),0))))/1024)</f>
        <v>99.768076171874995</v>
      </c>
      <c r="R28" s="595">
        <f ca="1">IF(ISERROR(MATCH(R$1,INDIRECT("Table!A"&amp;$AH28):INDIRECT("Table!" &amp; $AK$63 &amp; $AH28),0)),"",INDIRECT(CONCATENATE("Table!",ADDRESS($AD28,MATCH(R$1,INDIRECT("Table!A" &amp; $AH28):INDIRECT("Table!" &amp; $AK$63 &amp; $AH28),0))))/1024)</f>
        <v>65.326687499999991</v>
      </c>
      <c r="S28" s="595">
        <f ca="1">IF(ISERROR(MATCH(S$1,INDIRECT("Table!A"&amp;$AH28):INDIRECT("Table!" &amp; $AK$63 &amp; $AH28),0)),"",INDIRECT(CONCATENATE("Table!",ADDRESS($AD28,MATCH(S$1,INDIRECT("Table!A" &amp; $AH28):INDIRECT("Table!" &amp; $AK$63 &amp; $AH28),0))))/1024)</f>
        <v>50.345012695312498</v>
      </c>
      <c r="T28" s="595">
        <f ca="1">IF(ISERROR(MATCH(T$1,INDIRECT("Table!A"&amp;$AH28):INDIRECT("Table!" &amp; $AK$63 &amp; $AH28),0)),"",INDIRECT(CONCATENATE("Table!",ADDRESS($AD28,MATCH(T$1,INDIRECT("Table!A" &amp; $AH28):INDIRECT("Table!" &amp; $AK$63 &amp; $AH28),0))))/1024)</f>
        <v>32.070662109375</v>
      </c>
      <c r="U28" s="595" t="str">
        <f ca="1">IF(ISERROR(MATCH(U$1,INDIRECT("Table!A"&amp;$AH28):INDIRECT("Table!" &amp; $AK$63 &amp; $AH28),0)),"",INDIRECT(CONCATENATE("Table!",ADDRESS($AD28,MATCH(U$1,INDIRECT("Table!A" &amp; $AH28):INDIRECT("Table!" &amp; $AK$63 &amp; $AH28),0))))/1024)</f>
        <v/>
      </c>
      <c r="V28" s="595"/>
      <c r="W28" s="595"/>
      <c r="X28" s="595"/>
      <c r="Y28" s="595"/>
      <c r="Z28" s="595"/>
      <c r="AA28" s="595"/>
      <c r="AB28" s="595"/>
      <c r="AC28" s="595"/>
      <c r="AD28" s="595">
        <f>MATCH($A28,Table!$A:$A,0)+$AF$2-1</f>
        <v>385</v>
      </c>
      <c r="AE28" s="593"/>
      <c r="AF28" s="593"/>
      <c r="AG28" s="593"/>
      <c r="AH28" s="595">
        <f>MATCH($A28,Table!$A:$A,0)+$AJ$2-1</f>
        <v>377</v>
      </c>
      <c r="AI28" s="593"/>
      <c r="AJ28" s="593"/>
      <c r="AK28" s="904" t="s">
        <v>284</v>
      </c>
      <c r="AL28" s="699">
        <f t="shared" ca="1" si="11"/>
        <v>3024.1909980468749</v>
      </c>
      <c r="AM28" s="699">
        <f t="shared" ca="1" si="10"/>
        <v>59.46572460937432</v>
      </c>
    </row>
    <row r="29" spans="1:39" s="591" customFormat="1" x14ac:dyDescent="0.25">
      <c r="A29" s="592">
        <v>41603</v>
      </c>
      <c r="B29" s="595">
        <f ca="1">IF(ISERROR(MATCH(B$1,INDIRECT("Table!A"&amp;$AH29):INDIRECT("Table!" &amp; $AK$86 &amp; $AH29),0)),"",INDIRECT(CONCATENATE("Table!",ADDRESS($AD29,MATCH(B$1,INDIRECT("Table!A" &amp; $AH29):INDIRECT("Table!" &amp; $AK$86 &amp; $AH29),0))))/1024)</f>
        <v>184.35691699218751</v>
      </c>
      <c r="C29" s="595">
        <f ca="1">IF(ISERROR(MATCH(C$1,INDIRECT("Table!A"&amp;$AH29):INDIRECT("Table!" &amp; $AK$86 &amp; $AH29),0)),"",INDIRECT(CONCATENATE("Table!",ADDRESS($AD29,MATCH(C$1,INDIRECT("Table!A" &amp; $AH29):INDIRECT("Table!" &amp; $AK$86 &amp; $AH29),0))))/1024)</f>
        <v>94.335161132812502</v>
      </c>
      <c r="D29" s="595">
        <f ca="1">IF(ISERROR(MATCH(D$1,INDIRECT("Table!A"&amp;$AH29):INDIRECT("Table!" &amp; $AK$86 &amp; $AH29),0)),"",INDIRECT(CONCATENATE("Table!",ADDRESS($AD29,MATCH(D$1,INDIRECT("Table!A" &amp; $AH29):INDIRECT("Table!" &amp; $AK$86 &amp; $AH29),0))))/1024)</f>
        <v>95.322963867187497</v>
      </c>
      <c r="E29" s="595">
        <f ca="1">IF(ISERROR(MATCH(E$1,INDIRECT("Table!A"&amp;$AH29):INDIRECT("Table!" &amp; $AK$86 &amp; $AH29),0)),"",INDIRECT(CONCATENATE("Table!",ADDRESS($AD29,MATCH(E$1,INDIRECT("Table!A" &amp; $AH29):INDIRECT("Table!" &amp; $AK$86 &amp; $AH29),0))))/1024)</f>
        <v>274.18111230468747</v>
      </c>
      <c r="F29" s="595">
        <f ca="1">IF(ISERROR(MATCH(F$1,INDIRECT("Table!A"&amp;$AH29):INDIRECT("Table!" &amp; $AK$86 &amp; $AH29),0)),"",INDIRECT(CONCATENATE("Table!",ADDRESS($AD29,MATCH(F$1,INDIRECT("Table!A" &amp; $AH29):INDIRECT("Table!" &amp; $AK$86 &amp; $AH29),0))))/1024)</f>
        <v>251.42872265624999</v>
      </c>
      <c r="G29" s="595">
        <f ca="1">IF(ISERROR(MATCH(G$1,INDIRECT("Table!A"&amp;$AH29):INDIRECT("Table!" &amp; $AK$86 &amp; $AH29),0)),"",INDIRECT(CONCATENATE("Table!",ADDRESS($AD29,MATCH(G$1,INDIRECT("Table!A" &amp; $AH29):INDIRECT("Table!" &amp; $AK$86 &amp; $AH29),0))))/1024)</f>
        <v>449.84536523437498</v>
      </c>
      <c r="H29" s="595">
        <f ca="1">IF(ISERROR(MATCH(H$1,INDIRECT("Table!A"&amp;$AH29):INDIRECT("Table!" &amp; $AK$86 &amp; $AH29),0)),"",INDIRECT(CONCATENATE("Table!",ADDRESS($AD29,MATCH(H$1,INDIRECT("Table!A" &amp; $AH29):INDIRECT("Table!" &amp; $AK$86 &amp; $AH29),0))))/1024)</f>
        <v>161.6374541015625</v>
      </c>
      <c r="I29" s="595">
        <f ca="1">IF(ISERROR(MATCH(I$1,INDIRECT("Table!A"&amp;$AH29):INDIRECT("Table!" &amp; $AK$63 &amp; $AH29),0)),"",INDIRECT(CONCATENATE("Table!",ADDRESS($AD29,MATCH(I$1,INDIRECT("Table!A" &amp; $AH29):INDIRECT("Table!" &amp; $AK$63 &amp; $AH29),0))))/1024)</f>
        <v>19.459713867187499</v>
      </c>
      <c r="J29" s="595">
        <f ca="1">IF(ISERROR(MATCH(J$1,INDIRECT("Table!A"&amp;$AH29):INDIRECT("Table!" &amp; $AK$63 &amp; $AH29),0)),"",INDIRECT(CONCATENATE("Table!",ADDRESS($AD29,MATCH(J$1,INDIRECT("Table!A" &amp; $AH29):INDIRECT("Table!" &amp; $AK$63 &amp; $AH29),0))))/1024)</f>
        <v>98.58271289062499</v>
      </c>
      <c r="K29" s="595">
        <f ca="1">IF(ISERROR(MATCH(K$1,INDIRECT("Table!A"&amp;$AH29):INDIRECT("Table!" &amp; $AK$63 &amp; $AH29),0)),"",INDIRECT(CONCATENATE("Table!",ADDRESS($AD29,MATCH(K$1,INDIRECT("Table!A" &amp; $AH29):INDIRECT("Table!" &amp; $AK$63 &amp; $AH29),0))))/1024)</f>
        <v>57.753533203124995</v>
      </c>
      <c r="L29" s="595">
        <f ca="1">IF(ISERROR(MATCH(L$1,INDIRECT("Table!A"&amp;$AH29):INDIRECT("Table!" &amp; $AK$63 &amp; $AH29),0)),"",INDIRECT(CONCATENATE("Table!",ADDRESS($AD29,MATCH(L$1,INDIRECT("Table!A" &amp; $AH29):INDIRECT("Table!" &amp; $AK$63 &amp; $AH29),0))))/1024)</f>
        <v>274.87257421875</v>
      </c>
      <c r="M29" s="595">
        <f ca="1">IF(ISERROR(MATCH(M$1,INDIRECT("Table!A"&amp;$AH29):INDIRECT("Table!" &amp; $AK$63 &amp; $AH29),0)),"",INDIRECT(CONCATENATE("Table!",ADDRESS($AD29,MATCH(M$1,INDIRECT("Table!A" &amp; $AH29):INDIRECT("Table!" &amp; $AK$63 &amp; $AH29),0))))/1024)</f>
        <v>360.11995019531247</v>
      </c>
      <c r="N29" s="595">
        <f ca="1">IF(ISERROR(MATCH(N$1,INDIRECT("Table!A"&amp;$AH29):INDIRECT("Table!" &amp; $AK$63 &amp; $AH29),0)),"",INDIRECT(CONCATENATE("Table!",ADDRESS($AD29,MATCH(N$1,INDIRECT("Table!A" &amp; $AH29):INDIRECT("Table!" &amp; $AK$63 &amp; $AH29),0))))/1024)</f>
        <v>130.5545947265625</v>
      </c>
      <c r="O29" s="595">
        <f ca="1">IF(ISERROR(MATCH(O$1,INDIRECT("Table!A"&amp;$AH29):INDIRECT("Table!" &amp; $AK$63 &amp; $AH29),0)),"",INDIRECT(CONCATENATE("Table!",ADDRESS($AD29,MATCH(O$1,INDIRECT("Table!A" &amp; $AH29):INDIRECT("Table!" &amp; $AK$63 &amp; $AH29),0))))/1024)</f>
        <v>275.69574316406249</v>
      </c>
      <c r="P29" s="595">
        <f ca="1">IF(ISERROR(MATCH(P$1,INDIRECT("Table!A"&amp;$AH29):INDIRECT("Table!" &amp; $AK$63 &amp; $AH29),0)),"",INDIRECT(CONCATENATE("Table!",ADDRESS($AD29,MATCH(P$1,INDIRECT("Table!A" &amp; $AH29):INDIRECT("Table!" &amp; $AK$63 &amp; $AH29),0))))/1024)</f>
        <v>34.210901367187496</v>
      </c>
      <c r="Q29" s="595">
        <f ca="1">IF(ISERROR(MATCH(Q$1,INDIRECT("Table!A"&amp;$AH29):INDIRECT("Table!" &amp; $AK$63 &amp; $AH29),0)),"",INDIRECT(CONCATENATE("Table!",ADDRESS($AD29,MATCH(Q$1,INDIRECT("Table!A" &amp; $AH29):INDIRECT("Table!" &amp; $AK$63 &amp; $AH29),0))))/1024)</f>
        <v>99.504662109374991</v>
      </c>
      <c r="R29" s="595">
        <f ca="1">IF(ISERROR(MATCH(R$1,INDIRECT("Table!A"&amp;$AH29):INDIRECT("Table!" &amp; $AK$63 &amp; $AH29),0)),"",INDIRECT(CONCATENATE("Table!",ADDRESS($AD29,MATCH(R$1,INDIRECT("Table!A" &amp; $AH29):INDIRECT("Table!" &amp; $AK$63 &amp; $AH29),0))))/1024)</f>
        <v>20.447516601562498</v>
      </c>
      <c r="S29" s="595">
        <f ca="1">IF(ISERROR(MATCH(S$1,INDIRECT("Table!A"&amp;$AH29):INDIRECT("Table!" &amp; $AK$63 &amp; $AH29),0)),"",INDIRECT(CONCATENATE("Table!",ADDRESS($AD29,MATCH(S$1,INDIRECT("Table!A" &amp; $AH29):INDIRECT("Table!" &amp; $AK$63 &amp; $AH29),0))))/1024)</f>
        <v>50.345012695312498</v>
      </c>
      <c r="T29" s="595">
        <f ca="1">IF(ISERROR(MATCH(T$1,INDIRECT("Table!A"&amp;$AH29):INDIRECT("Table!" &amp; $AK$63 &amp; $AH29),0)),"",INDIRECT(CONCATENATE("Table!",ADDRESS($AD29,MATCH(T$1,INDIRECT("Table!A" &amp; $AH29):INDIRECT("Table!" &amp; $AK$63 &amp; $AH29),0))))/1024)</f>
        <v>32.070662109375</v>
      </c>
      <c r="U29" s="595" t="str">
        <f ca="1">IF(ISERROR(MATCH(U$1,INDIRECT("Table!A"&amp;$AH29):INDIRECT("Table!" &amp; $AK$63 &amp; $AH29),0)),"",INDIRECT(CONCATENATE("Table!",ADDRESS($AD29,MATCH(U$1,INDIRECT("Table!A" &amp; $AH29):INDIRECT("Table!" &amp; $AK$63 &amp; $AH29),0))))/1024)</f>
        <v/>
      </c>
      <c r="V29" s="595"/>
      <c r="W29" s="595"/>
      <c r="X29" s="595"/>
      <c r="Y29" s="595"/>
      <c r="Z29" s="595"/>
      <c r="AA29" s="595"/>
      <c r="AB29" s="595"/>
      <c r="AC29" s="595"/>
      <c r="AD29" s="595">
        <f>MATCH($A29,Table!$A:$A,0)+$AF$2-1</f>
        <v>397</v>
      </c>
      <c r="AE29" s="593"/>
      <c r="AF29" s="593"/>
      <c r="AG29" s="593"/>
      <c r="AH29" s="595">
        <f>MATCH($A29,Table!$A:$A,0)+$AJ$2-1</f>
        <v>389</v>
      </c>
      <c r="AI29" s="593"/>
      <c r="AJ29" s="593"/>
      <c r="AK29" s="904" t="s">
        <v>284</v>
      </c>
      <c r="AL29" s="699">
        <f t="shared" ca="1" si="11"/>
        <v>2964.7252734375006</v>
      </c>
      <c r="AM29" s="699">
        <f t="shared" ca="1" si="10"/>
        <v>-81.72421289062504</v>
      </c>
    </row>
    <row r="30" spans="1:39" s="591" customFormat="1" x14ac:dyDescent="0.25">
      <c r="A30" s="592">
        <v>41596</v>
      </c>
      <c r="B30" s="595">
        <f ca="1">IF(ISERROR(MATCH(B$1,INDIRECT("Table!A"&amp;$AH30):INDIRECT("Table!" &amp; $AK$86 &amp; $AH30),0)),"",INDIRECT(CONCATENATE("Table!",ADDRESS($AD30,MATCH(B$1,INDIRECT("Table!A" &amp; $AH30):INDIRECT("Table!" &amp; $AK$86 &amp; $AH30),0))))/1024)</f>
        <v>184.35691699218751</v>
      </c>
      <c r="C30" s="595">
        <f ca="1">IF(ISERROR(MATCH(C$1,INDIRECT("Table!A"&amp;$AH30):INDIRECT("Table!" &amp; $AK$86 &amp; $AH30),0)),"",INDIRECT(CONCATENATE("Table!",ADDRESS($AD30,MATCH(C$1,INDIRECT("Table!A" &amp; $AH30):INDIRECT("Table!" &amp; $AK$86 &amp; $AH30),0))))/1024)</f>
        <v>94.335161132812502</v>
      </c>
      <c r="D30" s="595">
        <f ca="1">IF(ISERROR(MATCH(D$1,INDIRECT("Table!A"&amp;$AH30):INDIRECT("Table!" &amp; $AK$86 &amp; $AH30),0)),"",INDIRECT(CONCATENATE("Table!",ADDRESS($AD30,MATCH(D$1,INDIRECT("Table!A" &amp; $AH30):INDIRECT("Table!" &amp; $AK$86 &amp; $AH30),0))))/1024)</f>
        <v>95.322963867187497</v>
      </c>
      <c r="E30" s="595">
        <f ca="1">IF(ISERROR(MATCH(E$1,INDIRECT("Table!A"&amp;$AH30):INDIRECT("Table!" &amp; $AK$86 &amp; $AH30),0)),"",INDIRECT(CONCATENATE("Table!",ADDRESS($AD30,MATCH(E$1,INDIRECT("Table!A" &amp; $AH30):INDIRECT("Table!" &amp; $AK$86 &amp; $AH30),0))))/1024)</f>
        <v>274.18111230468747</v>
      </c>
      <c r="F30" s="595">
        <f ca="1">IF(ISERROR(MATCH(F$1,INDIRECT("Table!A"&amp;$AH30):INDIRECT("Table!" &amp; $AK$86 &amp; $AH30),0)),"",INDIRECT(CONCATENATE("Table!",ADDRESS($AD30,MATCH(F$1,INDIRECT("Table!A" &amp; $AH30):INDIRECT("Table!" &amp; $AK$86 &amp; $AH30),0))))/1024)</f>
        <v>251.42872265624999</v>
      </c>
      <c r="G30" s="595">
        <f ca="1">IF(ISERROR(MATCH(G$1,INDIRECT("Table!A"&amp;$AH30):INDIRECT("Table!" &amp; $AK$86 &amp; $AH30),0)),"",INDIRECT(CONCATENATE("Table!",ADDRESS($AD30,MATCH(G$1,INDIRECT("Table!A" &amp; $AH30):INDIRECT("Table!" &amp; $AK$86 &amp; $AH30),0))))/1024)</f>
        <v>449.84536523437498</v>
      </c>
      <c r="H30" s="595">
        <f ca="1">IF(ISERROR(MATCH(H$1,INDIRECT("Table!A"&amp;$AH30):INDIRECT("Table!" &amp; $AK$86 &amp; $AH30),0)),"",INDIRECT(CONCATENATE("Table!",ADDRESS($AD30,MATCH(H$1,INDIRECT("Table!A" &amp; $AH30):INDIRECT("Table!" &amp; $AK$86 &amp; $AH30),0))))/1024)</f>
        <v>159.167947265625</v>
      </c>
      <c r="I30" s="595">
        <f ca="1">IF(ISERROR(MATCH(I$1,INDIRECT("Table!A"&amp;$AH30):INDIRECT("Table!" &amp; $AK$63 &amp; $AH30),0)),"",INDIRECT(CONCATENATE("Table!",ADDRESS($AD30,MATCH(I$1,INDIRECT("Table!A" &amp; $AH30):INDIRECT("Table!" &amp; $AK$63 &amp; $AH30),0))))/1024)</f>
        <v>19.328006835937501</v>
      </c>
      <c r="J30" s="595">
        <f ca="1">IF(ISERROR(MATCH(J$1,INDIRECT("Table!A"&amp;$AH30):INDIRECT("Table!" &amp; $AK$63 &amp; $AH30),0)),"",INDIRECT(CONCATENATE("Table!",ADDRESS($AD30,MATCH(J$1,INDIRECT("Table!A" &amp; $AH30):INDIRECT("Table!" &amp; $AK$63 &amp; $AH30),0))))/1024)</f>
        <v>96.343693359374996</v>
      </c>
      <c r="K30" s="595">
        <f ca="1">IF(ISERROR(MATCH(K$1,INDIRECT("Table!A"&amp;$AH30):INDIRECT("Table!" &amp; $AK$63 &amp; $AH30),0)),"",INDIRECT(CONCATENATE("Table!",ADDRESS($AD30,MATCH(K$1,INDIRECT("Table!A" &amp; $AH30):INDIRECT("Table!" &amp; $AK$63 &amp; $AH30),0))))/1024)</f>
        <v>52.024277343750001</v>
      </c>
      <c r="L30" s="595">
        <f ca="1">IF(ISERROR(MATCH(L$1,INDIRECT("Table!A"&amp;$AH30):INDIRECT("Table!" &amp; $AK$63 &amp; $AH30),0)),"",INDIRECT(CONCATENATE("Table!",ADDRESS($AD30,MATCH(L$1,INDIRECT("Table!A" &amp; $AH30):INDIRECT("Table!" &amp; $AK$63 &amp; $AH30),0))))/1024)</f>
        <v>274.54330664062496</v>
      </c>
      <c r="M30" s="595">
        <f ca="1">IF(ISERROR(MATCH(M$1,INDIRECT("Table!A"&amp;$AH30):INDIRECT("Table!" &amp; $AK$63 &amp; $AH30),0)),"",INDIRECT(CONCATENATE("Table!",ADDRESS($AD30,MATCH(M$1,INDIRECT("Table!A" &amp; $AH30):INDIRECT("Table!" &amp; $AK$63 &amp; $AH30),0))))/1024)</f>
        <v>360.11995019531247</v>
      </c>
      <c r="N30" s="595">
        <f ca="1">IF(ISERROR(MATCH(N$1,INDIRECT("Table!A"&amp;$AH30):INDIRECT("Table!" &amp; $AK$63 &amp; $AH30),0)),"",INDIRECT(CONCATENATE("Table!",ADDRESS($AD30,MATCH(N$1,INDIRECT("Table!A" &amp; $AH30):INDIRECT("Table!" &amp; $AK$63 &amp; $AH30),0))))/1024)</f>
        <v>130.5545947265625</v>
      </c>
      <c r="O30" s="595">
        <f ca="1">IF(ISERROR(MATCH(O$1,INDIRECT("Table!A"&amp;$AH30):INDIRECT("Table!" &amp; $AK$63 &amp; $AH30),0)),"",INDIRECT(CONCATENATE("Table!",ADDRESS($AD30,MATCH(O$1,INDIRECT("Table!A" &amp; $AH30):INDIRECT("Table!" &amp; $AK$63 &amp; $AH30),0))))/1024)</f>
        <v>273.22623632812497</v>
      </c>
      <c r="P30" s="595">
        <f ca="1">IF(ISERROR(MATCH(P$1,INDIRECT("Table!A"&amp;$AH30):INDIRECT("Table!" &amp; $AK$63 &amp; $AH30),0)),"",INDIRECT(CONCATENATE("Table!",ADDRESS($AD30,MATCH(P$1,INDIRECT("Table!A" &amp; $AH30):INDIRECT("Table!" &amp; $AK$63 &amp; $AH30),0))))/1024)</f>
        <v>34.079194335937501</v>
      </c>
      <c r="Q30" s="595">
        <f ca="1">IF(ISERROR(MATCH(Q$1,INDIRECT("Table!A"&amp;$AH30):INDIRECT("Table!" &amp; $AK$63 &amp; $AH30),0)),"",INDIRECT(CONCATENATE("Table!",ADDRESS($AD30,MATCH(Q$1,INDIRECT("Table!A" &amp; $AH30):INDIRECT("Table!" &amp; $AK$63 &amp; $AH30),0))))/1024)</f>
        <v>95.948572265625003</v>
      </c>
      <c r="R30" s="595">
        <f ca="1">IF(ISERROR(MATCH(R$1,INDIRECT("Table!A"&amp;$AH30):INDIRECT("Table!" &amp; $AK$63 &amp; $AH30),0)),"",INDIRECT(CONCATENATE("Table!",ADDRESS($AD30,MATCH(R$1,INDIRECT("Table!A" &amp; $AH30):INDIRECT("Table!" &amp; $AK$63 &amp; $AH30),0))))/1024)</f>
        <v>119.2277900390625</v>
      </c>
      <c r="S30" s="595">
        <f ca="1">IF(ISERROR(MATCH(S$1,INDIRECT("Table!A"&amp;$AH30):INDIRECT("Table!" &amp; $AK$63 &amp; $AH30),0)),"",INDIRECT(CONCATENATE("Table!",ADDRESS($AD30,MATCH(S$1,INDIRECT("Table!A" &amp; $AH30):INDIRECT("Table!" &amp; $AK$63 &amp; $AH30),0))))/1024)</f>
        <v>50.345012695312498</v>
      </c>
      <c r="T30" s="595">
        <f ca="1">IF(ISERROR(MATCH(T$1,INDIRECT("Table!A"&amp;$AH30):INDIRECT("Table!" &amp; $AK$63 &amp; $AH30),0)),"",INDIRECT(CONCATENATE("Table!",ADDRESS($AD30,MATCH(T$1,INDIRECT("Table!A" &amp; $AH30):INDIRECT("Table!" &amp; $AK$63 &amp; $AH30),0))))/1024)</f>
        <v>32.070662109375</v>
      </c>
      <c r="U30" s="595" t="str">
        <f ca="1">IF(ISERROR(MATCH(U$1,INDIRECT("Table!A"&amp;$AH30):INDIRECT("Table!" &amp; $AK$63 &amp; $AH30),0)),"",INDIRECT(CONCATENATE("Table!",ADDRESS($AD30,MATCH(U$1,INDIRECT("Table!A" &amp; $AH30):INDIRECT("Table!" &amp; $AK$63 &amp; $AH30),0))))/1024)</f>
        <v/>
      </c>
      <c r="V30" s="595"/>
      <c r="W30" s="595"/>
      <c r="X30" s="595"/>
      <c r="Y30" s="595"/>
      <c r="Z30" s="595"/>
      <c r="AA30" s="595"/>
      <c r="AB30" s="595"/>
      <c r="AC30" s="595"/>
      <c r="AD30" s="595">
        <f>MATCH($A30,Table!$A:$A,0)+$AF$2-1</f>
        <v>409</v>
      </c>
      <c r="AE30" s="593"/>
      <c r="AF30" s="593"/>
      <c r="AG30" s="593"/>
      <c r="AH30" s="595">
        <f>MATCH($A30,Table!$A:$A,0)+$AJ$2-1</f>
        <v>401</v>
      </c>
      <c r="AI30" s="593"/>
      <c r="AJ30" s="593"/>
      <c r="AK30" s="904" t="s">
        <v>284</v>
      </c>
      <c r="AL30" s="699">
        <f t="shared" ca="1" si="11"/>
        <v>3046.4494863281257</v>
      </c>
      <c r="AM30" s="699">
        <f t="shared" ca="1" si="10"/>
        <v>8.7914443359381949</v>
      </c>
    </row>
    <row r="31" spans="1:39" s="591" customFormat="1" x14ac:dyDescent="0.25">
      <c r="A31" s="592">
        <v>41589</v>
      </c>
      <c r="B31" s="595">
        <f ca="1">IF(ISERROR(MATCH(B$1,INDIRECT("Table!A"&amp;$AH31):INDIRECT("Table!" &amp; $AK$86 &amp; $AH31),0)),"",INDIRECT(CONCATENATE("Table!",ADDRESS($AD31,MATCH(B$1,INDIRECT("Table!A" &amp; $AH31):INDIRECT("Table!" &amp; $AK$86 &amp; $AH31),0))))/1024)</f>
        <v>184.35691699218751</v>
      </c>
      <c r="C31" s="595">
        <f ca="1">IF(ISERROR(MATCH(C$1,INDIRECT("Table!A"&amp;$AH31):INDIRECT("Table!" &amp; $AK$86 &amp; $AH31),0)),"",INDIRECT(CONCATENATE("Table!",ADDRESS($AD31,MATCH(C$1,INDIRECT("Table!A" &amp; $AH31):INDIRECT("Table!" &amp; $AK$86 &amp; $AH31),0))))/1024)</f>
        <v>94.335161132812502</v>
      </c>
      <c r="D31" s="595">
        <f ca="1">IF(ISERROR(MATCH(D$1,INDIRECT("Table!A"&amp;$AH31):INDIRECT("Table!" &amp; $AK$86 &amp; $AH31),0)),"",INDIRECT(CONCATENATE("Table!",ADDRESS($AD31,MATCH(D$1,INDIRECT("Table!A" &amp; $AH31):INDIRECT("Table!" &amp; $AK$86 &amp; $AH31),0))))/1024)</f>
        <v>95.322963867187497</v>
      </c>
      <c r="E31" s="595">
        <f ca="1">IF(ISERROR(MATCH(E$1,INDIRECT("Table!A"&amp;$AH31):INDIRECT("Table!" &amp; $AK$86 &amp; $AH31),0)),"",INDIRECT(CONCATENATE("Table!",ADDRESS($AD31,MATCH(E$1,INDIRECT("Table!A" &amp; $AH31):INDIRECT("Table!" &amp; $AK$86 &amp; $AH31),0))))/1024)</f>
        <v>274.18111230468747</v>
      </c>
      <c r="F31" s="595">
        <f ca="1">IF(ISERROR(MATCH(F$1,INDIRECT("Table!A"&amp;$AH31):INDIRECT("Table!" &amp; $AK$86 &amp; $AH31),0)),"",INDIRECT(CONCATENATE("Table!",ADDRESS($AD31,MATCH(F$1,INDIRECT("Table!A" &amp; $AH31):INDIRECT("Table!" &amp; $AK$86 &amp; $AH31),0))))/1024)</f>
        <v>251.42872265624999</v>
      </c>
      <c r="G31" s="595">
        <f ca="1">IF(ISERROR(MATCH(G$1,INDIRECT("Table!A"&amp;$AH31):INDIRECT("Table!" &amp; $AK$86 &amp; $AH31),0)),"",INDIRECT(CONCATENATE("Table!",ADDRESS($AD31,MATCH(G$1,INDIRECT("Table!A" &amp; $AH31):INDIRECT("Table!" &amp; $AK$86 &amp; $AH31),0))))/1024)</f>
        <v>449.84536523437498</v>
      </c>
      <c r="H31" s="595">
        <f ca="1">IF(ISERROR(MATCH(H$1,INDIRECT("Table!A"&amp;$AH31):INDIRECT("Table!" &amp; $AK$86 &amp; $AH31),0)),"",INDIRECT(CONCATENATE("Table!",ADDRESS($AD31,MATCH(H$1,INDIRECT("Table!A" &amp; $AH31):INDIRECT("Table!" &amp; $AK$86 &amp; $AH31),0))))/1024)</f>
        <v>156.665513671875</v>
      </c>
      <c r="I31" s="595">
        <f ca="1">IF(ISERROR(MATCH(I$1,INDIRECT("Table!A"&amp;$AH31):INDIRECT("Table!" &amp; $AK$63 &amp; $AH31),0)),"",INDIRECT(CONCATENATE("Table!",ADDRESS($AD31,MATCH(I$1,INDIRECT("Table!A" &amp; $AH31):INDIRECT("Table!" &amp; $AK$63 &amp; $AH31),0))))/1024)</f>
        <v>19.328006835937501</v>
      </c>
      <c r="J31" s="595">
        <f ca="1">IF(ISERROR(MATCH(J$1,INDIRECT("Table!A"&amp;$AH31):INDIRECT("Table!" &amp; $AK$63 &amp; $AH31),0)),"",INDIRECT(CONCATENATE("Table!",ADDRESS($AD31,MATCH(J$1,INDIRECT("Table!A" &amp; $AH31):INDIRECT("Table!" &amp; $AK$63 &amp; $AH31),0))))/1024)</f>
        <v>95.816865234375001</v>
      </c>
      <c r="K31" s="595">
        <f ca="1">IF(ISERROR(MATCH(K$1,INDIRECT("Table!A"&amp;$AH31):INDIRECT("Table!" &amp; $AK$63 &amp; $AH31),0)),"",INDIRECT(CONCATENATE("Table!",ADDRESS($AD31,MATCH(K$1,INDIRECT("Table!A" &amp; $AH31):INDIRECT("Table!" &amp; $AK$63 &amp; $AH31),0))))/1024)</f>
        <v>50.838914062499995</v>
      </c>
      <c r="L31" s="595">
        <f ca="1">IF(ISERROR(MATCH(L$1,INDIRECT("Table!A"&amp;$AH31):INDIRECT("Table!" &amp; $AK$63 &amp; $AH31),0)),"",INDIRECT(CONCATENATE("Table!",ADDRESS($AD31,MATCH(L$1,INDIRECT("Table!A" &amp; $AH31):INDIRECT("Table!" &amp; $AK$63 &amp; $AH31),0))))/1024)</f>
        <v>274.54330664062496</v>
      </c>
      <c r="M31" s="595">
        <f ca="1">IF(ISERROR(MATCH(M$1,INDIRECT("Table!A"&amp;$AH31):INDIRECT("Table!" &amp; $AK$63 &amp; $AH31),0)),"",INDIRECT(CONCATENATE("Table!",ADDRESS($AD31,MATCH(M$1,INDIRECT("Table!A" &amp; $AH31):INDIRECT("Table!" &amp; $AK$63 &amp; $AH31),0))))/1024)</f>
        <v>360.11995019531247</v>
      </c>
      <c r="N31" s="595">
        <f ca="1">IF(ISERROR(MATCH(N$1,INDIRECT("Table!A"&amp;$AH31):INDIRECT("Table!" &amp; $AK$63 &amp; $AH31),0)),"",INDIRECT(CONCATENATE("Table!",ADDRESS($AD31,MATCH(N$1,INDIRECT("Table!A" &amp; $AH31):INDIRECT("Table!" &amp; $AK$63 &amp; $AH31),0))))/1024)</f>
        <v>130.5545947265625</v>
      </c>
      <c r="O31" s="595">
        <f ca="1">IF(ISERROR(MATCH(O$1,INDIRECT("Table!A"&amp;$AH31):INDIRECT("Table!" &amp; $AK$63 &amp; $AH31),0)),"",INDIRECT(CONCATENATE("Table!",ADDRESS($AD31,MATCH(O$1,INDIRECT("Table!A" &amp; $AH31):INDIRECT("Table!" &amp; $AK$63 &amp; $AH31),0))))/1024)</f>
        <v>270.723802734375</v>
      </c>
      <c r="P31" s="595">
        <f ca="1">IF(ISERROR(MATCH(P$1,INDIRECT("Table!A"&amp;$AH31):INDIRECT("Table!" &amp; $AK$63 &amp; $AH31),0)),"",INDIRECT(CONCATENATE("Table!",ADDRESS($AD31,MATCH(P$1,INDIRECT("Table!A" &amp; $AH31):INDIRECT("Table!" &amp; $AK$63 &amp; $AH31),0))))/1024)</f>
        <v>34.079194335937501</v>
      </c>
      <c r="Q31" s="595">
        <f ca="1">IF(ISERROR(MATCH(Q$1,INDIRECT("Table!A"&amp;$AH31):INDIRECT("Table!" &amp; $AK$63 &amp; $AH31),0)),"",INDIRECT(CONCATENATE("Table!",ADDRESS($AD31,MATCH(Q$1,INDIRECT("Table!A" &amp; $AH31):INDIRECT("Table!" &amp; $AK$63 &amp; $AH31),0))))/1024)</f>
        <v>95.421744140624995</v>
      </c>
      <c r="R31" s="595">
        <f ca="1">IF(ISERROR(MATCH(R$1,INDIRECT("Table!A"&amp;$AH31):INDIRECT("Table!" &amp; $AK$63 &amp; $AH31),0)),"",INDIRECT(CONCATENATE("Table!",ADDRESS($AD31,MATCH(R$1,INDIRECT("Table!A" &amp; $AH31):INDIRECT("Table!" &amp; $AK$63 &amp; $AH31),0))))/1024)</f>
        <v>117.68023242187499</v>
      </c>
      <c r="S31" s="595">
        <f ca="1">IF(ISERROR(MATCH(S$1,INDIRECT("Table!A"&amp;$AH31):INDIRECT("Table!" &amp; $AK$63 &amp; $AH31),0)),"",INDIRECT(CONCATENATE("Table!",ADDRESS($AD31,MATCH(S$1,INDIRECT("Table!A" &amp; $AH31):INDIRECT("Table!" &amp; $AK$63 &amp; $AH31),0))))/1024)</f>
        <v>50.345012695312498</v>
      </c>
      <c r="T31" s="595">
        <f ca="1">IF(ISERROR(MATCH(T$1,INDIRECT("Table!A"&amp;$AH31):INDIRECT("Table!" &amp; $AK$63 &amp; $AH31),0)),"",INDIRECT(CONCATENATE("Table!",ADDRESS($AD31,MATCH(T$1,INDIRECT("Table!A" &amp; $AH31):INDIRECT("Table!" &amp; $AK$63 &amp; $AH31),0))))/1024)</f>
        <v>32.070662109375</v>
      </c>
      <c r="U31" s="595" t="str">
        <f ca="1">IF(ISERROR(MATCH(U$1,INDIRECT("Table!A"&amp;$AH31):INDIRECT("Table!" &amp; $AK$63 &amp; $AH31),0)),"",INDIRECT(CONCATENATE("Table!",ADDRESS($AD31,MATCH(U$1,INDIRECT("Table!A" &amp; $AH31):INDIRECT("Table!" &amp; $AK$63 &amp; $AH31),0))))/1024)</f>
        <v/>
      </c>
      <c r="V31" s="595"/>
      <c r="W31" s="595"/>
      <c r="X31" s="595"/>
      <c r="Y31" s="595"/>
      <c r="Z31" s="595"/>
      <c r="AA31" s="595"/>
      <c r="AB31" s="595"/>
      <c r="AC31" s="595"/>
      <c r="AD31" s="595">
        <f>MATCH($A31,Table!$A:$A,0)+$AF$2-1</f>
        <v>421</v>
      </c>
      <c r="AE31" s="593"/>
      <c r="AF31" s="593"/>
      <c r="AG31" s="593"/>
      <c r="AH31" s="595">
        <f>MATCH($A31,Table!$A:$A,0)+$AJ$2-1</f>
        <v>413</v>
      </c>
      <c r="AI31" s="593"/>
      <c r="AJ31" s="593"/>
      <c r="AK31" s="904" t="s">
        <v>284</v>
      </c>
      <c r="AL31" s="699">
        <f t="shared" ca="1" si="11"/>
        <v>3037.6580419921875</v>
      </c>
      <c r="AM31" s="699">
        <f t="shared" ca="1" si="10"/>
        <v>76.027883789062344</v>
      </c>
    </row>
    <row r="32" spans="1:39" s="267" customFormat="1" x14ac:dyDescent="0.25">
      <c r="A32" s="268">
        <v>41561</v>
      </c>
      <c r="B32" s="272">
        <f ca="1">IF(ISERROR(MATCH(B$1,INDIRECT("Table!A"&amp;$AH32):INDIRECT("Table!" &amp; $AK$86 &amp; $AH32),0)),"",INDIRECT(CONCATENATE("Table!",ADDRESS($AD32,MATCH(B$1,INDIRECT("Table!A" &amp; $AH32):INDIRECT("Table!" &amp; $AK$86 &amp; $AH32),0))))/1024)</f>
        <v>183.56667480468749</v>
      </c>
      <c r="C32" s="272">
        <f ca="1">IF(ISERROR(MATCH(C$1,INDIRECT("Table!A"&amp;$AH32):INDIRECT("Table!" &amp; $AK$86 &amp; $AH32),0)),"",INDIRECT(CONCATENATE("Table!",ADDRESS($AD32,MATCH(C$1,INDIRECT("Table!A" &amp; $AH32):INDIRECT("Table!" &amp; $AK$86 &amp; $AH32),0))))/1024)</f>
        <v>94.335161132812502</v>
      </c>
      <c r="D32" s="272">
        <f ca="1">IF(ISERROR(MATCH(D$1,INDIRECT("Table!A"&amp;$AH32):INDIRECT("Table!" &amp; $AK$86 &amp; $AH32),0)),"",INDIRECT(CONCATENATE("Table!",ADDRESS($AD32,MATCH(D$1,INDIRECT("Table!A" &amp; $AH32):INDIRECT("Table!" &amp; $AK$86 &amp; $AH32),0))))/1024)</f>
        <v>95.322963867187497</v>
      </c>
      <c r="E32" s="272">
        <f ca="1">IF(ISERROR(MATCH(E$1,INDIRECT("Table!A"&amp;$AH32):INDIRECT("Table!" &amp; $AK$86 &amp; $AH32),0)),"",INDIRECT(CONCATENATE("Table!",ADDRESS($AD32,MATCH(E$1,INDIRECT("Table!A" &amp; $AH32):INDIRECT("Table!" &amp; $AK$86 &amp; $AH32),0))))/1024)</f>
        <v>274.18111230468747</v>
      </c>
      <c r="F32" s="272">
        <f ca="1">IF(ISERROR(MATCH(F$1,INDIRECT("Table!A"&amp;$AH32):INDIRECT("Table!" &amp; $AK$86 &amp; $AH32),0)),"",INDIRECT(CONCATENATE("Table!",ADDRESS($AD32,MATCH(F$1,INDIRECT("Table!A" &amp; $AH32):INDIRECT("Table!" &amp; $AK$86 &amp; $AH32),0))))/1024)</f>
        <v>251.42872265624999</v>
      </c>
      <c r="G32" s="272">
        <f ca="1">IF(ISERROR(MATCH(G$1,INDIRECT("Table!A"&amp;$AH32):INDIRECT("Table!" &amp; $AK$86 &amp; $AH32),0)),"",INDIRECT(CONCATENATE("Table!",ADDRESS($AD32,MATCH(G$1,INDIRECT("Table!A" &amp; $AH32):INDIRECT("Table!" &amp; $AK$86 &amp; $AH32),0))))/1024)</f>
        <v>449.84536523437498</v>
      </c>
      <c r="H32" s="272">
        <f ca="1">IF(ISERROR(MATCH(H$1,INDIRECT("Table!A"&amp;$AH32):INDIRECT("Table!" &amp; $AK$86 &amp; $AH32),0)),"",INDIRECT(CONCATENATE("Table!",ADDRESS($AD32,MATCH(H$1,INDIRECT("Table!A" &amp; $AH32):INDIRECT("Table!" &amp; $AK$86 &amp; $AH32),0))))/1024)</f>
        <v>145.207001953125</v>
      </c>
      <c r="I32" s="272">
        <f ca="1">IF(ISERROR(MATCH(I$1,INDIRECT("Table!A"&amp;$AH32):INDIRECT("Table!" &amp; $AK$63 &amp; $AH32),0)),"",INDIRECT(CONCATENATE("Table!",ADDRESS($AD32,MATCH(I$1,INDIRECT("Table!A" &amp; $AH32):INDIRECT("Table!" &amp; $AK$63 &amp; $AH32),0))))/1024)</f>
        <v>19.097519531250001</v>
      </c>
      <c r="J32" s="272">
        <f ca="1">IF(ISERROR(MATCH(J$1,INDIRECT("Table!A"&amp;$AH32):INDIRECT("Table!" &amp; $AK$63 &amp; $AH32),0)),"",INDIRECT(CONCATENATE("Table!",ADDRESS($AD32,MATCH(J$1,INDIRECT("Table!A" &amp; $AH32):INDIRECT("Table!" &amp; $AK$63 &amp; $AH32),0))))/1024)</f>
        <v>94.69735546874999</v>
      </c>
      <c r="K32" s="272">
        <f ca="1">IF(ISERROR(MATCH(K$1,INDIRECT("Table!A"&amp;$AH32):INDIRECT("Table!" &amp; $AK$63 &amp; $AH32),0)),"",INDIRECT(CONCATENATE("Table!",ADDRESS($AD32,MATCH(K$1,INDIRECT("Table!A" &amp; $AH32):INDIRECT("Table!" &amp; $AK$63 &amp; $AH32),0))))/1024)</f>
        <v>34.803583007812499</v>
      </c>
      <c r="L32" s="272">
        <f ca="1">IF(ISERROR(MATCH(L$1,INDIRECT("Table!A"&amp;$AH32):INDIRECT("Table!" &amp; $AK$63 &amp; $AH32),0)),"",INDIRECT(CONCATENATE("Table!",ADDRESS($AD32,MATCH(L$1,INDIRECT("Table!A" &amp; $AH32):INDIRECT("Table!" &amp; $AK$63 &amp; $AH32),0))))/1024)</f>
        <v>274.54330664062496</v>
      </c>
      <c r="M32" s="272">
        <f ca="1">IF(ISERROR(MATCH(M$1,INDIRECT("Table!A"&amp;$AH32):INDIRECT("Table!" &amp; $AK$63 &amp; $AH32),0)),"",INDIRECT(CONCATENATE("Table!",ADDRESS($AD32,MATCH(M$1,INDIRECT("Table!A" &amp; $AH32):INDIRECT("Table!" &amp; $AK$63 &amp; $AH32),0))))/1024)</f>
        <v>354.3906943359375</v>
      </c>
      <c r="N32" s="272">
        <f ca="1">IF(ISERROR(MATCH(N$1,INDIRECT("Table!A"&amp;$AH32):INDIRECT("Table!" &amp; $AK$63 &amp; $AH32),0)),"",INDIRECT(CONCATENATE("Table!",ADDRESS($AD32,MATCH(N$1,INDIRECT("Table!A" &amp; $AH32):INDIRECT("Table!" &amp; $AK$63 &amp; $AH32),0))))/1024)</f>
        <v>133.5509296875</v>
      </c>
      <c r="O32" s="272">
        <f ca="1">IF(ISERROR(MATCH(O$1,INDIRECT("Table!A"&amp;$AH32):INDIRECT("Table!" &amp; $AK$63 &amp; $AH32),0)),"",INDIRECT(CONCATENATE("Table!",ADDRESS($AD32,MATCH(O$1,INDIRECT("Table!A" &amp; $AH32):INDIRECT("Table!" &amp; $AK$63 &amp; $AH32),0))))/1024)</f>
        <v>256.26895605468746</v>
      </c>
      <c r="P32" s="272">
        <f ca="1">IF(ISERROR(MATCH(P$1,INDIRECT("Table!A"&amp;$AH32):INDIRECT("Table!" &amp; $AK$63 &amp; $AH32),0)),"",INDIRECT(CONCATENATE("Table!",ADDRESS($AD32,MATCH(P$1,INDIRECT("Table!A" &amp; $AH32):INDIRECT("Table!" &amp; $AK$63 &amp; $AH32),0))))/1024)</f>
        <v>33.848707031250001</v>
      </c>
      <c r="Q32" s="272">
        <f ca="1">IF(ISERROR(MATCH(Q$1,INDIRECT("Table!A"&amp;$AH32):INDIRECT("Table!" &amp; $AK$63 &amp; $AH32),0)),"",INDIRECT(CONCATENATE("Table!",ADDRESS($AD32,MATCH(Q$1,INDIRECT("Table!A" &amp; $AH32):INDIRECT("Table!" &amp; $AK$63 &amp; $AH32),0))))/1024)</f>
        <v>89.297367187500001</v>
      </c>
      <c r="R32" s="272">
        <f ca="1">IF(ISERROR(MATCH(R$1,INDIRECT("Table!A"&amp;$AH32):INDIRECT("Table!" &amp; $AK$63 &amp; $AH32),0)),"",INDIRECT(CONCATENATE("Table!",ADDRESS($AD32,MATCH(R$1,INDIRECT("Table!A" &amp; $AH32):INDIRECT("Table!" &amp; $AK$63 &amp; $AH32),0))))/1024)</f>
        <v>97.858324218749999</v>
      </c>
      <c r="S32" s="595">
        <f ca="1">IF(ISERROR(MATCH(S$1,INDIRECT("Table!A"&amp;$AH32):INDIRECT("Table!" &amp; $AK$63 &amp; $AH32),0)),"",INDIRECT(CONCATENATE("Table!",ADDRESS($AD32,MATCH(S$1,INDIRECT("Table!A" &amp; $AH32):INDIRECT("Table!" &amp; $AK$63 &amp; $AH32),0))))/1024)</f>
        <v>48.402333984374998</v>
      </c>
      <c r="T32" s="595">
        <f ca="1">IF(ISERROR(MATCH(T$1,INDIRECT("Table!A"&amp;$AH32):INDIRECT("Table!" &amp; $AK$63 &amp; $AH32),0)),"",INDIRECT(CONCATENATE("Table!",ADDRESS($AD32,MATCH(T$1,INDIRECT("Table!A" &amp; $AH32):INDIRECT("Table!" &amp; $AK$63 &amp; $AH32),0))))/1024)</f>
        <v>30.9840791015625</v>
      </c>
      <c r="U32" s="272" t="str">
        <f ca="1">IF(ISERROR(MATCH(U$1,INDIRECT("Table!A"&amp;$AH32):INDIRECT("Table!" &amp; $AK$63 &amp; $AH32),0)),"",INDIRECT(CONCATENATE("Table!",ADDRESS($AD32,MATCH(U$1,INDIRECT("Table!A" &amp; $AH32):INDIRECT("Table!" &amp; $AK$63 &amp; $AH32),0))))/1024)</f>
        <v/>
      </c>
      <c r="V32" s="595"/>
      <c r="W32" s="595"/>
      <c r="X32" s="595"/>
      <c r="Y32" s="595"/>
      <c r="Z32" s="595"/>
      <c r="AA32" s="595"/>
      <c r="AB32" s="595"/>
      <c r="AC32" s="595"/>
      <c r="AD32" s="272">
        <f>MATCH($A32,Table!$A:$A,0)+$AF$2-1</f>
        <v>433</v>
      </c>
      <c r="AE32" s="487"/>
      <c r="AF32" s="487"/>
      <c r="AG32" s="487"/>
      <c r="AH32" s="272">
        <f>MATCH($A32,Table!$A:$A,0)+$AJ$2-1</f>
        <v>425</v>
      </c>
      <c r="AI32" s="487"/>
      <c r="AJ32" s="487"/>
      <c r="AK32" s="904" t="s">
        <v>284</v>
      </c>
      <c r="AL32" s="699">
        <f t="shared" ca="1" si="11"/>
        <v>2961.6301582031251</v>
      </c>
      <c r="AM32" s="699">
        <f t="shared" ca="1" si="10"/>
        <v>8.0670556640620816</v>
      </c>
    </row>
    <row r="33" spans="1:39" s="267" customFormat="1" x14ac:dyDescent="0.25">
      <c r="A33" s="268">
        <v>41548</v>
      </c>
      <c r="B33" s="272">
        <f ca="1">IF(ISERROR(MATCH(B$1,INDIRECT("Table!A"&amp;$AH33):INDIRECT("Table!" &amp; $AK$86 &amp; $AH33),0)),"",INDIRECT(CONCATENATE("Table!",ADDRESS($AD33,MATCH(B$1,INDIRECT("Table!A" &amp; $AH33):INDIRECT("Table!" &amp; $AK$86 &amp; $AH33),0))))/1024)</f>
        <v>183.56667480468749</v>
      </c>
      <c r="C33" s="272">
        <f ca="1">IF(ISERROR(MATCH(C$1,INDIRECT("Table!A"&amp;$AH33):INDIRECT("Table!" &amp; $AK$86 &amp; $AH33),0)),"",INDIRECT(CONCATENATE("Table!",ADDRESS($AD33,MATCH(C$1,INDIRECT("Table!A" &amp; $AH33):INDIRECT("Table!" &amp; $AK$86 &amp; $AH33),0))))/1024)</f>
        <v>94.335161132812502</v>
      </c>
      <c r="D33" s="272">
        <f ca="1">IF(ISERROR(MATCH(D$1,INDIRECT("Table!A"&amp;$AH33):INDIRECT("Table!" &amp; $AK$86 &amp; $AH33),0)),"",INDIRECT(CONCATENATE("Table!",ADDRESS($AD33,MATCH(D$1,INDIRECT("Table!A" &amp; $AH33):INDIRECT("Table!" &amp; $AK$86 &amp; $AH33),0))))/1024)</f>
        <v>95.322963867187497</v>
      </c>
      <c r="E33" s="272">
        <f ca="1">IF(ISERROR(MATCH(E$1,INDIRECT("Table!A"&amp;$AH33):INDIRECT("Table!" &amp; $AK$86 &amp; $AH33),0)),"",INDIRECT(CONCATENATE("Table!",ADDRESS($AD33,MATCH(E$1,INDIRECT("Table!A" &amp; $AH33):INDIRECT("Table!" &amp; $AK$86 &amp; $AH33),0))))/1024)</f>
        <v>274.18111230468747</v>
      </c>
      <c r="F33" s="272">
        <f ca="1">IF(ISERROR(MATCH(F$1,INDIRECT("Table!A"&amp;$AH33):INDIRECT("Table!" &amp; $AK$86 &amp; $AH33),0)),"",INDIRECT(CONCATENATE("Table!",ADDRESS($AD33,MATCH(F$1,INDIRECT("Table!A" &amp; $AH33):INDIRECT("Table!" &amp; $AK$86 &amp; $AH33),0))))/1024)</f>
        <v>257.42139257812499</v>
      </c>
      <c r="G33" s="272">
        <f ca="1">IF(ISERROR(MATCH(G$1,INDIRECT("Table!A"&amp;$AH33):INDIRECT("Table!" &amp; $AK$86 &amp; $AH33),0)),"",INDIRECT(CONCATENATE("Table!",ADDRESS($AD33,MATCH(G$1,INDIRECT("Table!A" &amp; $AH33):INDIRECT("Table!" &amp; $AK$86 &amp; $AH33),0))))/1024)</f>
        <v>450.4709736328125</v>
      </c>
      <c r="H33" s="272">
        <f ca="1">IF(ISERROR(MATCH(H$1,INDIRECT("Table!A"&amp;$AH33):INDIRECT("Table!" &amp; $AK$86 &amp; $AH33),0)),"",INDIRECT(CONCATENATE("Table!",ADDRESS($AD33,MATCH(H$1,INDIRECT("Table!A" &amp; $AH33):INDIRECT("Table!" &amp; $AK$86 &amp; $AH33),0))))/1024)</f>
        <v>145.207001953125</v>
      </c>
      <c r="I33" s="272">
        <f ca="1">IF(ISERROR(MATCH(I$1,INDIRECT("Table!A"&amp;$AH33):INDIRECT("Table!" &amp; $AK$63 &amp; $AH33),0)),"",INDIRECT(CONCATENATE("Table!",ADDRESS($AD33,MATCH(I$1,INDIRECT("Table!A" &amp; $AH33):INDIRECT("Table!" &amp; $AK$63 &amp; $AH33),0))))/1024)</f>
        <v>19.097519531250001</v>
      </c>
      <c r="J33" s="272">
        <f ca="1">IF(ISERROR(MATCH(J$1,INDIRECT("Table!A"&amp;$AH33):INDIRECT("Table!" &amp; $AK$63 &amp; $AH33),0)),"",INDIRECT(CONCATENATE("Table!",ADDRESS($AD33,MATCH(J$1,INDIRECT("Table!A" &amp; $AH33):INDIRECT("Table!" &amp; $AK$63 &amp; $AH33),0))))/1024)</f>
        <v>92.29370214843749</v>
      </c>
      <c r="K33" s="272">
        <f ca="1">IF(ISERROR(MATCH(K$1,INDIRECT("Table!A"&amp;$AH33):INDIRECT("Table!" &amp; $AK$63 &amp; $AH33),0)),"",INDIRECT(CONCATENATE("Table!",ADDRESS($AD33,MATCH(K$1,INDIRECT("Table!A" &amp; $AH33):INDIRECT("Table!" &amp; $AK$63 &amp; $AH33),0))))/1024)</f>
        <v>24.958482421875001</v>
      </c>
      <c r="L33" s="272">
        <f ca="1">IF(ISERROR(MATCH(L$1,INDIRECT("Table!A"&amp;$AH33):INDIRECT("Table!" &amp; $AK$63 &amp; $AH33),0)),"",INDIRECT(CONCATENATE("Table!",ADDRESS($AD33,MATCH(L$1,INDIRECT("Table!A" &amp; $AH33):INDIRECT("Table!" &amp; $AK$63 &amp; $AH33),0))))/1024)</f>
        <v>274.54330664062496</v>
      </c>
      <c r="M33" s="272">
        <f ca="1">IF(ISERROR(MATCH(M$1,INDIRECT("Table!A"&amp;$AH33):INDIRECT("Table!" &amp; $AK$63 &amp; $AH33),0)),"",INDIRECT(CONCATENATE("Table!",ADDRESS($AD33,MATCH(M$1,INDIRECT("Table!A" &amp; $AH33):INDIRECT("Table!" &amp; $AK$63 &amp; $AH33),0))))/1024)</f>
        <v>354.3906943359375</v>
      </c>
      <c r="N33" s="272">
        <f ca="1">IF(ISERROR(MATCH(N$1,INDIRECT("Table!A"&amp;$AH33):INDIRECT("Table!" &amp; $AK$63 &amp; $AH33),0)),"",INDIRECT(CONCATENATE("Table!",ADDRESS($AD33,MATCH(N$1,INDIRECT("Table!A" &amp; $AH33):INDIRECT("Table!" &amp; $AK$63 &amp; $AH33),0))))/1024)</f>
        <v>133.5509296875</v>
      </c>
      <c r="O33" s="272">
        <f ca="1">IF(ISERROR(MATCH(O$1,INDIRECT("Table!A"&amp;$AH33):INDIRECT("Table!" &amp; $AK$63 &amp; $AH33),0)),"",INDIRECT(CONCATENATE("Table!",ADDRESS($AD33,MATCH(O$1,INDIRECT("Table!A" &amp; $AH33):INDIRECT("Table!" &amp; $AK$63 &amp; $AH33),0))))/1024)</f>
        <v>254.16164355468749</v>
      </c>
      <c r="P33" s="272">
        <f ca="1">IF(ISERROR(MATCH(P$1,INDIRECT("Table!A"&amp;$AH33):INDIRECT("Table!" &amp; $AK$63 &amp; $AH33),0)),"",INDIRECT(CONCATENATE("Table!",ADDRESS($AD33,MATCH(P$1,INDIRECT("Table!A" &amp; $AH33):INDIRECT("Table!" &amp; $AK$63 &amp; $AH33),0))))/1024)</f>
        <v>33.848707031250001</v>
      </c>
      <c r="Q33" s="272">
        <f ca="1">IF(ISERROR(MATCH(Q$1,INDIRECT("Table!A"&amp;$AH33):INDIRECT("Table!" &amp; $AK$63 &amp; $AH33),0)),"",INDIRECT(CONCATENATE("Table!",ADDRESS($AD33,MATCH(Q$1,INDIRECT("Table!A" &amp; $AH33):INDIRECT("Table!" &amp; $AK$63 &amp; $AH33),0))))/1024)</f>
        <v>84.160792968750002</v>
      </c>
      <c r="R33" s="272">
        <f ca="1">IF(ISERROR(MATCH(R$1,INDIRECT("Table!A"&amp;$AH33):INDIRECT("Table!" &amp; $AK$63 &amp; $AH33),0)),"",INDIRECT(CONCATENATE("Table!",ADDRESS($AD33,MATCH(R$1,INDIRECT("Table!A" &amp; $AH33):INDIRECT("Table!" &amp; $AK$63 &amp; $AH33),0))))/1024)</f>
        <v>102.665630859375</v>
      </c>
      <c r="S33" s="595">
        <f ca="1">IF(ISERROR(MATCH(S$1,INDIRECT("Table!A"&amp;$AH33):INDIRECT("Table!" &amp; $AK$63 &amp; $AH33),0)),"",INDIRECT(CONCATENATE("Table!",ADDRESS($AD33,MATCH(S$1,INDIRECT("Table!A" &amp; $AH33):INDIRECT("Table!" &amp; $AK$63 &amp; $AH33),0))))/1024)</f>
        <v>48.402333984374998</v>
      </c>
      <c r="T33" s="595">
        <f ca="1">IF(ISERROR(MATCH(T$1,INDIRECT("Table!A"&amp;$AH33):INDIRECT("Table!" &amp; $AK$63 &amp; $AH33),0)),"",INDIRECT(CONCATENATE("Table!",ADDRESS($AD33,MATCH(T$1,INDIRECT("Table!A" &amp; $AH33):INDIRECT("Table!" &amp; $AK$63 &amp; $AH33),0))))/1024)</f>
        <v>30.9840791015625</v>
      </c>
      <c r="U33" s="272" t="str">
        <f ca="1">IF(ISERROR(MATCH(U$1,INDIRECT("Table!A"&amp;$AH33):INDIRECT("Table!" &amp; $AK$63 &amp; $AH33),0)),"",INDIRECT(CONCATENATE("Table!",ADDRESS($AD33,MATCH(U$1,INDIRECT("Table!A" &amp; $AH33):INDIRECT("Table!" &amp; $AK$63 &amp; $AH33),0))))/1024)</f>
        <v/>
      </c>
      <c r="V33" s="595"/>
      <c r="W33" s="595"/>
      <c r="X33" s="595"/>
      <c r="Y33" s="595"/>
      <c r="Z33" s="595"/>
      <c r="AA33" s="595"/>
      <c r="AB33" s="595"/>
      <c r="AC33" s="595"/>
      <c r="AD33" s="272">
        <f>MATCH($A33,Table!$A:$A,0)+$AF$2-1</f>
        <v>445</v>
      </c>
      <c r="AE33" s="482"/>
      <c r="AF33" s="482"/>
      <c r="AG33" s="482"/>
      <c r="AH33" s="272">
        <f>MATCH($A33,Table!$A:$A,0)+$AJ$2-1</f>
        <v>437</v>
      </c>
      <c r="AI33" s="482"/>
      <c r="AJ33" s="482"/>
      <c r="AK33" s="904" t="s">
        <v>284</v>
      </c>
      <c r="AL33" s="699">
        <f t="shared" ca="1" si="11"/>
        <v>2953.563102539063</v>
      </c>
      <c r="AM33" s="699">
        <f t="shared" ca="1" si="10"/>
        <v>7.1451064453135587</v>
      </c>
    </row>
    <row r="34" spans="1:39" s="267" customFormat="1" x14ac:dyDescent="0.25">
      <c r="A34" s="268">
        <v>41541</v>
      </c>
      <c r="B34" s="272">
        <f ca="1">IF(ISERROR(MATCH(B$1,INDIRECT("Table!A"&amp;$AH34):INDIRECT("Table!" &amp; $AK$86 &amp; $AH34),0)),"",INDIRECT(CONCATENATE("Table!",ADDRESS($AD34,MATCH(B$1,INDIRECT("Table!A" &amp; $AH34):INDIRECT("Table!" &amp; $AK$86 &amp; $AH34),0))))/1024)</f>
        <v>183.56667480468749</v>
      </c>
      <c r="C34" s="272">
        <f ca="1">IF(ISERROR(MATCH(C$1,INDIRECT("Table!A"&amp;$AH34):INDIRECT("Table!" &amp; $AK$86 &amp; $AH34),0)),"",INDIRECT(CONCATENATE("Table!",ADDRESS($AD34,MATCH(C$1,INDIRECT("Table!A" &amp; $AH34):INDIRECT("Table!" &amp; $AK$86 &amp; $AH34),0))))/1024)</f>
        <v>94.335161132812502</v>
      </c>
      <c r="D34" s="272">
        <f ca="1">IF(ISERROR(MATCH(D$1,INDIRECT("Table!A"&amp;$AH34):INDIRECT("Table!" &amp; $AK$86 &amp; $AH34),0)),"",INDIRECT(CONCATENATE("Table!",ADDRESS($AD34,MATCH(D$1,INDIRECT("Table!A" &amp; $AH34):INDIRECT("Table!" &amp; $AK$86 &amp; $AH34),0))))/1024)</f>
        <v>95.322963867187497</v>
      </c>
      <c r="E34" s="272">
        <f ca="1">IF(ISERROR(MATCH(E$1,INDIRECT("Table!A"&amp;$AH34):INDIRECT("Table!" &amp; $AK$86 &amp; $AH34),0)),"",INDIRECT(CONCATENATE("Table!",ADDRESS($AD34,MATCH(E$1,INDIRECT("Table!A" &amp; $AH34):INDIRECT("Table!" &amp; $AK$86 &amp; $AH34),0))))/1024)</f>
        <v>274.18111230468747</v>
      </c>
      <c r="F34" s="272">
        <f ca="1">IF(ISERROR(MATCH(F$1,INDIRECT("Table!A"&amp;$AH34):INDIRECT("Table!" &amp; $AK$86 &amp; $AH34),0)),"",INDIRECT(CONCATENATE("Table!",ADDRESS($AD34,MATCH(F$1,INDIRECT("Table!A" &amp; $AH34):INDIRECT("Table!" &amp; $AK$86 &amp; $AH34),0))))/1024)</f>
        <v>257.42139257812499</v>
      </c>
      <c r="G34" s="272">
        <f ca="1">IF(ISERROR(MATCH(G$1,INDIRECT("Table!A"&amp;$AH34):INDIRECT("Table!" &amp; $AK$86 &amp; $AH34),0)),"",INDIRECT(CONCATENATE("Table!",ADDRESS($AD34,MATCH(G$1,INDIRECT("Table!A" &amp; $AH34):INDIRECT("Table!" &amp; $AK$86 &amp; $AH34),0))))/1024)</f>
        <v>450.4709736328125</v>
      </c>
      <c r="H34" s="272">
        <f ca="1">IF(ISERROR(MATCH(H$1,INDIRECT("Table!A"&amp;$AH34):INDIRECT("Table!" &amp; $AK$86 &amp; $AH34),0)),"",INDIRECT(CONCATENATE("Table!",ADDRESS($AD34,MATCH(H$1,INDIRECT("Table!A" &amp; $AH34):INDIRECT("Table!" &amp; $AK$86 &amp; $AH34),0))))/1024)</f>
        <v>142.0131064453125</v>
      </c>
      <c r="I34" s="272">
        <f ca="1">IF(ISERROR(MATCH(I$1,INDIRECT("Table!A"&amp;$AH34):INDIRECT("Table!" &amp; $AK$63 &amp; $AH34),0)),"",INDIRECT(CONCATENATE("Table!",ADDRESS($AD34,MATCH(I$1,INDIRECT("Table!A" &amp; $AH34):INDIRECT("Table!" &amp; $AK$63 &amp; $AH34),0))))/1024)</f>
        <v>19.097519531250001</v>
      </c>
      <c r="J34" s="272">
        <f ca="1">IF(ISERROR(MATCH(J$1,INDIRECT("Table!A"&amp;$AH34):INDIRECT("Table!" &amp; $AK$63 &amp; $AH34),0)),"",INDIRECT(CONCATENATE("Table!",ADDRESS($AD34,MATCH(J$1,INDIRECT("Table!A" &amp; $AH34):INDIRECT("Table!" &amp; $AK$63 &amp; $AH34),0))))/1024)</f>
        <v>92.29370214843749</v>
      </c>
      <c r="K34" s="272">
        <f ca="1">IF(ISERROR(MATCH(K$1,INDIRECT("Table!A"&amp;$AH34):INDIRECT("Table!" &amp; $AK$63 &amp; $AH34),0)),"",INDIRECT(CONCATENATE("Table!",ADDRESS($AD34,MATCH(K$1,INDIRECT("Table!A" &amp; $AH34):INDIRECT("Table!" &amp; $AK$63 &amp; $AH34),0))))/1024)</f>
        <v>24.332874023437498</v>
      </c>
      <c r="L34" s="272">
        <f ca="1">IF(ISERROR(MATCH(L$1,INDIRECT("Table!A"&amp;$AH34):INDIRECT("Table!" &amp; $AK$63 &amp; $AH34),0)),"",INDIRECT(CONCATENATE("Table!",ADDRESS($AD34,MATCH(L$1,INDIRECT("Table!A" &amp; $AH34):INDIRECT("Table!" &amp; $AK$63 &amp; $AH34),0))))/1024)</f>
        <v>274.54330664062496</v>
      </c>
      <c r="M34" s="272">
        <f ca="1">IF(ISERROR(MATCH(M$1,INDIRECT("Table!A"&amp;$AH34):INDIRECT("Table!" &amp; $AK$63 &amp; $AH34),0)),"",INDIRECT(CONCATENATE("Table!",ADDRESS($AD34,MATCH(M$1,INDIRECT("Table!A" &amp; $AH34):INDIRECT("Table!" &amp; $AK$63 &amp; $AH34),0))))/1024)</f>
        <v>354.3906943359375</v>
      </c>
      <c r="N34" s="272">
        <f ca="1">IF(ISERROR(MATCH(N$1,INDIRECT("Table!A"&amp;$AH34):INDIRECT("Table!" &amp; $AK$63 &amp; $AH34),0)),"",INDIRECT(CONCATENATE("Table!",ADDRESS($AD34,MATCH(N$1,INDIRECT("Table!A" &amp; $AH34):INDIRECT("Table!" &amp; $AK$63 &amp; $AH34),0))))/1024)</f>
        <v>133.5509296875</v>
      </c>
      <c r="O34" s="272">
        <f ca="1">IF(ISERROR(MATCH(O$1,INDIRECT("Table!A"&amp;$AH34):INDIRECT("Table!" &amp; $AK$63 &amp; $AH34),0)),"",INDIRECT(CONCATENATE("Table!",ADDRESS($AD34,MATCH(O$1,INDIRECT("Table!A" &amp; $AH34):INDIRECT("Table!" &amp; $AK$63 &amp; $AH34),0))))/1024)</f>
        <v>250.96774804687499</v>
      </c>
      <c r="P34" s="272">
        <f ca="1">IF(ISERROR(MATCH(P$1,INDIRECT("Table!A"&amp;$AH34):INDIRECT("Table!" &amp; $AK$63 &amp; $AH34),0)),"",INDIRECT(CONCATENATE("Table!",ADDRESS($AD34,MATCH(P$1,INDIRECT("Table!A" &amp; $AH34):INDIRECT("Table!" &amp; $AK$63 &amp; $AH34),0))))/1024)</f>
        <v>33.848707031250001</v>
      </c>
      <c r="Q34" s="272">
        <f ca="1">IF(ISERROR(MATCH(Q$1,INDIRECT("Table!A"&amp;$AH34):INDIRECT("Table!" &amp; $AK$63 &amp; $AH34),0)),"",INDIRECT(CONCATENATE("Table!",ADDRESS($AD34,MATCH(Q$1,INDIRECT("Table!A" &amp; $AH34):INDIRECT("Table!" &amp; $AK$63 &amp; $AH34),0))))/1024)</f>
        <v>84.160792968750002</v>
      </c>
      <c r="R34" s="272">
        <f ca="1">IF(ISERROR(MATCH(R$1,INDIRECT("Table!A"&amp;$AH34):INDIRECT("Table!" &amp; $AK$63 &amp; $AH34),0)),"",INDIRECT(CONCATENATE("Table!",ADDRESS($AD34,MATCH(R$1,INDIRECT("Table!A" &amp; $AH34):INDIRECT("Table!" &amp; $AK$63 &amp; $AH34),0))))/1024)</f>
        <v>102.533923828125</v>
      </c>
      <c r="S34" s="595">
        <f ca="1">IF(ISERROR(MATCH(S$1,INDIRECT("Table!A"&amp;$AH34):INDIRECT("Table!" &amp; $AK$63 &amp; $AH34),0)),"",INDIRECT(CONCATENATE("Table!",ADDRESS($AD34,MATCH(S$1,INDIRECT("Table!A" &amp; $AH34):INDIRECT("Table!" &amp; $AK$63 &amp; $AH34),0))))/1024)</f>
        <v>48.402333984374998</v>
      </c>
      <c r="T34" s="595">
        <f ca="1">IF(ISERROR(MATCH(T$1,INDIRECT("Table!A"&amp;$AH34):INDIRECT("Table!" &amp; $AK$63 &amp; $AH34),0)),"",INDIRECT(CONCATENATE("Table!",ADDRESS($AD34,MATCH(T$1,INDIRECT("Table!A" &amp; $AH34):INDIRECT("Table!" &amp; $AK$63 &amp; $AH34),0))))/1024)</f>
        <v>30.9840791015625</v>
      </c>
      <c r="U34" s="272" t="str">
        <f ca="1">IF(ISERROR(MATCH(U$1,INDIRECT("Table!A"&amp;$AH34):INDIRECT("Table!" &amp; $AK$63 &amp; $AH34),0)),"",INDIRECT(CONCATENATE("Table!",ADDRESS($AD34,MATCH(U$1,INDIRECT("Table!A" &amp; $AH34):INDIRECT("Table!" &amp; $AK$63 &amp; $AH34),0))))/1024)</f>
        <v/>
      </c>
      <c r="V34" s="595"/>
      <c r="W34" s="595"/>
      <c r="X34" s="595"/>
      <c r="Y34" s="595"/>
      <c r="Z34" s="595"/>
      <c r="AA34" s="595"/>
      <c r="AB34" s="595"/>
      <c r="AC34" s="595"/>
      <c r="AD34" s="272">
        <f>MATCH($A34,Table!$A:$A,0)+$AF$2-1</f>
        <v>457</v>
      </c>
      <c r="AE34" s="482"/>
      <c r="AF34" s="482"/>
      <c r="AG34" s="482"/>
      <c r="AH34" s="272">
        <f>MATCH($A34,Table!$A:$A,0)+$AJ$2-1</f>
        <v>449</v>
      </c>
      <c r="AI34" s="482"/>
      <c r="AJ34" s="482"/>
      <c r="AK34" s="904" t="s">
        <v>284</v>
      </c>
      <c r="AL34" s="699">
        <f t="shared" ca="1" si="11"/>
        <v>2946.4179960937495</v>
      </c>
      <c r="AM34" s="699">
        <f t="shared" ca="1" si="10"/>
        <v>14.059725585937031</v>
      </c>
    </row>
    <row r="35" spans="1:39" s="267" customFormat="1" x14ac:dyDescent="0.25">
      <c r="A35" s="268">
        <v>41534</v>
      </c>
      <c r="B35" s="272">
        <f ca="1">IF(ISERROR(MATCH(B$1,INDIRECT("Table!A"&amp;$AH35):INDIRECT("Table!" &amp; $AK$86 &amp; $AH35),0)),"",INDIRECT(CONCATENATE("Table!",ADDRESS($AD35,MATCH(B$1,INDIRECT("Table!A" &amp; $AH35):INDIRECT("Table!" &amp; $AK$86 &amp; $AH35),0))))/1024)</f>
        <v>183.33618749999999</v>
      </c>
      <c r="C35" s="272">
        <f ca="1">IF(ISERROR(MATCH(C$1,INDIRECT("Table!A"&amp;$AH35):INDIRECT("Table!" &amp; $AK$86 &amp; $AH35),0)),"",INDIRECT(CONCATENATE("Table!",ADDRESS($AD35,MATCH(C$1,INDIRECT("Table!A" &amp; $AH35):INDIRECT("Table!" &amp; $AK$86 &amp; $AH35),0))))/1024)</f>
        <v>94.335161132812502</v>
      </c>
      <c r="D35" s="272">
        <f ca="1">IF(ISERROR(MATCH(D$1,INDIRECT("Table!A"&amp;$AH35):INDIRECT("Table!" &amp; $AK$86 &amp; $AH35),0)),"",INDIRECT(CONCATENATE("Table!",ADDRESS($AD35,MATCH(D$1,INDIRECT("Table!A" &amp; $AH35):INDIRECT("Table!" &amp; $AK$86 &amp; $AH35),0))))/1024)</f>
        <v>95.322963867187497</v>
      </c>
      <c r="E35" s="272">
        <f ca="1">IF(ISERROR(MATCH(E$1,INDIRECT("Table!A"&amp;$AH35):INDIRECT("Table!" &amp; $AK$86 &amp; $AH35),0)),"",INDIRECT(CONCATENATE("Table!",ADDRESS($AD35,MATCH(E$1,INDIRECT("Table!A" &amp; $AH35):INDIRECT("Table!" &amp; $AK$86 &amp; $AH35),0))))/1024)</f>
        <v>274.18111230468747</v>
      </c>
      <c r="F35" s="272">
        <f ca="1">IF(ISERROR(MATCH(F$1,INDIRECT("Table!A"&amp;$AH35):INDIRECT("Table!" &amp; $AK$86 &amp; $AH35),0)),"",INDIRECT(CONCATENATE("Table!",ADDRESS($AD35,MATCH(F$1,INDIRECT("Table!A" &amp; $AH35):INDIRECT("Table!" &amp; $AK$86 &amp; $AH35),0))))/1024)</f>
        <v>257.42139257812499</v>
      </c>
      <c r="G35" s="272">
        <f ca="1">IF(ISERROR(MATCH(G$1,INDIRECT("Table!A"&amp;$AH35):INDIRECT("Table!" &amp; $AK$86 &amp; $AH35),0)),"",INDIRECT(CONCATENATE("Table!",ADDRESS($AD35,MATCH(G$1,INDIRECT("Table!A" &amp; $AH35):INDIRECT("Table!" &amp; $AK$86 &amp; $AH35),0))))/1024)</f>
        <v>450.4709736328125</v>
      </c>
      <c r="H35" s="272">
        <f ca="1">IF(ISERROR(MATCH(H$1,INDIRECT("Table!A"&amp;$AH35):INDIRECT("Table!" &amp; $AK$86 &amp; $AH35),0)),"",INDIRECT(CONCATENATE("Table!",ADDRESS($AD35,MATCH(H$1,INDIRECT("Table!A" &amp; $AH35):INDIRECT("Table!" &amp; $AK$86 &amp; $AH35),0))))/1024)</f>
        <v>142.0131064453125</v>
      </c>
      <c r="I35" s="272">
        <f ca="1">IF(ISERROR(MATCH(I$1,INDIRECT("Table!A"&amp;$AH35):INDIRECT("Table!" &amp; $AK$63 &amp; $AH35),0)),"",INDIRECT(CONCATENATE("Table!",ADDRESS($AD35,MATCH(I$1,INDIRECT("Table!A" &amp; $AH35):INDIRECT("Table!" &amp; $AK$63 &amp; $AH35),0))))/1024)</f>
        <v>19.097519531250001</v>
      </c>
      <c r="J35" s="272">
        <f ca="1">IF(ISERROR(MATCH(J$1,INDIRECT("Table!A"&amp;$AH35):INDIRECT("Table!" &amp; $AK$63 &amp; $AH35),0)),"",INDIRECT(CONCATENATE("Table!",ADDRESS($AD35,MATCH(J$1,INDIRECT("Table!A" &amp; $AH35):INDIRECT("Table!" &amp; $AK$63 &amp; $AH35),0))))/1024)</f>
        <v>92.29370214843749</v>
      </c>
      <c r="K35" s="272">
        <f ca="1">IF(ISERROR(MATCH(K$1,INDIRECT("Table!A"&amp;$AH35):INDIRECT("Table!" &amp; $AK$63 &amp; $AH35),0)),"",INDIRECT(CONCATENATE("Table!",ADDRESS($AD35,MATCH(K$1,INDIRECT("Table!A" &amp; $AH35):INDIRECT("Table!" &amp; $AK$63 &amp; $AH35),0))))/1024)</f>
        <v>18.504837890624998</v>
      </c>
      <c r="L35" s="272">
        <f ca="1">IF(ISERROR(MATCH(L$1,INDIRECT("Table!A"&amp;$AH35):INDIRECT("Table!" &amp; $AK$63 &amp; $AH35),0)),"",INDIRECT(CONCATENATE("Table!",ADDRESS($AD35,MATCH(L$1,INDIRECT("Table!A" &amp; $AH35):INDIRECT("Table!" &amp; $AK$63 &amp; $AH35),0))))/1024)</f>
        <v>267.957955078125</v>
      </c>
      <c r="M35" s="272">
        <f ca="1">IF(ISERROR(MATCH(M$1,INDIRECT("Table!A"&amp;$AH35):INDIRECT("Table!" &amp; $AK$63 &amp; $AH35),0)),"",INDIRECT(CONCATENATE("Table!",ADDRESS($AD35,MATCH(M$1,INDIRECT("Table!A" &amp; $AH35):INDIRECT("Table!" &amp; $AK$63 &amp; $AH35),0))))/1024)</f>
        <v>354.3906943359375</v>
      </c>
      <c r="N35" s="272">
        <f ca="1">IF(ISERROR(MATCH(N$1,INDIRECT("Table!A"&amp;$AH35):INDIRECT("Table!" &amp; $AK$63 &amp; $AH35),0)),"",INDIRECT(CONCATENATE("Table!",ADDRESS($AD35,MATCH(N$1,INDIRECT("Table!A" &amp; $AH35):INDIRECT("Table!" &amp; $AK$63 &amp; $AH35),0))))/1024)</f>
        <v>133.5509296875</v>
      </c>
      <c r="O35" s="272">
        <f ca="1">IF(ISERROR(MATCH(O$1,INDIRECT("Table!A"&amp;$AH35):INDIRECT("Table!" &amp; $AK$63 &amp; $AH35),0)),"",INDIRECT(CONCATENATE("Table!",ADDRESS($AD35,MATCH(O$1,INDIRECT("Table!A" &amp; $AH35):INDIRECT("Table!" &amp; $AK$63 &amp; $AH35),0))))/1024)</f>
        <v>250.96774804687499</v>
      </c>
      <c r="P35" s="272">
        <f ca="1">IF(ISERROR(MATCH(P$1,INDIRECT("Table!A"&amp;$AH35):INDIRECT("Table!" &amp; $AK$63 &amp; $AH35),0)),"",INDIRECT(CONCATENATE("Table!",ADDRESS($AD35,MATCH(P$1,INDIRECT("Table!A" &amp; $AH35):INDIRECT("Table!" &amp; $AK$63 &amp; $AH35),0))))/1024)</f>
        <v>33.848707031250001</v>
      </c>
      <c r="Q35" s="272">
        <f ca="1">IF(ISERROR(MATCH(Q$1,INDIRECT("Table!A"&amp;$AH35):INDIRECT("Table!" &amp; $AK$63 &amp; $AH35),0)),"",INDIRECT(CONCATENATE("Table!",ADDRESS($AD35,MATCH(Q$1,INDIRECT("Table!A" &amp; $AH35):INDIRECT("Table!" &amp; $AK$63 &amp; $AH35),0))))/1024)</f>
        <v>84.160792968750002</v>
      </c>
      <c r="R35" s="272">
        <f ca="1">IF(ISERROR(MATCH(R$1,INDIRECT("Table!A"&amp;$AH35):INDIRECT("Table!" &amp; $AK$63 &amp; $AH35),0)),"",INDIRECT(CONCATENATE("Table!",ADDRESS($AD35,MATCH(R$1,INDIRECT("Table!A" &amp; $AH35):INDIRECT("Table!" &amp; $AK$63 &amp; $AH35),0))))/1024)</f>
        <v>101.11807324218749</v>
      </c>
      <c r="S35" s="595">
        <f ca="1">IF(ISERROR(MATCH(S$1,INDIRECT("Table!A"&amp;$AH35):INDIRECT("Table!" &amp; $AK$63 &amp; $AH35),0)),"",INDIRECT(CONCATENATE("Table!",ADDRESS($AD35,MATCH(S$1,INDIRECT("Table!A" &amp; $AH35):INDIRECT("Table!" &amp; $AK$63 &amp; $AH35),0))))/1024)</f>
        <v>48.402333984374998</v>
      </c>
      <c r="T35" s="595">
        <f ca="1">IF(ISERROR(MATCH(T$1,INDIRECT("Table!A"&amp;$AH35):INDIRECT("Table!" &amp; $AK$63 &amp; $AH35),0)),"",INDIRECT(CONCATENATE("Table!",ADDRESS($AD35,MATCH(T$1,INDIRECT("Table!A" &amp; $AH35):INDIRECT("Table!" &amp; $AK$63 &amp; $AH35),0))))/1024)</f>
        <v>30.9840791015625</v>
      </c>
      <c r="U35" s="272" t="str">
        <f ca="1">IF(ISERROR(MATCH(U$1,INDIRECT("Table!A"&amp;$AH35):INDIRECT("Table!" &amp; $AK$63 &amp; $AH35),0)),"",INDIRECT(CONCATENATE("Table!",ADDRESS($AD35,MATCH(U$1,INDIRECT("Table!A" &amp; $AH35):INDIRECT("Table!" &amp; $AK$63 &amp; $AH35),0))))/1024)</f>
        <v/>
      </c>
      <c r="V35" s="595"/>
      <c r="W35" s="595"/>
      <c r="X35" s="595"/>
      <c r="Y35" s="595"/>
      <c r="Z35" s="595"/>
      <c r="AA35" s="595"/>
      <c r="AB35" s="595"/>
      <c r="AC35" s="595"/>
      <c r="AD35" s="272">
        <f>MATCH($A35,Table!$A:$A,0)+$AF$2-1</f>
        <v>469</v>
      </c>
      <c r="AE35" s="473"/>
      <c r="AF35" s="473"/>
      <c r="AG35" s="473"/>
      <c r="AH35" s="272">
        <f>MATCH($A35,Table!$A:$A,0)+$AJ$2-1</f>
        <v>461</v>
      </c>
      <c r="AI35" s="473"/>
      <c r="AJ35" s="473"/>
      <c r="AK35" s="904" t="s">
        <v>284</v>
      </c>
      <c r="AL35" s="699">
        <f t="shared" ca="1" si="11"/>
        <v>2932.3582705078124</v>
      </c>
      <c r="AM35" s="699">
        <f t="shared" ca="1" si="10"/>
        <v>29.271887695312216</v>
      </c>
    </row>
    <row r="36" spans="1:39" s="267" customFormat="1" x14ac:dyDescent="0.25">
      <c r="A36" s="268">
        <v>41519</v>
      </c>
      <c r="B36" s="272">
        <f ca="1">IF(ISERROR(MATCH(B$1,INDIRECT("Table!A"&amp;$AH36):INDIRECT("Table!" &amp; $AK$86 &amp; $AH36),0)),"",INDIRECT(CONCATENATE("Table!",ADDRESS($AD36,MATCH(B$1,INDIRECT("Table!A" &amp; $AH36):INDIRECT("Table!" &amp; $AK$86 &amp; $AH36),0))))/1024)</f>
        <v>181.36058203125</v>
      </c>
      <c r="C36" s="272">
        <f ca="1">IF(ISERROR(MATCH(C$1,INDIRECT("Table!A"&amp;$AH36):INDIRECT("Table!" &amp; $AK$86 &amp; $AH36),0)),"",INDIRECT(CONCATENATE("Table!",ADDRESS($AD36,MATCH(C$1,INDIRECT("Table!A" &amp; $AH36):INDIRECT("Table!" &amp; $AK$86 &amp; $AH36),0))))/1024)</f>
        <v>92.227848632812496</v>
      </c>
      <c r="D36" s="272">
        <f ca="1">IF(ISERROR(MATCH(D$1,INDIRECT("Table!A"&amp;$AH36):INDIRECT("Table!" &amp; $AK$86 &amp; $AH36),0)),"",INDIRECT(CONCATENATE("Table!",ADDRESS($AD36,MATCH(D$1,INDIRECT("Table!A" &amp; $AH36):INDIRECT("Table!" &amp; $AK$86 &amp; $AH36),0))))/1024)</f>
        <v>93.21565136718749</v>
      </c>
      <c r="E36" s="272">
        <f ca="1">IF(ISERROR(MATCH(E$1,INDIRECT("Table!A"&amp;$AH36):INDIRECT("Table!" &amp; $AK$86 &amp; $AH36),0)),"",INDIRECT(CONCATENATE("Table!",ADDRESS($AD36,MATCH(E$1,INDIRECT("Table!A" &amp; $AH36):INDIRECT("Table!" &amp; $AK$86 &amp; $AH36),0))))/1024)</f>
        <v>274.18111230468747</v>
      </c>
      <c r="F36" s="272">
        <f ca="1">IF(ISERROR(MATCH(F$1,INDIRECT("Table!A"&amp;$AH36):INDIRECT("Table!" &amp; $AK$86 &amp; $AH36),0)),"",INDIRECT(CONCATENATE("Table!",ADDRESS($AD36,MATCH(F$1,INDIRECT("Table!A" &amp; $AH36):INDIRECT("Table!" &amp; $AK$86 &amp; $AH36),0))))/1024)</f>
        <v>257.42139257812499</v>
      </c>
      <c r="G36" s="272">
        <f ca="1">IF(ISERROR(MATCH(G$1,INDIRECT("Table!A"&amp;$AH36):INDIRECT("Table!" &amp; $AK$86 &amp; $AH36),0)),"",INDIRECT(CONCATENATE("Table!",ADDRESS($AD36,MATCH(G$1,INDIRECT("Table!A" &amp; $AH36):INDIRECT("Table!" &amp; $AK$86 &amp; $AH36),0))))/1024)</f>
        <v>450.40512011718749</v>
      </c>
      <c r="H36" s="272">
        <f ca="1">IF(ISERROR(MATCH(H$1,INDIRECT("Table!A"&amp;$AH36):INDIRECT("Table!" &amp; $AK$86 &amp; $AH36),0)),"",INDIRECT(CONCATENATE("Table!",ADDRESS($AD36,MATCH(H$1,INDIRECT("Table!A" &amp; $AH36):INDIRECT("Table!" &amp; $AK$86 &amp; $AH36),0))))/1024)</f>
        <v>141.02530371093749</v>
      </c>
      <c r="I36" s="272">
        <f ca="1">IF(ISERROR(MATCH(I$1,INDIRECT("Table!A"&amp;$AH36):INDIRECT("Table!" &amp; $AK$63 &amp; $AH36),0)),"",INDIRECT(CONCATENATE("Table!",ADDRESS($AD36,MATCH(I$1,INDIRECT("Table!A" &amp; $AH36):INDIRECT("Table!" &amp; $AK$63 &amp; $AH36),0))))/1024)</f>
        <v>19.097519531250001</v>
      </c>
      <c r="J36" s="272">
        <f ca="1">IF(ISERROR(MATCH(J$1,INDIRECT("Table!A"&amp;$AH36):INDIRECT("Table!" &amp; $AK$63 &amp; $AH36),0)),"",INDIRECT(CONCATENATE("Table!",ADDRESS($AD36,MATCH(J$1,INDIRECT("Table!A" &amp; $AH36):INDIRECT("Table!" &amp; $AK$63 &amp; $AH36),0))))/1024)</f>
        <v>86.4327392578125</v>
      </c>
      <c r="K36" s="272">
        <f ca="1">IF(ISERROR(MATCH(K$1,INDIRECT("Table!A"&amp;$AH36):INDIRECT("Table!" &amp; $AK$63 &amp; $AH36),0)),"",INDIRECT(CONCATENATE("Table!",ADDRESS($AD36,MATCH(K$1,INDIRECT("Table!A" &amp; $AH36):INDIRECT("Table!" &amp; $AK$63 &amp; $AH36),0))))/1024)</f>
        <v>14.817041015625</v>
      </c>
      <c r="L36" s="272">
        <f ca="1">IF(ISERROR(MATCH(L$1,INDIRECT("Table!A"&amp;$AH36):INDIRECT("Table!" &amp; $AK$63 &amp; $AH36),0)),"",INDIRECT(CONCATENATE("Table!",ADDRESS($AD36,MATCH(L$1,INDIRECT("Table!A" &amp; $AH36):INDIRECT("Table!" &amp; $AK$63 &amp; $AH36),0))))/1024)</f>
        <v>269.04453808593752</v>
      </c>
      <c r="M36" s="272">
        <f ca="1">IF(ISERROR(MATCH(M$1,INDIRECT("Table!A"&amp;$AH36):INDIRECT("Table!" &amp; $AK$63 &amp; $AH36),0)),"",INDIRECT(CONCATENATE("Table!",ADDRESS($AD36,MATCH(M$1,INDIRECT("Table!A" &amp; $AH36):INDIRECT("Table!" &amp; $AK$63 &amp; $AH36),0))))/1024)</f>
        <v>354.3906943359375</v>
      </c>
      <c r="N36" s="272">
        <f ca="1">IF(ISERROR(MATCH(N$1,INDIRECT("Table!A"&amp;$AH36):INDIRECT("Table!" &amp; $AK$63 &amp; $AH36),0)),"",INDIRECT(CONCATENATE("Table!",ADDRESS($AD36,MATCH(N$1,INDIRECT("Table!A" &amp; $AH36):INDIRECT("Table!" &amp; $AK$63 &amp; $AH36),0))))/1024)</f>
        <v>133.5509296875</v>
      </c>
      <c r="O36" s="272">
        <f ca="1">IF(ISERROR(MATCH(O$1,INDIRECT("Table!A"&amp;$AH36):INDIRECT("Table!" &amp; $AK$63 &amp; $AH36),0)),"",INDIRECT(CONCATENATE("Table!",ADDRESS($AD36,MATCH(O$1,INDIRECT("Table!A" &amp; $AH36):INDIRECT("Table!" &amp; $AK$63 &amp; $AH36),0))))/1024)</f>
        <v>249.97994531249998</v>
      </c>
      <c r="P36" s="272">
        <f ca="1">IF(ISERROR(MATCH(P$1,INDIRECT("Table!A"&amp;$AH36):INDIRECT("Table!" &amp; $AK$63 &amp; $AH36),0)),"",INDIRECT(CONCATENATE("Table!",ADDRESS($AD36,MATCH(P$1,INDIRECT("Table!A" &amp; $AH36):INDIRECT("Table!" &amp; $AK$63 &amp; $AH36),0))))/1024)</f>
        <v>33.848707031250001</v>
      </c>
      <c r="Q36" s="272">
        <f ca="1">IF(ISERROR(MATCH(Q$1,INDIRECT("Table!A"&amp;$AH36):INDIRECT("Table!" &amp; $AK$63 &amp; $AH36),0)),"",INDIRECT(CONCATENATE("Table!",ADDRESS($AD36,MATCH(Q$1,INDIRECT("Table!A" &amp; $AH36):INDIRECT("Table!" &amp; $AK$63 &amp; $AH36),0))))/1024)</f>
        <v>77.904708984374992</v>
      </c>
      <c r="R36" s="272">
        <f ca="1">IF(ISERROR(MATCH(R$1,INDIRECT("Table!A"&amp;$AH36):INDIRECT("Table!" &amp; $AK$63 &amp; $AH36),0)),"",INDIRECT(CONCATENATE("Table!",ADDRESS($AD36,MATCH(R$1,INDIRECT("Table!A" &amp; $AH36):INDIRECT("Table!" &amp; $AK$63 &amp; $AH36),0))))/1024)</f>
        <v>98.154665039062493</v>
      </c>
      <c r="S36" s="595">
        <f ca="1">IF(ISERROR(MATCH(S$1,INDIRECT("Table!A"&amp;$AH36):INDIRECT("Table!" &amp; $AK$63 &amp; $AH36),0)),"",INDIRECT(CONCATENATE("Table!",ADDRESS($AD36,MATCH(S$1,INDIRECT("Table!A" &amp; $AH36):INDIRECT("Table!" &amp; $AK$63 &amp; $AH36),0))))/1024)</f>
        <v>46.163314453124997</v>
      </c>
      <c r="T36" s="595">
        <f ca="1">IF(ISERROR(MATCH(T$1,INDIRECT("Table!A"&amp;$AH36):INDIRECT("Table!" &amp; $AK$63 &amp; $AH36),0)),"",INDIRECT(CONCATENATE("Table!",ADDRESS($AD36,MATCH(T$1,INDIRECT("Table!A" &amp; $AH36):INDIRECT("Table!" &amp; $AK$63 &amp; $AH36),0))))/1024)</f>
        <v>29.8645693359375</v>
      </c>
      <c r="U36" s="272" t="str">
        <f ca="1">IF(ISERROR(MATCH(U$1,INDIRECT("Table!A"&amp;$AH36):INDIRECT("Table!" &amp; $AK$63 &amp; $AH36),0)),"",INDIRECT(CONCATENATE("Table!",ADDRESS($AD36,MATCH(U$1,INDIRECT("Table!A" &amp; $AH36):INDIRECT("Table!" &amp; $AK$63 &amp; $AH36),0))))/1024)</f>
        <v/>
      </c>
      <c r="V36" s="595"/>
      <c r="W36" s="595"/>
      <c r="X36" s="595"/>
      <c r="Y36" s="595"/>
      <c r="Z36" s="595"/>
      <c r="AA36" s="595"/>
      <c r="AB36" s="595"/>
      <c r="AC36" s="595"/>
      <c r="AD36" s="272">
        <f>MATCH($A36,Table!$A:$A,0)+$AF$2-1</f>
        <v>481</v>
      </c>
      <c r="AE36" s="468"/>
      <c r="AF36" s="468"/>
      <c r="AG36" s="468"/>
      <c r="AH36" s="272">
        <f>MATCH($A36,Table!$A:$A,0)+$AJ$2-1</f>
        <v>473</v>
      </c>
      <c r="AI36" s="468"/>
      <c r="AJ36" s="468"/>
      <c r="AK36" s="904" t="s">
        <v>284</v>
      </c>
      <c r="AL36" s="699">
        <f t="shared" ca="1" si="11"/>
        <v>2903.0863828125002</v>
      </c>
      <c r="AM36" s="699">
        <f t="shared" ca="1" si="10"/>
        <v>5.1036474609381912</v>
      </c>
    </row>
    <row r="37" spans="1:39" s="267" customFormat="1" x14ac:dyDescent="0.25">
      <c r="A37" s="268">
        <v>41513</v>
      </c>
      <c r="B37" s="272">
        <f ca="1">IF(ISERROR(MATCH(B$1,INDIRECT("Table!A"&amp;$AH37):INDIRECT("Table!" &amp; $AK$86 &amp; $AH37),0)),"",INDIRECT(CONCATENATE("Table!",ADDRESS($AD37,MATCH(B$1,INDIRECT("Table!A" &amp; $AH37):INDIRECT("Table!" &amp; $AK$86 &amp; $AH37),0))))/1024)</f>
        <v>180.57033984374999</v>
      </c>
      <c r="C37" s="272">
        <f ca="1">IF(ISERROR(MATCH(C$1,INDIRECT("Table!A"&amp;$AH37):INDIRECT("Table!" &amp; $AK$86 &amp; $AH37),0)),"",INDIRECT(CONCATENATE("Table!",ADDRESS($AD37,MATCH(C$1,INDIRECT("Table!A" &amp; $AH37):INDIRECT("Table!" &amp; $AK$86 &amp; $AH37),0))))/1024)</f>
        <v>91.832727539062503</v>
      </c>
      <c r="D37" s="272">
        <f ca="1">IF(ISERROR(MATCH(D$1,INDIRECT("Table!A"&amp;$AH37):INDIRECT("Table!" &amp; $AK$86 &amp; $AH37),0)),"",INDIRECT(CONCATENATE("Table!",ADDRESS($AD37,MATCH(D$1,INDIRECT("Table!A" &amp; $AH37):INDIRECT("Table!" &amp; $AK$86 &amp; $AH37),0))))/1024)</f>
        <v>92.260775390625</v>
      </c>
      <c r="E37" s="272">
        <f ca="1">IF(ISERROR(MATCH(E$1,INDIRECT("Table!A"&amp;$AH37):INDIRECT("Table!" &amp; $AK$86 &amp; $AH37),0)),"",INDIRECT(CONCATENATE("Table!",ADDRESS($AD37,MATCH(E$1,INDIRECT("Table!A" &amp; $AH37):INDIRECT("Table!" &amp; $AK$86 &amp; $AH37),0))))/1024)</f>
        <v>274.18111230468747</v>
      </c>
      <c r="F37" s="272">
        <f ca="1">IF(ISERROR(MATCH(F$1,INDIRECT("Table!A"&amp;$AH37):INDIRECT("Table!" &amp; $AK$86 &amp; $AH37),0)),"",INDIRECT(CONCATENATE("Table!",ADDRESS($AD37,MATCH(F$1,INDIRECT("Table!A" &amp; $AH37):INDIRECT("Table!" &amp; $AK$86 &amp; $AH37),0))))/1024)</f>
        <v>256.76285742187497</v>
      </c>
      <c r="G37" s="272">
        <f ca="1">IF(ISERROR(MATCH(G$1,INDIRECT("Table!A"&amp;$AH37):INDIRECT("Table!" &amp; $AK$86 &amp; $AH37),0)),"",INDIRECT(CONCATENATE("Table!",ADDRESS($AD37,MATCH(G$1,INDIRECT("Table!A" &amp; $AH37):INDIRECT("Table!" &amp; $AK$86 &amp; $AH37),0))))/1024)</f>
        <v>450.17463281249996</v>
      </c>
      <c r="H37" s="272">
        <f ca="1">IF(ISERROR(MATCH(H$1,INDIRECT("Table!A"&amp;$AH37):INDIRECT("Table!" &amp; $AK$86 &amp; $AH37),0)),"",INDIRECT(CONCATENATE("Table!",ADDRESS($AD37,MATCH(H$1,INDIRECT("Table!A" &amp; $AH37):INDIRECT("Table!" &amp; $AK$86 &amp; $AH37),0))))/1024)</f>
        <v>140.79481640624999</v>
      </c>
      <c r="I37" s="272">
        <f ca="1">IF(ISERROR(MATCH(I$1,INDIRECT("Table!A"&amp;$AH37):INDIRECT("Table!" &amp; $AK$63 &amp; $AH37),0)),"",INDIRECT(CONCATENATE("Table!",ADDRESS($AD37,MATCH(I$1,INDIRECT("Table!A" &amp; $AH37):INDIRECT("Table!" &amp; $AK$63 &amp; $AH37),0))))/1024)</f>
        <v>18.570691406249999</v>
      </c>
      <c r="J37" s="272">
        <f ca="1">IF(ISERROR(MATCH(J$1,INDIRECT("Table!A"&amp;$AH37):INDIRECT("Table!" &amp; $AK$63 &amp; $AH37),0)),"",INDIRECT(CONCATENATE("Table!",ADDRESS($AD37,MATCH(J$1,INDIRECT("Table!A" &amp; $AH37):INDIRECT("Table!" &amp; $AK$63 &amp; $AH37),0))))/1024)</f>
        <v>86.4327392578125</v>
      </c>
      <c r="K37" s="272">
        <f ca="1">IF(ISERROR(MATCH(K$1,INDIRECT("Table!A"&amp;$AH37):INDIRECT("Table!" &amp; $AK$63 &amp; $AH37),0)),"",INDIRECT(CONCATENATE("Table!",ADDRESS($AD37,MATCH(K$1,INDIRECT("Table!A" &amp; $AH37):INDIRECT("Table!" &amp; $AK$63 &amp; $AH37),0))))/1024)</f>
        <v>14.817041015625</v>
      </c>
      <c r="L37" s="272">
        <f ca="1">IF(ISERROR(MATCH(L$1,INDIRECT("Table!A"&amp;$AH37):INDIRECT("Table!" &amp; $AK$63 &amp; $AH37),0)),"",INDIRECT(CONCATENATE("Table!",ADDRESS($AD37,MATCH(L$1,INDIRECT("Table!A" &amp; $AH37):INDIRECT("Table!" &amp; $AK$63 &amp; $AH37),0))))/1024)</f>
        <v>268.81405078124999</v>
      </c>
      <c r="M37" s="272">
        <f ca="1">IF(ISERROR(MATCH(M$1,INDIRECT("Table!A"&amp;$AH37):INDIRECT("Table!" &amp; $AK$63 &amp; $AH37),0)),"",INDIRECT(CONCATENATE("Table!",ADDRESS($AD37,MATCH(M$1,INDIRECT("Table!A" &amp; $AH37):INDIRECT("Table!" &amp; $AK$63 &amp; $AH37),0))))/1024)</f>
        <v>354.3906943359375</v>
      </c>
      <c r="N37" s="272">
        <f ca="1">IF(ISERROR(MATCH(N$1,INDIRECT("Table!A"&amp;$AH37):INDIRECT("Table!" &amp; $AK$63 &amp; $AH37),0)),"",INDIRECT(CONCATENATE("Table!",ADDRESS($AD37,MATCH(N$1,INDIRECT("Table!A" &amp; $AH37):INDIRECT("Table!" &amp; $AK$63 &amp; $AH37),0))))/1024)</f>
        <v>133.22166210937499</v>
      </c>
      <c r="O37" s="272">
        <f ca="1">IF(ISERROR(MATCH(O$1,INDIRECT("Table!A"&amp;$AH37):INDIRECT("Table!" &amp; $AK$63 &amp; $AH37),0)),"",INDIRECT(CONCATENATE("Table!",ADDRESS($AD37,MATCH(O$1,INDIRECT("Table!A" &amp; $AH37):INDIRECT("Table!" &amp; $AK$63 &amp; $AH37),0))))/1024)</f>
        <v>249.74945800781248</v>
      </c>
      <c r="P37" s="272">
        <f ca="1">IF(ISERROR(MATCH(P$1,INDIRECT("Table!A"&amp;$AH37):INDIRECT("Table!" &amp; $AK$63 &amp; $AH37),0)),"",INDIRECT(CONCATENATE("Table!",ADDRESS($AD37,MATCH(P$1,INDIRECT("Table!A" &amp; $AH37):INDIRECT("Table!" &amp; $AK$63 &amp; $AH37),0))))/1024)</f>
        <v>33.321878906249999</v>
      </c>
      <c r="Q37" s="272">
        <f ca="1">IF(ISERROR(MATCH(Q$1,INDIRECT("Table!A"&amp;$AH37):INDIRECT("Table!" &amp; $AK$63 &amp; $AH37),0)),"",INDIRECT(CONCATENATE("Table!",ADDRESS($AD37,MATCH(Q$1,INDIRECT("Table!A" &amp; $AH37):INDIRECT("Table!" &amp; $AK$63 &amp; $AH37),0))))/1024)</f>
        <v>77.904708984374992</v>
      </c>
      <c r="R37" s="272">
        <f ca="1">IF(ISERROR(MATCH(R$1,INDIRECT("Table!A"&amp;$AH37):INDIRECT("Table!" &amp; $AK$63 &amp; $AH37),0)),"",INDIRECT(CONCATENATE("Table!",ADDRESS($AD37,MATCH(R$1,INDIRECT("Table!A" &amp; $AH37):INDIRECT("Table!" &amp; $AK$63 &amp; $AH37),0))))/1024)</f>
        <v>98.154665039062493</v>
      </c>
      <c r="S37" s="595">
        <f ca="1">IF(ISERROR(MATCH(S$1,INDIRECT("Table!A"&amp;$AH37):INDIRECT("Table!" &amp; $AK$63 &amp; $AH37),0)),"",INDIRECT(CONCATENATE("Table!",ADDRESS($AD37,MATCH(S$1,INDIRECT("Table!A" &amp; $AH37):INDIRECT("Table!" &amp; $AK$63 &amp; $AH37),0))))/1024)</f>
        <v>46.163314453124997</v>
      </c>
      <c r="T37" s="595">
        <f ca="1">IF(ISERROR(MATCH(T$1,INDIRECT("Table!A"&amp;$AH37):INDIRECT("Table!" &amp; $AK$63 &amp; $AH37),0)),"",INDIRECT(CONCATENATE("Table!",ADDRESS($AD37,MATCH(T$1,INDIRECT("Table!A" &amp; $AH37):INDIRECT("Table!" &amp; $AK$63 &amp; $AH37),0))))/1024)</f>
        <v>29.8645693359375</v>
      </c>
      <c r="U37" s="272" t="str">
        <f ca="1">IF(ISERROR(MATCH(U$1,INDIRECT("Table!A"&amp;$AH37):INDIRECT("Table!" &amp; $AK$63 &amp; $AH37),0)),"",INDIRECT(CONCATENATE("Table!",ADDRESS($AD37,MATCH(U$1,INDIRECT("Table!A" &amp; $AH37):INDIRECT("Table!" &amp; $AK$63 &amp; $AH37),0))))/1024)</f>
        <v/>
      </c>
      <c r="V37" s="595"/>
      <c r="W37" s="595"/>
      <c r="X37" s="595"/>
      <c r="Y37" s="595"/>
      <c r="Z37" s="595"/>
      <c r="AA37" s="595"/>
      <c r="AB37" s="595"/>
      <c r="AC37" s="595"/>
      <c r="AD37" s="272">
        <f>MATCH($A37,Table!$A:$A,0)+$AF$2-1</f>
        <v>493</v>
      </c>
      <c r="AE37" s="463"/>
      <c r="AF37" s="463"/>
      <c r="AG37" s="463"/>
      <c r="AH37" s="272">
        <f>MATCH($A37,Table!$A:$A,0)+$AJ$2-1</f>
        <v>485</v>
      </c>
      <c r="AI37" s="463"/>
      <c r="AJ37" s="463"/>
      <c r="AK37" s="904" t="s">
        <v>284</v>
      </c>
      <c r="AL37" s="699">
        <f t="shared" ca="1" si="11"/>
        <v>2897.982735351562</v>
      </c>
      <c r="AM37" s="699">
        <f t="shared" ca="1" si="10"/>
        <v>81.855919921874829</v>
      </c>
    </row>
    <row r="38" spans="1:39" s="267" customFormat="1" x14ac:dyDescent="0.25">
      <c r="A38" s="268">
        <v>41498</v>
      </c>
      <c r="B38" s="272">
        <f ca="1">IF(ISERROR(MATCH(B$1,INDIRECT("Table!A"&amp;$AH38):INDIRECT("Table!" &amp; $AK$86 &amp; $AH38),0)),"",INDIRECT(CONCATENATE("Table!",ADDRESS($AD38,MATCH(B$1,INDIRECT("Table!A" &amp; $AH38):INDIRECT("Table!" &amp; $AK$86 &amp; $AH38),0))))/1024)</f>
        <v>180.07643847656249</v>
      </c>
      <c r="C38" s="272">
        <f ca="1">IF(ISERROR(MATCH(C$1,INDIRECT("Table!A"&amp;$AH38):INDIRECT("Table!" &amp; $AK$86 &amp; $AH38),0)),"",INDIRECT(CONCATENATE("Table!",ADDRESS($AD38,MATCH(C$1,INDIRECT("Table!A" &amp; $AH38):INDIRECT("Table!" &amp; $AK$86 &amp; $AH38),0))))/1024)</f>
        <v>91.240045898437501</v>
      </c>
      <c r="D38" s="272">
        <f ca="1">IF(ISERROR(MATCH(D$1,INDIRECT("Table!A"&amp;$AH38):INDIRECT("Table!" &amp; $AK$86 &amp; $AH38),0)),"",INDIRECT(CONCATENATE("Table!",ADDRESS($AD38,MATCH(D$1,INDIRECT("Table!A" &amp; $AH38):INDIRECT("Table!" &amp; $AK$86 &amp; $AH38),0))))/1024)</f>
        <v>92.260775390625</v>
      </c>
      <c r="E38" s="272">
        <f ca="1">IF(ISERROR(MATCH(E$1,INDIRECT("Table!A"&amp;$AH38):INDIRECT("Table!" &amp; $AK$86 &amp; $AH38),0)),"",INDIRECT(CONCATENATE("Table!",ADDRESS($AD38,MATCH(E$1,INDIRECT("Table!A" &amp; $AH38):INDIRECT("Table!" &amp; $AK$86 &amp; $AH38),0))))/1024)</f>
        <v>272.30428710937497</v>
      </c>
      <c r="F38" s="272">
        <f ca="1">IF(ISERROR(MATCH(F$1,INDIRECT("Table!A"&amp;$AH38):INDIRECT("Table!" &amp; $AK$86 &amp; $AH38),0)),"",INDIRECT(CONCATENATE("Table!",ADDRESS($AD38,MATCH(F$1,INDIRECT("Table!A" &amp; $AH38):INDIRECT("Table!" &amp; $AK$86 &amp; $AH38),0))))/1024)</f>
        <v>256.76285742187497</v>
      </c>
      <c r="G38" s="272">
        <f ca="1">IF(ISERROR(MATCH(G$1,INDIRECT("Table!A"&amp;$AH38):INDIRECT("Table!" &amp; $AK$86 &amp; $AH38),0)),"",INDIRECT(CONCATENATE("Table!",ADDRESS($AD38,MATCH(G$1,INDIRECT("Table!A" &amp; $AH38):INDIRECT("Table!" &amp; $AK$86 &amp; $AH38),0))))/1024)</f>
        <v>447.44171191406247</v>
      </c>
      <c r="H38" s="272">
        <f ca="1">IF(ISERROR(MATCH(H$1,INDIRECT("Table!A"&amp;$AH38):INDIRECT("Table!" &amp; $AK$86 &amp; $AH38),0)),"",INDIRECT(CONCATENATE("Table!",ADDRESS($AD38,MATCH(H$1,INDIRECT("Table!A" &amp; $AH38):INDIRECT("Table!" &amp; $AK$86 &amp; $AH38),0))))/1024)</f>
        <v>139.80701367187498</v>
      </c>
      <c r="I38" s="272">
        <f ca="1">IF(ISERROR(MATCH(I$1,INDIRECT("Table!A"&amp;$AH38):INDIRECT("Table!" &amp; $AK$63 &amp; $AH38),0)),"",INDIRECT(CONCATENATE("Table!",ADDRESS($AD38,MATCH(I$1,INDIRECT("Table!A" &amp; $AH38):INDIRECT("Table!" &amp; $AK$63 &amp; $AH38),0))))/1024)</f>
        <v>18.043863281250001</v>
      </c>
      <c r="J38" s="272">
        <f ca="1">IF(ISERROR(MATCH(J$1,INDIRECT("Table!A"&amp;$AH38):INDIRECT("Table!" &amp; $AK$63 &amp; $AH38),0)),"",INDIRECT(CONCATENATE("Table!",ADDRESS($AD38,MATCH(J$1,INDIRECT("Table!A" &amp; $AH38):INDIRECT("Table!" &amp; $AK$63 &amp; $AH38),0))))/1024)</f>
        <v>59.498651367187499</v>
      </c>
      <c r="K38" s="272">
        <f ca="1">IF(ISERROR(MATCH(K$1,INDIRECT("Table!A"&amp;$AH38):INDIRECT("Table!" &amp; $AK$63 &amp; $AH38),0)),"",INDIRECT(CONCATENATE("Table!",ADDRESS($AD38,MATCH(K$1,INDIRECT("Table!A" &amp; $AH38):INDIRECT("Table!" &amp; $AK$63 &amp; $AH38),0))))/1024)</f>
        <v>11.326804687499999</v>
      </c>
      <c r="L38" s="272">
        <f ca="1">IF(ISERROR(MATCH(L$1,INDIRECT("Table!A"&amp;$AH38):INDIRECT("Table!" &amp; $AK$63 &amp; $AH38),0)),"",INDIRECT(CONCATENATE("Table!",ADDRESS($AD38,MATCH(L$1,INDIRECT("Table!A" &amp; $AH38):INDIRECT("Table!" &amp; $AK$63 &amp; $AH38),0))))/1024)</f>
        <v>268.81405078124999</v>
      </c>
      <c r="M38" s="272">
        <f ca="1">IF(ISERROR(MATCH(M$1,INDIRECT("Table!A"&amp;$AH38):INDIRECT("Table!" &amp; $AK$63 &amp; $AH38),0)),"",INDIRECT(CONCATENATE("Table!",ADDRESS($AD38,MATCH(M$1,INDIRECT("Table!A" &amp; $AH38):INDIRECT("Table!" &amp; $AK$63 &amp; $AH38),0))))/1024)</f>
        <v>353.13947753906251</v>
      </c>
      <c r="N38" s="272">
        <f ca="1">IF(ISERROR(MATCH(N$1,INDIRECT("Table!A"&amp;$AH38):INDIRECT("Table!" &amp; $AK$63 &amp; $AH38),0)),"",INDIRECT(CONCATENATE("Table!",ADDRESS($AD38,MATCH(N$1,INDIRECT("Table!A" &amp; $AH38):INDIRECT("Table!" &amp; $AK$63 &amp; $AH38),0))))/1024)</f>
        <v>133.22166210937499</v>
      </c>
      <c r="O38" s="272">
        <f ca="1">IF(ISERROR(MATCH(O$1,INDIRECT("Table!A"&amp;$AH38):INDIRECT("Table!" &amp; $AK$63 &amp; $AH38),0)),"",INDIRECT(CONCATENATE("Table!",ADDRESS($AD38,MATCH(O$1,INDIRECT("Table!A" &amp; $AH38):INDIRECT("Table!" &amp; $AK$63 &amp; $AH38),0))))/1024)</f>
        <v>248.7616552734375</v>
      </c>
      <c r="P38" s="272">
        <f ca="1">IF(ISERROR(MATCH(P$1,INDIRECT("Table!A"&amp;$AH38):INDIRECT("Table!" &amp; $AK$63 &amp; $AH38),0)),"",INDIRECT(CONCATENATE("Table!",ADDRESS($AD38,MATCH(P$1,INDIRECT("Table!A" &amp; $AH38):INDIRECT("Table!" &amp; $AK$63 &amp; $AH38),0))))/1024)</f>
        <v>32.795050781249998</v>
      </c>
      <c r="Q38" s="272">
        <f ca="1">IF(ISERROR(MATCH(Q$1,INDIRECT("Table!A"&amp;$AH38):INDIRECT("Table!" &amp; $AK$63 &amp; $AH38),0)),"",INDIRECT(CONCATENATE("Table!",ADDRESS($AD38,MATCH(Q$1,INDIRECT("Table!A" &amp; $AH38):INDIRECT("Table!" &amp; $AK$63 &amp; $AH38),0))))/1024)</f>
        <v>63.285228515625001</v>
      </c>
      <c r="R38" s="272">
        <f ca="1">IF(ISERROR(MATCH(R$1,INDIRECT("Table!A"&amp;$AH38):INDIRECT("Table!" &amp; $AK$63 &amp; $AH38),0)),"",INDIRECT(CONCATENATE("Table!",ADDRESS($AD38,MATCH(R$1,INDIRECT("Table!A" &amp; $AH38):INDIRECT("Table!" &amp; $AK$63 &amp; $AH38),0))))/1024)</f>
        <v>93.446138671874991</v>
      </c>
      <c r="S38" s="595">
        <f ca="1">IF(ISERROR(MATCH(S$1,INDIRECT("Table!A"&amp;$AH38):INDIRECT("Table!" &amp; $AK$63 &amp; $AH38),0)),"",INDIRECT(CONCATENATE("Table!",ADDRESS($AD38,MATCH(S$1,INDIRECT("Table!A" &amp; $AH38):INDIRECT("Table!" &amp; $AK$63 &amp; $AH38),0))))/1024)</f>
        <v>36.680408203124998</v>
      </c>
      <c r="T38" s="595">
        <f ca="1">IF(ISERROR(MATCH(T$1,INDIRECT("Table!A"&amp;$AH38):INDIRECT("Table!" &amp; $AK$63 &amp; $AH38),0)),"",INDIRECT(CONCATENATE("Table!",ADDRESS($AD38,MATCH(T$1,INDIRECT("Table!A" &amp; $AH38):INDIRECT("Table!" &amp; $AK$63 &amp; $AH38),0))))/1024)</f>
        <v>17.220694335937498</v>
      </c>
      <c r="U38" s="272" t="str">
        <f ca="1">IF(ISERROR(MATCH(U$1,INDIRECT("Table!A"&amp;$AH38):INDIRECT("Table!" &amp; $AK$63 &amp; $AH38),0)),"",INDIRECT(CONCATENATE("Table!",ADDRESS($AD38,MATCH(U$1,INDIRECT("Table!A" &amp; $AH38):INDIRECT("Table!" &amp; $AK$63 &amp; $AH38),0))))/1024)</f>
        <v/>
      </c>
      <c r="V38" s="595"/>
      <c r="W38" s="595"/>
      <c r="X38" s="595"/>
      <c r="Y38" s="595"/>
      <c r="Z38" s="595"/>
      <c r="AA38" s="595"/>
      <c r="AB38" s="595"/>
      <c r="AC38" s="595"/>
      <c r="AD38" s="272">
        <f>MATCH($A38,Table!$A:$A,0)+$AF$2-1</f>
        <v>505</v>
      </c>
      <c r="AE38" s="458"/>
      <c r="AF38" s="458"/>
      <c r="AG38" s="458"/>
      <c r="AH38" s="272">
        <f>MATCH($A38,Table!$A:$A,0)+$AJ$2-1</f>
        <v>497</v>
      </c>
      <c r="AI38" s="458"/>
      <c r="AJ38" s="458"/>
      <c r="AK38" s="904" t="s">
        <v>284</v>
      </c>
      <c r="AL38" s="699">
        <f t="shared" ca="1" si="11"/>
        <v>2816.1268154296872</v>
      </c>
      <c r="AM38" s="699">
        <f t="shared" ca="1" si="10"/>
        <v>31.609687500000291</v>
      </c>
    </row>
    <row r="39" spans="1:39" s="267" customFormat="1" x14ac:dyDescent="0.25">
      <c r="A39" s="268">
        <v>41491</v>
      </c>
      <c r="B39" s="272">
        <f ca="1">IF(ISERROR(MATCH(B$1,INDIRECT("Table!A"&amp;$AH39):INDIRECT("Table!" &amp; $AK$86 &amp; $AH39),0)),"",INDIRECT(CONCATENATE("Table!",ADDRESS($AD39,MATCH(B$1,INDIRECT("Table!A" &amp; $AH39):INDIRECT("Table!" &amp; $AK$86 &amp; $AH39),0))))/1024)</f>
        <v>180.07643847656249</v>
      </c>
      <c r="C39" s="272">
        <f ca="1">IF(ISERROR(MATCH(C$1,INDIRECT("Table!A"&amp;$AH39):INDIRECT("Table!" &amp; $AK$86 &amp; $AH39),0)),"",INDIRECT(CONCATENATE("Table!",ADDRESS($AD39,MATCH(C$1,INDIRECT("Table!A" &amp; $AH39):INDIRECT("Table!" &amp; $AK$86 &amp; $AH39),0))))/1024)</f>
        <v>92.030288085937499</v>
      </c>
      <c r="D39" s="272">
        <f ca="1">IF(ISERROR(MATCH(D$1,INDIRECT("Table!A"&amp;$AH39):INDIRECT("Table!" &amp; $AK$86 &amp; $AH39),0)),"",INDIRECT(CONCATENATE("Table!",ADDRESS($AD39,MATCH(D$1,INDIRECT("Table!A" &amp; $AH39):INDIRECT("Table!" &amp; $AK$86 &amp; $AH39),0))))/1024)</f>
        <v>93.051017578124998</v>
      </c>
      <c r="E39" s="272">
        <f ca="1">IF(ISERROR(MATCH(E$1,INDIRECT("Table!A"&amp;$AH39):INDIRECT("Table!" &amp; $AK$86 &amp; $AH39),0)),"",INDIRECT(CONCATENATE("Table!",ADDRESS($AD39,MATCH(E$1,INDIRECT("Table!A" &amp; $AH39):INDIRECT("Table!" &amp; $AK$86 &amp; $AH39),0))))/1024)</f>
        <v>271.81038574218746</v>
      </c>
      <c r="F39" s="272">
        <f ca="1">IF(ISERROR(MATCH(F$1,INDIRECT("Table!A"&amp;$AH39):INDIRECT("Table!" &amp; $AK$86 &amp; $AH39),0)),"",INDIRECT(CONCATENATE("Table!",ADDRESS($AD39,MATCH(F$1,INDIRECT("Table!A" &amp; $AH39):INDIRECT("Table!" &amp; $AK$86 &amp; $AH39),0))))/1024)</f>
        <v>256.76285742187497</v>
      </c>
      <c r="G39" s="272">
        <f ca="1">IF(ISERROR(MATCH(G$1,INDIRECT("Table!A"&amp;$AH39):INDIRECT("Table!" &amp; $AK$86 &amp; $AH39),0)),"",INDIRECT(CONCATENATE("Table!",ADDRESS($AD39,MATCH(G$1,INDIRECT("Table!A" &amp; $AH39):INDIRECT("Table!" &amp; $AK$86 &amp; $AH39),0))))/1024)</f>
        <v>447.44171191406247</v>
      </c>
      <c r="H39" s="272">
        <f ca="1">IF(ISERROR(MATCH(H$1,INDIRECT("Table!A"&amp;$AH39):INDIRECT("Table!" &amp; $AK$86 &amp; $AH39),0)),"",INDIRECT(CONCATENATE("Table!",ADDRESS($AD39,MATCH(H$1,INDIRECT("Table!A" &amp; $AH39):INDIRECT("Table!" &amp; $AK$86 &amp; $AH39),0))))/1024)</f>
        <v>138.29238281249999</v>
      </c>
      <c r="I39" s="272">
        <f ca="1">IF(ISERROR(MATCH(I$1,INDIRECT("Table!A"&amp;$AH39):INDIRECT("Table!" &amp; $AK$63 &amp; $AH39),0)),"",INDIRECT(CONCATENATE("Table!",ADDRESS($AD39,MATCH(I$1,INDIRECT("Table!A" &amp; $AH39):INDIRECT("Table!" &amp; $AK$63 &amp; $AH39),0))))/1024)</f>
        <v>18.043863281250001</v>
      </c>
      <c r="J39" s="272">
        <f ca="1">IF(ISERROR(MATCH(J$1,INDIRECT("Table!A"&amp;$AH39):INDIRECT("Table!" &amp; $AK$63 &amp; $AH39),0)),"",INDIRECT(CONCATENATE("Table!",ADDRESS($AD39,MATCH(J$1,INDIRECT("Table!A" &amp; $AH39):INDIRECT("Table!" &amp; $AK$63 &amp; $AH39),0))))/1024)</f>
        <v>51.266961914062499</v>
      </c>
      <c r="K39" s="272">
        <f ca="1">IF(ISERROR(MATCH(K$1,INDIRECT("Table!A"&amp;$AH39):INDIRECT("Table!" &amp; $AK$63 &amp; $AH39),0)),"",INDIRECT(CONCATENATE("Table!",ADDRESS($AD39,MATCH(K$1,INDIRECT("Table!A" &amp; $AH39):INDIRECT("Table!" &amp; $AK$63 &amp; $AH39),0))))/1024)</f>
        <v>11.392658203125</v>
      </c>
      <c r="L39" s="272">
        <f ca="1">IF(ISERROR(MATCH(L$1,INDIRECT("Table!A"&amp;$AH39):INDIRECT("Table!" &amp; $AK$63 &amp; $AH39),0)),"",INDIRECT(CONCATENATE("Table!",ADDRESS($AD39,MATCH(L$1,INDIRECT("Table!A" &amp; $AH39):INDIRECT("Table!" &amp; $AK$63 &amp; $AH39),0))))/1024)</f>
        <v>268.81405078124999</v>
      </c>
      <c r="M39" s="272">
        <f ca="1">IF(ISERROR(MATCH(M$1,INDIRECT("Table!A"&amp;$AH39):INDIRECT("Table!" &amp; $AK$63 &amp; $AH39),0)),"",INDIRECT(CONCATENATE("Table!",ADDRESS($AD39,MATCH(M$1,INDIRECT("Table!A" &amp; $AH39):INDIRECT("Table!" &amp; $AK$63 &amp; $AH39),0))))/1024)</f>
        <v>350.47241015624996</v>
      </c>
      <c r="N39" s="272">
        <f ca="1">IF(ISERROR(MATCH(N$1,INDIRECT("Table!A"&amp;$AH39):INDIRECT("Table!" &amp; $AK$63 &amp; $AH39),0)),"",INDIRECT(CONCATENATE("Table!",ADDRESS($AD39,MATCH(N$1,INDIRECT("Table!A" &amp; $AH39):INDIRECT("Table!" &amp; $AK$63 &amp; $AH39),0))))/1024)</f>
        <v>133.22166210937499</v>
      </c>
      <c r="O39" s="272">
        <f ca="1">IF(ISERROR(MATCH(O$1,INDIRECT("Table!A"&amp;$AH39):INDIRECT("Table!" &amp; $AK$63 &amp; $AH39),0)),"",INDIRECT(CONCATENATE("Table!",ADDRESS($AD39,MATCH(O$1,INDIRECT("Table!A" &amp; $AH39):INDIRECT("Table!" &amp; $AK$63 &amp; $AH39),0))))/1024)</f>
        <v>247.24702441406248</v>
      </c>
      <c r="P39" s="272">
        <f ca="1">IF(ISERROR(MATCH(P$1,INDIRECT("Table!A"&amp;$AH39):INDIRECT("Table!" &amp; $AK$63 &amp; $AH39),0)),"",INDIRECT(CONCATENATE("Table!",ADDRESS($AD39,MATCH(P$1,INDIRECT("Table!A" &amp; $AH39):INDIRECT("Table!" &amp; $AK$63 &amp; $AH39),0))))/1024)</f>
        <v>32.795050781249998</v>
      </c>
      <c r="Q39" s="272">
        <f ca="1">IF(ISERROR(MATCH(Q$1,INDIRECT("Table!A"&amp;$AH39):INDIRECT("Table!" &amp; $AK$63 &amp; $AH39),0)),"",INDIRECT(CONCATENATE("Table!",ADDRESS($AD39,MATCH(Q$1,INDIRECT("Table!A" &amp; $AH39):INDIRECT("Table!" &amp; $AK$63 &amp; $AH39),0))))/1024)</f>
        <v>55.251099609374997</v>
      </c>
      <c r="R39" s="272">
        <f ca="1">IF(ISERROR(MATCH(R$1,INDIRECT("Table!A"&amp;$AH39):INDIRECT("Table!" &amp; $AK$63 &amp; $AH39),0)),"",INDIRECT(CONCATENATE("Table!",ADDRESS($AD39,MATCH(R$1,INDIRECT("Table!A" &amp; $AH39):INDIRECT("Table!" &amp; $AK$63 &amp; $AH39),0))))/1024)</f>
        <v>82.646162109374998</v>
      </c>
      <c r="S39" s="595">
        <f ca="1">IF(ISERROR(MATCH(S$1,INDIRECT("Table!A"&amp;$AH39):INDIRECT("Table!" &amp; $AK$63 &amp; $AH39),0)),"",INDIRECT(CONCATENATE("Table!",ADDRESS($AD39,MATCH(S$1,INDIRECT("Table!A" &amp; $AH39):INDIRECT("Table!" &amp; $AK$63 &amp; $AH39),0))))/1024)</f>
        <v>36.680408203124998</v>
      </c>
      <c r="T39" s="595">
        <f ca="1">IF(ISERROR(MATCH(T$1,INDIRECT("Table!A"&amp;$AH39):INDIRECT("Table!" &amp; $AK$63 &amp; $AH39),0)),"",INDIRECT(CONCATENATE("Table!",ADDRESS($AD39,MATCH(T$1,INDIRECT("Table!A" &amp; $AH39):INDIRECT("Table!" &amp; $AK$63 &amp; $AH39),0))))/1024)</f>
        <v>17.220694335937498</v>
      </c>
      <c r="U39" s="272" t="str">
        <f ca="1">IF(ISERROR(MATCH(U$1,INDIRECT("Table!A"&amp;$AH39):INDIRECT("Table!" &amp; $AK$63 &amp; $AH39),0)),"",INDIRECT(CONCATENATE("Table!",ADDRESS($AD39,MATCH(U$1,INDIRECT("Table!A" &amp; $AH39):INDIRECT("Table!" &amp; $AK$63 &amp; $AH39),0))))/1024)</f>
        <v/>
      </c>
      <c r="V39" s="595"/>
      <c r="W39" s="595"/>
      <c r="X39" s="595"/>
      <c r="Y39" s="595"/>
      <c r="Z39" s="595"/>
      <c r="AA39" s="595"/>
      <c r="AB39" s="595"/>
      <c r="AC39" s="595"/>
      <c r="AD39" s="272">
        <f>MATCH($A39,Table!$A:$A,0)+$AF$2-1</f>
        <v>517</v>
      </c>
      <c r="AE39" s="453"/>
      <c r="AF39" s="453"/>
      <c r="AG39" s="453"/>
      <c r="AH39" s="272">
        <f>MATCH($A39,Table!$A:$A,0)+$AJ$2-1</f>
        <v>509</v>
      </c>
      <c r="AI39" s="453"/>
      <c r="AJ39" s="453"/>
      <c r="AK39" s="904" t="s">
        <v>284</v>
      </c>
      <c r="AL39" s="699">
        <f t="shared" ca="1" si="11"/>
        <v>2784.5171279296869</v>
      </c>
      <c r="AM39" s="699">
        <f t="shared" ca="1" si="10"/>
        <v>10.964610351561532</v>
      </c>
    </row>
    <row r="40" spans="1:39" s="267" customFormat="1" x14ac:dyDescent="0.25">
      <c r="A40" s="268">
        <v>41485</v>
      </c>
      <c r="B40" s="272">
        <f ca="1">IF(ISERROR(MATCH(B$1,INDIRECT("Table!A"&amp;$AH40):INDIRECT("Table!" &amp; $AK$86 &amp; $AH40),0)),"",INDIRECT(CONCATENATE("Table!",ADDRESS($AD40,MATCH(B$1,INDIRECT("Table!A" &amp; $AH40):INDIRECT("Table!" &amp; $AK$86 &amp; $AH40),0))))/1024)</f>
        <v>180.07643847656249</v>
      </c>
      <c r="C40" s="272">
        <f ca="1">IF(ISERROR(MATCH(C$1,INDIRECT("Table!A"&amp;$AH40):INDIRECT("Table!" &amp; $AK$86 &amp; $AH40),0)),"",INDIRECT(CONCATENATE("Table!",ADDRESS($AD40,MATCH(C$1,INDIRECT("Table!A" &amp; $AH40):INDIRECT("Table!" &amp; $AK$86 &amp; $AH40),0))))/1024)</f>
        <v>91.832727539062503</v>
      </c>
      <c r="D40" s="272">
        <f ca="1">IF(ISERROR(MATCH(D$1,INDIRECT("Table!A"&amp;$AH40):INDIRECT("Table!" &amp; $AK$86 &amp; $AH40),0)),"",INDIRECT(CONCATENATE("Table!",ADDRESS($AD40,MATCH(D$1,INDIRECT("Table!A" &amp; $AH40):INDIRECT("Table!" &amp; $AK$86 &amp; $AH40),0))))/1024)</f>
        <v>92.853457031250002</v>
      </c>
      <c r="E40" s="272">
        <f ca="1">IF(ISERROR(MATCH(E$1,INDIRECT("Table!A"&amp;$AH40):INDIRECT("Table!" &amp; $AK$86 &amp; $AH40),0)),"",INDIRECT(CONCATENATE("Table!",ADDRESS($AD40,MATCH(E$1,INDIRECT("Table!A" &amp; $AH40):INDIRECT("Table!" &amp; $AK$86 &amp; $AH40),0))))/1024)</f>
        <v>271.81038574218746</v>
      </c>
      <c r="F40" s="272">
        <f ca="1">IF(ISERROR(MATCH(F$1,INDIRECT("Table!A"&amp;$AH40):INDIRECT("Table!" &amp; $AK$86 &amp; $AH40),0)),"",INDIRECT(CONCATENATE("Table!",ADDRESS($AD40,MATCH(F$1,INDIRECT("Table!A" &amp; $AH40):INDIRECT("Table!" &amp; $AK$86 &amp; $AH40),0))))/1024)</f>
        <v>256.49944335937499</v>
      </c>
      <c r="G40" s="272">
        <f ca="1">IF(ISERROR(MATCH(G$1,INDIRECT("Table!A"&amp;$AH40):INDIRECT("Table!" &amp; $AK$86 &amp; $AH40),0)),"",INDIRECT(CONCATENATE("Table!",ADDRESS($AD40,MATCH(G$1,INDIRECT("Table!A" &amp; $AH40):INDIRECT("Table!" &amp; $AK$86 &amp; $AH40),0))))/1024)</f>
        <v>447.80390625000001</v>
      </c>
      <c r="H40" s="272">
        <f ca="1">IF(ISERROR(MATCH(H$1,INDIRECT("Table!A"&amp;$AH40):INDIRECT("Table!" &amp; $AK$86 &amp; $AH40),0)),"",INDIRECT(CONCATENATE("Table!",ADDRESS($AD40,MATCH(H$1,INDIRECT("Table!A" &amp; $AH40):INDIRECT("Table!" &amp; $AK$86 &amp; $AH40),0))))/1024)</f>
        <v>138.29238281249999</v>
      </c>
      <c r="I40" s="272">
        <f ca="1">IF(ISERROR(MATCH(I$1,INDIRECT("Table!A"&amp;$AH40):INDIRECT("Table!" &amp; $AK$63 &amp; $AH40),0)),"",INDIRECT(CONCATENATE("Table!",ADDRESS($AD40,MATCH(I$1,INDIRECT("Table!A" &amp; $AH40):INDIRECT("Table!" &amp; $AK$63 &amp; $AH40),0))))/1024)</f>
        <v>18.043863281250001</v>
      </c>
      <c r="J40" s="272">
        <f ca="1">IF(ISERROR(MATCH(J$1,INDIRECT("Table!A"&amp;$AH40):INDIRECT("Table!" &amp; $AK$63 &amp; $AH40),0)),"",INDIRECT(CONCATENATE("Table!",ADDRESS($AD40,MATCH(J$1,INDIRECT("Table!A" &amp; $AH40):INDIRECT("Table!" &amp; $AK$63 &amp; $AH40),0))))/1024)</f>
        <v>40.763326171875001</v>
      </c>
      <c r="K40" s="272">
        <f ca="1">IF(ISERROR(MATCH(K$1,INDIRECT("Table!A"&amp;$AH40):INDIRECT("Table!" &amp; $AK$63 &amp; $AH40),0)),"",INDIRECT(CONCATENATE("Table!",ADDRESS($AD40,MATCH(K$1,INDIRECT("Table!A" &amp; $AH40):INDIRECT("Table!" &amp; $AK$63 &amp; $AH40),0))))/1024)</f>
        <v>9.8780273437500004</v>
      </c>
      <c r="L40" s="272">
        <f ca="1">IF(ISERROR(MATCH(L$1,INDIRECT("Table!A"&amp;$AH40):INDIRECT("Table!" &amp; $AK$63 &amp; $AH40),0)),"",INDIRECT(CONCATENATE("Table!",ADDRESS($AD40,MATCH(L$1,INDIRECT("Table!A" &amp; $AH40):INDIRECT("Table!" &amp; $AK$63 &amp; $AH40),0))))/1024)</f>
        <v>268.97868457031251</v>
      </c>
      <c r="M40" s="272">
        <f ca="1">IF(ISERROR(MATCH(M$1,INDIRECT("Table!A"&amp;$AH40):INDIRECT("Table!" &amp; $AK$63 &amp; $AH40),0)),"",INDIRECT(CONCATENATE("Table!",ADDRESS($AD40,MATCH(M$1,INDIRECT("Table!A" &amp; $AH40):INDIRECT("Table!" &amp; $AK$63 &amp; $AH40),0))))/1024)</f>
        <v>367.00164257812497</v>
      </c>
      <c r="N40" s="272">
        <f ca="1">IF(ISERROR(MATCH(N$1,INDIRECT("Table!A"&amp;$AH40):INDIRECT("Table!" &amp; $AK$63 &amp; $AH40),0)),"",INDIRECT(CONCATENATE("Table!",ADDRESS($AD40,MATCH(N$1,INDIRECT("Table!A" &amp; $AH40):INDIRECT("Table!" &amp; $AK$63 &amp; $AH40),0))))/1024)</f>
        <v>133.089955078125</v>
      </c>
      <c r="O40" s="272">
        <f ca="1">IF(ISERROR(MATCH(O$1,INDIRECT("Table!A"&amp;$AH40):INDIRECT("Table!" &amp; $AK$63 &amp; $AH40),0)),"",INDIRECT(CONCATENATE("Table!",ADDRESS($AD40,MATCH(O$1,INDIRECT("Table!A" &amp; $AH40):INDIRECT("Table!" &amp; $AK$63 &amp; $AH40),0))))/1024)</f>
        <v>247.24702441406248</v>
      </c>
      <c r="P40" s="272">
        <f ca="1">IF(ISERROR(MATCH(P$1,INDIRECT("Table!A"&amp;$AH40):INDIRECT("Table!" &amp; $AK$63 &amp; $AH40),0)),"",INDIRECT(CONCATENATE("Table!",ADDRESS($AD40,MATCH(P$1,INDIRECT("Table!A" &amp; $AH40):INDIRECT("Table!" &amp; $AK$63 &amp; $AH40),0))))/1024)</f>
        <v>32.795050781249998</v>
      </c>
      <c r="Q40" s="272">
        <f ca="1">IF(ISERROR(MATCH(Q$1,INDIRECT("Table!A"&amp;$AH40):INDIRECT("Table!" &amp; $AK$63 &amp; $AH40),0)),"",INDIRECT(CONCATENATE("Table!",ADDRESS($AD40,MATCH(Q$1,INDIRECT("Table!A" &amp; $AH40):INDIRECT("Table!" &amp; $AK$63 &amp; $AH40),0))))/1024)</f>
        <v>43.166979492187501</v>
      </c>
      <c r="R40" s="272">
        <f ca="1">IF(ISERROR(MATCH(R$1,INDIRECT("Table!A"&amp;$AH40):INDIRECT("Table!" &amp; $AK$63 &amp; $AH40),0)),"",INDIRECT(CONCATENATE("Table!",ADDRESS($AD40,MATCH(R$1,INDIRECT("Table!A" &amp; $AH40):INDIRECT("Table!" &amp; $AK$63 &amp; $AH40),0))))/1024)</f>
        <v>79.518120117187493</v>
      </c>
      <c r="S40" s="595">
        <f ca="1">IF(ISERROR(MATCH(S$1,INDIRECT("Table!A"&amp;$AH40):INDIRECT("Table!" &amp; $AK$63 &amp; $AH40),0)),"",INDIRECT(CONCATENATE("Table!",ADDRESS($AD40,MATCH(S$1,INDIRECT("Table!A" &amp; $AH40):INDIRECT("Table!" &amp; $AK$63 &amp; $AH40),0))))/1024)</f>
        <v>36.680408203124998</v>
      </c>
      <c r="T40" s="595">
        <f ca="1">IF(ISERROR(MATCH(T$1,INDIRECT("Table!A"&amp;$AH40):INDIRECT("Table!" &amp; $AK$63 &amp; $AH40),0)),"",INDIRECT(CONCATENATE("Table!",ADDRESS($AD40,MATCH(T$1,INDIRECT("Table!A" &amp; $AH40):INDIRECT("Table!" &amp; $AK$63 &amp; $AH40),0))))/1024)</f>
        <v>17.220694335937498</v>
      </c>
      <c r="U40" s="272" t="str">
        <f ca="1">IF(ISERROR(MATCH(U$1,INDIRECT("Table!A"&amp;$AH40):INDIRECT("Table!" &amp; $AK$63 &amp; $AH40),0)),"",INDIRECT(CONCATENATE("Table!",ADDRESS($AD40,MATCH(U$1,INDIRECT("Table!A" &amp; $AH40):INDIRECT("Table!" &amp; $AK$63 &amp; $AH40),0))))/1024)</f>
        <v/>
      </c>
      <c r="V40" s="595"/>
      <c r="W40" s="595"/>
      <c r="X40" s="595"/>
      <c r="Y40" s="595"/>
      <c r="Z40" s="595"/>
      <c r="AA40" s="595"/>
      <c r="AB40" s="595"/>
      <c r="AC40" s="595"/>
      <c r="AD40" s="272">
        <f>MATCH($A40,Table!$A:$A,0)+$AF$2-1</f>
        <v>529</v>
      </c>
      <c r="AE40" s="448"/>
      <c r="AF40" s="448"/>
      <c r="AG40" s="448"/>
      <c r="AH40" s="272">
        <f>MATCH($A40,Table!$A:$A,0)+$AJ$2-1</f>
        <v>521</v>
      </c>
      <c r="AI40" s="448"/>
      <c r="AJ40" s="448"/>
      <c r="AK40" s="904" t="s">
        <v>284</v>
      </c>
      <c r="AL40" s="699">
        <f t="shared" ca="1" si="11"/>
        <v>2773.5525175781254</v>
      </c>
      <c r="AM40" s="699">
        <f t="shared" ca="1" si="10"/>
        <v>15.541429687500113</v>
      </c>
    </row>
    <row r="41" spans="1:39" s="267" customFormat="1" x14ac:dyDescent="0.25">
      <c r="A41" s="268">
        <v>41478</v>
      </c>
      <c r="B41" s="272">
        <f ca="1">IF(ISERROR(MATCH(B$1,INDIRECT("Table!A"&amp;$AH41):INDIRECT("Table!" &amp; $AK$86 &amp; $AH41),0)),"",INDIRECT(CONCATENATE("Table!",ADDRESS($AD41,MATCH(B$1,INDIRECT("Table!A" &amp; $AH41):INDIRECT("Table!" &amp; $AK$86 &amp; $AH41),0))))/1024)</f>
        <v>180.07643847656249</v>
      </c>
      <c r="C41" s="272">
        <f ca="1">IF(ISERROR(MATCH(C$1,INDIRECT("Table!A"&amp;$AH41):INDIRECT("Table!" &amp; $AK$86 &amp; $AH41),0)),"",INDIRECT(CONCATENATE("Table!",ADDRESS($AD41,MATCH(C$1,INDIRECT("Table!A" &amp; $AH41):INDIRECT("Table!" &amp; $AK$86 &amp; $AH41),0))))/1024)</f>
        <v>91.602240234375003</v>
      </c>
      <c r="D41" s="272">
        <f ca="1">IF(ISERROR(MATCH(D$1,INDIRECT("Table!A"&amp;$AH41):INDIRECT("Table!" &amp; $AK$86 &amp; $AH41),0)),"",INDIRECT(CONCATENATE("Table!",ADDRESS($AD41,MATCH(D$1,INDIRECT("Table!A" &amp; $AH41):INDIRECT("Table!" &amp; $AK$86 &amp; $AH41),0))))/1024)</f>
        <v>92.622969726562502</v>
      </c>
      <c r="E41" s="272">
        <f ca="1">IF(ISERROR(MATCH(E$1,INDIRECT("Table!A"&amp;$AH41):INDIRECT("Table!" &amp; $AK$86 &amp; $AH41),0)),"",INDIRECT(CONCATENATE("Table!",ADDRESS($AD41,MATCH(E$1,INDIRECT("Table!A" &amp; $AH41):INDIRECT("Table!" &amp; $AK$86 &amp; $AH41),0))))/1024)</f>
        <v>271.81038574218746</v>
      </c>
      <c r="F41" s="272">
        <f ca="1">IF(ISERROR(MATCH(F$1,INDIRECT("Table!A"&amp;$AH41):INDIRECT("Table!" &amp; $AK$86 &amp; $AH41),0)),"",INDIRECT(CONCATENATE("Table!",ADDRESS($AD41,MATCH(F$1,INDIRECT("Table!A" &amp; $AH41):INDIRECT("Table!" &amp; $AK$86 &amp; $AH41),0))))/1024)</f>
        <v>256.49944335937499</v>
      </c>
      <c r="G41" s="272">
        <f ca="1">IF(ISERROR(MATCH(G$1,INDIRECT("Table!A"&amp;$AH41):INDIRECT("Table!" &amp; $AK$86 &amp; $AH41),0)),"",INDIRECT(CONCATENATE("Table!",ADDRESS($AD41,MATCH(G$1,INDIRECT("Table!A" &amp; $AH41):INDIRECT("Table!" &amp; $AK$86 &amp; $AH41),0))))/1024)</f>
        <v>447.80390625000001</v>
      </c>
      <c r="H41" s="272">
        <f ca="1">IF(ISERROR(MATCH(H$1,INDIRECT("Table!A"&amp;$AH41):INDIRECT("Table!" &amp; $AK$86 &amp; $AH41),0)),"",INDIRECT(CONCATENATE("Table!",ADDRESS($AD41,MATCH(H$1,INDIRECT("Table!A" &amp; $AH41):INDIRECT("Table!" &amp; $AK$86 &amp; $AH41),0))))/1024)</f>
        <v>138.29238281249999</v>
      </c>
      <c r="I41" s="272">
        <f ca="1">IF(ISERROR(MATCH(I$1,INDIRECT("Table!A"&amp;$AH41):INDIRECT("Table!" &amp; $AK$63 &amp; $AH41),0)),"",INDIRECT(CONCATENATE("Table!",ADDRESS($AD41,MATCH(I$1,INDIRECT("Table!A" &amp; $AH41):INDIRECT("Table!" &amp; $AK$63 &amp; $AH41),0))))/1024)</f>
        <v>18.043863281250001</v>
      </c>
      <c r="J41" s="272">
        <f ca="1">IF(ISERROR(MATCH(J$1,INDIRECT("Table!A"&amp;$AH41):INDIRECT("Table!" &amp; $AK$63 &amp; $AH41),0)),"",INDIRECT(CONCATENATE("Table!",ADDRESS($AD41,MATCH(J$1,INDIRECT("Table!A" &amp; $AH41):INDIRECT("Table!" &amp; $AK$63 &amp; $AH41),0))))/1024)</f>
        <v>32.432856445312495</v>
      </c>
      <c r="K41" s="272">
        <f ca="1">IF(ISERROR(MATCH(K$1,INDIRECT("Table!A"&amp;$AH41):INDIRECT("Table!" &amp; $AK$63 &amp; $AH41),0)),"",INDIRECT(CONCATENATE("Table!",ADDRESS($AD41,MATCH(K$1,INDIRECT("Table!A" &amp; $AH41):INDIRECT("Table!" &amp; $AK$63 &amp; $AH41),0))))/1024)</f>
        <v>9.8780273437500004</v>
      </c>
      <c r="L41" s="272">
        <f ca="1">IF(ISERROR(MATCH(L$1,INDIRECT("Table!A"&amp;$AH41):INDIRECT("Table!" &amp; $AK$63 &amp; $AH41),0)),"",INDIRECT(CONCATENATE("Table!",ADDRESS($AD41,MATCH(L$1,INDIRECT("Table!A" &amp; $AH41):INDIRECT("Table!" &amp; $AK$63 &amp; $AH41),0))))/1024)</f>
        <v>268.81405078124999</v>
      </c>
      <c r="M41" s="272">
        <f ca="1">IF(ISERROR(MATCH(M$1,INDIRECT("Table!A"&amp;$AH41):INDIRECT("Table!" &amp; $AK$63 &amp; $AH41),0)),"",INDIRECT(CONCATENATE("Table!",ADDRESS($AD41,MATCH(M$1,INDIRECT("Table!A" &amp; $AH41):INDIRECT("Table!" &amp; $AK$63 &amp; $AH41),0))))/1024)</f>
        <v>367.00164257812497</v>
      </c>
      <c r="N41" s="272">
        <f ca="1">IF(ISERROR(MATCH(N$1,INDIRECT("Table!A"&amp;$AH41):INDIRECT("Table!" &amp; $AK$63 &amp; $AH41),0)),"",INDIRECT(CONCATENATE("Table!",ADDRESS($AD41,MATCH(N$1,INDIRECT("Table!A" &amp; $AH41):INDIRECT("Table!" &amp; $AK$63 &amp; $AH41),0))))/1024)</f>
        <v>133.089955078125</v>
      </c>
      <c r="O41" s="272">
        <f ca="1">IF(ISERROR(MATCH(O$1,INDIRECT("Table!A"&amp;$AH41):INDIRECT("Table!" &amp; $AK$63 &amp; $AH41),0)),"",INDIRECT(CONCATENATE("Table!",ADDRESS($AD41,MATCH(O$1,INDIRECT("Table!A" &amp; $AH41):INDIRECT("Table!" &amp; $AK$63 &amp; $AH41),0))))/1024)</f>
        <v>247.24702441406248</v>
      </c>
      <c r="P41" s="272">
        <f ca="1">IF(ISERROR(MATCH(P$1,INDIRECT("Table!A"&amp;$AH41):INDIRECT("Table!" &amp; $AK$63 &amp; $AH41),0)),"",INDIRECT(CONCATENATE("Table!",ADDRESS($AD41,MATCH(P$1,INDIRECT("Table!A" &amp; $AH41):INDIRECT("Table!" &amp; $AK$63 &amp; $AH41),0))))/1024)</f>
        <v>32.795050781249998</v>
      </c>
      <c r="Q41" s="272">
        <f ca="1">IF(ISERROR(MATCH(Q$1,INDIRECT("Table!A"&amp;$AH41):INDIRECT("Table!" &amp; $AK$63 &amp; $AH41),0)),"",INDIRECT(CONCATENATE("Table!",ADDRESS($AD41,MATCH(Q$1,INDIRECT("Table!A" &amp; $AH41):INDIRECT("Table!" &amp; $AK$63 &amp; $AH41),0))))/1024)</f>
        <v>36.614554687499997</v>
      </c>
      <c r="R41" s="272">
        <f ca="1">IF(ISERROR(MATCH(R$1,INDIRECT("Table!A"&amp;$AH41):INDIRECT("Table!" &amp; $AK$63 &amp; $AH41),0)),"",INDIRECT(CONCATENATE("Table!",ADDRESS($AD41,MATCH(R$1,INDIRECT("Table!A" &amp; $AH41):INDIRECT("Table!" &amp; $AK$63 &amp; $AH41),0))))/1024)</f>
        <v>79.518120117187493</v>
      </c>
      <c r="S41" s="595">
        <f ca="1">IF(ISERROR(MATCH(S$1,INDIRECT("Table!A"&amp;$AH41):INDIRECT("Table!" &amp; $AK$63 &amp; $AH41),0)),"",INDIRECT(CONCATENATE("Table!",ADDRESS($AD41,MATCH(S$1,INDIRECT("Table!A" &amp; $AH41):INDIRECT("Table!" &amp; $AK$63 &amp; $AH41),0))))/1024)</f>
        <v>36.647481445312501</v>
      </c>
      <c r="T41" s="595">
        <f ca="1">IF(ISERROR(MATCH(T$1,INDIRECT("Table!A"&amp;$AH41):INDIRECT("Table!" &amp; $AK$63 &amp; $AH41),0)),"",INDIRECT(CONCATENATE("Table!",ADDRESS($AD41,MATCH(T$1,INDIRECT("Table!A" &amp; $AH41):INDIRECT("Table!" &amp; $AK$63 &amp; $AH41),0))))/1024)</f>
        <v>17.220694335937498</v>
      </c>
      <c r="U41" s="272" t="str">
        <f ca="1">IF(ISERROR(MATCH(U$1,INDIRECT("Table!A"&amp;$AH41):INDIRECT("Table!" &amp; $AK$63 &amp; $AH41),0)),"",INDIRECT(CONCATENATE("Table!",ADDRESS($AD41,MATCH(U$1,INDIRECT("Table!A" &amp; $AH41):INDIRECT("Table!" &amp; $AK$63 &amp; $AH41),0))))/1024)</f>
        <v/>
      </c>
      <c r="V41" s="595"/>
      <c r="W41" s="595"/>
      <c r="X41" s="595"/>
      <c r="Y41" s="595"/>
      <c r="Z41" s="595"/>
      <c r="AA41" s="595"/>
      <c r="AB41" s="595"/>
      <c r="AC41" s="595"/>
      <c r="AD41" s="272">
        <f>MATCH($A41,Table!$A:$A,0)+$AF$2-1</f>
        <v>541</v>
      </c>
      <c r="AE41" s="443"/>
      <c r="AF41" s="443"/>
      <c r="AG41" s="443"/>
      <c r="AH41" s="272">
        <f>MATCH($A41,Table!$A:$A,0)+$AJ$2-1</f>
        <v>533</v>
      </c>
      <c r="AI41" s="443"/>
      <c r="AJ41" s="443"/>
      <c r="AK41" s="904" t="s">
        <v>284</v>
      </c>
      <c r="AL41" s="699">
        <f t="shared" ca="1" si="11"/>
        <v>2758.0110878906253</v>
      </c>
      <c r="AM41" s="699">
        <f t="shared" ca="1" si="10"/>
        <v>65.26083398437504</v>
      </c>
    </row>
    <row r="42" spans="1:39" s="267" customFormat="1" x14ac:dyDescent="0.25">
      <c r="A42" s="268">
        <v>41470</v>
      </c>
      <c r="B42" s="272">
        <f ca="1">IF(ISERROR(MATCH(B$1,INDIRECT("Table!A"&amp;$AH42):INDIRECT("Table!" &amp; $AK$86 &amp; $AH42),0)),"",INDIRECT(CONCATENATE("Table!",ADDRESS($AD42,MATCH(B$1,INDIRECT("Table!A" &amp; $AH42):INDIRECT("Table!" &amp; $AK$86 &amp; $AH42),0))))/1024)</f>
        <v>180.07643847656249</v>
      </c>
      <c r="C42" s="272">
        <f ca="1">IF(ISERROR(MATCH(C$1,INDIRECT("Table!A"&amp;$AH42):INDIRECT("Table!" &amp; $AK$86 &amp; $AH42),0)),"",INDIRECT(CONCATENATE("Table!",ADDRESS($AD42,MATCH(C$1,INDIRECT("Table!A" &amp; $AH42):INDIRECT("Table!" &amp; $AK$86 &amp; $AH42),0))))/1024)</f>
        <v>91.602240234375003</v>
      </c>
      <c r="D42" s="272">
        <f ca="1">IF(ISERROR(MATCH(D$1,INDIRECT("Table!A"&amp;$AH42):INDIRECT("Table!" &amp; $AK$86 &amp; $AH42),0)),"",INDIRECT(CONCATENATE("Table!",ADDRESS($AD42,MATCH(D$1,INDIRECT("Table!A" &amp; $AH42):INDIRECT("Table!" &amp; $AK$86 &amp; $AH42),0))))/1024)</f>
        <v>92.622969726562502</v>
      </c>
      <c r="E42" s="272">
        <f ca="1">IF(ISERROR(MATCH(E$1,INDIRECT("Table!A"&amp;$AH42):INDIRECT("Table!" &amp; $AK$86 &amp; $AH42),0)),"",INDIRECT(CONCATENATE("Table!",ADDRESS($AD42,MATCH(E$1,INDIRECT("Table!A" &amp; $AH42):INDIRECT("Table!" &amp; $AK$86 &amp; $AH42),0))))/1024)</f>
        <v>272.04087304687499</v>
      </c>
      <c r="F42" s="272">
        <f ca="1">IF(ISERROR(MATCH(F$1,INDIRECT("Table!A"&amp;$AH42):INDIRECT("Table!" &amp; $AK$86 &amp; $AH42),0)),"",INDIRECT(CONCATENATE("Table!",ADDRESS($AD42,MATCH(F$1,INDIRECT("Table!A" &amp; $AH42):INDIRECT("Table!" &amp; $AK$86 &amp; $AH42),0))))/1024)</f>
        <v>255.51164062499998</v>
      </c>
      <c r="G42" s="272">
        <f ca="1">IF(ISERROR(MATCH(G$1,INDIRECT("Table!A"&amp;$AH42):INDIRECT("Table!" &amp; $AK$86 &amp; $AH42),0)),"",INDIRECT(CONCATENATE("Table!",ADDRESS($AD42,MATCH(G$1,INDIRECT("Table!A" &amp; $AH42):INDIRECT("Table!" &amp; $AK$86 &amp; $AH42),0))))/1024)</f>
        <v>447.80390625000001</v>
      </c>
      <c r="H42" s="272">
        <f ca="1">IF(ISERROR(MATCH(H$1,INDIRECT("Table!A"&amp;$AH42):INDIRECT("Table!" &amp; $AK$86 &amp; $AH42),0)),"",INDIRECT(CONCATENATE("Table!",ADDRESS($AD42,MATCH(H$1,INDIRECT("Table!A" &amp; $AH42):INDIRECT("Table!" &amp; $AK$86 &amp; $AH42),0))))/1024)</f>
        <v>138.29238281249999</v>
      </c>
      <c r="I42" s="272">
        <f ca="1">IF(ISERROR(MATCH(I$1,INDIRECT("Table!A"&amp;$AH42):INDIRECT("Table!" &amp; $AK$63 &amp; $AH42),0)),"",INDIRECT(CONCATENATE("Table!",ADDRESS($AD42,MATCH(I$1,INDIRECT("Table!A" &amp; $AH42):INDIRECT("Table!" &amp; $AK$63 &amp; $AH42),0))))/1024)</f>
        <v>17.056060546874999</v>
      </c>
      <c r="J42" s="272">
        <f ca="1">IF(ISERROR(MATCH(J$1,INDIRECT("Table!A"&amp;$AH42):INDIRECT("Table!" &amp; $AK$63 &amp; $AH42),0)),"",INDIRECT(CONCATENATE("Table!",ADDRESS($AD42,MATCH(J$1,INDIRECT("Table!A" &amp; $AH42):INDIRECT("Table!" &amp; $AK$63 &amp; $AH42),0))))/1024)</f>
        <v>19.690201171875</v>
      </c>
      <c r="K42" s="272">
        <f ca="1">IF(ISERROR(MATCH(K$1,INDIRECT("Table!A"&amp;$AH42):INDIRECT("Table!" &amp; $AK$63 &amp; $AH42),0)),"",INDIRECT(CONCATENATE("Table!",ADDRESS($AD42,MATCH(K$1,INDIRECT("Table!A" &amp; $AH42):INDIRECT("Table!" &amp; $AK$63 &amp; $AH42),0))))/1024)</f>
        <v>6.8816923828125001</v>
      </c>
      <c r="L42" s="272">
        <f ca="1">IF(ISERROR(MATCH(L$1,INDIRECT("Table!A"&amp;$AH42):INDIRECT("Table!" &amp; $AK$63 &amp; $AH42),0)),"",INDIRECT(CONCATENATE("Table!",ADDRESS($AD42,MATCH(L$1,INDIRECT("Table!A" &amp; $AH42):INDIRECT("Table!" &amp; $AK$63 &amp; $AH42),0))))/1024)</f>
        <v>269.01161132812501</v>
      </c>
      <c r="M42" s="272">
        <f ca="1">IF(ISERROR(MATCH(M$1,INDIRECT("Table!A"&amp;$AH42):INDIRECT("Table!" &amp; $AK$63 &amp; $AH42),0)),"",INDIRECT(CONCATENATE("Table!",ADDRESS($AD42,MATCH(M$1,INDIRECT("Table!A" &amp; $AH42):INDIRECT("Table!" &amp; $AK$63 &amp; $AH42),0))))/1024)</f>
        <v>367.00164257812497</v>
      </c>
      <c r="N42" s="272">
        <f ca="1">IF(ISERROR(MATCH(N$1,INDIRECT("Table!A"&amp;$AH42):INDIRECT("Table!" &amp; $AK$63 &amp; $AH42),0)),"",INDIRECT(CONCATENATE("Table!",ADDRESS($AD42,MATCH(N$1,INDIRECT("Table!A" &amp; $AH42):INDIRECT("Table!" &amp; $AK$63 &amp; $AH42),0))))/1024)</f>
        <v>132.5960537109375</v>
      </c>
      <c r="O42" s="272">
        <f ca="1">IF(ISERROR(MATCH(O$1,INDIRECT("Table!A"&amp;$AH42):INDIRECT("Table!" &amp; $AK$63 &amp; $AH42),0)),"",INDIRECT(CONCATENATE("Table!",ADDRESS($AD42,MATCH(O$1,INDIRECT("Table!A" &amp; $AH42):INDIRECT("Table!" &amp; $AK$63 &amp; $AH42),0))))/1024)</f>
        <v>247.24702441406248</v>
      </c>
      <c r="P42" s="272">
        <f ca="1">IF(ISERROR(MATCH(P$1,INDIRECT("Table!A"&amp;$AH42):INDIRECT("Table!" &amp; $AK$63 &amp; $AH42),0)),"",INDIRECT(CONCATENATE("Table!",ADDRESS($AD42,MATCH(P$1,INDIRECT("Table!A" &amp; $AH42):INDIRECT("Table!" &amp; $AK$63 &amp; $AH42),0))))/1024)</f>
        <v>31.6096875</v>
      </c>
      <c r="Q42" s="272">
        <f ca="1">IF(ISERROR(MATCH(Q$1,INDIRECT("Table!A"&amp;$AH42):INDIRECT("Table!" &amp; $AK$63 &amp; $AH42),0)),"",INDIRECT(CONCATENATE("Table!",ADDRESS($AD42,MATCH(Q$1,INDIRECT("Table!A" &amp; $AH42):INDIRECT("Table!" &amp; $AK$63 &amp; $AH42),0))))/1024)</f>
        <v>22.620682617187498</v>
      </c>
      <c r="R42" s="272">
        <f ca="1">IF(ISERROR(MATCH(R$1,INDIRECT("Table!A"&amp;$AH42):INDIRECT("Table!" &amp; $AK$63 &amp; $AH42),0)),"",INDIRECT(CONCATENATE("Table!",ADDRESS($AD42,MATCH(R$1,INDIRECT("Table!A" &amp; $AH42):INDIRECT("Table!" &amp; $AK$63 &amp; $AH42),0))))/1024)</f>
        <v>48.040139648437496</v>
      </c>
      <c r="S42" s="595">
        <f ca="1">IF(ISERROR(MATCH(S$1,INDIRECT("Table!A"&amp;$AH42):INDIRECT("Table!" &amp; $AK$63 &amp; $AH42),0)),"",INDIRECT(CONCATENATE("Table!",ADDRESS($AD42,MATCH(S$1,INDIRECT("Table!A" &amp; $AH42):INDIRECT("Table!" &amp; $AK$63 &amp; $AH42),0))))/1024)</f>
        <v>36.647481445312501</v>
      </c>
      <c r="T42" s="595">
        <f ca="1">IF(ISERROR(MATCH(T$1,INDIRECT("Table!A"&amp;$AH42):INDIRECT("Table!" &amp; $AK$63 &amp; $AH42),0)),"",INDIRECT(CONCATENATE("Table!",ADDRESS($AD42,MATCH(T$1,INDIRECT("Table!A" &amp; $AH42):INDIRECT("Table!" &amp; $AK$63 &amp; $AH42),0))))/1024)</f>
        <v>16.397525390624999</v>
      </c>
      <c r="U42" s="272" t="str">
        <f ca="1">IF(ISERROR(MATCH(U$1,INDIRECT("Table!A"&amp;$AH42):INDIRECT("Table!" &amp; $AK$63 &amp; $AH42),0)),"",INDIRECT(CONCATENATE("Table!",ADDRESS($AD42,MATCH(U$1,INDIRECT("Table!A" &amp; $AH42):INDIRECT("Table!" &amp; $AK$63 &amp; $AH42),0))))/1024)</f>
        <v/>
      </c>
      <c r="V42" s="595"/>
      <c r="W42" s="595"/>
      <c r="X42" s="595"/>
      <c r="Y42" s="595"/>
      <c r="Z42" s="595"/>
      <c r="AA42" s="595"/>
      <c r="AB42" s="595"/>
      <c r="AC42" s="595"/>
      <c r="AD42" s="272">
        <f>MATCH($A42,Table!$A:$A,0)+$AF$2-1</f>
        <v>553</v>
      </c>
      <c r="AE42" s="443"/>
      <c r="AF42" s="443"/>
      <c r="AG42" s="443"/>
      <c r="AH42" s="272">
        <f>MATCH($A42,Table!$A:$A,0)+$AJ$2-1</f>
        <v>545</v>
      </c>
      <c r="AI42" s="443"/>
      <c r="AJ42" s="443"/>
      <c r="AK42" s="904" t="s">
        <v>284</v>
      </c>
      <c r="AL42" s="699">
        <f t="shared" ca="1" si="11"/>
        <v>2692.7502539062502</v>
      </c>
      <c r="AM42" s="699">
        <f t="shared" ca="1" si="10"/>
        <v>48.20477343750099</v>
      </c>
    </row>
    <row r="43" spans="1:39" s="267" customFormat="1" x14ac:dyDescent="0.25">
      <c r="A43" s="268">
        <v>41464</v>
      </c>
      <c r="B43" s="272">
        <f ca="1">IF(ISERROR(MATCH(B$1,INDIRECT("Table!A"&amp;$AH43):INDIRECT("Table!" &amp; $AK$86 &amp; $AH43),0)),"",INDIRECT(CONCATENATE("Table!",ADDRESS($AD43,MATCH(B$1,INDIRECT("Table!A" &amp; $AH43):INDIRECT("Table!" &amp; $AK$86 &amp; $AH43),0))))/1024)</f>
        <v>178.98985546874999</v>
      </c>
      <c r="C43" s="272">
        <f ca="1">IF(ISERROR(MATCH(C$1,INDIRECT("Table!A"&amp;$AH43):INDIRECT("Table!" &amp; $AK$86 &amp; $AH43),0)),"",INDIRECT(CONCATENATE("Table!",ADDRESS($AD43,MATCH(C$1,INDIRECT("Table!A" &amp; $AH43):INDIRECT("Table!" &amp; $AK$86 &amp; $AH43),0))))/1024)</f>
        <v>90.680291015625002</v>
      </c>
      <c r="D43" s="272">
        <f ca="1">IF(ISERROR(MATCH(D$1,INDIRECT("Table!A"&amp;$AH43):INDIRECT("Table!" &amp; $AK$86 &amp; $AH43),0)),"",INDIRECT(CONCATENATE("Table!",ADDRESS($AD43,MATCH(D$1,INDIRECT("Table!A" &amp; $AH43):INDIRECT("Table!" &amp; $AK$86 &amp; $AH43),0))))/1024)</f>
        <v>91.701020507812501</v>
      </c>
      <c r="E43" s="272">
        <f ca="1">IF(ISERROR(MATCH(E$1,INDIRECT("Table!A"&amp;$AH43):INDIRECT("Table!" &amp; $AK$86 &amp; $AH43),0)),"",INDIRECT(CONCATENATE("Table!",ADDRESS($AD43,MATCH(E$1,INDIRECT("Table!A" &amp; $AH43):INDIRECT("Table!" &amp; $AK$86 &amp; $AH43),0))))/1024)</f>
        <v>270.46038867187497</v>
      </c>
      <c r="F43" s="272">
        <f ca="1">IF(ISERROR(MATCH(F$1,INDIRECT("Table!A"&amp;$AH43):INDIRECT("Table!" &amp; $AK$86 &amp; $AH43),0)),"",INDIRECT(CONCATENATE("Table!",ADDRESS($AD43,MATCH(F$1,INDIRECT("Table!A" &amp; $AH43):INDIRECT("Table!" &amp; $AK$86 &amp; $AH43),0))))/1024)</f>
        <v>255.37993359375</v>
      </c>
      <c r="G43" s="272">
        <f ca="1">IF(ISERROR(MATCH(G$1,INDIRECT("Table!A"&amp;$AH43):INDIRECT("Table!" &amp; $AK$86 &amp; $AH43),0)),"",INDIRECT(CONCATENATE("Table!",ADDRESS($AD43,MATCH(G$1,INDIRECT("Table!A" &amp; $AH43):INDIRECT("Table!" &amp; $AK$86 &amp; $AH43),0))))/1024)</f>
        <v>451.91975097656251</v>
      </c>
      <c r="H43" s="272">
        <f ca="1">IF(ISERROR(MATCH(H$1,INDIRECT("Table!A"&amp;$AH43):INDIRECT("Table!" &amp; $AK$86 &amp; $AH43),0)),"",INDIRECT(CONCATENATE("Table!",ADDRESS($AD43,MATCH(H$1,INDIRECT("Table!A" &amp; $AH43):INDIRECT("Table!" &amp; $AK$86 &amp; $AH43),0))))/1024)</f>
        <v>137.93018847656251</v>
      </c>
      <c r="I43" s="272">
        <f ca="1">IF(ISERROR(MATCH(I$1,INDIRECT("Table!A"&amp;$AH43):INDIRECT("Table!" &amp; $AK$63 &amp; $AH43),0)),"",INDIRECT(CONCATENATE("Table!",ADDRESS($AD43,MATCH(I$1,INDIRECT("Table!A" &amp; $AH43):INDIRECT("Table!" &amp; $AK$63 &amp; $AH43),0))))/1024)</f>
        <v>17.056060546874999</v>
      </c>
      <c r="J43" s="272">
        <f ca="1">IF(ISERROR(MATCH(J$1,INDIRECT("Table!A"&amp;$AH43):INDIRECT("Table!" &amp; $AK$63 &amp; $AH43),0)),"",INDIRECT(CONCATENATE("Table!",ADDRESS($AD43,MATCH(J$1,INDIRECT("Table!A" &amp; $AH43):INDIRECT("Table!" &amp; $AK$63 &amp; $AH43),0))))/1024)</f>
        <v>16.6938662109375</v>
      </c>
      <c r="K43" s="272">
        <f ca="1">IF(ISERROR(MATCH(K$1,INDIRECT("Table!A"&amp;$AH43):INDIRECT("Table!" &amp; $AK$63 &amp; $AH43),0)),"",INDIRECT(CONCATENATE("Table!",ADDRESS($AD43,MATCH(K$1,INDIRECT("Table!A" &amp; $AH43):INDIRECT("Table!" &amp; $AK$63 &amp; $AH43),0))))/1024)</f>
        <v>2.8646279296874999</v>
      </c>
      <c r="L43" s="272">
        <f ca="1">IF(ISERROR(MATCH(L$1,INDIRECT("Table!A"&amp;$AH43):INDIRECT("Table!" &amp; $AK$63 &amp; $AH43),0)),"",INDIRECT(CONCATENATE("Table!",ADDRESS($AD43,MATCH(L$1,INDIRECT("Table!A" &amp; $AH43):INDIRECT("Table!" &amp; $AK$63 &amp; $AH43),0))))/1024)</f>
        <v>275.03720800781247</v>
      </c>
      <c r="M43" s="272">
        <f ca="1">IF(ISERROR(MATCH(M$1,INDIRECT("Table!A"&amp;$AH43):INDIRECT("Table!" &amp; $AK$63 &amp; $AH43),0)),"",INDIRECT(CONCATENATE("Table!",ADDRESS($AD43,MATCH(M$1,INDIRECT("Table!A" &amp; $AH43):INDIRECT("Table!" &amp; $AK$63 &amp; $AH43),0))))/1024)</f>
        <v>366.50774121093747</v>
      </c>
      <c r="N43" s="272">
        <f ca="1">IF(ISERROR(MATCH(N$1,INDIRECT("Table!A"&amp;$AH43):INDIRECT("Table!" &amp; $AK$63 &amp; $AH43),0)),"",INDIRECT(CONCATENATE("Table!",ADDRESS($AD43,MATCH(N$1,INDIRECT("Table!A" &amp; $AH43):INDIRECT("Table!" &amp; $AK$63 &amp; $AH43),0))))/1024)</f>
        <v>132.53020019531249</v>
      </c>
      <c r="O43" s="272">
        <f ca="1">IF(ISERROR(MATCH(O$1,INDIRECT("Table!A"&amp;$AH43):INDIRECT("Table!" &amp; $AK$63 &amp; $AH43),0)),"",INDIRECT(CONCATENATE("Table!",ADDRESS($AD43,MATCH(O$1,INDIRECT("Table!A" &amp; $AH43):INDIRECT("Table!" &amp; $AK$63 &amp; $AH43),0))))/1024)</f>
        <v>246.65434277343749</v>
      </c>
      <c r="P43" s="272">
        <f ca="1">IF(ISERROR(MATCH(P$1,INDIRECT("Table!A"&amp;$AH43):INDIRECT("Table!" &amp; $AK$63 &amp; $AH43),0)),"",INDIRECT(CONCATENATE("Table!",ADDRESS($AD43,MATCH(P$1,INDIRECT("Table!A" &amp; $AH43):INDIRECT("Table!" &amp; $AK$63 &amp; $AH43),0))))/1024)</f>
        <v>31.6096875</v>
      </c>
      <c r="Q43" s="272">
        <f ca="1">IF(ISERROR(MATCH(Q$1,INDIRECT("Table!A"&amp;$AH43):INDIRECT("Table!" &amp; $AK$63 &amp; $AH43),0)),"",INDIRECT(CONCATENATE("Table!",ADDRESS($AD43,MATCH(Q$1,INDIRECT("Table!A" &amp; $AH43):INDIRECT("Table!" &amp; $AK$63 &amp; $AH43),0))))/1024)</f>
        <v>19.690201171875</v>
      </c>
      <c r="R43" s="272">
        <f ca="1">IF(ISERROR(MATCH(R$1,INDIRECT("Table!A"&amp;$AH43):INDIRECT("Table!" &amp; $AK$63 &amp; $AH43),0)),"",INDIRECT(CONCATENATE("Table!",ADDRESS($AD43,MATCH(R$1,INDIRECT("Table!A" &amp; $AH43):INDIRECT("Table!" &amp; $AK$63 &amp; $AH43),0))))/1024)</f>
        <v>6.5853515624999996</v>
      </c>
      <c r="S43" s="595">
        <f ca="1">IF(ISERROR(MATCH(S$1,INDIRECT("Table!A"&amp;$AH43):INDIRECT("Table!" &amp; $AK$63 &amp; $AH43),0)),"",INDIRECT(CONCATENATE("Table!",ADDRESS($AD43,MATCH(S$1,INDIRECT("Table!A" &amp; $AH43):INDIRECT("Table!" &amp; $AK$63 &amp; $AH43),0))))/1024)</f>
        <v>35.857239257812502</v>
      </c>
      <c r="T43" s="595">
        <f ca="1">IF(ISERROR(MATCH(T$1,INDIRECT("Table!A"&amp;$AH43):INDIRECT("Table!" &amp; $AK$63 &amp; $AH43),0)),"",INDIRECT(CONCATENATE("Table!",ADDRESS($AD43,MATCH(T$1,INDIRECT("Table!A" &amp; $AH43):INDIRECT("Table!" &amp; $AK$63 &amp; $AH43),0))))/1024)</f>
        <v>16.397525390624999</v>
      </c>
      <c r="U43" s="272" t="str">
        <f ca="1">IF(ISERROR(MATCH(U$1,INDIRECT("Table!A"&amp;$AH43):INDIRECT("Table!" &amp; $AK$63 &amp; $AH43),0)),"",INDIRECT(CONCATENATE("Table!",ADDRESS($AD43,MATCH(U$1,INDIRECT("Table!A" &amp; $AH43):INDIRECT("Table!" &amp; $AK$63 &amp; $AH43),0))))/1024)</f>
        <v/>
      </c>
      <c r="V43" s="595"/>
      <c r="W43" s="595"/>
      <c r="X43" s="595"/>
      <c r="Y43" s="595"/>
      <c r="Z43" s="595"/>
      <c r="AA43" s="595"/>
      <c r="AB43" s="595"/>
      <c r="AC43" s="595"/>
      <c r="AD43" s="272">
        <f>MATCH($A43,Table!$A:$A,0)+$AF$2-1</f>
        <v>565</v>
      </c>
      <c r="AE43" s="417"/>
      <c r="AF43" s="417"/>
      <c r="AG43" s="417"/>
      <c r="AH43" s="272">
        <f>MATCH($A43,Table!$A:$A,0)+$AJ$2-1</f>
        <v>557</v>
      </c>
      <c r="AI43" s="417"/>
      <c r="AJ43" s="417"/>
      <c r="AK43" s="904" t="s">
        <v>284</v>
      </c>
      <c r="AL43" s="699">
        <f t="shared" ca="1" si="11"/>
        <v>2644.5454804687492</v>
      </c>
      <c r="AM43" s="699">
        <f t="shared" ca="1" si="10"/>
        <v>0</v>
      </c>
    </row>
    <row r="44" spans="1:39" s="267" customFormat="1" x14ac:dyDescent="0.25">
      <c r="A44" s="268">
        <v>41449</v>
      </c>
      <c r="B44" s="272">
        <f ca="1">IF(ISERROR(MATCH(B$1,INDIRECT("Table!A"&amp;$AH44):INDIRECT("Table!" &amp; $AK$86 &amp; $AH44),0)),"",INDIRECT(CONCATENATE("Table!",ADDRESS($AD44,MATCH(B$1,INDIRECT("Table!A" &amp; $AH44):INDIRECT("Table!" &amp; $AK$86 &amp; $AH44),0))))/1024)</f>
        <v>178.98985546874999</v>
      </c>
      <c r="C44" s="272">
        <f ca="1">IF(ISERROR(MATCH(C$1,INDIRECT("Table!A"&amp;$AH44):INDIRECT("Table!" &amp; $AK$86 &amp; $AH44),0)),"",INDIRECT(CONCATENATE("Table!",ADDRESS($AD44,MATCH(C$1,INDIRECT("Table!A" &amp; $AH44):INDIRECT("Table!" &amp; $AK$86 &amp; $AH44),0))))/1024)</f>
        <v>90.680291015625002</v>
      </c>
      <c r="D44" s="272">
        <f ca="1">IF(ISERROR(MATCH(D$1,INDIRECT("Table!A"&amp;$AH44):INDIRECT("Table!" &amp; $AK$86 &amp; $AH44),0)),"",INDIRECT(CONCATENATE("Table!",ADDRESS($AD44,MATCH(D$1,INDIRECT("Table!A" &amp; $AH44):INDIRECT("Table!" &amp; $AK$86 &amp; $AH44),0))))/1024)</f>
        <v>91.701020507812501</v>
      </c>
      <c r="E44" s="272">
        <f ca="1">IF(ISERROR(MATCH(E$1,INDIRECT("Table!A"&amp;$AH44):INDIRECT("Table!" &amp; $AK$86 &amp; $AH44),0)),"",INDIRECT(CONCATENATE("Table!",ADDRESS($AD44,MATCH(E$1,INDIRECT("Table!A" &amp; $AH44):INDIRECT("Table!" &amp; $AK$86 &amp; $AH44),0))))/1024)</f>
        <v>270.46038867187497</v>
      </c>
      <c r="F44" s="272">
        <f ca="1">IF(ISERROR(MATCH(F$1,INDIRECT("Table!A"&amp;$AH44):INDIRECT("Table!" &amp; $AK$86 &amp; $AH44),0)),"",INDIRECT(CONCATENATE("Table!",ADDRESS($AD44,MATCH(F$1,INDIRECT("Table!A" &amp; $AH44):INDIRECT("Table!" &amp; $AK$86 &amp; $AH44),0))))/1024)</f>
        <v>255.37993359375</v>
      </c>
      <c r="G44" s="272">
        <f ca="1">IF(ISERROR(MATCH(G$1,INDIRECT("Table!A"&amp;$AH44):INDIRECT("Table!" &amp; $AK$86 &amp; $AH44),0)),"",INDIRECT(CONCATENATE("Table!",ADDRESS($AD44,MATCH(G$1,INDIRECT("Table!A" &amp; $AH44):INDIRECT("Table!" &amp; $AK$86 &amp; $AH44),0))))/1024)</f>
        <v>451.91975097656251</v>
      </c>
      <c r="H44" s="272">
        <f ca="1">IF(ISERROR(MATCH(H$1,INDIRECT("Table!A"&amp;$AH44):INDIRECT("Table!" &amp; $AK$86 &amp; $AH44),0)),"",INDIRECT(CONCATENATE("Table!",ADDRESS($AD44,MATCH(H$1,INDIRECT("Table!A" &amp; $AH44):INDIRECT("Table!" &amp; $AK$86 &amp; $AH44),0))))/1024)</f>
        <v>137.93018847656251</v>
      </c>
      <c r="I44" s="272">
        <f ca="1">IF(ISERROR(MATCH(I$1,INDIRECT("Table!A"&amp;$AH44):INDIRECT("Table!" &amp; $AK$63 &amp; $AH44),0)),"",INDIRECT(CONCATENATE("Table!",ADDRESS($AD44,MATCH(I$1,INDIRECT("Table!A" &amp; $AH44):INDIRECT("Table!" &amp; $AK$63 &amp; $AH44),0))))/1024)</f>
        <v>17.056060546874999</v>
      </c>
      <c r="J44" s="272">
        <f ca="1">IF(ISERROR(MATCH(J$1,INDIRECT("Table!A"&amp;$AH44):INDIRECT("Table!" &amp; $AK$63 &amp; $AH44),0)),"",INDIRECT(CONCATENATE("Table!",ADDRESS($AD44,MATCH(J$1,INDIRECT("Table!A" &amp; $AH44):INDIRECT("Table!" &amp; $AK$63 &amp; $AH44),0))))/1024)</f>
        <v>16.6938662109375</v>
      </c>
      <c r="K44" s="272">
        <f ca="1">IF(ISERROR(MATCH(K$1,INDIRECT("Table!A"&amp;$AH44):INDIRECT("Table!" &amp; $AK$63 &amp; $AH44),0)),"",INDIRECT(CONCATENATE("Table!",ADDRESS($AD44,MATCH(K$1,INDIRECT("Table!A" &amp; $AH44):INDIRECT("Table!" &amp; $AK$63 &amp; $AH44),0))))/1024)</f>
        <v>2.8646279296874999</v>
      </c>
      <c r="L44" s="272">
        <f ca="1">IF(ISERROR(MATCH(L$1,INDIRECT("Table!A"&amp;$AH44):INDIRECT("Table!" &amp; $AK$63 &amp; $AH44),0)),"",INDIRECT(CONCATENATE("Table!",ADDRESS($AD44,MATCH(L$1,INDIRECT("Table!A" &amp; $AH44):INDIRECT("Table!" &amp; $AK$63 &amp; $AH44),0))))/1024)</f>
        <v>275.03720800781247</v>
      </c>
      <c r="M44" s="272">
        <f ca="1">IF(ISERROR(MATCH(M$1,INDIRECT("Table!A"&amp;$AH44):INDIRECT("Table!" &amp; $AK$63 &amp; $AH44),0)),"",INDIRECT(CONCATENATE("Table!",ADDRESS($AD44,MATCH(M$1,INDIRECT("Table!A" &amp; $AH44):INDIRECT("Table!" &amp; $AK$63 &amp; $AH44),0))))/1024)</f>
        <v>366.50774121093747</v>
      </c>
      <c r="N44" s="272">
        <f ca="1">IF(ISERROR(MATCH(N$1,INDIRECT("Table!A"&amp;$AH44):INDIRECT("Table!" &amp; $AK$63 &amp; $AH44),0)),"",INDIRECT(CONCATENATE("Table!",ADDRESS($AD44,MATCH(N$1,INDIRECT("Table!A" &amp; $AH44):INDIRECT("Table!" &amp; $AK$63 &amp; $AH44),0))))/1024)</f>
        <v>132.53020019531249</v>
      </c>
      <c r="O44" s="272">
        <f ca="1">IF(ISERROR(MATCH(O$1,INDIRECT("Table!A"&amp;$AH44):INDIRECT("Table!" &amp; $AK$63 &amp; $AH44),0)),"",INDIRECT(CONCATENATE("Table!",ADDRESS($AD44,MATCH(O$1,INDIRECT("Table!A" &amp; $AH44):INDIRECT("Table!" &amp; $AK$63 &amp; $AH44),0))))/1024)</f>
        <v>246.65434277343749</v>
      </c>
      <c r="P44" s="272">
        <f ca="1">IF(ISERROR(MATCH(P$1,INDIRECT("Table!A"&amp;$AH44):INDIRECT("Table!" &amp; $AK$63 &amp; $AH44),0)),"",INDIRECT(CONCATENATE("Table!",ADDRESS($AD44,MATCH(P$1,INDIRECT("Table!A" &amp; $AH44):INDIRECT("Table!" &amp; $AK$63 &amp; $AH44),0))))/1024)</f>
        <v>31.6096875</v>
      </c>
      <c r="Q44" s="272">
        <f ca="1">IF(ISERROR(MATCH(Q$1,INDIRECT("Table!A"&amp;$AH44):INDIRECT("Table!" &amp; $AK$63 &amp; $AH44),0)),"",INDIRECT(CONCATENATE("Table!",ADDRESS($AD44,MATCH(Q$1,INDIRECT("Table!A" &amp; $AH44):INDIRECT("Table!" &amp; $AK$63 &amp; $AH44),0))))/1024)</f>
        <v>19.690201171875</v>
      </c>
      <c r="R44" s="272">
        <f ca="1">IF(ISERROR(MATCH(R$1,INDIRECT("Table!A"&amp;$AH44):INDIRECT("Table!" &amp; $AK$63 &amp; $AH44),0)),"",INDIRECT(CONCATENATE("Table!",ADDRESS($AD44,MATCH(R$1,INDIRECT("Table!A" &amp; $AH44):INDIRECT("Table!" &amp; $AK$63 &amp; $AH44),0))))/1024)</f>
        <v>6.5853515624999996</v>
      </c>
      <c r="S44" s="595">
        <f ca="1">IF(ISERROR(MATCH(S$1,INDIRECT("Table!A"&amp;$AH44):INDIRECT("Table!" &amp; $AK$63 &amp; $AH44),0)),"",INDIRECT(CONCATENATE("Table!",ADDRESS($AD44,MATCH(S$1,INDIRECT("Table!A" &amp; $AH44):INDIRECT("Table!" &amp; $AK$63 &amp; $AH44),0))))/1024)</f>
        <v>35.857239257812502</v>
      </c>
      <c r="T44" s="595">
        <f ca="1">IF(ISERROR(MATCH(T$1,INDIRECT("Table!A"&amp;$AH44):INDIRECT("Table!" &amp; $AK$63 &amp; $AH44),0)),"",INDIRECT(CONCATENATE("Table!",ADDRESS($AD44,MATCH(T$1,INDIRECT("Table!A" &amp; $AH44):INDIRECT("Table!" &amp; $AK$63 &amp; $AH44),0))))/1024)</f>
        <v>16.397525390624999</v>
      </c>
      <c r="U44" s="272" t="str">
        <f ca="1">IF(ISERROR(MATCH(U$1,INDIRECT("Table!A"&amp;$AH44):INDIRECT("Table!" &amp; $AK$63 &amp; $AH44),0)),"",INDIRECT(CONCATENATE("Table!",ADDRESS($AD44,MATCH(U$1,INDIRECT("Table!A" &amp; $AH44):INDIRECT("Table!" &amp; $AK$63 &amp; $AH44),0))))/1024)</f>
        <v/>
      </c>
      <c r="V44" s="595"/>
      <c r="W44" s="595"/>
      <c r="X44" s="595"/>
      <c r="Y44" s="595"/>
      <c r="Z44" s="595"/>
      <c r="AA44" s="595"/>
      <c r="AB44" s="595"/>
      <c r="AC44" s="595"/>
      <c r="AD44" s="272">
        <f>MATCH($A44,Table!$A:$A,0)+$AF$2-1</f>
        <v>577</v>
      </c>
      <c r="AE44" s="412"/>
      <c r="AF44" s="412"/>
      <c r="AG44" s="412"/>
      <c r="AH44" s="272">
        <f>MATCH($A44,Table!$A:$A,0)+$AJ$2-1</f>
        <v>569</v>
      </c>
      <c r="AI44" s="412"/>
      <c r="AJ44" s="412"/>
      <c r="AK44" s="904" t="s">
        <v>284</v>
      </c>
      <c r="AL44" s="699">
        <f t="shared" ca="1" si="11"/>
        <v>2644.5454804687492</v>
      </c>
      <c r="AM44" s="699">
        <f t="shared" ca="1" si="10"/>
        <v>18.899958984374734</v>
      </c>
    </row>
    <row r="45" spans="1:39" s="267" customFormat="1" x14ac:dyDescent="0.25">
      <c r="A45" s="268">
        <v>41445</v>
      </c>
      <c r="B45" s="272">
        <f ca="1">IF(ISERROR(MATCH(B$1,INDIRECT("Table!A"&amp;$AH45):INDIRECT("Table!" &amp; $AK$86 &amp; $AH45),0)),"",INDIRECT(CONCATENATE("Table!",ADDRESS($AD45,MATCH(B$1,INDIRECT("Table!A" &amp; $AH45):INDIRECT("Table!" &amp; $AK$86 &amp; $AH45),0))))/1024)</f>
        <v>178.00205273437498</v>
      </c>
      <c r="C45" s="272">
        <f ca="1">IF(ISERROR(MATCH(C$1,INDIRECT("Table!A"&amp;$AH45):INDIRECT("Table!" &amp; $AK$86 &amp; $AH45),0)),"",INDIRECT(CONCATENATE("Table!",ADDRESS($AD45,MATCH(C$1,INDIRECT("Table!A" &amp; $AH45):INDIRECT("Table!" &amp; $AK$86 &amp; $AH45),0))))/1024)</f>
        <v>88.935172851562498</v>
      </c>
      <c r="D45" s="272">
        <f ca="1">IF(ISERROR(MATCH(D$1,INDIRECT("Table!A"&amp;$AH45):INDIRECT("Table!" &amp; $AK$86 &amp; $AH45),0)),"",INDIRECT(CONCATENATE("Table!",ADDRESS($AD45,MATCH(D$1,INDIRECT("Table!A" &amp; $AH45):INDIRECT("Table!" &amp; $AK$86 &amp; $AH45),0))))/1024)</f>
        <v>89.955902343749997</v>
      </c>
      <c r="E45" s="272">
        <f ca="1">IF(ISERROR(MATCH(E$1,INDIRECT("Table!A"&amp;$AH45):INDIRECT("Table!" &amp; $AK$86 &amp; $AH45),0)),"",INDIRECT(CONCATENATE("Table!",ADDRESS($AD45,MATCH(E$1,INDIRECT("Table!A" &amp; $AH45):INDIRECT("Table!" &amp; $AK$86 &amp; $AH45),0))))/1024)</f>
        <v>270.46038867187497</v>
      </c>
      <c r="F45" s="272">
        <f ca="1">IF(ISERROR(MATCH(F$1,INDIRECT("Table!A"&amp;$AH45):INDIRECT("Table!" &amp; $AK$86 &amp; $AH45),0)),"",INDIRECT(CONCATENATE("Table!",ADDRESS($AD45,MATCH(F$1,INDIRECT("Table!A" &amp; $AH45):INDIRECT("Table!" &amp; $AK$86 &amp; $AH45),0))))/1024)</f>
        <v>255.37993359375</v>
      </c>
      <c r="G45" s="272">
        <f ca="1">IF(ISERROR(MATCH(G$1,INDIRECT("Table!A"&amp;$AH45):INDIRECT("Table!" &amp; $AK$86 &amp; $AH45),0)),"",INDIRECT(CONCATENATE("Table!",ADDRESS($AD45,MATCH(G$1,INDIRECT("Table!A" &amp; $AH45):INDIRECT("Table!" &amp; $AK$86 &amp; $AH45),0))))/1024)</f>
        <v>449.68073144531246</v>
      </c>
      <c r="H45" s="272">
        <f ca="1">IF(ISERROR(MATCH(H$1,INDIRECT("Table!A"&amp;$AH45):INDIRECT("Table!" &amp; $AK$86 &amp; $AH45),0)),"",INDIRECT(CONCATENATE("Table!",ADDRESS($AD45,MATCH(H$1,INDIRECT("Table!A" &amp; $AH45):INDIRECT("Table!" &amp; $AK$86 &amp; $AH45),0))))/1024)</f>
        <v>137.6667744140625</v>
      </c>
      <c r="I45" s="272">
        <f ca="1">IF(ISERROR(MATCH(I$1,INDIRECT("Table!A"&amp;$AH45):INDIRECT("Table!" &amp; $AK$63 &amp; $AH45),0)),"",INDIRECT(CONCATENATE("Table!",ADDRESS($AD45,MATCH(I$1,INDIRECT("Table!A" &amp; $AH45):INDIRECT("Table!" &amp; $AK$63 &amp; $AH45),0))))/1024)</f>
        <v>17.056060546874999</v>
      </c>
      <c r="J45" s="272">
        <f ca="1">IF(ISERROR(MATCH(J$1,INDIRECT("Table!A"&amp;$AH45):INDIRECT("Table!" &amp; $AK$63 &amp; $AH45),0)),"",INDIRECT(CONCATENATE("Table!",ADDRESS($AD45,MATCH(J$1,INDIRECT("Table!A" &amp; $AH45):INDIRECT("Table!" &amp; $AK$63 &amp; $AH45),0))))/1024)</f>
        <v>12.084120117187499</v>
      </c>
      <c r="K45" s="272">
        <f ca="1">IF(ISERROR(MATCH(K$1,INDIRECT("Table!A"&amp;$AH45):INDIRECT("Table!" &amp; $AK$63 &amp; $AH45),0)),"",INDIRECT(CONCATENATE("Table!",ADDRESS($AD45,MATCH(K$1,INDIRECT("Table!A" &amp; $AH45):INDIRECT("Table!" &amp; $AK$63 &amp; $AH45),0))))/1024)</f>
        <v>2.8646279296874999</v>
      </c>
      <c r="L45" s="272">
        <f ca="1">IF(ISERROR(MATCH(L$1,INDIRECT("Table!A"&amp;$AH45):INDIRECT("Table!" &amp; $AK$63 &amp; $AH45),0)),"",INDIRECT(CONCATENATE("Table!",ADDRESS($AD45,MATCH(L$1,INDIRECT("Table!A" &amp; $AH45):INDIRECT("Table!" &amp; $AK$63 &amp; $AH45),0))))/1024)</f>
        <v>275.03720800781247</v>
      </c>
      <c r="M45" s="272">
        <f ca="1">IF(ISERROR(MATCH(M$1,INDIRECT("Table!A"&amp;$AH45):INDIRECT("Table!" &amp; $AK$63 &amp; $AH45),0)),"",INDIRECT(CONCATENATE("Table!",ADDRESS($AD45,MATCH(M$1,INDIRECT("Table!A" &amp; $AH45):INDIRECT("Table!" &amp; $AK$63 &amp; $AH45),0))))/1024)</f>
        <v>366.50774121093747</v>
      </c>
      <c r="N45" s="272">
        <f ca="1">IF(ISERROR(MATCH(N$1,INDIRECT("Table!A"&amp;$AH45):INDIRECT("Table!" &amp; $AK$63 &amp; $AH45),0)),"",INDIRECT(CONCATENATE("Table!",ADDRESS($AD45,MATCH(N$1,INDIRECT("Table!A" &amp; $AH45):INDIRECT("Table!" &amp; $AK$63 &amp; $AH45),0))))/1024)</f>
        <v>132.53020019531249</v>
      </c>
      <c r="O45" s="272">
        <f ca="1">IF(ISERROR(MATCH(O$1,INDIRECT("Table!A"&amp;$AH45):INDIRECT("Table!" &amp; $AK$63 &amp; $AH45),0)),"",INDIRECT(CONCATENATE("Table!",ADDRESS($AD45,MATCH(O$1,INDIRECT("Table!A" &amp; $AH45):INDIRECT("Table!" &amp; $AK$63 &amp; $AH45),0))))/1024)</f>
        <v>246.62141601562499</v>
      </c>
      <c r="P45" s="272">
        <f ca="1">IF(ISERROR(MATCH(P$1,INDIRECT("Table!A"&amp;$AH45):INDIRECT("Table!" &amp; $AK$63 &amp; $AH45),0)),"",INDIRECT(CONCATENATE("Table!",ADDRESS($AD45,MATCH(P$1,INDIRECT("Table!A" &amp; $AH45):INDIRECT("Table!" &amp; $AK$63 &amp; $AH45),0))))/1024)</f>
        <v>31.6096875</v>
      </c>
      <c r="Q45" s="272">
        <f ca="1">IF(ISERROR(MATCH(Q$1,INDIRECT("Table!A"&amp;$AH45):INDIRECT("Table!" &amp; $AK$63 &amp; $AH45),0)),"",INDIRECT(CONCATENATE("Table!",ADDRESS($AD45,MATCH(Q$1,INDIRECT("Table!A" &amp; $AH45):INDIRECT("Table!" &amp; $AK$63 &amp; $AH45),0))))/1024)</f>
        <v>12.413387695312499</v>
      </c>
      <c r="R45" s="272">
        <f ca="1">IF(ISERROR(MATCH(R$1,INDIRECT("Table!A"&amp;$AH45):INDIRECT("Table!" &amp; $AK$63 &amp; $AH45),0)),"",INDIRECT(CONCATENATE("Table!",ADDRESS($AD45,MATCH(R$1,INDIRECT("Table!A" &amp; $AH45):INDIRECT("Table!" &amp; $AK$63 &amp; $AH45),0))))/1024)</f>
        <v>6.5853515624999996</v>
      </c>
      <c r="S45" s="595">
        <f ca="1">IF(ISERROR(MATCH(S$1,INDIRECT("Table!A"&amp;$AH45):INDIRECT("Table!" &amp; $AK$63 &amp; $AH45),0)),"",INDIRECT(CONCATENATE("Table!",ADDRESS($AD45,MATCH(S$1,INDIRECT("Table!A" &amp; $AH45):INDIRECT("Table!" &amp; $AK$63 &amp; $AH45),0))))/1024)</f>
        <v>35.857239257812502</v>
      </c>
      <c r="T45" s="595">
        <f ca="1">IF(ISERROR(MATCH(T$1,INDIRECT("Table!A"&amp;$AH45):INDIRECT("Table!" &amp; $AK$63 &amp; $AH45),0)),"",INDIRECT(CONCATENATE("Table!",ADDRESS($AD45,MATCH(T$1,INDIRECT("Table!A" &amp; $AH45):INDIRECT("Table!" &amp; $AK$63 &amp; $AH45),0))))/1024)</f>
        <v>16.397525390624999</v>
      </c>
      <c r="U45" s="272" t="str">
        <f ca="1">IF(ISERROR(MATCH(U$1,INDIRECT("Table!A"&amp;$AH45):INDIRECT("Table!" &amp; $AK$63 &amp; $AH45),0)),"",INDIRECT(CONCATENATE("Table!",ADDRESS($AD45,MATCH(U$1,INDIRECT("Table!A" &amp; $AH45):INDIRECT("Table!" &amp; $AK$63 &amp; $AH45),0))))/1024)</f>
        <v/>
      </c>
      <c r="V45" s="595"/>
      <c r="W45" s="595"/>
      <c r="X45" s="595"/>
      <c r="Y45" s="595"/>
      <c r="Z45" s="595"/>
      <c r="AA45" s="595"/>
      <c r="AB45" s="595"/>
      <c r="AC45" s="595"/>
      <c r="AD45" s="272">
        <f>MATCH($A45,Table!$A:$A,0)+$AF$2-1</f>
        <v>589</v>
      </c>
      <c r="AE45" s="407"/>
      <c r="AF45" s="407"/>
      <c r="AG45" s="407"/>
      <c r="AH45" s="272">
        <f>MATCH($A45,Table!$A:$A,0)+$AJ$2-1</f>
        <v>581</v>
      </c>
      <c r="AI45" s="407"/>
      <c r="AJ45" s="407"/>
      <c r="AK45" s="904" t="s">
        <v>284</v>
      </c>
      <c r="AL45" s="699">
        <f t="shared" ca="1" si="11"/>
        <v>2625.6455214843745</v>
      </c>
      <c r="AM45" s="699">
        <f t="shared" ca="1" si="10"/>
        <v>8.7255908203123909</v>
      </c>
    </row>
    <row r="46" spans="1:39" s="267" customFormat="1" x14ac:dyDescent="0.25">
      <c r="A46" s="268">
        <v>41443</v>
      </c>
      <c r="B46" s="272">
        <f ca="1">IF(ISERROR(MATCH(B$1,INDIRECT("Table!A"&amp;$AH46):INDIRECT("Table!" &amp; $AK$86 &amp; $AH46),0)),"",INDIRECT(CONCATENATE("Table!",ADDRESS($AD46,MATCH(B$1,INDIRECT("Table!A" &amp; $AH46):INDIRECT("Table!" &amp; $AK$86 &amp; $AH46),0))))/1024)</f>
        <v>178.00205273437498</v>
      </c>
      <c r="C46" s="272">
        <f ca="1">IF(ISERROR(MATCH(C$1,INDIRECT("Table!A"&amp;$AH46):INDIRECT("Table!" &amp; $AK$86 &amp; $AH46),0)),"",INDIRECT(CONCATENATE("Table!",ADDRESS($AD46,MATCH(C$1,INDIRECT("Table!A" &amp; $AH46):INDIRECT("Table!" &amp; $AK$86 &amp; $AH46),0))))/1024)</f>
        <v>88.935172851562498</v>
      </c>
      <c r="D46" s="272">
        <f ca="1">IF(ISERROR(MATCH(D$1,INDIRECT("Table!A"&amp;$AH46):INDIRECT("Table!" &amp; $AK$86 &amp; $AH46),0)),"",INDIRECT(CONCATENATE("Table!",ADDRESS($AD46,MATCH(D$1,INDIRECT("Table!A" &amp; $AH46):INDIRECT("Table!" &amp; $AK$86 &amp; $AH46),0))))/1024)</f>
        <v>89.955902343749997</v>
      </c>
      <c r="E46" s="272">
        <f ca="1">IF(ISERROR(MATCH(E$1,INDIRECT("Table!A"&amp;$AH46):INDIRECT("Table!" &amp; $AK$86 &amp; $AH46),0)),"",INDIRECT(CONCATENATE("Table!",ADDRESS($AD46,MATCH(E$1,INDIRECT("Table!A" &amp; $AH46):INDIRECT("Table!" &amp; $AK$86 &amp; $AH46),0))))/1024)</f>
        <v>270.46038867187497</v>
      </c>
      <c r="F46" s="272">
        <f ca="1">IF(ISERROR(MATCH(F$1,INDIRECT("Table!A"&amp;$AH46):INDIRECT("Table!" &amp; $AK$86 &amp; $AH46),0)),"",INDIRECT(CONCATENATE("Table!",ADDRESS($AD46,MATCH(F$1,INDIRECT("Table!A" &amp; $AH46):INDIRECT("Table!" &amp; $AK$86 &amp; $AH46),0))))/1024)</f>
        <v>255.37993359375</v>
      </c>
      <c r="G46" s="272">
        <f ca="1">IF(ISERROR(MATCH(G$1,INDIRECT("Table!A"&amp;$AH46):INDIRECT("Table!" &amp; $AK$86 &amp; $AH46),0)),"",INDIRECT(CONCATENATE("Table!",ADDRESS($AD46,MATCH(G$1,INDIRECT("Table!A" &amp; $AH46):INDIRECT("Table!" &amp; $AK$86 &amp; $AH46),0))))/1024)</f>
        <v>449.68073144531246</v>
      </c>
      <c r="H46" s="272">
        <f ca="1">IF(ISERROR(MATCH(H$1,INDIRECT("Table!A"&amp;$AH46):INDIRECT("Table!" &amp; $AK$86 &amp; $AH46),0)),"",INDIRECT(CONCATENATE("Table!",ADDRESS($AD46,MATCH(H$1,INDIRECT("Table!A" &amp; $AH46):INDIRECT("Table!" &amp; $AK$86 &amp; $AH46),0))))/1024)</f>
        <v>136.77775195312501</v>
      </c>
      <c r="I46" s="272">
        <f ca="1">IF(ISERROR(MATCH(I$1,INDIRECT("Table!A"&amp;$AH46):INDIRECT("Table!" &amp; $AK$63 &amp; $AH46),0)),"",INDIRECT(CONCATENATE("Table!",ADDRESS($AD46,MATCH(I$1,INDIRECT("Table!A" &amp; $AH46):INDIRECT("Table!" &amp; $AK$63 &amp; $AH46),0))))/1024)</f>
        <v>14.0597255859375</v>
      </c>
      <c r="J46" s="272">
        <f ca="1">IF(ISERROR(MATCH(J$1,INDIRECT("Table!A"&amp;$AH46):INDIRECT("Table!" &amp; $AK$63 &amp; $AH46),0)),"",INDIRECT(CONCATENATE("Table!",ADDRESS($AD46,MATCH(J$1,INDIRECT("Table!A" &amp; $AH46):INDIRECT("Table!" &amp; $AK$63 &amp; $AH46),0))))/1024)</f>
        <v>12.084120117187499</v>
      </c>
      <c r="K46" s="272">
        <f ca="1">IF(ISERROR(MATCH(K$1,INDIRECT("Table!A"&amp;$AH46):INDIRECT("Table!" &amp; $AK$63 &amp; $AH46),0)),"",INDIRECT(CONCATENATE("Table!",ADDRESS($AD46,MATCH(K$1,INDIRECT("Table!A" &amp; $AH46):INDIRECT("Table!" &amp; $AK$63 &amp; $AH46),0))))/1024)</f>
        <v>2.8646279296874999</v>
      </c>
      <c r="L46" s="272">
        <f ca="1">IF(ISERROR(MATCH(L$1,INDIRECT("Table!A"&amp;$AH46):INDIRECT("Table!" &amp; $AK$63 &amp; $AH46),0)),"",INDIRECT(CONCATENATE("Table!",ADDRESS($AD46,MATCH(L$1,INDIRECT("Table!A" &amp; $AH46):INDIRECT("Table!" &amp; $AK$63 &amp; $AH46),0))))/1024)</f>
        <v>275.03720800781247</v>
      </c>
      <c r="M46" s="272">
        <f ca="1">IF(ISERROR(MATCH(M$1,INDIRECT("Table!A"&amp;$AH46):INDIRECT("Table!" &amp; $AK$63 &amp; $AH46),0)),"",INDIRECT(CONCATENATE("Table!",ADDRESS($AD46,MATCH(M$1,INDIRECT("Table!A" &amp; $AH46):INDIRECT("Table!" &amp; $AK$63 &amp; $AH46),0))))/1024)</f>
        <v>366.50774121093747</v>
      </c>
      <c r="N46" s="272">
        <f ca="1">IF(ISERROR(MATCH(N$1,INDIRECT("Table!A"&amp;$AH46):INDIRECT("Table!" &amp; $AK$63 &amp; $AH46),0)),"",INDIRECT(CONCATENATE("Table!",ADDRESS($AD46,MATCH(N$1,INDIRECT("Table!A" &amp; $AH46):INDIRECT("Table!" &amp; $AK$63 &amp; $AH46),0))))/1024)</f>
        <v>132.53020019531249</v>
      </c>
      <c r="O46" s="272">
        <f ca="1">IF(ISERROR(MATCH(O$1,INDIRECT("Table!A"&amp;$AH46):INDIRECT("Table!" &amp; $AK$63 &amp; $AH46),0)),"",INDIRECT(CONCATENATE("Table!",ADDRESS($AD46,MATCH(O$1,INDIRECT("Table!A" &amp; $AH46):INDIRECT("Table!" &amp; $AK$63 &amp; $AH46),0))))/1024)</f>
        <v>244.97507812499998</v>
      </c>
      <c r="P46" s="272">
        <f ca="1">IF(ISERROR(MATCH(P$1,INDIRECT("Table!A"&amp;$AH46):INDIRECT("Table!" &amp; $AK$63 &amp; $AH46),0)),"",INDIRECT(CONCATENATE("Table!",ADDRESS($AD46,MATCH(P$1,INDIRECT("Table!A" &amp; $AH46):INDIRECT("Table!" &amp; $AK$63 &amp; $AH46),0))))/1024)</f>
        <v>28.6133525390625</v>
      </c>
      <c r="Q46" s="272">
        <f ca="1">IF(ISERROR(MATCH(Q$1,INDIRECT("Table!A"&amp;$AH46):INDIRECT("Table!" &amp; $AK$63 &amp; $AH46),0)),"",INDIRECT(CONCATENATE("Table!",ADDRESS($AD46,MATCH(Q$1,INDIRECT("Table!A" &amp; $AH46):INDIRECT("Table!" &amp; $AK$63 &amp; $AH46),0))))/1024)</f>
        <v>12.413387695312499</v>
      </c>
      <c r="R46" s="272">
        <f ca="1">IF(ISERROR(MATCH(R$1,INDIRECT("Table!A"&amp;$AH46):INDIRECT("Table!" &amp; $AK$63 &amp; $AH46),0)),"",INDIRECT(CONCATENATE("Table!",ADDRESS($AD46,MATCH(R$1,INDIRECT("Table!A" &amp; $AH46):INDIRECT("Table!" &amp; $AK$63 &amp; $AH46),0))))/1024)</f>
        <v>6.5853515624999996</v>
      </c>
      <c r="S46" s="595">
        <f ca="1">IF(ISERROR(MATCH(S$1,INDIRECT("Table!A"&amp;$AH46):INDIRECT("Table!" &amp; $AK$63 &amp; $AH46),0)),"",INDIRECT(CONCATENATE("Table!",ADDRESS($AD46,MATCH(S$1,INDIRECT("Table!A" &amp; $AH46):INDIRECT("Table!" &amp; $AK$63 &amp; $AH46),0))))/1024)</f>
        <v>35.659678710937499</v>
      </c>
      <c r="T46" s="595">
        <f ca="1">IF(ISERROR(MATCH(T$1,INDIRECT("Table!A"&amp;$AH46):INDIRECT("Table!" &amp; $AK$63 &amp; $AH46),0)),"",INDIRECT(CONCATENATE("Table!",ADDRESS($AD46,MATCH(T$1,INDIRECT("Table!A" &amp; $AH46):INDIRECT("Table!" &amp; $AK$63 &amp; $AH46),0))))/1024)</f>
        <v>16.397525390624999</v>
      </c>
      <c r="U46" s="272" t="str">
        <f ca="1">IF(ISERROR(MATCH(U$1,INDIRECT("Table!A"&amp;$AH46):INDIRECT("Table!" &amp; $AK$63 &amp; $AH46),0)),"",INDIRECT(CONCATENATE("Table!",ADDRESS($AD46,MATCH(U$1,INDIRECT("Table!A" &amp; $AH46):INDIRECT("Table!" &amp; $AK$63 &amp; $AH46),0))))/1024)</f>
        <v/>
      </c>
      <c r="V46" s="595"/>
      <c r="W46" s="595"/>
      <c r="X46" s="595"/>
      <c r="Y46" s="595"/>
      <c r="Z46" s="595"/>
      <c r="AA46" s="595"/>
      <c r="AB46" s="595"/>
      <c r="AC46" s="595"/>
      <c r="AD46" s="272">
        <f>MATCH($A46,Table!$A:$A,0)+$AF$2-1</f>
        <v>601</v>
      </c>
      <c r="AE46" s="407"/>
      <c r="AF46" s="407"/>
      <c r="AG46" s="407"/>
      <c r="AH46" s="272">
        <f>MATCH($A46,Table!$A:$A,0)+$AJ$2-1</f>
        <v>593</v>
      </c>
      <c r="AI46" s="407"/>
      <c r="AJ46" s="407"/>
      <c r="AK46" s="904" t="s">
        <v>284</v>
      </c>
      <c r="AL46" s="699">
        <f t="shared" ca="1" si="11"/>
        <v>2616.9199306640621</v>
      </c>
      <c r="AM46" s="699">
        <f t="shared" ca="1" si="10"/>
        <v>27.888963867187158</v>
      </c>
    </row>
    <row r="47" spans="1:39" s="267" customFormat="1" x14ac:dyDescent="0.25">
      <c r="A47" s="268">
        <v>41437</v>
      </c>
      <c r="B47" s="272">
        <f ca="1">IF(ISERROR(MATCH(B$1,INDIRECT("Table!A"&amp;$AH47):INDIRECT("Table!" &amp; $AK$86 &amp; $AH47),0)),"",INDIRECT(CONCATENATE("Table!",ADDRESS($AD47,MATCH(B$1,INDIRECT("Table!A" &amp; $AH47):INDIRECT("Table!" &amp; $AK$86 &amp; $AH47),0))))/1024)</f>
        <v>175.79595996093749</v>
      </c>
      <c r="C47" s="272">
        <f ca="1">IF(ISERROR(MATCH(C$1,INDIRECT("Table!A"&amp;$AH47):INDIRECT("Table!" &amp; $AK$86 &amp; $AH47),0)),"",INDIRECT(CONCATENATE("Table!",ADDRESS($AD47,MATCH(C$1,INDIRECT("Table!A" &amp; $AH47):INDIRECT("Table!" &amp; $AK$86 &amp; $AH47),0))))/1024)</f>
        <v>88.474198242187498</v>
      </c>
      <c r="D47" s="272">
        <f ca="1">IF(ISERROR(MATCH(D$1,INDIRECT("Table!A"&amp;$AH47):INDIRECT("Table!" &amp; $AK$86 &amp; $AH47),0)),"",INDIRECT(CONCATENATE("Table!",ADDRESS($AD47,MATCH(D$1,INDIRECT("Table!A" &amp; $AH47):INDIRECT("Table!" &amp; $AK$86 &amp; $AH47),0))))/1024)</f>
        <v>89.494927734374997</v>
      </c>
      <c r="E47" s="272">
        <f ca="1">IF(ISERROR(MATCH(E$1,INDIRECT("Table!A"&amp;$AH47):INDIRECT("Table!" &amp; $AK$86 &amp; $AH47),0)),"",INDIRECT(CONCATENATE("Table!",ADDRESS($AD47,MATCH(E$1,INDIRECT("Table!A" &amp; $AH47):INDIRECT("Table!" &amp; $AK$86 &amp; $AH47),0))))/1024)</f>
        <v>271.51404492187498</v>
      </c>
      <c r="F47" s="272">
        <f ca="1">IF(ISERROR(MATCH(F$1,INDIRECT("Table!A"&amp;$AH47):INDIRECT("Table!" &amp; $AK$86 &amp; $AH47),0)),"",INDIRECT(CONCATENATE("Table!",ADDRESS($AD47,MATCH(F$1,INDIRECT("Table!A" &amp; $AH47):INDIRECT("Table!" &amp; $AK$86 &amp; $AH47),0))))/1024)</f>
        <v>255.37993359375</v>
      </c>
      <c r="G47" s="272">
        <f ca="1">IF(ISERROR(MATCH(G$1,INDIRECT("Table!A"&amp;$AH47):INDIRECT("Table!" &amp; $AK$86 &amp; $AH47),0)),"",INDIRECT(CONCATENATE("Table!",ADDRESS($AD47,MATCH(G$1,INDIRECT("Table!A" &amp; $AH47):INDIRECT("Table!" &amp; $AK$86 &amp; $AH47),0))))/1024)</f>
        <v>448.69292871093751</v>
      </c>
      <c r="H47" s="272">
        <f ca="1">IF(ISERROR(MATCH(H$1,INDIRECT("Table!A"&amp;$AH47):INDIRECT("Table!" &amp; $AK$86 &amp; $AH47),0)),"",INDIRECT(CONCATENATE("Table!",ADDRESS($AD47,MATCH(H$1,INDIRECT("Table!A" &amp; $AH47):INDIRECT("Table!" &amp; $AK$86 &amp; $AH47),0))))/1024)</f>
        <v>136.77775195312501</v>
      </c>
      <c r="I47" s="272">
        <f ca="1">IF(ISERROR(MATCH(I$1,INDIRECT("Table!A"&amp;$AH47):INDIRECT("Table!" &amp; $AK$63 &amp; $AH47),0)),"",INDIRECT(CONCATENATE("Table!",ADDRESS($AD47,MATCH(I$1,INDIRECT("Table!A" &amp; $AH47):INDIRECT("Table!" &amp; $AK$63 &amp; $AH47),0))))/1024)</f>
        <v>14.0597255859375</v>
      </c>
      <c r="J47" s="272">
        <f ca="1">IF(ISERROR(MATCH(J$1,INDIRECT("Table!A"&amp;$AH47):INDIRECT("Table!" &amp; $AK$63 &amp; $AH47),0)),"",INDIRECT(CONCATENATE("Table!",ADDRESS($AD47,MATCH(J$1,INDIRECT("Table!A" &amp; $AH47):INDIRECT("Table!" &amp; $AK$63 &amp; $AH47),0))))/1024)</f>
        <v>2.9304814453125001</v>
      </c>
      <c r="K47" s="272">
        <f ca="1">IF(ISERROR(MATCH(K$1,INDIRECT("Table!A"&amp;$AH47):INDIRECT("Table!" &amp; $AK$63 &amp; $AH47),0)),"",INDIRECT(CONCATENATE("Table!",ADDRESS($AD47,MATCH(K$1,INDIRECT("Table!A" &amp; $AH47):INDIRECT("Table!" &amp; $AK$63 &amp; $AH47),0))))/1024)</f>
        <v>2.8646279296874999</v>
      </c>
      <c r="L47" s="272">
        <f ca="1">IF(ISERROR(MATCH(L$1,INDIRECT("Table!A"&amp;$AH47):INDIRECT("Table!" &amp; $AK$63 &amp; $AH47),0)),"",INDIRECT(CONCATENATE("Table!",ADDRESS($AD47,MATCH(L$1,INDIRECT("Table!A" &amp; $AH47):INDIRECT("Table!" &amp; $AK$63 &amp; $AH47),0))))/1024)</f>
        <v>275.92623046874996</v>
      </c>
      <c r="M47" s="272">
        <f ca="1">IF(ISERROR(MATCH(M$1,INDIRECT("Table!A"&amp;$AH47):INDIRECT("Table!" &amp; $AK$63 &amp; $AH47),0)),"",INDIRECT(CONCATENATE("Table!",ADDRESS($AD47,MATCH(M$1,INDIRECT("Table!A" &amp; $AH47):INDIRECT("Table!" &amp; $AK$63 &amp; $AH47),0))))/1024)</f>
        <v>366.50774121093747</v>
      </c>
      <c r="N47" s="272">
        <f ca="1">IF(ISERROR(MATCH(N$1,INDIRECT("Table!A"&amp;$AH47):INDIRECT("Table!" &amp; $AK$63 &amp; $AH47),0)),"",INDIRECT(CONCATENATE("Table!",ADDRESS($AD47,MATCH(N$1,INDIRECT("Table!A" &amp; $AH47):INDIRECT("Table!" &amp; $AK$63 &amp; $AH47),0))))/1024)</f>
        <v>132.53020019531249</v>
      </c>
      <c r="O47" s="272">
        <f ca="1">IF(ISERROR(MATCH(O$1,INDIRECT("Table!A"&amp;$AH47):INDIRECT("Table!" &amp; $AK$63 &amp; $AH47),0)),"",INDIRECT(CONCATENATE("Table!",ADDRESS($AD47,MATCH(O$1,INDIRECT("Table!A" &amp; $AH47):INDIRECT("Table!" &amp; $AK$63 &amp; $AH47),0))))/1024)</f>
        <v>244.97507812499998</v>
      </c>
      <c r="P47" s="272">
        <f ca="1">IF(ISERROR(MATCH(P$1,INDIRECT("Table!A"&amp;$AH47):INDIRECT("Table!" &amp; $AK$63 &amp; $AH47),0)),"",INDIRECT(CONCATENATE("Table!",ADDRESS($AD47,MATCH(P$1,INDIRECT("Table!A" &amp; $AH47):INDIRECT("Table!" &amp; $AK$63 &amp; $AH47),0))))/1024)</f>
        <v>28.6133525390625</v>
      </c>
      <c r="Q47" s="272">
        <f ca="1">IF(ISERROR(MATCH(Q$1,INDIRECT("Table!A"&amp;$AH47):INDIRECT("Table!" &amp; $AK$63 &amp; $AH47),0)),"",INDIRECT(CONCATENATE("Table!",ADDRESS($AD47,MATCH(Q$1,INDIRECT("Table!A" &amp; $AH47):INDIRECT("Table!" &amp; $AK$63 &amp; $AH47),0))))/1024)</f>
        <v>5.2682812499999994</v>
      </c>
      <c r="R47" s="272">
        <f ca="1">IF(ISERROR(MATCH(R$1,INDIRECT("Table!A"&amp;$AH47):INDIRECT("Table!" &amp; $AK$63 &amp; $AH47),0)),"",INDIRECT(CONCATENATE("Table!",ADDRESS($AD47,MATCH(R$1,INDIRECT("Table!A" &amp; $AH47):INDIRECT("Table!" &amp; $AK$63 &amp; $AH47),0))))/1024)</f>
        <v>0.69146191406250002</v>
      </c>
      <c r="S47" s="595">
        <f ca="1">IF(ISERROR(MATCH(S$1,INDIRECT("Table!A"&amp;$AH47):INDIRECT("Table!" &amp; $AK$63 &amp; $AH47),0)),"",INDIRECT(CONCATENATE("Table!",ADDRESS($AD47,MATCH(S$1,INDIRECT("Table!A" &amp; $AH47):INDIRECT("Table!" &amp; $AK$63 &amp; $AH47),0))))/1024)</f>
        <v>32.136515625000001</v>
      </c>
      <c r="T47" s="595">
        <f ca="1">IF(ISERROR(MATCH(T$1,INDIRECT("Table!A"&amp;$AH47):INDIRECT("Table!" &amp; $AK$63 &amp; $AH47),0)),"",INDIRECT(CONCATENATE("Table!",ADDRESS($AD47,MATCH(T$1,INDIRECT("Table!A" &amp; $AH47):INDIRECT("Table!" &amp; $AK$63 &amp; $AH47),0))))/1024)</f>
        <v>16.397525390624999</v>
      </c>
      <c r="U47" s="272" t="str">
        <f ca="1">IF(ISERROR(MATCH(U$1,INDIRECT("Table!A"&amp;$AH47):INDIRECT("Table!" &amp; $AK$63 &amp; $AH47),0)),"",INDIRECT(CONCATENATE("Table!",ADDRESS($AD47,MATCH(U$1,INDIRECT("Table!A" &amp; $AH47):INDIRECT("Table!" &amp; $AK$63 &amp; $AH47),0))))/1024)</f>
        <v/>
      </c>
      <c r="V47" s="595"/>
      <c r="W47" s="595"/>
      <c r="X47" s="595"/>
      <c r="Y47" s="595"/>
      <c r="Z47" s="595"/>
      <c r="AA47" s="595"/>
      <c r="AB47" s="595"/>
      <c r="AC47" s="595"/>
      <c r="AD47" s="272">
        <f>MATCH($A47,Table!$A:$A,0)+$AF$2-1</f>
        <v>613</v>
      </c>
      <c r="AE47" s="388"/>
      <c r="AF47" s="388"/>
      <c r="AG47" s="388"/>
      <c r="AH47" s="272">
        <f>MATCH($A47,Table!$A:$A,0)+$AJ$2-1</f>
        <v>605</v>
      </c>
      <c r="AI47" s="388"/>
      <c r="AJ47" s="388"/>
      <c r="AK47" s="904" t="s">
        <v>284</v>
      </c>
      <c r="AL47" s="699">
        <f t="shared" ca="1" si="11"/>
        <v>2589.030966796875</v>
      </c>
      <c r="AM47" s="699">
        <f t="shared" ca="1" si="10"/>
        <v>5.7951093749998108</v>
      </c>
    </row>
    <row r="48" spans="1:39" s="267" customFormat="1" x14ac:dyDescent="0.25">
      <c r="A48" s="268">
        <v>41430</v>
      </c>
      <c r="B48" s="272">
        <f ca="1">IF(ISERROR(MATCH(B$1,INDIRECT("Table!A"&amp;$AH48):INDIRECT("Table!" &amp; $AK$86 &amp; $AH48),0)),"",INDIRECT(CONCATENATE("Table!",ADDRESS($AD48,MATCH(B$1,INDIRECT("Table!A" &amp; $AH48):INDIRECT("Table!" &amp; $AK$86 &amp; $AH48),0))))/1024)</f>
        <v>175.79595996093749</v>
      </c>
      <c r="C48" s="272">
        <f ca="1">IF(ISERROR(MATCH(C$1,INDIRECT("Table!A"&amp;$AH48):INDIRECT("Table!" &amp; $AK$86 &amp; $AH48),0)),"",INDIRECT(CONCATENATE("Table!",ADDRESS($AD48,MATCH(C$1,INDIRECT("Table!A" &amp; $AH48):INDIRECT("Table!" &amp; $AK$86 &amp; $AH48),0))))/1024)</f>
        <v>88.342491210937496</v>
      </c>
      <c r="D48" s="272">
        <f ca="1">IF(ISERROR(MATCH(D$1,INDIRECT("Table!A"&amp;$AH48):INDIRECT("Table!" &amp; $AK$86 &amp; $AH48),0)),"",INDIRECT(CONCATENATE("Table!",ADDRESS($AD48,MATCH(D$1,INDIRECT("Table!A" &amp; $AH48):INDIRECT("Table!" &amp; $AK$86 &amp; $AH48),0))))/1024)</f>
        <v>89.363220703124995</v>
      </c>
      <c r="E48" s="272">
        <f ca="1">IF(ISERROR(MATCH(E$1,INDIRECT("Table!A"&amp;$AH48):INDIRECT("Table!" &amp; $AK$86 &amp; $AH48),0)),"",INDIRECT(CONCATENATE("Table!",ADDRESS($AD48,MATCH(E$1,INDIRECT("Table!A" &amp; $AH48):INDIRECT("Table!" &amp; $AK$86 &amp; $AH48),0))))/1024)</f>
        <v>271.51404492187498</v>
      </c>
      <c r="F48" s="272">
        <f ca="1">IF(ISERROR(MATCH(F$1,INDIRECT("Table!A"&amp;$AH48):INDIRECT("Table!" &amp; $AK$86 &amp; $AH48),0)),"",INDIRECT(CONCATENATE("Table!",ADDRESS($AD48,MATCH(F$1,INDIRECT("Table!A" &amp; $AH48):INDIRECT("Table!" &amp; $AK$86 &amp; $AH48),0))))/1024)</f>
        <v>254.78725195312498</v>
      </c>
      <c r="G48" s="272">
        <f ca="1">IF(ISERROR(MATCH(G$1,INDIRECT("Table!A"&amp;$AH48):INDIRECT("Table!" &amp; $AK$86 &amp; $AH48),0)),"",INDIRECT(CONCATENATE("Table!",ADDRESS($AD48,MATCH(G$1,INDIRECT("Table!A" &amp; $AH48):INDIRECT("Table!" &amp; $AK$86 &amp; $AH48),0))))/1024)</f>
        <v>448.5941484375</v>
      </c>
      <c r="H48" s="272">
        <f ca="1">IF(ISERROR(MATCH(H$1,INDIRECT("Table!A"&amp;$AH48):INDIRECT("Table!" &amp; $AK$86 &amp; $AH48),0)),"",INDIRECT(CONCATENATE("Table!",ADDRESS($AD48,MATCH(H$1,INDIRECT("Table!A" &amp; $AH48):INDIRECT("Table!" &amp; $AK$86 &amp; $AH48),0))))/1024)</f>
        <v>136.77775195312501</v>
      </c>
      <c r="I48" s="272">
        <f ca="1">IF(ISERROR(MATCH(I$1,INDIRECT("Table!A"&amp;$AH48):INDIRECT("Table!" &amp; $AK$63 &amp; $AH48),0)),"",INDIRECT(CONCATENATE("Table!",ADDRESS($AD48,MATCH(I$1,INDIRECT("Table!A" &amp; $AH48):INDIRECT("Table!" &amp; $AK$63 &amp; $AH48),0))))/1024)</f>
        <v>14.0597255859375</v>
      </c>
      <c r="J48" s="272">
        <f ca="1">IF(ISERROR(MATCH(J$1,INDIRECT("Table!A"&amp;$AH48):INDIRECT("Table!" &amp; $AK$63 &amp; $AH48),0)),"",INDIRECT(CONCATENATE("Table!",ADDRESS($AD48,MATCH(J$1,INDIRECT("Table!A" &amp; $AH48):INDIRECT("Table!" &amp; $AK$63 &amp; $AH48),0))))/1024)</f>
        <v>2.9304814453125001</v>
      </c>
      <c r="K48" s="272" t="str">
        <f ca="1">IF(ISERROR(MATCH(K$1,INDIRECT("Table!A"&amp;$AH48):INDIRECT("Table!" &amp; $AK$63 &amp; $AH48),0)),"",INDIRECT(CONCATENATE("Table!",ADDRESS($AD48,MATCH(K$1,INDIRECT("Table!A" &amp; $AH48):INDIRECT("Table!" &amp; $AK$63 &amp; $AH48),0))))/1024)</f>
        <v/>
      </c>
      <c r="L48" s="272">
        <f ca="1">IF(ISERROR(MATCH(L$1,INDIRECT("Table!A"&amp;$AH48):INDIRECT("Table!" &amp; $AK$63 &amp; $AH48),0)),"",INDIRECT(CONCATENATE("Table!",ADDRESS($AD48,MATCH(L$1,INDIRECT("Table!A" &amp; $AH48):INDIRECT("Table!" &amp; $AK$63 &amp; $AH48),0))))/1024)</f>
        <v>275.92623046874996</v>
      </c>
      <c r="M48" s="272">
        <f ca="1">IF(ISERROR(MATCH(M$1,INDIRECT("Table!A"&amp;$AH48):INDIRECT("Table!" &amp; $AK$63 &amp; $AH48),0)),"",INDIRECT(CONCATENATE("Table!",ADDRESS($AD48,MATCH(M$1,INDIRECT("Table!A" &amp; $AH48):INDIRECT("Table!" &amp; $AK$63 &amp; $AH48),0))))/1024)</f>
        <v>365.816279296875</v>
      </c>
      <c r="N48" s="272">
        <f ca="1">IF(ISERROR(MATCH(N$1,INDIRECT("Table!A"&amp;$AH48):INDIRECT("Table!" &amp; $AK$63 &amp; $AH48),0)),"",INDIRECT(CONCATENATE("Table!",ADDRESS($AD48,MATCH(N$1,INDIRECT("Table!A" &amp; $AH48):INDIRECT("Table!" &amp; $AK$63 &amp; $AH48),0))))/1024)</f>
        <v>132.23385937500001</v>
      </c>
      <c r="O48" s="272">
        <f ca="1">IF(ISERROR(MATCH(O$1,INDIRECT("Table!A"&amp;$AH48):INDIRECT("Table!" &amp; $AK$63 &amp; $AH48),0)),"",INDIRECT(CONCATENATE("Table!",ADDRESS($AD48,MATCH(O$1,INDIRECT("Table!A" &amp; $AH48):INDIRECT("Table!" &amp; $AK$63 &amp; $AH48),0))))/1024)</f>
        <v>244.97507812499998</v>
      </c>
      <c r="P48" s="272">
        <f ca="1">IF(ISERROR(MATCH(P$1,INDIRECT("Table!A"&amp;$AH48):INDIRECT("Table!" &amp; $AK$63 &amp; $AH48),0)),"",INDIRECT(CONCATENATE("Table!",ADDRESS($AD48,MATCH(P$1,INDIRECT("Table!A" &amp; $AH48):INDIRECT("Table!" &amp; $AK$63 &amp; $AH48),0))))/1024)</f>
        <v>28.6133525390625</v>
      </c>
      <c r="Q48" s="272">
        <f ca="1">IF(ISERROR(MATCH(Q$1,INDIRECT("Table!A"&amp;$AH48):INDIRECT("Table!" &amp; $AK$63 &amp; $AH48),0)),"",INDIRECT(CONCATENATE("Table!",ADDRESS($AD48,MATCH(Q$1,INDIRECT("Table!A" &amp; $AH48):INDIRECT("Table!" &amp; $AK$63 &amp; $AH48),0))))/1024)</f>
        <v>5.2682812499999994</v>
      </c>
      <c r="R48" s="272" t="str">
        <f ca="1">IF(ISERROR(MATCH(R$1,INDIRECT("Table!A"&amp;$AH48):INDIRECT("Table!" &amp; $AK$63 &amp; $AH48),0)),"",INDIRECT(CONCATENATE("Table!",ADDRESS($AD48,MATCH(R$1,INDIRECT("Table!A" &amp; $AH48):INDIRECT("Table!" &amp; $AK$63 &amp; $AH48),0))))/1024)</f>
        <v/>
      </c>
      <c r="S48" s="595">
        <f ca="1">IF(ISERROR(MATCH(S$1,INDIRECT("Table!A"&amp;$AH48):INDIRECT("Table!" &amp; $AK$63 &amp; $AH48),0)),"",INDIRECT(CONCATENATE("Table!",ADDRESS($AD48,MATCH(S$1,INDIRECT("Table!A" &amp; $AH48):INDIRECT("Table!" &amp; $AK$63 &amp; $AH48),0))))/1024)</f>
        <v>31.8401748046875</v>
      </c>
      <c r="T48" s="595">
        <f ca="1">IF(ISERROR(MATCH(T$1,INDIRECT("Table!A"&amp;$AH48):INDIRECT("Table!" &amp; $AK$63 &amp; $AH48),0)),"",INDIRECT(CONCATENATE("Table!",ADDRESS($AD48,MATCH(T$1,INDIRECT("Table!A" &amp; $AH48):INDIRECT("Table!" &amp; $AK$63 &amp; $AH48),0))))/1024)</f>
        <v>16.397525390624999</v>
      </c>
      <c r="U48" s="272" t="str">
        <f ca="1">IF(ISERROR(MATCH(U$1,INDIRECT("Table!A"&amp;$AH48):INDIRECT("Table!" &amp; $AK$63 &amp; $AH48),0)),"",INDIRECT(CONCATENATE("Table!",ADDRESS($AD48,MATCH(U$1,INDIRECT("Table!A" &amp; $AH48):INDIRECT("Table!" &amp; $AK$63 &amp; $AH48),0))))/1024)</f>
        <v/>
      </c>
      <c r="V48" s="595"/>
      <c r="W48" s="595"/>
      <c r="X48" s="595"/>
      <c r="Y48" s="595"/>
      <c r="Z48" s="595"/>
      <c r="AA48" s="595"/>
      <c r="AB48" s="595"/>
      <c r="AC48" s="595"/>
      <c r="AD48" s="272">
        <f>MATCH($A48,Table!$A:$A,0)+$AF$2-1</f>
        <v>625</v>
      </c>
      <c r="AE48" s="384"/>
      <c r="AF48" s="384"/>
      <c r="AG48" s="384"/>
      <c r="AH48" s="272">
        <f>MATCH($A48,Table!$A:$A,0)+$AJ$2-1</f>
        <v>617</v>
      </c>
      <c r="AI48" s="384"/>
      <c r="AJ48" s="384"/>
      <c r="AK48" s="904" t="s">
        <v>284</v>
      </c>
      <c r="AL48" s="699">
        <f t="shared" ca="1" si="11"/>
        <v>2583.2358574218752</v>
      </c>
      <c r="AM48" s="699">
        <f t="shared" ca="1" si="10"/>
        <v>13.829238281250127</v>
      </c>
    </row>
    <row r="49" spans="1:39" s="267" customFormat="1" x14ac:dyDescent="0.25">
      <c r="A49" s="268">
        <v>41428</v>
      </c>
      <c r="B49" s="272">
        <f ca="1">IF(ISERROR(MATCH(B$1,INDIRECT("Table!A"&amp;$AH49):INDIRECT("Table!" &amp; $AK$86 &amp; $AH49),0)),"",INDIRECT(CONCATENATE("Table!",ADDRESS($AD49,MATCH(B$1,INDIRECT("Table!A" &amp; $AH49):INDIRECT("Table!" &amp; $AK$86 &amp; $AH49),0))))/1024)</f>
        <v>175.79595996093749</v>
      </c>
      <c r="C49" s="272">
        <f ca="1">IF(ISERROR(MATCH(C$1,INDIRECT("Table!A"&amp;$AH49):INDIRECT("Table!" &amp; $AK$86 &amp; $AH49),0)),"",INDIRECT(CONCATENATE("Table!",ADDRESS($AD49,MATCH(C$1,INDIRECT("Table!A" &amp; $AH49):INDIRECT("Table!" &amp; $AK$86 &amp; $AH49),0))))/1024)</f>
        <v>88.342491210937496</v>
      </c>
      <c r="D49" s="272">
        <f ca="1">IF(ISERROR(MATCH(D$1,INDIRECT("Table!A"&amp;$AH49):INDIRECT("Table!" &amp; $AK$86 &amp; $AH49),0)),"",INDIRECT(CONCATENATE("Table!",ADDRESS($AD49,MATCH(D$1,INDIRECT("Table!A" &amp; $AH49):INDIRECT("Table!" &amp; $AK$86 &amp; $AH49),0))))/1024)</f>
        <v>89.363220703124995</v>
      </c>
      <c r="E49" s="272">
        <f ca="1">IF(ISERROR(MATCH(E$1,INDIRECT("Table!A"&amp;$AH49):INDIRECT("Table!" &amp; $AK$86 &amp; $AH49),0)),"",INDIRECT(CONCATENATE("Table!",ADDRESS($AD49,MATCH(E$1,INDIRECT("Table!A" &amp; $AH49):INDIRECT("Table!" &amp; $AK$86 &amp; $AH49),0))))/1024)</f>
        <v>271.51404492187498</v>
      </c>
      <c r="F49" s="272">
        <f ca="1">IF(ISERROR(MATCH(F$1,INDIRECT("Table!A"&amp;$AH49):INDIRECT("Table!" &amp; $AK$86 &amp; $AH49),0)),"",INDIRECT(CONCATENATE("Table!",ADDRESS($AD49,MATCH(F$1,INDIRECT("Table!A" &amp; $AH49):INDIRECT("Table!" &amp; $AK$86 &amp; $AH49),0))))/1024)</f>
        <v>253.40432812499998</v>
      </c>
      <c r="G49" s="272">
        <f ca="1">IF(ISERROR(MATCH(G$1,INDIRECT("Table!A"&amp;$AH49):INDIRECT("Table!" &amp; $AK$86 &amp; $AH49),0)),"",INDIRECT(CONCATENATE("Table!",ADDRESS($AD49,MATCH(G$1,INDIRECT("Table!A" &amp; $AH49):INDIRECT("Table!" &amp; $AK$86 &amp; $AH49),0))))/1024)</f>
        <v>448.52829492187499</v>
      </c>
      <c r="H49" s="272">
        <f ca="1">IF(ISERROR(MATCH(H$1,INDIRECT("Table!A"&amp;$AH49):INDIRECT("Table!" &amp; $AK$86 &amp; $AH49),0)),"",INDIRECT(CONCATENATE("Table!",ADDRESS($AD49,MATCH(H$1,INDIRECT("Table!A" &amp; $AH49):INDIRECT("Table!" &amp; $AK$86 &amp; $AH49),0))))/1024)</f>
        <v>136.0204365234375</v>
      </c>
      <c r="I49" s="272">
        <f ca="1">IF(ISERROR(MATCH(I$1,INDIRECT("Table!A"&amp;$AH49):INDIRECT("Table!" &amp; $AK$63 &amp; $AH49),0)),"",INDIRECT(CONCATENATE("Table!",ADDRESS($AD49,MATCH(I$1,INDIRECT("Table!A" &amp; $AH49):INDIRECT("Table!" &amp; $AK$63 &amp; $AH49),0))))/1024)</f>
        <v>12.512167968749999</v>
      </c>
      <c r="J49" s="272">
        <f ca="1">IF(ISERROR(MATCH(J$1,INDIRECT("Table!A"&amp;$AH49):INDIRECT("Table!" &amp; $AK$63 &amp; $AH49),0)),"",INDIRECT(CONCATENATE("Table!",ADDRESS($AD49,MATCH(J$1,INDIRECT("Table!A" &amp; $AH49):INDIRECT("Table!" &amp; $AK$63 &amp; $AH49),0))))/1024)</f>
        <v>0</v>
      </c>
      <c r="K49" s="272" t="str">
        <f ca="1">IF(ISERROR(MATCH(K$1,INDIRECT("Table!A"&amp;$AH49):INDIRECT("Table!" &amp; $AK$63 &amp; $AH49),0)),"",INDIRECT(CONCATENATE("Table!",ADDRESS($AD49,MATCH(K$1,INDIRECT("Table!A" &amp; $AH49):INDIRECT("Table!" &amp; $AK$63 &amp; $AH49),0))))/1024)</f>
        <v/>
      </c>
      <c r="L49" s="272">
        <f ca="1">IF(ISERROR(MATCH(L$1,INDIRECT("Table!A"&amp;$AH49):INDIRECT("Table!" &amp; $AK$63 &amp; $AH49),0)),"",INDIRECT(CONCATENATE("Table!",ADDRESS($AD49,MATCH(L$1,INDIRECT("Table!A" &amp; $AH49):INDIRECT("Table!" &amp; $AK$63 &amp; $AH49),0))))/1024)</f>
        <v>275.92623046874996</v>
      </c>
      <c r="M49" s="272">
        <f ca="1">IF(ISERROR(MATCH(M$1,INDIRECT("Table!A"&amp;$AH49):INDIRECT("Table!" &amp; $AK$63 &amp; $AH49),0)),"",INDIRECT(CONCATENATE("Table!",ADDRESS($AD49,MATCH(M$1,INDIRECT("Table!A" &amp; $AH49):INDIRECT("Table!" &amp; $AK$63 &amp; $AH49),0))))/1024)</f>
        <v>365.816279296875</v>
      </c>
      <c r="N49" s="272">
        <f ca="1">IF(ISERROR(MATCH(N$1,INDIRECT("Table!A"&amp;$AH49):INDIRECT("Table!" &amp; $AK$63 &amp; $AH49),0)),"",INDIRECT(CONCATENATE("Table!",ADDRESS($AD49,MATCH(N$1,INDIRECT("Table!A" &amp; $AH49):INDIRECT("Table!" &amp; $AK$63 &amp; $AH49),0))))/1024)</f>
        <v>131.54239746093751</v>
      </c>
      <c r="O49" s="272">
        <f ca="1">IF(ISERROR(MATCH(O$1,INDIRECT("Table!A"&amp;$AH49):INDIRECT("Table!" &amp; $AK$63 &amp; $AH49),0)),"",INDIRECT(CONCATENATE("Table!",ADDRESS($AD49,MATCH(O$1,INDIRECT("Table!A" &amp; $AH49):INDIRECT("Table!" &amp; $AK$63 &amp; $AH49),0))))/1024)</f>
        <v>244.2177626953125</v>
      </c>
      <c r="P49" s="272">
        <f ca="1">IF(ISERROR(MATCH(P$1,INDIRECT("Table!A"&amp;$AH49):INDIRECT("Table!" &amp; $AK$63 &amp; $AH49),0)),"",INDIRECT(CONCATENATE("Table!",ADDRESS($AD49,MATCH(P$1,INDIRECT("Table!A" &amp; $AH49):INDIRECT("Table!" &amp; $AK$63 &amp; $AH49),0))))/1024)</f>
        <v>28.1853046875</v>
      </c>
      <c r="Q49" s="272">
        <f ca="1">IF(ISERROR(MATCH(Q$1,INDIRECT("Table!A"&amp;$AH49):INDIRECT("Table!" &amp; $AK$63 &amp; $AH49),0)),"",INDIRECT(CONCATENATE("Table!",ADDRESS($AD49,MATCH(Q$1,INDIRECT("Table!A" &amp; $AH49):INDIRECT("Table!" &amp; $AK$63 &amp; $AH49),0))))/1024)</f>
        <v>0</v>
      </c>
      <c r="R49" s="272" t="str">
        <f ca="1">IF(ISERROR(MATCH(R$1,INDIRECT("Table!A"&amp;$AH49):INDIRECT("Table!" &amp; $AK$63 &amp; $AH49),0)),"",INDIRECT(CONCATENATE("Table!",ADDRESS($AD49,MATCH(R$1,INDIRECT("Table!A" &amp; $AH49):INDIRECT("Table!" &amp; $AK$63 &amp; $AH49),0))))/1024)</f>
        <v/>
      </c>
      <c r="S49" s="595">
        <f ca="1">IF(ISERROR(MATCH(S$1,INDIRECT("Table!A"&amp;$AH49):INDIRECT("Table!" &amp; $AK$63 &amp; $AH49),0)),"",INDIRECT(CONCATENATE("Table!",ADDRESS($AD49,MATCH(S$1,INDIRECT("Table!A" &amp; $AH49):INDIRECT("Table!" &amp; $AK$63 &amp; $AH49),0))))/1024)</f>
        <v>31.8401748046875</v>
      </c>
      <c r="T49" s="595">
        <f ca="1">IF(ISERROR(MATCH(T$1,INDIRECT("Table!A"&amp;$AH49):INDIRECT("Table!" &amp; $AK$63 &amp; $AH49),0)),"",INDIRECT(CONCATENATE("Table!",ADDRESS($AD49,MATCH(T$1,INDIRECT("Table!A" &amp; $AH49):INDIRECT("Table!" &amp; $AK$63 &amp; $AH49),0))))/1024)</f>
        <v>16.397525390624999</v>
      </c>
      <c r="U49" s="272" t="str">
        <f ca="1">IF(ISERROR(MATCH(U$1,INDIRECT("Table!A"&amp;$AH49):INDIRECT("Table!" &amp; $AK$63 &amp; $AH49),0)),"",INDIRECT(CONCATENATE("Table!",ADDRESS($AD49,MATCH(U$1,INDIRECT("Table!A" &amp; $AH49):INDIRECT("Table!" &amp; $AK$63 &amp; $AH49),0))))/1024)</f>
        <v/>
      </c>
      <c r="V49" s="595"/>
      <c r="W49" s="595"/>
      <c r="X49" s="595"/>
      <c r="Y49" s="595"/>
      <c r="Z49" s="595"/>
      <c r="AA49" s="595"/>
      <c r="AB49" s="595"/>
      <c r="AC49" s="595"/>
      <c r="AD49" s="272">
        <f>MATCH($A49,Table!$A:$A,0)+$AF$2-1</f>
        <v>637</v>
      </c>
      <c r="AE49" s="380"/>
      <c r="AF49" s="380"/>
      <c r="AG49" s="380"/>
      <c r="AH49" s="272">
        <f>MATCH($A49,Table!$A:$A,0)+$AJ$2-1</f>
        <v>629</v>
      </c>
      <c r="AI49" s="380"/>
      <c r="AJ49" s="380"/>
      <c r="AK49" s="904" t="s">
        <v>284</v>
      </c>
      <c r="AL49" s="699">
        <f t="shared" ca="1" si="11"/>
        <v>2569.406619140625</v>
      </c>
      <c r="AM49" s="699">
        <f t="shared" ca="1" si="10"/>
        <v>0</v>
      </c>
    </row>
    <row r="50" spans="1:39" s="267" customFormat="1" x14ac:dyDescent="0.25">
      <c r="A50" s="268">
        <v>41423</v>
      </c>
      <c r="B50" s="272">
        <f ca="1">IF(ISERROR(MATCH(B$1,INDIRECT("Table!A"&amp;$AH50):INDIRECT("Table!" &amp; $AK$86 &amp; $AH50),0)),"",INDIRECT(CONCATENATE("Table!",ADDRESS($AD50,MATCH(B$1,INDIRECT("Table!A" &amp; $AH50):INDIRECT("Table!" &amp; $AK$86 &amp; $AH50),0))))/1024)</f>
        <v>175.79595996093749</v>
      </c>
      <c r="C50" s="272">
        <f ca="1">IF(ISERROR(MATCH(C$1,INDIRECT("Table!A"&amp;$AH50):INDIRECT("Table!" &amp; $AK$86 &amp; $AH50),0)),"",INDIRECT(CONCATENATE("Table!",ADDRESS($AD50,MATCH(C$1,INDIRECT("Table!A" &amp; $AH50):INDIRECT("Table!" &amp; $AK$86 &amp; $AH50),0))))/1024)</f>
        <v>88.342491210937496</v>
      </c>
      <c r="D50" s="272">
        <f ca="1">IF(ISERROR(MATCH(D$1,INDIRECT("Table!A"&amp;$AH50):INDIRECT("Table!" &amp; $AK$86 &amp; $AH50),0)),"",INDIRECT(CONCATENATE("Table!",ADDRESS($AD50,MATCH(D$1,INDIRECT("Table!A" &amp; $AH50):INDIRECT("Table!" &amp; $AK$86 &amp; $AH50),0))))/1024)</f>
        <v>89.363220703124995</v>
      </c>
      <c r="E50" s="272">
        <f ca="1">IF(ISERROR(MATCH(E$1,INDIRECT("Table!A"&amp;$AH50):INDIRECT("Table!" &amp; $AK$86 &amp; $AH50),0)),"",INDIRECT(CONCATENATE("Table!",ADDRESS($AD50,MATCH(E$1,INDIRECT("Table!A" &amp; $AH50):INDIRECT("Table!" &amp; $AK$86 &amp; $AH50),0))))/1024)</f>
        <v>271.51404492187498</v>
      </c>
      <c r="F50" s="272">
        <f ca="1">IF(ISERROR(MATCH(F$1,INDIRECT("Table!A"&amp;$AH50):INDIRECT("Table!" &amp; $AK$86 &amp; $AH50),0)),"",INDIRECT(CONCATENATE("Table!",ADDRESS($AD50,MATCH(F$1,INDIRECT("Table!A" &amp; $AH50):INDIRECT("Table!" &amp; $AK$86 &amp; $AH50),0))))/1024)</f>
        <v>253.40432812499998</v>
      </c>
      <c r="G50" s="272">
        <f ca="1">IF(ISERROR(MATCH(G$1,INDIRECT("Table!A"&amp;$AH50):INDIRECT("Table!" &amp; $AK$86 &amp; $AH50),0)),"",INDIRECT(CONCATENATE("Table!",ADDRESS($AD50,MATCH(G$1,INDIRECT("Table!A" &amp; $AH50):INDIRECT("Table!" &amp; $AK$86 &amp; $AH50),0))))/1024)</f>
        <v>448.52829492187499</v>
      </c>
      <c r="H50" s="272">
        <f ca="1">IF(ISERROR(MATCH(H$1,INDIRECT("Table!A"&amp;$AH50):INDIRECT("Table!" &amp; $AK$86 &amp; $AH50),0)),"",INDIRECT(CONCATENATE("Table!",ADDRESS($AD50,MATCH(H$1,INDIRECT("Table!A" &amp; $AH50):INDIRECT("Table!" &amp; $AK$86 &amp; $AH50),0))))/1024)</f>
        <v>136.0204365234375</v>
      </c>
      <c r="I50" s="272">
        <f ca="1">IF(ISERROR(MATCH(I$1,INDIRECT("Table!A"&amp;$AH50):INDIRECT("Table!" &amp; $AK$63 &amp; $AH50),0)),"",INDIRECT(CONCATENATE("Table!",ADDRESS($AD50,MATCH(I$1,INDIRECT("Table!A" &amp; $AH50):INDIRECT("Table!" &amp; $AK$63 &amp; $AH50),0))))/1024)</f>
        <v>12.512167968749999</v>
      </c>
      <c r="J50" s="272">
        <f ca="1">IF(ISERROR(MATCH(J$1,INDIRECT("Table!A"&amp;$AH50):INDIRECT("Table!" &amp; $AK$63 &amp; $AH50),0)),"",INDIRECT(CONCATENATE("Table!",ADDRESS($AD50,MATCH(J$1,INDIRECT("Table!A" &amp; $AH50):INDIRECT("Table!" &amp; $AK$63 &amp; $AH50),0))))/1024)</f>
        <v>0</v>
      </c>
      <c r="K50" s="272" t="str">
        <f ca="1">IF(ISERROR(MATCH(K$1,INDIRECT("Table!A"&amp;$AH50):INDIRECT("Table!" &amp; $AK$63 &amp; $AH50),0)),"",INDIRECT(CONCATENATE("Table!",ADDRESS($AD50,MATCH(K$1,INDIRECT("Table!A" &amp; $AH50):INDIRECT("Table!" &amp; $AK$63 &amp; $AH50),0))))/1024)</f>
        <v/>
      </c>
      <c r="L50" s="272">
        <f ca="1">IF(ISERROR(MATCH(L$1,INDIRECT("Table!A"&amp;$AH50):INDIRECT("Table!" &amp; $AK$63 &amp; $AH50),0)),"",INDIRECT(CONCATENATE("Table!",ADDRESS($AD50,MATCH(L$1,INDIRECT("Table!A" &amp; $AH50):INDIRECT("Table!" &amp; $AK$63 &amp; $AH50),0))))/1024)</f>
        <v>275.92623046874996</v>
      </c>
      <c r="M50" s="272">
        <f ca="1">IF(ISERROR(MATCH(M$1,INDIRECT("Table!A"&amp;$AH50):INDIRECT("Table!" &amp; $AK$63 &amp; $AH50),0)),"",INDIRECT(CONCATENATE("Table!",ADDRESS($AD50,MATCH(M$1,INDIRECT("Table!A" &amp; $AH50):INDIRECT("Table!" &amp; $AK$63 &amp; $AH50),0))))/1024)</f>
        <v>365.816279296875</v>
      </c>
      <c r="N50" s="272">
        <f ca="1">IF(ISERROR(MATCH(N$1,INDIRECT("Table!A"&amp;$AH50):INDIRECT("Table!" &amp; $AK$63 &amp; $AH50),0)),"",INDIRECT(CONCATENATE("Table!",ADDRESS($AD50,MATCH(N$1,INDIRECT("Table!A" &amp; $AH50):INDIRECT("Table!" &amp; $AK$63 &amp; $AH50),0))))/1024)</f>
        <v>131.54239746093751</v>
      </c>
      <c r="O50" s="272">
        <f ca="1">IF(ISERROR(MATCH(O$1,INDIRECT("Table!A"&amp;$AH50):INDIRECT("Table!" &amp; $AK$63 &amp; $AH50),0)),"",INDIRECT(CONCATENATE("Table!",ADDRESS($AD50,MATCH(O$1,INDIRECT("Table!A" &amp; $AH50):INDIRECT("Table!" &amp; $AK$63 &amp; $AH50),0))))/1024)</f>
        <v>244.2177626953125</v>
      </c>
      <c r="P50" s="272">
        <f ca="1">IF(ISERROR(MATCH(P$1,INDIRECT("Table!A"&amp;$AH50):INDIRECT("Table!" &amp; $AK$63 &amp; $AH50),0)),"",INDIRECT(CONCATENATE("Table!",ADDRESS($AD50,MATCH(P$1,INDIRECT("Table!A" &amp; $AH50):INDIRECT("Table!" &amp; $AK$63 &amp; $AH50),0))))/1024)</f>
        <v>28.1853046875</v>
      </c>
      <c r="Q50" s="272">
        <f ca="1">IF(ISERROR(MATCH(Q$1,INDIRECT("Table!A"&amp;$AH50):INDIRECT("Table!" &amp; $AK$63 &amp; $AH50),0)),"",INDIRECT(CONCATENATE("Table!",ADDRESS($AD50,MATCH(Q$1,INDIRECT("Table!A" &amp; $AH50):INDIRECT("Table!" &amp; $AK$63 &amp; $AH50),0))))/1024)</f>
        <v>0</v>
      </c>
      <c r="R50" s="272" t="str">
        <f ca="1">IF(ISERROR(MATCH(R$1,INDIRECT("Table!A"&amp;$AH50):INDIRECT("Table!" &amp; $AK$63 &amp; $AH50),0)),"",INDIRECT(CONCATENATE("Table!",ADDRESS($AD50,MATCH(R$1,INDIRECT("Table!A" &amp; $AH50):INDIRECT("Table!" &amp; $AK$63 &amp; $AH50),0))))/1024)</f>
        <v/>
      </c>
      <c r="S50" s="595">
        <f ca="1">IF(ISERROR(MATCH(S$1,INDIRECT("Table!A"&amp;$AH50):INDIRECT("Table!" &amp; $AK$63 &amp; $AH50),0)),"",INDIRECT(CONCATENATE("Table!",ADDRESS($AD50,MATCH(S$1,INDIRECT("Table!A" &amp; $AH50):INDIRECT("Table!" &amp; $AK$63 &amp; $AH50),0))))/1024)</f>
        <v>31.8401748046875</v>
      </c>
      <c r="T50" s="595">
        <f ca="1">IF(ISERROR(MATCH(T$1,INDIRECT("Table!A"&amp;$AH50):INDIRECT("Table!" &amp; $AK$63 &amp; $AH50),0)),"",INDIRECT(CONCATENATE("Table!",ADDRESS($AD50,MATCH(T$1,INDIRECT("Table!A" &amp; $AH50):INDIRECT("Table!" &amp; $AK$63 &amp; $AH50),0))))/1024)</f>
        <v>16.397525390624999</v>
      </c>
      <c r="U50" s="272" t="str">
        <f ca="1">IF(ISERROR(MATCH(U$1,INDIRECT("Table!A"&amp;$AH50):INDIRECT("Table!" &amp; $AK$63 &amp; $AH50),0)),"",INDIRECT(CONCATENATE("Table!",ADDRESS($AD50,MATCH(U$1,INDIRECT("Table!A" &amp; $AH50):INDIRECT("Table!" &amp; $AK$63 &amp; $AH50),0))))/1024)</f>
        <v/>
      </c>
      <c r="V50" s="595"/>
      <c r="W50" s="595"/>
      <c r="X50" s="595"/>
      <c r="Y50" s="595"/>
      <c r="Z50" s="595"/>
      <c r="AA50" s="595"/>
      <c r="AB50" s="595"/>
      <c r="AC50" s="595"/>
      <c r="AD50" s="272">
        <f>MATCH($A50,Table!$A:$A,0)+$AF$2-1</f>
        <v>649</v>
      </c>
      <c r="AE50" s="379"/>
      <c r="AF50" s="379"/>
      <c r="AG50" s="379"/>
      <c r="AH50" s="272">
        <f>MATCH($A50,Table!$A:$A,0)+$AJ$2-1</f>
        <v>641</v>
      </c>
      <c r="AI50" s="379"/>
      <c r="AJ50" s="379"/>
      <c r="AK50" s="904" t="s">
        <v>284</v>
      </c>
      <c r="AL50" s="699">
        <f t="shared" ca="1" si="11"/>
        <v>2569.406619140625</v>
      </c>
      <c r="AM50" s="699">
        <f t="shared" ca="1" si="10"/>
        <v>0</v>
      </c>
    </row>
    <row r="51" spans="1:39" s="267" customFormat="1" x14ac:dyDescent="0.25">
      <c r="A51" s="268">
        <v>41422</v>
      </c>
      <c r="B51" s="272">
        <f ca="1">IF(ISERROR(MATCH(B$1,INDIRECT("Table!A"&amp;$AH51):INDIRECT("Table!" &amp; $AK$86 &amp; $AH51),0)),"",INDIRECT(CONCATENATE("Table!",ADDRESS($AD51,MATCH(B$1,INDIRECT("Table!A" &amp; $AH51):INDIRECT("Table!" &amp; $AK$86 &amp; $AH51),0))))/1024)</f>
        <v>175.79595996093749</v>
      </c>
      <c r="C51" s="272">
        <f ca="1">IF(ISERROR(MATCH(C$1,INDIRECT("Table!A"&amp;$AH51):INDIRECT("Table!" &amp; $AK$86 &amp; $AH51),0)),"",INDIRECT(CONCATENATE("Table!",ADDRESS($AD51,MATCH(C$1,INDIRECT("Table!A" &amp; $AH51):INDIRECT("Table!" &amp; $AK$86 &amp; $AH51),0))))/1024)</f>
        <v>88.342491210937496</v>
      </c>
      <c r="D51" s="272">
        <f ca="1">IF(ISERROR(MATCH(D$1,INDIRECT("Table!A"&amp;$AH51):INDIRECT("Table!" &amp; $AK$86 &amp; $AH51),0)),"",INDIRECT(CONCATENATE("Table!",ADDRESS($AD51,MATCH(D$1,INDIRECT("Table!A" &amp; $AH51):INDIRECT("Table!" &amp; $AK$86 &amp; $AH51),0))))/1024)</f>
        <v>89.363220703124995</v>
      </c>
      <c r="E51" s="272">
        <f ca="1">IF(ISERROR(MATCH(E$1,INDIRECT("Table!A"&amp;$AH51):INDIRECT("Table!" &amp; $AK$86 &amp; $AH51),0)),"",INDIRECT(CONCATENATE("Table!",ADDRESS($AD51,MATCH(E$1,INDIRECT("Table!A" &amp; $AH51):INDIRECT("Table!" &amp; $AK$86 &amp; $AH51),0))))/1024)</f>
        <v>271.51404492187498</v>
      </c>
      <c r="F51" s="272">
        <f ca="1">IF(ISERROR(MATCH(F$1,INDIRECT("Table!A"&amp;$AH51):INDIRECT("Table!" &amp; $AK$86 &amp; $AH51),0)),"",INDIRECT(CONCATENATE("Table!",ADDRESS($AD51,MATCH(F$1,INDIRECT("Table!A" &amp; $AH51):INDIRECT("Table!" &amp; $AK$86 &amp; $AH51),0))))/1024)</f>
        <v>253.40432812499998</v>
      </c>
      <c r="G51" s="272">
        <f ca="1">IF(ISERROR(MATCH(G$1,INDIRECT("Table!A"&amp;$AH51):INDIRECT("Table!" &amp; $AK$86 &amp; $AH51),0)),"",INDIRECT(CONCATENATE("Table!",ADDRESS($AD51,MATCH(G$1,INDIRECT("Table!A" &amp; $AH51):INDIRECT("Table!" &amp; $AK$86 &amp; $AH51),0))))/1024)</f>
        <v>448.52829492187499</v>
      </c>
      <c r="H51" s="272">
        <f ca="1">IF(ISERROR(MATCH(H$1,INDIRECT("Table!A"&amp;$AH51):INDIRECT("Table!" &amp; $AK$86 &amp; $AH51),0)),"",INDIRECT(CONCATENATE("Table!",ADDRESS($AD51,MATCH(H$1,INDIRECT("Table!A" &amp; $AH51):INDIRECT("Table!" &amp; $AK$86 &amp; $AH51),0))))/1024)</f>
        <v>136.0204365234375</v>
      </c>
      <c r="I51" s="272">
        <f ca="1">IF(ISERROR(MATCH(I$1,INDIRECT("Table!A"&amp;$AH51):INDIRECT("Table!" &amp; $AK$63 &amp; $AH51),0)),"",INDIRECT(CONCATENATE("Table!",ADDRESS($AD51,MATCH(I$1,INDIRECT("Table!A" &amp; $AH51):INDIRECT("Table!" &amp; $AK$63 &amp; $AH51),0))))/1024)</f>
        <v>12.512167968749999</v>
      </c>
      <c r="J51" s="272">
        <f ca="1">IF(ISERROR(MATCH(J$1,INDIRECT("Table!A"&amp;$AH51):INDIRECT("Table!" &amp; $AK$63 &amp; $AH51),0)),"",INDIRECT(CONCATENATE("Table!",ADDRESS($AD51,MATCH(J$1,INDIRECT("Table!A" &amp; $AH51):INDIRECT("Table!" &amp; $AK$63 &amp; $AH51),0))))/1024)</f>
        <v>0</v>
      </c>
      <c r="K51" s="272" t="str">
        <f ca="1">IF(ISERROR(MATCH(K$1,INDIRECT("Table!A"&amp;$AH51):INDIRECT("Table!" &amp; $AK$63 &amp; $AH51),0)),"",INDIRECT(CONCATENATE("Table!",ADDRESS($AD51,MATCH(K$1,INDIRECT("Table!A" &amp; $AH51):INDIRECT("Table!" &amp; $AK$63 &amp; $AH51),0))))/1024)</f>
        <v/>
      </c>
      <c r="L51" s="272">
        <f ca="1">IF(ISERROR(MATCH(L$1,INDIRECT("Table!A"&amp;$AH51):INDIRECT("Table!" &amp; $AK$63 &amp; $AH51),0)),"",INDIRECT(CONCATENATE("Table!",ADDRESS($AD51,MATCH(L$1,INDIRECT("Table!A" &amp; $AH51):INDIRECT("Table!" &amp; $AK$63 &amp; $AH51),0))))/1024)</f>
        <v>275.92623046874996</v>
      </c>
      <c r="M51" s="272">
        <f ca="1">IF(ISERROR(MATCH(M$1,INDIRECT("Table!A"&amp;$AH51):INDIRECT("Table!" &amp; $AK$63 &amp; $AH51),0)),"",INDIRECT(CONCATENATE("Table!",ADDRESS($AD51,MATCH(M$1,INDIRECT("Table!A" &amp; $AH51):INDIRECT("Table!" &amp; $AK$63 &amp; $AH51),0))))/1024)</f>
        <v>365.816279296875</v>
      </c>
      <c r="N51" s="272">
        <f ca="1">IF(ISERROR(MATCH(N$1,INDIRECT("Table!A"&amp;$AH51):INDIRECT("Table!" &amp; $AK$63 &amp; $AH51),0)),"",INDIRECT(CONCATENATE("Table!",ADDRESS($AD51,MATCH(N$1,INDIRECT("Table!A" &amp; $AH51):INDIRECT("Table!" &amp; $AK$63 &amp; $AH51),0))))/1024)</f>
        <v>131.54239746093751</v>
      </c>
      <c r="O51" s="272">
        <f ca="1">IF(ISERROR(MATCH(O$1,INDIRECT("Table!A"&amp;$AH51):INDIRECT("Table!" &amp; $AK$63 &amp; $AH51),0)),"",INDIRECT(CONCATENATE("Table!",ADDRESS($AD51,MATCH(O$1,INDIRECT("Table!A" &amp; $AH51):INDIRECT("Table!" &amp; $AK$63 &amp; $AH51),0))))/1024)</f>
        <v>244.2177626953125</v>
      </c>
      <c r="P51" s="272">
        <f ca="1">IF(ISERROR(MATCH(P$1,INDIRECT("Table!A"&amp;$AH51):INDIRECT("Table!" &amp; $AK$63 &amp; $AH51),0)),"",INDIRECT(CONCATENATE("Table!",ADDRESS($AD51,MATCH(P$1,INDIRECT("Table!A" &amp; $AH51):INDIRECT("Table!" &amp; $AK$63 &amp; $AH51),0))))/1024)</f>
        <v>28.1853046875</v>
      </c>
      <c r="Q51" s="272">
        <f ca="1">IF(ISERROR(MATCH(Q$1,INDIRECT("Table!A"&amp;$AH51):INDIRECT("Table!" &amp; $AK$63 &amp; $AH51),0)),"",INDIRECT(CONCATENATE("Table!",ADDRESS($AD51,MATCH(Q$1,INDIRECT("Table!A" &amp; $AH51):INDIRECT("Table!" &amp; $AK$63 &amp; $AH51),0))))/1024)</f>
        <v>0</v>
      </c>
      <c r="R51" s="272" t="str">
        <f ca="1">IF(ISERROR(MATCH(R$1,INDIRECT("Table!A"&amp;$AH51):INDIRECT("Table!" &amp; $AK$63 &amp; $AH51),0)),"",INDIRECT(CONCATENATE("Table!",ADDRESS($AD51,MATCH(R$1,INDIRECT("Table!A" &amp; $AH51):INDIRECT("Table!" &amp; $AK$63 &amp; $AH51),0))))/1024)</f>
        <v/>
      </c>
      <c r="S51" s="595">
        <f ca="1">IF(ISERROR(MATCH(S$1,INDIRECT("Table!A"&amp;$AH51):INDIRECT("Table!" &amp; $AK$63 &amp; $AH51),0)),"",INDIRECT(CONCATENATE("Table!",ADDRESS($AD51,MATCH(S$1,INDIRECT("Table!A" &amp; $AH51):INDIRECT("Table!" &amp; $AK$63 &amp; $AH51),0))))/1024)</f>
        <v>31.8401748046875</v>
      </c>
      <c r="T51" s="595">
        <f ca="1">IF(ISERROR(MATCH(T$1,INDIRECT("Table!A"&amp;$AH51):INDIRECT("Table!" &amp; $AK$63 &amp; $AH51),0)),"",INDIRECT(CONCATENATE("Table!",ADDRESS($AD51,MATCH(T$1,INDIRECT("Table!A" &amp; $AH51):INDIRECT("Table!" &amp; $AK$63 &amp; $AH51),0))))/1024)</f>
        <v>16.397525390624999</v>
      </c>
      <c r="U51" s="272" t="str">
        <f ca="1">IF(ISERROR(MATCH(U$1,INDIRECT("Table!A"&amp;$AH51):INDIRECT("Table!" &amp; $AK$63 &amp; $AH51),0)),"",INDIRECT(CONCATENATE("Table!",ADDRESS($AD51,MATCH(U$1,INDIRECT("Table!A" &amp; $AH51):INDIRECT("Table!" &amp; $AK$63 &amp; $AH51),0))))/1024)</f>
        <v/>
      </c>
      <c r="V51" s="595"/>
      <c r="W51" s="595"/>
      <c r="X51" s="595"/>
      <c r="Y51" s="595"/>
      <c r="Z51" s="595"/>
      <c r="AA51" s="595"/>
      <c r="AB51" s="595"/>
      <c r="AC51" s="595"/>
      <c r="AD51" s="272">
        <f>MATCH($A51,Table!$A:$A,0)+$AF$2-1</f>
        <v>661</v>
      </c>
      <c r="AE51" s="373"/>
      <c r="AF51" s="373"/>
      <c r="AG51" s="373"/>
      <c r="AH51" s="272">
        <f>MATCH($A51,Table!$A:$A,0)+$AJ$2-1</f>
        <v>653</v>
      </c>
      <c r="AI51" s="373"/>
      <c r="AJ51" s="373"/>
      <c r="AK51" s="904" t="s">
        <v>284</v>
      </c>
      <c r="AL51" s="699">
        <f t="shared" ca="1" si="11"/>
        <v>2569.406619140625</v>
      </c>
      <c r="AM51" s="699">
        <f t="shared" ca="1" si="10"/>
        <v>6.4207177734374454</v>
      </c>
    </row>
    <row r="52" spans="1:39" s="267" customFormat="1" x14ac:dyDescent="0.25">
      <c r="A52" s="268">
        <v>41414</v>
      </c>
      <c r="B52" s="272">
        <f ca="1">IF(ISERROR(MATCH(B$1,INDIRECT("Table!A"&amp;$AH52):INDIRECT("Table!" &amp; $AK$86 &amp; $AH52),0)),"",INDIRECT(CONCATENATE("Table!",ADDRESS($AD52,MATCH(B$1,INDIRECT("Table!A" &amp; $AH52):INDIRECT("Table!" &amp; $AK$86 &amp; $AH52),0))))/1024)</f>
        <v>175.73010644531249</v>
      </c>
      <c r="C52" s="272">
        <f ca="1">IF(ISERROR(MATCH(C$1,INDIRECT("Table!A"&amp;$AH52):INDIRECT("Table!" &amp; $AK$86 &amp; $AH52),0)),"",INDIRECT(CONCATENATE("Table!",ADDRESS($AD52,MATCH(C$1,INDIRECT("Table!A" &amp; $AH52):INDIRECT("Table!" &amp; $AK$86 &amp; $AH52),0))))/1024)</f>
        <v>87.354688476562501</v>
      </c>
      <c r="D52" s="272">
        <f ca="1">IF(ISERROR(MATCH(D$1,INDIRECT("Table!A"&amp;$AH52):INDIRECT("Table!" &amp; $AK$86 &amp; $AH52),0)),"",INDIRECT(CONCATENATE("Table!",ADDRESS($AD52,MATCH(D$1,INDIRECT("Table!A" &amp; $AH52):INDIRECT("Table!" &amp; $AK$86 &amp; $AH52),0))))/1024)</f>
        <v>88.37541796875</v>
      </c>
      <c r="E52" s="272">
        <f ca="1">IF(ISERROR(MATCH(E$1,INDIRECT("Table!A"&amp;$AH52):INDIRECT("Table!" &amp; $AK$86 &amp; $AH52),0)),"",INDIRECT(CONCATENATE("Table!",ADDRESS($AD52,MATCH(E$1,INDIRECT("Table!A" &amp; $AH52):INDIRECT("Table!" &amp; $AK$86 &amp; $AH52),0))))/1024)</f>
        <v>271.51404492187498</v>
      </c>
      <c r="F52" s="272">
        <f ca="1">IF(ISERROR(MATCH(F$1,INDIRECT("Table!A"&amp;$AH52):INDIRECT("Table!" &amp; $AK$86 &amp; $AH52),0)),"",INDIRECT(CONCATENATE("Table!",ADDRESS($AD52,MATCH(F$1,INDIRECT("Table!A" &amp; $AH52):INDIRECT("Table!" &amp; $AK$86 &amp; $AH52),0))))/1024)</f>
        <v>251.88969726562499</v>
      </c>
      <c r="G52" s="272">
        <f ca="1">IF(ISERROR(MATCH(G$1,INDIRECT("Table!A"&amp;$AH52):INDIRECT("Table!" &amp; $AK$86 &amp; $AH52),0)),"",INDIRECT(CONCATENATE("Table!",ADDRESS($AD52,MATCH(G$1,INDIRECT("Table!A" &amp; $AH52):INDIRECT("Table!" &amp; $AK$86 &amp; $AH52),0))))/1024)</f>
        <v>448.52829492187499</v>
      </c>
      <c r="H52" s="272">
        <f ca="1">IF(ISERROR(MATCH(H$1,INDIRECT("Table!A"&amp;$AH52):INDIRECT("Table!" &amp; $AK$86 &amp; $AH52),0)),"",INDIRECT(CONCATENATE("Table!",ADDRESS($AD52,MATCH(H$1,INDIRECT("Table!A" &amp; $AH52):INDIRECT("Table!" &amp; $AK$86 &amp; $AH52),0))))/1024)</f>
        <v>136.0204365234375</v>
      </c>
      <c r="I52" s="272">
        <f ca="1">IF(ISERROR(MATCH(I$1,INDIRECT("Table!A"&amp;$AH52):INDIRECT("Table!" &amp; $AK$63 &amp; $AH52),0)),"",INDIRECT(CONCATENATE("Table!",ADDRESS($AD52,MATCH(I$1,INDIRECT("Table!A" &amp; $AH52):INDIRECT("Table!" &amp; $AK$63 &amp; $AH52),0))))/1024)</f>
        <v>12.512167968749999</v>
      </c>
      <c r="J52" s="272" t="str">
        <f ca="1">IF(ISERROR(MATCH(J$1,INDIRECT("Table!A"&amp;$AH52):INDIRECT("Table!" &amp; $AK$63 &amp; $AH52),0)),"",INDIRECT(CONCATENATE("Table!",ADDRESS($AD52,MATCH(J$1,INDIRECT("Table!A" &amp; $AH52):INDIRECT("Table!" &amp; $AK$63 &amp; $AH52),0))))/1024)</f>
        <v/>
      </c>
      <c r="K52" s="272" t="str">
        <f ca="1">IF(ISERROR(MATCH(K$1,INDIRECT("Table!A"&amp;$AH52):INDIRECT("Table!" &amp; $AK$63 &amp; $AH52),0)),"",INDIRECT(CONCATENATE("Table!",ADDRESS($AD52,MATCH(K$1,INDIRECT("Table!A" &amp; $AH52):INDIRECT("Table!" &amp; $AK$63 &amp; $AH52),0))))/1024)</f>
        <v/>
      </c>
      <c r="L52" s="272">
        <f ca="1">IF(ISERROR(MATCH(L$1,INDIRECT("Table!A"&amp;$AH52):INDIRECT("Table!" &amp; $AK$63 &amp; $AH52),0)),"",INDIRECT(CONCATENATE("Table!",ADDRESS($AD52,MATCH(L$1,INDIRECT("Table!A" &amp; $AH52):INDIRECT("Table!" &amp; $AK$63 &amp; $AH52),0))))/1024)</f>
        <v>275.92623046874996</v>
      </c>
      <c r="M52" s="272">
        <f ca="1">IF(ISERROR(MATCH(M$1,INDIRECT("Table!A"&amp;$AH52):INDIRECT("Table!" &amp; $AK$63 &amp; $AH52),0)),"",INDIRECT(CONCATENATE("Table!",ADDRESS($AD52,MATCH(M$1,INDIRECT("Table!A" &amp; $AH52):INDIRECT("Table!" &amp; $AK$63 &amp; $AH52),0))))/1024)</f>
        <v>363.74189355468746</v>
      </c>
      <c r="N52" s="272">
        <f ca="1">IF(ISERROR(MATCH(N$1,INDIRECT("Table!A"&amp;$AH52):INDIRECT("Table!" &amp; $AK$63 &amp; $AH52),0)),"",INDIRECT(CONCATENATE("Table!",ADDRESS($AD52,MATCH(N$1,INDIRECT("Table!A" &amp; $AH52):INDIRECT("Table!" &amp; $AK$63 &amp; $AH52),0))))/1024)</f>
        <v>130.78508203125</v>
      </c>
      <c r="O52" s="272">
        <f ca="1">IF(ISERROR(MATCH(O$1,INDIRECT("Table!A"&amp;$AH52):INDIRECT("Table!" &amp; $AK$63 &amp; $AH52),0)),"",INDIRECT(CONCATENATE("Table!",ADDRESS($AD52,MATCH(O$1,INDIRECT("Table!A" &amp; $AH52):INDIRECT("Table!" &amp; $AK$63 &amp; $AH52),0))))/1024)</f>
        <v>244.2177626953125</v>
      </c>
      <c r="P52" s="272">
        <f ca="1">IF(ISERROR(MATCH(P$1,INDIRECT("Table!A"&amp;$AH52):INDIRECT("Table!" &amp; $AK$63 &amp; $AH52),0)),"",INDIRECT(CONCATENATE("Table!",ADDRESS($AD52,MATCH(P$1,INDIRECT("Table!A" &amp; $AH52):INDIRECT("Table!" &amp; $AK$63 &amp; $AH52),0))))/1024)</f>
        <v>28.1523779296875</v>
      </c>
      <c r="Q52" s="272" t="str">
        <f ca="1">IF(ISERROR(MATCH(Q$1,INDIRECT("Table!A"&amp;$AH52):INDIRECT("Table!" &amp; $AK$63 &amp; $AH52),0)),"",INDIRECT(CONCATENATE("Table!",ADDRESS($AD52,MATCH(Q$1,INDIRECT("Table!A" &amp; $AH52):INDIRECT("Table!" &amp; $AK$63 &amp; $AH52),0))))/1024)</f>
        <v/>
      </c>
      <c r="R52" s="272" t="str">
        <f ca="1">IF(ISERROR(MATCH(R$1,INDIRECT("Table!A"&amp;$AH52):INDIRECT("Table!" &amp; $AK$63 &amp; $AH52),0)),"",INDIRECT(CONCATENATE("Table!",ADDRESS($AD52,MATCH(R$1,INDIRECT("Table!A" &amp; $AH52):INDIRECT("Table!" &amp; $AK$63 &amp; $AH52),0))))/1024)</f>
        <v/>
      </c>
      <c r="S52" s="595">
        <f ca="1">IF(ISERROR(MATCH(S$1,INDIRECT("Table!A"&amp;$AH52):INDIRECT("Table!" &amp; $AK$63 &amp; $AH52),0)),"",INDIRECT(CONCATENATE("Table!",ADDRESS($AD52,MATCH(S$1,INDIRECT("Table!A" &amp; $AH52):INDIRECT("Table!" &amp; $AK$63 &amp; $AH52),0))))/1024)</f>
        <v>31.8401748046875</v>
      </c>
      <c r="T52" s="595">
        <f ca="1">IF(ISERROR(MATCH(T$1,INDIRECT("Table!A"&amp;$AH52):INDIRECT("Table!" &amp; $AK$63 &amp; $AH52),0)),"",INDIRECT(CONCATENATE("Table!",ADDRESS($AD52,MATCH(T$1,INDIRECT("Table!A" &amp; $AH52):INDIRECT("Table!" &amp; $AK$63 &amp; $AH52),0))))/1024)</f>
        <v>16.397525390624999</v>
      </c>
      <c r="U52" s="272" t="str">
        <f ca="1">IF(ISERROR(MATCH(U$1,INDIRECT("Table!A"&amp;$AH52):INDIRECT("Table!" &amp; $AK$63 &amp; $AH52),0)),"",INDIRECT(CONCATENATE("Table!",ADDRESS($AD52,MATCH(U$1,INDIRECT("Table!A" &amp; $AH52):INDIRECT("Table!" &amp; $AK$63 &amp; $AH52),0))))/1024)</f>
        <v/>
      </c>
      <c r="V52" s="595"/>
      <c r="W52" s="595"/>
      <c r="X52" s="595"/>
      <c r="Y52" s="595"/>
      <c r="Z52" s="595"/>
      <c r="AA52" s="595"/>
      <c r="AB52" s="595"/>
      <c r="AC52" s="595"/>
      <c r="AD52" s="272">
        <f>MATCH($A52,Table!$A:$A,0)+$AF$2-1</f>
        <v>673</v>
      </c>
      <c r="AE52" s="370"/>
      <c r="AF52" s="370"/>
      <c r="AG52" s="370"/>
      <c r="AH52" s="272">
        <f>MATCH($A52,Table!$A:$A,0)+$AJ$2-1</f>
        <v>665</v>
      </c>
      <c r="AI52" s="370"/>
      <c r="AJ52" s="370"/>
      <c r="AK52" s="904" t="s">
        <v>284</v>
      </c>
      <c r="AL52" s="699">
        <f t="shared" ca="1" si="11"/>
        <v>2562.9859013671876</v>
      </c>
      <c r="AM52" s="699">
        <f t="shared" ca="1" si="10"/>
        <v>5.0048671874997126</v>
      </c>
    </row>
    <row r="53" spans="1:39" s="267" customFormat="1" x14ac:dyDescent="0.25">
      <c r="A53" s="268">
        <v>41408</v>
      </c>
      <c r="B53" s="272">
        <f ca="1">IF(ISERROR(MATCH(B$1,INDIRECT("Table!A"&amp;$AH53):INDIRECT("Table!" &amp; $AK$86 &amp; $AH53),0)),"",INDIRECT(CONCATENATE("Table!",ADDRESS($AD53,MATCH(B$1,INDIRECT("Table!A" &amp; $AH53):INDIRECT("Table!" &amp; $AK$86 &amp; $AH53),0))))/1024)</f>
        <v>174.34718261718749</v>
      </c>
      <c r="C53" s="272">
        <f ca="1">IF(ISERROR(MATCH(C$1,INDIRECT("Table!A"&amp;$AH53):INDIRECT("Table!" &amp; $AK$86 &amp; $AH53),0)),"",INDIRECT(CONCATENATE("Table!",ADDRESS($AD53,MATCH(C$1,INDIRECT("Table!A" &amp; $AH53):INDIRECT("Table!" &amp; $AK$86 &amp; $AH53),0))))/1024)</f>
        <v>87.354688476562501</v>
      </c>
      <c r="D53" s="272">
        <f ca="1">IF(ISERROR(MATCH(D$1,INDIRECT("Table!A"&amp;$AH53):INDIRECT("Table!" &amp; $AK$86 &amp; $AH53),0)),"",INDIRECT(CONCATENATE("Table!",ADDRESS($AD53,MATCH(D$1,INDIRECT("Table!A" &amp; $AH53):INDIRECT("Table!" &amp; $AK$86 &amp; $AH53),0))))/1024)</f>
        <v>88.37541796875</v>
      </c>
      <c r="E53" s="272">
        <f ca="1">IF(ISERROR(MATCH(E$1,INDIRECT("Table!A"&amp;$AH53):INDIRECT("Table!" &amp; $AK$86 &amp; $AH53),0)),"",INDIRECT(CONCATENATE("Table!",ADDRESS($AD53,MATCH(E$1,INDIRECT("Table!A" &amp; $AH53):INDIRECT("Table!" &amp; $AK$86 &amp; $AH53),0))))/1024)</f>
        <v>271.51404492187498</v>
      </c>
      <c r="F53" s="272">
        <f ca="1">IF(ISERROR(MATCH(F$1,INDIRECT("Table!A"&amp;$AH53):INDIRECT("Table!" &amp; $AK$86 &amp; $AH53),0)),"",INDIRECT(CONCATENATE("Table!",ADDRESS($AD53,MATCH(F$1,INDIRECT("Table!A" &amp; $AH53):INDIRECT("Table!" &amp; $AK$86 &amp; $AH53),0))))/1024)</f>
        <v>250.24335937499998</v>
      </c>
      <c r="G53" s="272">
        <f ca="1">IF(ISERROR(MATCH(G$1,INDIRECT("Table!A"&amp;$AH53):INDIRECT("Table!" &amp; $AK$86 &amp; $AH53),0)),"",INDIRECT(CONCATENATE("Table!",ADDRESS($AD53,MATCH(G$1,INDIRECT("Table!A" &amp; $AH53):INDIRECT("Table!" &amp; $AK$86 &amp; $AH53),0))))/1024)</f>
        <v>448.33073437499996</v>
      </c>
      <c r="H53" s="272">
        <f ca="1">IF(ISERROR(MATCH(H$1,INDIRECT("Table!A"&amp;$AH53):INDIRECT("Table!" &amp; $AK$86 &amp; $AH53),0)),"",INDIRECT(CONCATENATE("Table!",ADDRESS($AD53,MATCH(H$1,INDIRECT("Table!A" &amp; $AH53):INDIRECT("Table!" &amp; $AK$86 &amp; $AH53),0))))/1024)</f>
        <v>136.0204365234375</v>
      </c>
      <c r="I53" s="272">
        <f ca="1">IF(ISERROR(MATCH(I$1,INDIRECT("Table!A"&amp;$AH53):INDIRECT("Table!" &amp; $AK$63 &amp; $AH53),0)),"",INDIRECT(CONCATENATE("Table!",ADDRESS($AD53,MATCH(I$1,INDIRECT("Table!A" &amp; $AH53):INDIRECT("Table!" &amp; $AK$63 &amp; $AH53),0))))/1024)</f>
        <v>12.182900390624999</v>
      </c>
      <c r="J53" s="272" t="str">
        <f ca="1">IF(ISERROR(MATCH(J$1,INDIRECT("Table!A"&amp;$AH53):INDIRECT("Table!" &amp; $AK$63 &amp; $AH53),0)),"",INDIRECT(CONCATENATE("Table!",ADDRESS($AD53,MATCH(J$1,INDIRECT("Table!A" &amp; $AH53):INDIRECT("Table!" &amp; $AK$63 &amp; $AH53),0))))/1024)</f>
        <v/>
      </c>
      <c r="K53" s="272" t="str">
        <f ca="1">IF(ISERROR(MATCH(K$1,INDIRECT("Table!A"&amp;$AH53):INDIRECT("Table!" &amp; $AK$63 &amp; $AH53),0)),"",INDIRECT(CONCATENATE("Table!",ADDRESS($AD53,MATCH(K$1,INDIRECT("Table!A" &amp; $AH53):INDIRECT("Table!" &amp; $AK$63 &amp; $AH53),0))))/1024)</f>
        <v/>
      </c>
      <c r="L53" s="272">
        <f ca="1">IF(ISERROR(MATCH(L$1,INDIRECT("Table!A"&amp;$AH53):INDIRECT("Table!" &amp; $AK$63 &amp; $AH53),0)),"",INDIRECT(CONCATENATE("Table!",ADDRESS($AD53,MATCH(L$1,INDIRECT("Table!A" &amp; $AH53):INDIRECT("Table!" &amp; $AK$63 &amp; $AH53),0))))/1024)</f>
        <v>275.92623046874996</v>
      </c>
      <c r="M53" s="272">
        <f ca="1">IF(ISERROR(MATCH(M$1,INDIRECT("Table!A"&amp;$AH53):INDIRECT("Table!" &amp; $AK$63 &amp; $AH53),0)),"",INDIRECT(CONCATENATE("Table!",ADDRESS($AD53,MATCH(M$1,INDIRECT("Table!A" &amp; $AH53):INDIRECT("Table!" &amp; $AK$63 &amp; $AH53),0))))/1024)</f>
        <v>363.64311328125001</v>
      </c>
      <c r="N53" s="272">
        <f ca="1">IF(ISERROR(MATCH(N$1,INDIRECT("Table!A"&amp;$AH53):INDIRECT("Table!" &amp; $AK$63 &amp; $AH53),0)),"",INDIRECT(CONCATENATE("Table!",ADDRESS($AD53,MATCH(N$1,INDIRECT("Table!A" &amp; $AH53):INDIRECT("Table!" &amp; $AK$63 &amp; $AH53),0))))/1024)</f>
        <v>129.96191308593748</v>
      </c>
      <c r="O53" s="272">
        <f ca="1">IF(ISERROR(MATCH(O$1,INDIRECT("Table!A"&amp;$AH53):INDIRECT("Table!" &amp; $AK$63 &amp; $AH53),0)),"",INDIRECT(CONCATENATE("Table!",ADDRESS($AD53,MATCH(O$1,INDIRECT("Table!A" &amp; $AH53):INDIRECT("Table!" &amp; $AK$63 &amp; $AH53),0))))/1024)</f>
        <v>244.2177626953125</v>
      </c>
      <c r="P53" s="272">
        <f ca="1">IF(ISERROR(MATCH(P$1,INDIRECT("Table!A"&amp;$AH53):INDIRECT("Table!" &amp; $AK$63 &amp; $AH53),0)),"",INDIRECT(CONCATENATE("Table!",ADDRESS($AD53,MATCH(P$1,INDIRECT("Table!A" &amp; $AH53):INDIRECT("Table!" &amp; $AK$63 &amp; $AH53),0))))/1024)</f>
        <v>27.625549804687498</v>
      </c>
      <c r="Q53" s="272" t="str">
        <f ca="1">IF(ISERROR(MATCH(Q$1,INDIRECT("Table!A"&amp;$AH53):INDIRECT("Table!" &amp; $AK$63 &amp; $AH53),0)),"",INDIRECT(CONCATENATE("Table!",ADDRESS($AD53,MATCH(Q$1,INDIRECT("Table!A" &amp; $AH53):INDIRECT("Table!" &amp; $AK$63 &amp; $AH53),0))))/1024)</f>
        <v/>
      </c>
      <c r="R53" s="272" t="str">
        <f ca="1">IF(ISERROR(MATCH(R$1,INDIRECT("Table!A"&amp;$AH53):INDIRECT("Table!" &amp; $AK$63 &amp; $AH53),0)),"",INDIRECT(CONCATENATE("Table!",ADDRESS($AD53,MATCH(R$1,INDIRECT("Table!A" &amp; $AH53):INDIRECT("Table!" &amp; $AK$63 &amp; $AH53),0))))/1024)</f>
        <v/>
      </c>
      <c r="S53" s="595">
        <f ca="1">IF(ISERROR(MATCH(S$1,INDIRECT("Table!A"&amp;$AH53):INDIRECT("Table!" &amp; $AK$63 &amp; $AH53),0)),"",INDIRECT(CONCATENATE("Table!",ADDRESS($AD53,MATCH(S$1,INDIRECT("Table!A" &amp; $AH53):INDIRECT("Table!" &amp; $AK$63 &amp; $AH53),0))))/1024)</f>
        <v>31.8401748046875</v>
      </c>
      <c r="T53" s="595">
        <f ca="1">IF(ISERROR(MATCH(T$1,INDIRECT("Table!A"&amp;$AH53):INDIRECT("Table!" &amp; $AK$63 &amp; $AH53),0)),"",INDIRECT(CONCATENATE("Table!",ADDRESS($AD53,MATCH(T$1,INDIRECT("Table!A" &amp; $AH53):INDIRECT("Table!" &amp; $AK$63 &amp; $AH53),0))))/1024)</f>
        <v>16.397525390624999</v>
      </c>
      <c r="U53" s="272" t="str">
        <f ca="1">IF(ISERROR(MATCH(U$1,INDIRECT("Table!A"&amp;$AH53):INDIRECT("Table!" &amp; $AK$63 &amp; $AH53),0)),"",INDIRECT(CONCATENATE("Table!",ADDRESS($AD53,MATCH(U$1,INDIRECT("Table!A" &amp; $AH53):INDIRECT("Table!" &amp; $AK$63 &amp; $AH53),0))))/1024)</f>
        <v/>
      </c>
      <c r="V53" s="595"/>
      <c r="W53" s="595"/>
      <c r="X53" s="595"/>
      <c r="Y53" s="595"/>
      <c r="Z53" s="595"/>
      <c r="AA53" s="595"/>
      <c r="AB53" s="595"/>
      <c r="AC53" s="595"/>
      <c r="AD53" s="272">
        <f>MATCH($A53,Table!$A:$A,0)+$AF$2-1</f>
        <v>685</v>
      </c>
      <c r="AE53" s="369"/>
      <c r="AF53" s="369"/>
      <c r="AG53" s="369"/>
      <c r="AH53" s="272">
        <f>MATCH($A53,Table!$A:$A,0)+$AJ$2-1</f>
        <v>677</v>
      </c>
      <c r="AI53" s="369"/>
      <c r="AJ53" s="369"/>
      <c r="AK53" s="904" t="s">
        <v>284</v>
      </c>
      <c r="AL53" s="699">
        <f t="shared" ca="1" si="11"/>
        <v>2557.9810341796879</v>
      </c>
      <c r="AM53" s="699">
        <f t="shared" ca="1" si="10"/>
        <v>-3.2597490234370525</v>
      </c>
    </row>
    <row r="54" spans="1:39" s="267" customFormat="1" x14ac:dyDescent="0.25">
      <c r="A54" s="268">
        <v>41401</v>
      </c>
      <c r="B54" s="272">
        <f ca="1">IF(ISERROR(MATCH(B$1,INDIRECT("Table!A"&amp;$AH54):INDIRECT("Table!" &amp; $AK$86 &amp; $AH54),0)),"",INDIRECT(CONCATENATE("Table!",ADDRESS($AD54,MATCH(B$1,INDIRECT("Table!A" &amp; $AH54):INDIRECT("Table!" &amp; $AK$86 &amp; $AH54),0))))/1024)</f>
        <v>172.14108984375</v>
      </c>
      <c r="C54" s="272">
        <f ca="1">IF(ISERROR(MATCH(C$1,INDIRECT("Table!A"&amp;$AH54):INDIRECT("Table!" &amp; $AK$86 &amp; $AH54),0)),"",INDIRECT(CONCATENATE("Table!",ADDRESS($AD54,MATCH(C$1,INDIRECT("Table!A" &amp; $AH54):INDIRECT("Table!" &amp; $AK$86 &amp; $AH54),0))))/1024)</f>
        <v>87.157127929687491</v>
      </c>
      <c r="D54" s="272">
        <f ca="1">IF(ISERROR(MATCH(D$1,INDIRECT("Table!A"&amp;$AH54):INDIRECT("Table!" &amp; $AK$86 &amp; $AH54),0)),"",INDIRECT(CONCATENATE("Table!",ADDRESS($AD54,MATCH(D$1,INDIRECT("Table!A" &amp; $AH54):INDIRECT("Table!" &amp; $AK$86 &amp; $AH54),0))))/1024)</f>
        <v>88.177857421875004</v>
      </c>
      <c r="E54" s="272">
        <f ca="1">IF(ISERROR(MATCH(E$1,INDIRECT("Table!A"&amp;$AH54):INDIRECT("Table!" &amp; $AK$86 &amp; $AH54),0)),"",INDIRECT(CONCATENATE("Table!",ADDRESS($AD54,MATCH(E$1,INDIRECT("Table!A" &amp; $AH54):INDIRECT("Table!" &amp; $AK$86 &amp; $AH54),0))))/1024)</f>
        <v>271.51404492187498</v>
      </c>
      <c r="F54" s="272">
        <f ca="1">IF(ISERROR(MATCH(F$1,INDIRECT("Table!A"&amp;$AH54):INDIRECT("Table!" &amp; $AK$86 &amp; $AH54),0)),"",INDIRECT(CONCATENATE("Table!",ADDRESS($AD54,MATCH(F$1,INDIRECT("Table!A" &amp; $AH54):INDIRECT("Table!" &amp; $AK$86 &amp; $AH54),0))))/1024)</f>
        <v>249.78238476562498</v>
      </c>
      <c r="G54" s="272">
        <f ca="1">IF(ISERROR(MATCH(G$1,INDIRECT("Table!A"&amp;$AH54):INDIRECT("Table!" &amp; $AK$86 &amp; $AH54),0)),"",INDIRECT(CONCATENATE("Table!",ADDRESS($AD54,MATCH(G$1,INDIRECT("Table!A" &amp; $AH54):INDIRECT("Table!" &amp; $AK$86 &amp; $AH54),0))))/1024)</f>
        <v>446.94781054687496</v>
      </c>
      <c r="H54" s="272">
        <f ca="1">IF(ISERROR(MATCH(H$1,INDIRECT("Table!A"&amp;$AH54):INDIRECT("Table!" &amp; $AK$86 &amp; $AH54),0)),"",INDIRECT(CONCATENATE("Table!",ADDRESS($AD54,MATCH(H$1,INDIRECT("Table!A" &amp; $AH54):INDIRECT("Table!" &amp; $AK$86 &amp; $AH54),0))))/1024)</f>
        <v>139.5106728515625</v>
      </c>
      <c r="I54" s="272">
        <f ca="1">IF(ISERROR(MATCH(I$1,INDIRECT("Table!A"&amp;$AH54):INDIRECT("Table!" &amp; $AK$63 &amp; $AH54),0)),"",INDIRECT(CONCATENATE("Table!",ADDRESS($AD54,MATCH(I$1,INDIRECT("Table!A" &amp; $AH54):INDIRECT("Table!" &amp; $AK$63 &amp; $AH54),0))))/1024)</f>
        <v>12.1499736328125</v>
      </c>
      <c r="J54" s="272" t="str">
        <f ca="1">IF(ISERROR(MATCH(J$1,INDIRECT("Table!A"&amp;$AH54):INDIRECT("Table!" &amp; $AK$63 &amp; $AH54),0)),"",INDIRECT(CONCATENATE("Table!",ADDRESS($AD54,MATCH(J$1,INDIRECT("Table!A" &amp; $AH54):INDIRECT("Table!" &amp; $AK$63 &amp; $AH54),0))))/1024)</f>
        <v/>
      </c>
      <c r="K54" s="272" t="str">
        <f ca="1">IF(ISERROR(MATCH(K$1,INDIRECT("Table!A"&amp;$AH54):INDIRECT("Table!" &amp; $AK$63 &amp; $AH54),0)),"",INDIRECT(CONCATENATE("Table!",ADDRESS($AD54,MATCH(K$1,INDIRECT("Table!A" &amp; $AH54):INDIRECT("Table!" &amp; $AK$63 &amp; $AH54),0))))/1024)</f>
        <v/>
      </c>
      <c r="L54" s="272">
        <f ca="1">IF(ISERROR(MATCH(L$1,INDIRECT("Table!A"&amp;$AH54):INDIRECT("Table!" &amp; $AK$63 &amp; $AH54),0)),"",INDIRECT(CONCATENATE("Table!",ADDRESS($AD54,MATCH(L$1,INDIRECT("Table!A" &amp; $AH54):INDIRECT("Table!" &amp; $AK$63 &amp; $AH54),0))))/1024)</f>
        <v>275.92623046874996</v>
      </c>
      <c r="M54" s="272">
        <f ca="1">IF(ISERROR(MATCH(M$1,INDIRECT("Table!A"&amp;$AH54):INDIRECT("Table!" &amp; $AK$63 &amp; $AH54),0)),"",INDIRECT(CONCATENATE("Table!",ADDRESS($AD54,MATCH(M$1,INDIRECT("Table!A" &amp; $AH54):INDIRECT("Table!" &amp; $AK$63 &amp; $AH54),0))))/1024)</f>
        <v>363.97238085937499</v>
      </c>
      <c r="N54" s="272">
        <f ca="1">IF(ISERROR(MATCH(N$1,INDIRECT("Table!A"&amp;$AH54):INDIRECT("Table!" &amp; $AK$63 &amp; $AH54),0)),"",INDIRECT(CONCATENATE("Table!",ADDRESS($AD54,MATCH(N$1,INDIRECT("Table!A" &amp; $AH54):INDIRECT("Table!" &amp; $AK$63 &amp; $AH54),0))))/1024)</f>
        <v>129.56679199218749</v>
      </c>
      <c r="O54" s="272">
        <f ca="1">IF(ISERROR(MATCH(O$1,INDIRECT("Table!A"&amp;$AH54):INDIRECT("Table!" &amp; $AK$63 &amp; $AH54),0)),"",INDIRECT(CONCATENATE("Table!",ADDRESS($AD54,MATCH(O$1,INDIRECT("Table!A" &amp; $AH54):INDIRECT("Table!" &amp; $AK$63 &amp; $AH54),0))))/1024)</f>
        <v>249.84823828124999</v>
      </c>
      <c r="P54" s="272">
        <f ca="1">IF(ISERROR(MATCH(P$1,INDIRECT("Table!A"&amp;$AH54):INDIRECT("Table!" &amp; $AK$63 &amp; $AH54),0)),"",INDIRECT(CONCATENATE("Table!",ADDRESS($AD54,MATCH(P$1,INDIRECT("Table!A" &amp; $AH54):INDIRECT("Table!" &amp; $AK$63 &amp; $AH54),0))))/1024)</f>
        <v>27.592623046874998</v>
      </c>
      <c r="Q54" s="272" t="str">
        <f ca="1">IF(ISERROR(MATCH(Q$1,INDIRECT("Table!A"&amp;$AH54):INDIRECT("Table!" &amp; $AK$63 &amp; $AH54),0)),"",INDIRECT(CONCATENATE("Table!",ADDRESS($AD54,MATCH(Q$1,INDIRECT("Table!A" &amp; $AH54):INDIRECT("Table!" &amp; $AK$63 &amp; $AH54),0))))/1024)</f>
        <v/>
      </c>
      <c r="R54" s="272" t="str">
        <f ca="1">IF(ISERROR(MATCH(R$1,INDIRECT("Table!A"&amp;$AH54):INDIRECT("Table!" &amp; $AK$63 &amp; $AH54),0)),"",INDIRECT(CONCATENATE("Table!",ADDRESS($AD54,MATCH(R$1,INDIRECT("Table!A" &amp; $AH54):INDIRECT("Table!" &amp; $AK$63 &amp; $AH54),0))))/1024)</f>
        <v/>
      </c>
      <c r="S54" s="595">
        <f ca="1">IF(ISERROR(MATCH(S$1,INDIRECT("Table!A"&amp;$AH54):INDIRECT("Table!" &amp; $AK$63 &amp; $AH54),0)),"",INDIRECT(CONCATENATE("Table!",ADDRESS($AD54,MATCH(S$1,INDIRECT("Table!A" &amp; $AH54):INDIRECT("Table!" &amp; $AK$63 &amp; $AH54),0))))/1024)</f>
        <v>31.049932617187498</v>
      </c>
      <c r="T54" s="595">
        <f ca="1">IF(ISERROR(MATCH(T$1,INDIRECT("Table!A"&amp;$AH54):INDIRECT("Table!" &amp; $AK$63 &amp; $AH54),0)),"",INDIRECT(CONCATENATE("Table!",ADDRESS($AD54,MATCH(T$1,INDIRECT("Table!A" &amp; $AH54):INDIRECT("Table!" &amp; $AK$63 &amp; $AH54),0))))/1024)</f>
        <v>15.9036240234375</v>
      </c>
      <c r="U54" s="272" t="str">
        <f ca="1">IF(ISERROR(MATCH(U$1,INDIRECT("Table!A"&amp;$AH54):INDIRECT("Table!" &amp; $AK$63 &amp; $AH54),0)),"",INDIRECT(CONCATENATE("Table!",ADDRESS($AD54,MATCH(U$1,INDIRECT("Table!A" &amp; $AH54):INDIRECT("Table!" &amp; $AK$63 &amp; $AH54),0))))/1024)</f>
        <v/>
      </c>
      <c r="V54" s="595"/>
      <c r="W54" s="595"/>
      <c r="X54" s="595"/>
      <c r="Y54" s="595"/>
      <c r="Z54" s="595"/>
      <c r="AA54" s="595"/>
      <c r="AB54" s="595"/>
      <c r="AC54" s="595"/>
      <c r="AD54" s="272">
        <f>MATCH($A54,Table!$A:$A,0)+$AF$2-1</f>
        <v>697</v>
      </c>
      <c r="AE54" s="367"/>
      <c r="AF54" s="367"/>
      <c r="AG54" s="367"/>
      <c r="AH54" s="272">
        <f>MATCH($A54,Table!$A:$A,0)+$AJ$2-1</f>
        <v>689</v>
      </c>
      <c r="AI54" s="367"/>
      <c r="AJ54" s="367"/>
      <c r="AK54" s="904" t="s">
        <v>284</v>
      </c>
      <c r="AL54" s="699">
        <f t="shared" ref="AL54:AL86" ca="1" si="12">SUM(B54:AB54)</f>
        <v>2561.2407832031249</v>
      </c>
      <c r="AM54" s="699">
        <f t="shared" ca="1" si="10"/>
        <v>-8.7585175781250655</v>
      </c>
    </row>
    <row r="55" spans="1:39" s="267" customFormat="1" x14ac:dyDescent="0.25">
      <c r="A55" s="268">
        <v>41395</v>
      </c>
      <c r="B55" s="272">
        <f ca="1">IF(ISERROR(MATCH(B$1,INDIRECT("Table!A"&amp;$AH55):INDIRECT("Table!" &amp; $AK$86 &amp; $AH55),0)),"",INDIRECT(CONCATENATE("Table!",ADDRESS($AD55,MATCH(B$1,INDIRECT("Table!A" &amp; $AH55):INDIRECT("Table!" &amp; $AK$86 &amp; $AH55),0))))/1024)</f>
        <v>188.04471386718748</v>
      </c>
      <c r="C55" s="272">
        <f ca="1">IF(ISERROR(MATCH(C$1,INDIRECT("Table!A"&amp;$AH55):INDIRECT("Table!" &amp; $AK$86 &amp; $AH55),0)),"",INDIRECT(CONCATENATE("Table!",ADDRESS($AD55,MATCH(C$1,INDIRECT("Table!A" &amp; $AH55):INDIRECT("Table!" &amp; $AK$86 &amp; $AH55),0))))/1024)</f>
        <v>87.157127929687491</v>
      </c>
      <c r="D55" s="272">
        <f ca="1">IF(ISERROR(MATCH(D$1,INDIRECT("Table!A"&amp;$AH55):INDIRECT("Table!" &amp; $AK$86 &amp; $AH55),0)),"",INDIRECT(CONCATENATE("Table!",ADDRESS($AD55,MATCH(D$1,INDIRECT("Table!A" &amp; $AH55):INDIRECT("Table!" &amp; $AK$86 &amp; $AH55),0))))/1024)</f>
        <v>88.177857421875004</v>
      </c>
      <c r="E55" s="272">
        <f ca="1">IF(ISERROR(MATCH(E$1,INDIRECT("Table!A"&amp;$AH55):INDIRECT("Table!" &amp; $AK$86 &amp; $AH55),0)),"",INDIRECT(CONCATENATE("Table!",ADDRESS($AD55,MATCH(E$1,INDIRECT("Table!A" &amp; $AH55):INDIRECT("Table!" &amp; $AK$86 &amp; $AH55),0))))/1024)</f>
        <v>271.51404492187498</v>
      </c>
      <c r="F55" s="272">
        <f ca="1">IF(ISERROR(MATCH(F$1,INDIRECT("Table!A"&amp;$AH55):INDIRECT("Table!" &amp; $AK$86 &amp; $AH55),0)),"",INDIRECT(CONCATENATE("Table!",ADDRESS($AD55,MATCH(F$1,INDIRECT("Table!A" &amp; $AH55):INDIRECT("Table!" &amp; $AK$86 &amp; $AH55),0))))/1024)</f>
        <v>247.8726328125</v>
      </c>
      <c r="G55" s="272">
        <f ca="1">IF(ISERROR(MATCH(G$1,INDIRECT("Table!A"&amp;$AH55):INDIRECT("Table!" &amp; $AK$86 &amp; $AH55),0)),"",INDIRECT(CONCATENATE("Table!",ADDRESS($AD55,MATCH(G$1,INDIRECT("Table!A" &amp; $AH55):INDIRECT("Table!" &amp; $AK$86 &amp; $AH55),0))))/1024)</f>
        <v>442.99659960937498</v>
      </c>
      <c r="H55" s="272">
        <f ca="1">IF(ISERROR(MATCH(H$1,INDIRECT("Table!A"&amp;$AH55):INDIRECT("Table!" &amp; $AK$86 &amp; $AH55),0)),"",INDIRECT(CONCATENATE("Table!",ADDRESS($AD55,MATCH(H$1,INDIRECT("Table!A" &amp; $AH55):INDIRECT("Table!" &amp; $AK$86 &amp; $AH55),0))))/1024)</f>
        <v>139.5106728515625</v>
      </c>
      <c r="I55" s="272">
        <f ca="1">IF(ISERROR(MATCH(I$1,INDIRECT("Table!A"&amp;$AH55):INDIRECT("Table!" &amp; $AK$63 &amp; $AH55),0)),"",INDIRECT(CONCATENATE("Table!",ADDRESS($AD55,MATCH(I$1,INDIRECT("Table!A" &amp; $AH55):INDIRECT("Table!" &amp; $AK$63 &amp; $AH55),0))))/1024)</f>
        <v>12.1499736328125</v>
      </c>
      <c r="J55" s="272" t="str">
        <f ca="1">IF(ISERROR(MATCH(J$1,INDIRECT("Table!A"&amp;$AH55):INDIRECT("Table!" &amp; $AK$63 &amp; $AH55),0)),"",INDIRECT(CONCATENATE("Table!",ADDRESS($AD55,MATCH(J$1,INDIRECT("Table!A" &amp; $AH55):INDIRECT("Table!" &amp; $AK$63 &amp; $AH55),0))))/1024)</f>
        <v/>
      </c>
      <c r="K55" s="272" t="str">
        <f ca="1">IF(ISERROR(MATCH(K$1,INDIRECT("Table!A"&amp;$AH55):INDIRECT("Table!" &amp; $AK$63 &amp; $AH55),0)),"",INDIRECT(CONCATENATE("Table!",ADDRESS($AD55,MATCH(K$1,INDIRECT("Table!A" &amp; $AH55):INDIRECT("Table!" &amp; $AK$63 &amp; $AH55),0))))/1024)</f>
        <v/>
      </c>
      <c r="L55" s="272">
        <f ca="1">IF(ISERROR(MATCH(L$1,INDIRECT("Table!A"&amp;$AH55):INDIRECT("Table!" &amp; $AK$63 &amp; $AH55),0)),"",INDIRECT(CONCATENATE("Table!",ADDRESS($AD55,MATCH(L$1,INDIRECT("Table!A" &amp; $AH55):INDIRECT("Table!" &amp; $AK$63 &amp; $AH55),0))))/1024)</f>
        <v>275.92623046874996</v>
      </c>
      <c r="M55" s="272">
        <f ca="1">IF(ISERROR(MATCH(M$1,INDIRECT("Table!A"&amp;$AH55):INDIRECT("Table!" &amp; $AK$63 &amp; $AH55),0)),"",INDIRECT(CONCATENATE("Table!",ADDRESS($AD55,MATCH(M$1,INDIRECT("Table!A" &amp; $AH55):INDIRECT("Table!" &amp; $AK$63 &amp; $AH55),0))))/1024)</f>
        <v>363.47847949218749</v>
      </c>
      <c r="N55" s="272">
        <f ca="1">IF(ISERROR(MATCH(N$1,INDIRECT("Table!A"&amp;$AH55):INDIRECT("Table!" &amp; $AK$63 &amp; $AH55),0)),"",INDIRECT(CONCATENATE("Table!",ADDRESS($AD55,MATCH(N$1,INDIRECT("Table!A" &amp; $AH55):INDIRECT("Table!" &amp; $AK$63 &amp; $AH55),0))))/1024)</f>
        <v>128.77654980468751</v>
      </c>
      <c r="O55" s="272">
        <f ca="1">IF(ISERROR(MATCH(O$1,INDIRECT("Table!A"&amp;$AH55):INDIRECT("Table!" &amp; $AK$63 &amp; $AH55),0)),"",INDIRECT(CONCATENATE("Table!",ADDRESS($AD55,MATCH(O$1,INDIRECT("Table!A" &amp; $AH55):INDIRECT("Table!" &amp; $AK$63 &amp; $AH55),0))))/1024)</f>
        <v>249.84823828124999</v>
      </c>
      <c r="P55" s="272">
        <f ca="1">IF(ISERROR(MATCH(P$1,INDIRECT("Table!A"&amp;$AH55):INDIRECT("Table!" &amp; $AK$63 &amp; $AH55),0)),"",INDIRECT(CONCATENATE("Table!",ADDRESS($AD55,MATCH(P$1,INDIRECT("Table!A" &amp; $AH55):INDIRECT("Table!" &amp; $AK$63 &amp; $AH55),0))))/1024)</f>
        <v>27.592623046874998</v>
      </c>
      <c r="Q55" s="272" t="str">
        <f ca="1">IF(ISERROR(MATCH(Q$1,INDIRECT("Table!A"&amp;$AH55):INDIRECT("Table!" &amp; $AK$63 &amp; $AH55),0)),"",INDIRECT(CONCATENATE("Table!",ADDRESS($AD55,MATCH(Q$1,INDIRECT("Table!A" &amp; $AH55):INDIRECT("Table!" &amp; $AK$63 &amp; $AH55),0))))/1024)</f>
        <v/>
      </c>
      <c r="R55" s="272" t="str">
        <f ca="1">IF(ISERROR(MATCH(R$1,INDIRECT("Table!A"&amp;$AH55):INDIRECT("Table!" &amp; $AK$63 &amp; $AH55),0)),"",INDIRECT(CONCATENATE("Table!",ADDRESS($AD55,MATCH(R$1,INDIRECT("Table!A" &amp; $AH55):INDIRECT("Table!" &amp; $AK$63 &amp; $AH55),0))))/1024)</f>
        <v/>
      </c>
      <c r="S55" s="595">
        <f ca="1">IF(ISERROR(MATCH(S$1,INDIRECT("Table!A"&amp;$AH55):INDIRECT("Table!" &amp; $AK$63 &amp; $AH55),0)),"",INDIRECT(CONCATENATE("Table!",ADDRESS($AD55,MATCH(S$1,INDIRECT("Table!A" &amp; $AH55):INDIRECT("Table!" &amp; $AK$63 &amp; $AH55),0))))/1024)</f>
        <v>31.049932617187498</v>
      </c>
      <c r="T55" s="595">
        <f ca="1">IF(ISERROR(MATCH(T$1,INDIRECT("Table!A"&amp;$AH55):INDIRECT("Table!" &amp; $AK$63 &amp; $AH55),0)),"",INDIRECT(CONCATENATE("Table!",ADDRESS($AD55,MATCH(T$1,INDIRECT("Table!A" &amp; $AH55):INDIRECT("Table!" &amp; $AK$63 &amp; $AH55),0))))/1024)</f>
        <v>15.9036240234375</v>
      </c>
      <c r="U55" s="272" t="str">
        <f ca="1">IF(ISERROR(MATCH(U$1,INDIRECT("Table!A"&amp;$AH55):INDIRECT("Table!" &amp; $AK$63 &amp; $AH55),0)),"",INDIRECT(CONCATENATE("Table!",ADDRESS($AD55,MATCH(U$1,INDIRECT("Table!A" &amp; $AH55):INDIRECT("Table!" &amp; $AK$63 &amp; $AH55),0))))/1024)</f>
        <v/>
      </c>
      <c r="V55" s="595"/>
      <c r="W55" s="595"/>
      <c r="X55" s="595"/>
      <c r="Y55" s="595"/>
      <c r="Z55" s="595"/>
      <c r="AA55" s="595"/>
      <c r="AB55" s="595"/>
      <c r="AC55" s="595"/>
      <c r="AD55" s="272">
        <f>MATCH($A55,Table!$A:$A,0)+$AF$2-1</f>
        <v>709</v>
      </c>
      <c r="AE55" s="366"/>
      <c r="AF55" s="366"/>
      <c r="AG55" s="366"/>
      <c r="AH55" s="272">
        <f>MATCH($A55,Table!$A:$A,0)+$AJ$2-1</f>
        <v>701</v>
      </c>
      <c r="AI55" s="366"/>
      <c r="AJ55" s="366"/>
      <c r="AK55" s="904" t="s">
        <v>284</v>
      </c>
      <c r="AL55" s="699">
        <f t="shared" ca="1" si="12"/>
        <v>2569.99930078125</v>
      </c>
      <c r="AM55" s="699">
        <f t="shared" ca="1" si="10"/>
        <v>1.8109716796870998</v>
      </c>
    </row>
    <row r="56" spans="1:39" s="267" customFormat="1" x14ac:dyDescent="0.25">
      <c r="A56" s="268">
        <v>41393</v>
      </c>
      <c r="B56" s="272">
        <f ca="1">IF(ISERROR(MATCH(B$1,INDIRECT("Table!A"&amp;$AH56):INDIRECT("Table!" &amp; $AK$86 &amp; $AH56),0)),"",INDIRECT(CONCATENATE("Table!",ADDRESS($AD56,MATCH(B$1,INDIRECT("Table!A" &amp; $AH56):INDIRECT("Table!" &amp; $AK$86 &amp; $AH56),0))))/1024)</f>
        <v>188.04471386718748</v>
      </c>
      <c r="C56" s="272">
        <f ca="1">IF(ISERROR(MATCH(C$1,INDIRECT("Table!A"&amp;$AH56):INDIRECT("Table!" &amp; $AK$86 &amp; $AH56),0)),"",INDIRECT(CONCATENATE("Table!",ADDRESS($AD56,MATCH(C$1,INDIRECT("Table!A" &amp; $AH56):INDIRECT("Table!" &amp; $AK$86 &amp; $AH56),0))))/1024)</f>
        <v>87.157127929687491</v>
      </c>
      <c r="D56" s="272">
        <f ca="1">IF(ISERROR(MATCH(D$1,INDIRECT("Table!A"&amp;$AH56):INDIRECT("Table!" &amp; $AK$86 &amp; $AH56),0)),"",INDIRECT(CONCATENATE("Table!",ADDRESS($AD56,MATCH(D$1,INDIRECT("Table!A" &amp; $AH56):INDIRECT("Table!" &amp; $AK$86 &amp; $AH56),0))))/1024)</f>
        <v>88.177857421875004</v>
      </c>
      <c r="E56" s="272">
        <f ca="1">IF(ISERROR(MATCH(E$1,INDIRECT("Table!A"&amp;$AH56):INDIRECT("Table!" &amp; $AK$86 &amp; $AH56),0)),"",INDIRECT(CONCATENATE("Table!",ADDRESS($AD56,MATCH(E$1,INDIRECT("Table!A" &amp; $AH56):INDIRECT("Table!" &amp; $AK$86 &amp; $AH56),0))))/1024)</f>
        <v>271.51404492187498</v>
      </c>
      <c r="F56" s="272">
        <f ca="1">IF(ISERROR(MATCH(F$1,INDIRECT("Table!A"&amp;$AH56):INDIRECT("Table!" &amp; $AK$86 &amp; $AH56),0)),"",INDIRECT(CONCATENATE("Table!",ADDRESS($AD56,MATCH(F$1,INDIRECT("Table!A" &amp; $AH56):INDIRECT("Table!" &amp; $AK$86 &amp; $AH56),0))))/1024)</f>
        <v>247.8726328125</v>
      </c>
      <c r="G56" s="272">
        <f ca="1">IF(ISERROR(MATCH(G$1,INDIRECT("Table!A"&amp;$AH56):INDIRECT("Table!" &amp; $AK$86 &amp; $AH56),0)),"",INDIRECT(CONCATENATE("Table!",ADDRESS($AD56,MATCH(G$1,INDIRECT("Table!A" &amp; $AH56):INDIRECT("Table!" &amp; $AK$86 &amp; $AH56),0))))/1024)</f>
        <v>442.99659960937498</v>
      </c>
      <c r="H56" s="272">
        <f ca="1">IF(ISERROR(MATCH(H$1,INDIRECT("Table!A"&amp;$AH56):INDIRECT("Table!" &amp; $AK$86 &amp; $AH56),0)),"",INDIRECT(CONCATENATE("Table!",ADDRESS($AD56,MATCH(H$1,INDIRECT("Table!A" &amp; $AH56):INDIRECT("Table!" &amp; $AK$86 &amp; $AH56),0))))/1024)</f>
        <v>139.2472587890625</v>
      </c>
      <c r="I56" s="272">
        <f ca="1">IF(ISERROR(MATCH(I$1,INDIRECT("Table!A"&amp;$AH56):INDIRECT("Table!" &amp; $AK$63 &amp; $AH56),0)),"",INDIRECT(CONCATENATE("Table!",ADDRESS($AD56,MATCH(I$1,INDIRECT("Table!A" &amp; $AH56):INDIRECT("Table!" &amp; $AK$63 &amp; $AH56),0))))/1024)</f>
        <v>12.1499736328125</v>
      </c>
      <c r="J56" s="272" t="str">
        <f ca="1">IF(ISERROR(MATCH(J$1,INDIRECT("Table!A"&amp;$AH56):INDIRECT("Table!" &amp; $AK$63 &amp; $AH56),0)),"",INDIRECT(CONCATENATE("Table!",ADDRESS($AD56,MATCH(J$1,INDIRECT("Table!A" &amp; $AH56):INDIRECT("Table!" &amp; $AK$63 &amp; $AH56),0))))/1024)</f>
        <v/>
      </c>
      <c r="K56" s="272" t="str">
        <f ca="1">IF(ISERROR(MATCH(K$1,INDIRECT("Table!A"&amp;$AH56):INDIRECT("Table!" &amp; $AK$63 &amp; $AH56),0)),"",INDIRECT(CONCATENATE("Table!",ADDRESS($AD56,MATCH(K$1,INDIRECT("Table!A" &amp; $AH56):INDIRECT("Table!" &amp; $AK$63 &amp; $AH56),0))))/1024)</f>
        <v/>
      </c>
      <c r="L56" s="272">
        <f ca="1">IF(ISERROR(MATCH(L$1,INDIRECT("Table!A"&amp;$AH56):INDIRECT("Table!" &amp; $AK$63 &amp; $AH56),0)),"",INDIRECT(CONCATENATE("Table!",ADDRESS($AD56,MATCH(L$1,INDIRECT("Table!A" &amp; $AH56):INDIRECT("Table!" &amp; $AK$63 &amp; $AH56),0))))/1024)</f>
        <v>275.92623046874996</v>
      </c>
      <c r="M56" s="272">
        <f ca="1">IF(ISERROR(MATCH(M$1,INDIRECT("Table!A"&amp;$AH56):INDIRECT("Table!" &amp; $AK$63 &amp; $AH56),0)),"",INDIRECT(CONCATENATE("Table!",ADDRESS($AD56,MATCH(M$1,INDIRECT("Table!A" &amp; $AH56):INDIRECT("Table!" &amp; $AK$63 &amp; $AH56),0))))/1024)</f>
        <v>363.18213867187501</v>
      </c>
      <c r="N56" s="272">
        <f ca="1">IF(ISERROR(MATCH(N$1,INDIRECT("Table!A"&amp;$AH56):INDIRECT("Table!" &amp; $AK$63 &amp; $AH56),0)),"",INDIRECT(CONCATENATE("Table!",ADDRESS($AD56,MATCH(N$1,INDIRECT("Table!A" &amp; $AH56):INDIRECT("Table!" &amp; $AK$63 &amp; $AH56),0))))/1024)</f>
        <v>128.77654980468751</v>
      </c>
      <c r="O56" s="272">
        <f ca="1">IF(ISERROR(MATCH(O$1,INDIRECT("Table!A"&amp;$AH56):INDIRECT("Table!" &amp; $AK$63 &amp; $AH56),0)),"",INDIRECT(CONCATENATE("Table!",ADDRESS($AD56,MATCH(O$1,INDIRECT("Table!A" &amp; $AH56):INDIRECT("Table!" &amp; $AK$63 &amp; $AH56),0))))/1024)</f>
        <v>249.58482421874999</v>
      </c>
      <c r="P56" s="272">
        <f ca="1">IF(ISERROR(MATCH(P$1,INDIRECT("Table!A"&amp;$AH56):INDIRECT("Table!" &amp; $AK$63 &amp; $AH56),0)),"",INDIRECT(CONCATENATE("Table!",ADDRESS($AD56,MATCH(P$1,INDIRECT("Table!A" &amp; $AH56):INDIRECT("Table!" &amp; $AK$63 &amp; $AH56),0))))/1024)</f>
        <v>26.604820312499999</v>
      </c>
      <c r="Q56" s="272" t="str">
        <f ca="1">IF(ISERROR(MATCH(Q$1,INDIRECT("Table!A"&amp;$AH56):INDIRECT("Table!" &amp; $AK$63 &amp; $AH56),0)),"",INDIRECT(CONCATENATE("Table!",ADDRESS($AD56,MATCH(Q$1,INDIRECT("Table!A" &amp; $AH56):INDIRECT("Table!" &amp; $AK$63 &amp; $AH56),0))))/1024)</f>
        <v/>
      </c>
      <c r="R56" s="272" t="str">
        <f ca="1">IF(ISERROR(MATCH(R$1,INDIRECT("Table!A"&amp;$AH56):INDIRECT("Table!" &amp; $AK$63 &amp; $AH56),0)),"",INDIRECT(CONCATENATE("Table!",ADDRESS($AD56,MATCH(R$1,INDIRECT("Table!A" &amp; $AH56):INDIRECT("Table!" &amp; $AK$63 &amp; $AH56),0))))/1024)</f>
        <v/>
      </c>
      <c r="S56" s="595">
        <f ca="1">IF(ISERROR(MATCH(S$1,INDIRECT("Table!A"&amp;$AH56):INDIRECT("Table!" &amp; $AK$63 &amp; $AH56),0)),"",INDIRECT(CONCATENATE("Table!",ADDRESS($AD56,MATCH(S$1,INDIRECT("Table!A" &amp; $AH56):INDIRECT("Table!" &amp; $AK$63 &amp; $AH56),0))))/1024)</f>
        <v>31.049932617187498</v>
      </c>
      <c r="T56" s="595">
        <f ca="1">IF(ISERROR(MATCH(T$1,INDIRECT("Table!A"&amp;$AH56):INDIRECT("Table!" &amp; $AK$63 &amp; $AH56),0)),"",INDIRECT(CONCATENATE("Table!",ADDRESS($AD56,MATCH(T$1,INDIRECT("Table!A" &amp; $AH56):INDIRECT("Table!" &amp; $AK$63 &amp; $AH56),0))))/1024)</f>
        <v>15.9036240234375</v>
      </c>
      <c r="U56" s="272" t="str">
        <f ca="1">IF(ISERROR(MATCH(U$1,INDIRECT("Table!A"&amp;$AH56):INDIRECT("Table!" &amp; $AK$63 &amp; $AH56),0)),"",INDIRECT(CONCATENATE("Table!",ADDRESS($AD56,MATCH(U$1,INDIRECT("Table!A" &amp; $AH56):INDIRECT("Table!" &amp; $AK$63 &amp; $AH56),0))))/1024)</f>
        <v/>
      </c>
      <c r="V56" s="595"/>
      <c r="W56" s="595"/>
      <c r="X56" s="595"/>
      <c r="Y56" s="595"/>
      <c r="Z56" s="595"/>
      <c r="AA56" s="595"/>
      <c r="AB56" s="595"/>
      <c r="AC56" s="595"/>
      <c r="AD56" s="272">
        <f>MATCH($A56,Table!$A:$A,0)+$AF$2-1</f>
        <v>721</v>
      </c>
      <c r="AE56" s="365"/>
      <c r="AF56" s="365"/>
      <c r="AG56" s="365"/>
      <c r="AH56" s="272">
        <f>MATCH($A56,Table!$A:$A,0)+$AJ$2-1</f>
        <v>713</v>
      </c>
      <c r="AI56" s="365"/>
      <c r="AJ56" s="365"/>
      <c r="AK56" s="904" t="s">
        <v>284</v>
      </c>
      <c r="AL56" s="699">
        <f t="shared" ca="1" si="12"/>
        <v>2568.1883291015629</v>
      </c>
      <c r="AM56" s="699">
        <f t="shared" ca="1" si="10"/>
        <v>-4.6426728515625655</v>
      </c>
    </row>
    <row r="57" spans="1:39" s="267" customFormat="1" x14ac:dyDescent="0.25">
      <c r="A57" s="268">
        <v>41390</v>
      </c>
      <c r="B57" s="272">
        <f ca="1">IF(ISERROR(MATCH(B$1,INDIRECT("Table!A"&amp;$AH57):INDIRECT("Table!" &amp; $AK$86 &amp; $AH57),0)),"",INDIRECT(CONCATENATE("Table!",ADDRESS($AD57,MATCH(B$1,INDIRECT("Table!A" &amp; $AH57):INDIRECT("Table!" &amp; $AK$86 &amp; $AH57),0))))/1024)</f>
        <v>188.04471386718748</v>
      </c>
      <c r="C57" s="272">
        <f ca="1">IF(ISERROR(MATCH(C$1,INDIRECT("Table!A"&amp;$AH57):INDIRECT("Table!" &amp; $AK$86 &amp; $AH57),0)),"",INDIRECT(CONCATENATE("Table!",ADDRESS($AD57,MATCH(C$1,INDIRECT("Table!A" &amp; $AH57):INDIRECT("Table!" &amp; $AK$86 &amp; $AH57),0))))/1024)</f>
        <v>87.157127929687491</v>
      </c>
      <c r="D57" s="272">
        <f ca="1">IF(ISERROR(MATCH(D$1,INDIRECT("Table!A"&amp;$AH57):INDIRECT("Table!" &amp; $AK$86 &amp; $AH57),0)),"",INDIRECT(CONCATENATE("Table!",ADDRESS($AD57,MATCH(D$1,INDIRECT("Table!A" &amp; $AH57):INDIRECT("Table!" &amp; $AK$86 &amp; $AH57),0))))/1024)</f>
        <v>88.177857421875004</v>
      </c>
      <c r="E57" s="272">
        <f ca="1">IF(ISERROR(MATCH(E$1,INDIRECT("Table!A"&amp;$AH57):INDIRECT("Table!" &amp; $AK$86 &amp; $AH57),0)),"",INDIRECT(CONCATENATE("Table!",ADDRESS($AD57,MATCH(E$1,INDIRECT("Table!A" &amp; $AH57):INDIRECT("Table!" &amp; $AK$86 &amp; $AH57),0))))/1024)</f>
        <v>271.51404492187498</v>
      </c>
      <c r="F57" s="272">
        <f ca="1">IF(ISERROR(MATCH(F$1,INDIRECT("Table!A"&amp;$AH57):INDIRECT("Table!" &amp; $AK$86 &amp; $AH57),0)),"",INDIRECT(CONCATENATE("Table!",ADDRESS($AD57,MATCH(F$1,INDIRECT("Table!A" &amp; $AH57):INDIRECT("Table!" &amp; $AK$86 &amp; $AH57),0))))/1024)</f>
        <v>247.8726328125</v>
      </c>
      <c r="G57" s="272">
        <f ca="1">IF(ISERROR(MATCH(G$1,INDIRECT("Table!A"&amp;$AH57):INDIRECT("Table!" &amp; $AK$86 &amp; $AH57),0)),"",INDIRECT(CONCATENATE("Table!",ADDRESS($AD57,MATCH(G$1,INDIRECT("Table!A" &amp; $AH57):INDIRECT("Table!" &amp; $AK$86 &amp; $AH57),0))))/1024)</f>
        <v>442.99659960937498</v>
      </c>
      <c r="H57" s="272">
        <f ca="1">IF(ISERROR(MATCH(H$1,INDIRECT("Table!A"&amp;$AH57):INDIRECT("Table!" &amp; $AK$86 &amp; $AH57),0)),"",INDIRECT(CONCATENATE("Table!",ADDRESS($AD57,MATCH(H$1,INDIRECT("Table!A" &amp; $AH57):INDIRECT("Table!" &amp; $AK$86 &amp; $AH57),0))))/1024)</f>
        <v>138.85213769531248</v>
      </c>
      <c r="I57" s="272">
        <f ca="1">IF(ISERROR(MATCH(I$1,INDIRECT("Table!A"&amp;$AH57):INDIRECT("Table!" &amp; $AK$63 &amp; $AH57),0)),"",INDIRECT(CONCATENATE("Table!",ADDRESS($AD57,MATCH(I$1,INDIRECT("Table!A" &amp; $AH57):INDIRECT("Table!" &amp; $AK$63 &amp; $AH57),0))))/1024)</f>
        <v>12.1499736328125</v>
      </c>
      <c r="J57" s="272" t="str">
        <f ca="1">IF(ISERROR(MATCH(J$1,INDIRECT("Table!A"&amp;$AH57):INDIRECT("Table!" &amp; $AK$63 &amp; $AH57),0)),"",INDIRECT(CONCATENATE("Table!",ADDRESS($AD57,MATCH(J$1,INDIRECT("Table!A" &amp; $AH57):INDIRECT("Table!" &amp; $AK$63 &amp; $AH57),0))))/1024)</f>
        <v/>
      </c>
      <c r="K57" s="272" t="str">
        <f ca="1">IF(ISERROR(MATCH(K$1,INDIRECT("Table!A"&amp;$AH57):INDIRECT("Table!" &amp; $AK$63 &amp; $AH57),0)),"",INDIRECT(CONCATENATE("Table!",ADDRESS($AD57,MATCH(K$1,INDIRECT("Table!A" &amp; $AH57):INDIRECT("Table!" &amp; $AK$63 &amp; $AH57),0))))/1024)</f>
        <v/>
      </c>
      <c r="L57" s="272">
        <f ca="1">IF(ISERROR(MATCH(L$1,INDIRECT("Table!A"&amp;$AH57):INDIRECT("Table!" &amp; $AK$63 &amp; $AH57),0)),"",INDIRECT(CONCATENATE("Table!",ADDRESS($AD57,MATCH(L$1,INDIRECT("Table!A" &amp; $AH57):INDIRECT("Table!" &amp; $AK$63 &amp; $AH57),0))))/1024)</f>
        <v>275.92623046874996</v>
      </c>
      <c r="M57" s="272">
        <f ca="1">IF(ISERROR(MATCH(M$1,INDIRECT("Table!A"&amp;$AH57):INDIRECT("Table!" &amp; $AK$63 &amp; $AH57),0)),"",INDIRECT(CONCATENATE("Table!",ADDRESS($AD57,MATCH(M$1,INDIRECT("Table!A" &amp; $AH57):INDIRECT("Table!" &amp; $AK$63 &amp; $AH57),0))))/1024)</f>
        <v>368.6150537109375</v>
      </c>
      <c r="N57" s="272">
        <f ca="1">IF(ISERROR(MATCH(N$1,INDIRECT("Table!A"&amp;$AH57):INDIRECT("Table!" &amp; $AK$63 &amp; $AH57),0)),"",INDIRECT(CONCATENATE("Table!",ADDRESS($AD57,MATCH(N$1,INDIRECT("Table!A" &amp; $AH57):INDIRECT("Table!" &amp; $AK$63 &amp; $AH57),0))))/1024)</f>
        <v>128.77654980468751</v>
      </c>
      <c r="O57" s="272">
        <f ca="1">IF(ISERROR(MATCH(O$1,INDIRECT("Table!A"&amp;$AH57):INDIRECT("Table!" &amp; $AK$63 &amp; $AH57),0)),"",INDIRECT(CONCATENATE("Table!",ADDRESS($AD57,MATCH(O$1,INDIRECT("Table!A" &amp; $AH57):INDIRECT("Table!" &amp; $AK$63 &amp; $AH57),0))))/1024)</f>
        <v>249.18970312499999</v>
      </c>
      <c r="P57" s="272">
        <f ca="1">IF(ISERROR(MATCH(P$1,INDIRECT("Table!A"&amp;$AH57):INDIRECT("Table!" &amp; $AK$63 &amp; $AH57),0)),"",INDIRECT(CONCATENATE("Table!",ADDRESS($AD57,MATCH(P$1,INDIRECT("Table!A" &amp; $AH57):INDIRECT("Table!" &amp; $AK$63 &amp; $AH57),0))))/1024)</f>
        <v>26.604820312499999</v>
      </c>
      <c r="Q57" s="272" t="str">
        <f ca="1">IF(ISERROR(MATCH(Q$1,INDIRECT("Table!A"&amp;$AH57):INDIRECT("Table!" &amp; $AK$63 &amp; $AH57),0)),"",INDIRECT(CONCATENATE("Table!",ADDRESS($AD57,MATCH(Q$1,INDIRECT("Table!A" &amp; $AH57):INDIRECT("Table!" &amp; $AK$63 &amp; $AH57),0))))/1024)</f>
        <v/>
      </c>
      <c r="R57" s="272" t="str">
        <f ca="1">IF(ISERROR(MATCH(R$1,INDIRECT("Table!A"&amp;$AH57):INDIRECT("Table!" &amp; $AK$63 &amp; $AH57),0)),"",INDIRECT(CONCATENATE("Table!",ADDRESS($AD57,MATCH(R$1,INDIRECT("Table!A" &amp; $AH57):INDIRECT("Table!" &amp; $AK$63 &amp; $AH57),0))))/1024)</f>
        <v/>
      </c>
      <c r="S57" s="595">
        <f ca="1">IF(ISERROR(MATCH(S$1,INDIRECT("Table!A"&amp;$AH57):INDIRECT("Table!" &amp; $AK$63 &amp; $AH57),0)),"",INDIRECT(CONCATENATE("Table!",ADDRESS($AD57,MATCH(S$1,INDIRECT("Table!A" &amp; $AH57):INDIRECT("Table!" &amp; $AK$63 &amp; $AH57),0))))/1024)</f>
        <v>31.049932617187498</v>
      </c>
      <c r="T57" s="595">
        <f ca="1">IF(ISERROR(MATCH(T$1,INDIRECT("Table!A"&amp;$AH57):INDIRECT("Table!" &amp; $AK$63 &amp; $AH57),0)),"",INDIRECT(CONCATENATE("Table!",ADDRESS($AD57,MATCH(T$1,INDIRECT("Table!A" &amp; $AH57):INDIRECT("Table!" &amp; $AK$63 &amp; $AH57),0))))/1024)</f>
        <v>15.9036240234375</v>
      </c>
      <c r="U57" s="272" t="str">
        <f ca="1">IF(ISERROR(MATCH(U$1,INDIRECT("Table!A"&amp;$AH57):INDIRECT("Table!" &amp; $AK$63 &amp; $AH57),0)),"",INDIRECT(CONCATENATE("Table!",ADDRESS($AD57,MATCH(U$1,INDIRECT("Table!A" &amp; $AH57):INDIRECT("Table!" &amp; $AK$63 &amp; $AH57),0))))/1024)</f>
        <v/>
      </c>
      <c r="V57" s="595"/>
      <c r="W57" s="595"/>
      <c r="X57" s="595"/>
      <c r="Y57" s="595"/>
      <c r="Z57" s="595"/>
      <c r="AA57" s="595"/>
      <c r="AB57" s="595"/>
      <c r="AC57" s="595"/>
      <c r="AD57" s="272">
        <f>MATCH($A57,Table!$A:$A,0)+$AF$2-1</f>
        <v>733</v>
      </c>
      <c r="AE57" s="364"/>
      <c r="AF57" s="364"/>
      <c r="AG57" s="364"/>
      <c r="AH57" s="272">
        <f>MATCH($A57,Table!$A:$A,0)+$AJ$2-1</f>
        <v>725</v>
      </c>
      <c r="AI57" s="364"/>
      <c r="AJ57" s="364"/>
      <c r="AK57" s="904" t="s">
        <v>284</v>
      </c>
      <c r="AL57" s="699">
        <f t="shared" ca="1" si="12"/>
        <v>2572.8310019531255</v>
      </c>
      <c r="AM57" s="699">
        <f t="shared" ca="1" si="10"/>
        <v>10.635342773437969</v>
      </c>
    </row>
    <row r="58" spans="1:39" s="267" customFormat="1" x14ac:dyDescent="0.25">
      <c r="A58" s="268">
        <v>41387</v>
      </c>
      <c r="B58" s="272">
        <f ca="1">IF(ISERROR(MATCH(B$1,INDIRECT("Table!A"&amp;$AH58):INDIRECT("Table!" &amp; $AK$86 &amp; $AH58),0)),"",INDIRECT(CONCATENATE("Table!",ADDRESS($AD58,MATCH(B$1,INDIRECT("Table!A" &amp; $AH58):INDIRECT("Table!" &amp; $AK$86 &amp; $AH58),0))))/1024)</f>
        <v>187.748373046875</v>
      </c>
      <c r="C58" s="272">
        <f ca="1">IF(ISERROR(MATCH(C$1,INDIRECT("Table!A"&amp;$AH58):INDIRECT("Table!" &amp; $AK$86 &amp; $AH58),0)),"",INDIRECT(CONCATENATE("Table!",ADDRESS($AD58,MATCH(C$1,INDIRECT("Table!A" &amp; $AH58):INDIRECT("Table!" &amp; $AK$86 &amp; $AH58),0))))/1024)</f>
        <v>87.157127929687491</v>
      </c>
      <c r="D58" s="272">
        <f ca="1">IF(ISERROR(MATCH(D$1,INDIRECT("Table!A"&amp;$AH58):INDIRECT("Table!" &amp; $AK$86 &amp; $AH58),0)),"",INDIRECT(CONCATENATE("Table!",ADDRESS($AD58,MATCH(D$1,INDIRECT("Table!A" &amp; $AH58):INDIRECT("Table!" &amp; $AK$86 &amp; $AH58),0))))/1024)</f>
        <v>88.177857421875004</v>
      </c>
      <c r="E58" s="272">
        <f ca="1">IF(ISERROR(MATCH(E$1,INDIRECT("Table!A"&amp;$AH58):INDIRECT("Table!" &amp; $AK$86 &amp; $AH58),0)),"",INDIRECT(CONCATENATE("Table!",ADDRESS($AD58,MATCH(E$1,INDIRECT("Table!A" &amp; $AH58):INDIRECT("Table!" &amp; $AK$86 &amp; $AH58),0))))/1024)</f>
        <v>271.51404492187498</v>
      </c>
      <c r="F58" s="272">
        <f ca="1">IF(ISERROR(MATCH(F$1,INDIRECT("Table!A"&amp;$AH58):INDIRECT("Table!" &amp; $AK$86 &amp; $AH58),0)),"",INDIRECT(CONCATENATE("Table!",ADDRESS($AD58,MATCH(F$1,INDIRECT("Table!A" &amp; $AH58):INDIRECT("Table!" &amp; $AK$86 &amp; $AH58),0))))/1024)</f>
        <v>247.8726328125</v>
      </c>
      <c r="G58" s="272">
        <f ca="1">IF(ISERROR(MATCH(G$1,INDIRECT("Table!A"&amp;$AH58):INDIRECT("Table!" &amp; $AK$86 &amp; $AH58),0)),"",INDIRECT(CONCATENATE("Table!",ADDRESS($AD58,MATCH(G$1,INDIRECT("Table!A" &amp; $AH58):INDIRECT("Table!" &amp; $AK$86 &amp; $AH58),0))))/1024)</f>
        <v>442.99659960937498</v>
      </c>
      <c r="H58" s="272">
        <f ca="1">IF(ISERROR(MATCH(H$1,INDIRECT("Table!A"&amp;$AH58):INDIRECT("Table!" &amp; $AK$86 &amp; $AH58),0)),"",INDIRECT(CONCATENATE("Table!",ADDRESS($AD58,MATCH(H$1,INDIRECT("Table!A" &amp; $AH58):INDIRECT("Table!" &amp; $AK$86 &amp; $AH58),0))))/1024)</f>
        <v>138.72043066406249</v>
      </c>
      <c r="I58" s="272">
        <f ca="1">IF(ISERROR(MATCH(I$1,INDIRECT("Table!A"&amp;$AH58):INDIRECT("Table!" &amp; $AK$63 &amp; $AH58),0)),"",INDIRECT(CONCATENATE("Table!",ADDRESS($AD58,MATCH(I$1,INDIRECT("Table!A" &amp; $AH58):INDIRECT("Table!" &amp; $AK$63 &amp; $AH58),0))))/1024)</f>
        <v>12.1499736328125</v>
      </c>
      <c r="J58" s="272" t="str">
        <f ca="1">IF(ISERROR(MATCH(J$1,INDIRECT("Table!A"&amp;$AH58):INDIRECT("Table!" &amp; $AK$63 &amp; $AH58),0)),"",INDIRECT(CONCATENATE("Table!",ADDRESS($AD58,MATCH(J$1,INDIRECT("Table!A" &amp; $AH58):INDIRECT("Table!" &amp; $AK$63 &amp; $AH58),0))))/1024)</f>
        <v/>
      </c>
      <c r="K58" s="272" t="str">
        <f ca="1">IF(ISERROR(MATCH(K$1,INDIRECT("Table!A"&amp;$AH58):INDIRECT("Table!" &amp; $AK$63 &amp; $AH58),0)),"",INDIRECT(CONCATENATE("Table!",ADDRESS($AD58,MATCH(K$1,INDIRECT("Table!A" &amp; $AH58):INDIRECT("Table!" &amp; $AK$63 &amp; $AH58),0))))/1024)</f>
        <v/>
      </c>
      <c r="L58" s="272">
        <f ca="1">IF(ISERROR(MATCH(L$1,INDIRECT("Table!A"&amp;$AH58):INDIRECT("Table!" &amp; $AK$63 &amp; $AH58),0)),"",INDIRECT(CONCATENATE("Table!",ADDRESS($AD58,MATCH(L$1,INDIRECT("Table!A" &amp; $AH58):INDIRECT("Table!" &amp; $AK$63 &amp; $AH58),0))))/1024)</f>
        <v>275.92623046874996</v>
      </c>
      <c r="M58" s="272">
        <f ca="1">IF(ISERROR(MATCH(M$1,INDIRECT("Table!A"&amp;$AH58):INDIRECT("Table!" &amp; $AK$63 &amp; $AH58),0)),"",INDIRECT(CONCATENATE("Table!",ADDRESS($AD58,MATCH(M$1,INDIRECT("Table!A" &amp; $AH58):INDIRECT("Table!" &amp; $AK$63 &amp; $AH58),0))))/1024)</f>
        <v>368.6150537109375</v>
      </c>
      <c r="N58" s="272">
        <f ca="1">IF(ISERROR(MATCH(N$1,INDIRECT("Table!A"&amp;$AH58):INDIRECT("Table!" &amp; $AK$63 &amp; $AH58),0)),"",INDIRECT(CONCATENATE("Table!",ADDRESS($AD58,MATCH(N$1,INDIRECT("Table!A" &amp; $AH58):INDIRECT("Table!" &amp; $AK$63 &amp; $AH58),0))))/1024)</f>
        <v>128.77654980468751</v>
      </c>
      <c r="O58" s="272">
        <f ca="1">IF(ISERROR(MATCH(O$1,INDIRECT("Table!A"&amp;$AH58):INDIRECT("Table!" &amp; $AK$63 &amp; $AH58),0)),"",INDIRECT(CONCATENATE("Table!",ADDRESS($AD58,MATCH(O$1,INDIRECT("Table!A" &amp; $AH58):INDIRECT("Table!" &amp; $AK$63 &amp; $AH58),0))))/1024)</f>
        <v>249.05799609374998</v>
      </c>
      <c r="P58" s="272">
        <f ca="1">IF(ISERROR(MATCH(P$1,INDIRECT("Table!A"&amp;$AH58):INDIRECT("Table!" &amp; $AK$63 &amp; $AH58),0)),"",INDIRECT(CONCATENATE("Table!",ADDRESS($AD58,MATCH(P$1,INDIRECT("Table!A" &amp; $AH58):INDIRECT("Table!" &amp; $AK$63 &amp; $AH58),0))))/1024)</f>
        <v>26.604820312499999</v>
      </c>
      <c r="Q58" s="272" t="str">
        <f ca="1">IF(ISERROR(MATCH(Q$1,INDIRECT("Table!A"&amp;$AH58):INDIRECT("Table!" &amp; $AK$63 &amp; $AH58),0)),"",INDIRECT(CONCATENATE("Table!",ADDRESS($AD58,MATCH(Q$1,INDIRECT("Table!A" &amp; $AH58):INDIRECT("Table!" &amp; $AK$63 &amp; $AH58),0))))/1024)</f>
        <v/>
      </c>
      <c r="R58" s="272" t="str">
        <f ca="1">IF(ISERROR(MATCH(R$1,INDIRECT("Table!A"&amp;$AH58):INDIRECT("Table!" &amp; $AK$63 &amp; $AH58),0)),"",INDIRECT(CONCATENATE("Table!",ADDRESS($AD58,MATCH(R$1,INDIRECT("Table!A" &amp; $AH58):INDIRECT("Table!" &amp; $AK$63 &amp; $AH58),0))))/1024)</f>
        <v/>
      </c>
      <c r="S58" s="595">
        <f ca="1">IF(ISERROR(MATCH(S$1,INDIRECT("Table!A"&amp;$AH58):INDIRECT("Table!" &amp; $AK$63 &amp; $AH58),0)),"",INDIRECT(CONCATENATE("Table!",ADDRESS($AD58,MATCH(S$1,INDIRECT("Table!A" &amp; $AH58):INDIRECT("Table!" &amp; $AK$63 &amp; $AH58),0))))/1024)</f>
        <v>24.332874023437498</v>
      </c>
      <c r="T58" s="595">
        <f ca="1">IF(ISERROR(MATCH(T$1,INDIRECT("Table!A"&amp;$AH58):INDIRECT("Table!" &amp; $AK$63 &amp; $AH58),0)),"",INDIRECT(CONCATENATE("Table!",ADDRESS($AD58,MATCH(T$1,INDIRECT("Table!A" &amp; $AH58):INDIRECT("Table!" &amp; $AK$63 &amp; $AH58),0))))/1024)</f>
        <v>12.5450947265625</v>
      </c>
      <c r="U58" s="272" t="str">
        <f ca="1">IF(ISERROR(MATCH(U$1,INDIRECT("Table!A"&amp;$AH58):INDIRECT("Table!" &amp; $AK$63 &amp; $AH58),0)),"",INDIRECT(CONCATENATE("Table!",ADDRESS($AD58,MATCH(U$1,INDIRECT("Table!A" &amp; $AH58):INDIRECT("Table!" &amp; $AK$63 &amp; $AH58),0))))/1024)</f>
        <v/>
      </c>
      <c r="V58" s="595"/>
      <c r="W58" s="595"/>
      <c r="X58" s="595"/>
      <c r="Y58" s="595"/>
      <c r="Z58" s="595"/>
      <c r="AA58" s="595"/>
      <c r="AB58" s="595"/>
      <c r="AC58" s="595"/>
      <c r="AD58" s="272">
        <f>MATCH($A58,Table!$A:$A,0)+$AF$2-1</f>
        <v>745</v>
      </c>
      <c r="AE58" s="363"/>
      <c r="AF58" s="363"/>
      <c r="AG58" s="363"/>
      <c r="AH58" s="272">
        <f>MATCH($A58,Table!$A:$A,0)+$AJ$2-1</f>
        <v>737</v>
      </c>
      <c r="AI58" s="363"/>
      <c r="AJ58" s="363"/>
      <c r="AK58" s="904" t="s">
        <v>284</v>
      </c>
      <c r="AL58" s="699">
        <f t="shared" ca="1" si="12"/>
        <v>2562.1956591796875</v>
      </c>
      <c r="AM58" s="699">
        <f t="shared" ca="1" si="10"/>
        <v>11.886559570312329</v>
      </c>
    </row>
    <row r="59" spans="1:39" s="267" customFormat="1" x14ac:dyDescent="0.25">
      <c r="A59" s="268">
        <v>41383</v>
      </c>
      <c r="B59" s="272">
        <f ca="1">IF(ISERROR(MATCH(B$1,INDIRECT("Table!A"&amp;$AH59):INDIRECT("Table!" &amp; $AK$86 &amp; $AH59),0)),"",INDIRECT(CONCATENATE("Table!",ADDRESS($AD59,MATCH(B$1,INDIRECT("Table!A" &amp; $AH59):INDIRECT("Table!" &amp; $AK$86 &amp; $AH59),0))))/1024)</f>
        <v>187.748373046875</v>
      </c>
      <c r="C59" s="272">
        <f ca="1">IF(ISERROR(MATCH(C$1,INDIRECT("Table!A"&amp;$AH59):INDIRECT("Table!" &amp; $AK$86 &amp; $AH59),0)),"",INDIRECT(CONCATENATE("Table!",ADDRESS($AD59,MATCH(C$1,INDIRECT("Table!A" &amp; $AH59):INDIRECT("Table!" &amp; $AK$86 &amp; $AH59),0))))/1024)</f>
        <v>87.157127929687491</v>
      </c>
      <c r="D59" s="272">
        <f ca="1">IF(ISERROR(MATCH(D$1,INDIRECT("Table!A"&amp;$AH59):INDIRECT("Table!" &amp; $AK$86 &amp; $AH59),0)),"",INDIRECT(CONCATENATE("Table!",ADDRESS($AD59,MATCH(D$1,INDIRECT("Table!A" &amp; $AH59):INDIRECT("Table!" &amp; $AK$86 &amp; $AH59),0))))/1024)</f>
        <v>88.177857421875004</v>
      </c>
      <c r="E59" s="272">
        <f ca="1">IF(ISERROR(MATCH(E$1,INDIRECT("Table!A"&amp;$AH59):INDIRECT("Table!" &amp; $AK$86 &amp; $AH59),0)),"",INDIRECT(CONCATENATE("Table!",ADDRESS($AD59,MATCH(E$1,INDIRECT("Table!A" &amp; $AH59):INDIRECT("Table!" &amp; $AK$86 &amp; $AH59),0))))/1024)</f>
        <v>271.51404492187498</v>
      </c>
      <c r="F59" s="272">
        <f ca="1">IF(ISERROR(MATCH(F$1,INDIRECT("Table!A"&amp;$AH59):INDIRECT("Table!" &amp; $AK$86 &amp; $AH59),0)),"",INDIRECT(CONCATENATE("Table!",ADDRESS($AD59,MATCH(F$1,INDIRECT("Table!A" &amp; $AH59):INDIRECT("Table!" &amp; $AK$86 &amp; $AH59),0))))/1024)</f>
        <v>247.8726328125</v>
      </c>
      <c r="G59" s="272">
        <f ca="1">IF(ISERROR(MATCH(G$1,INDIRECT("Table!A"&amp;$AH59):INDIRECT("Table!" &amp; $AK$86 &amp; $AH59),0)),"",INDIRECT(CONCATENATE("Table!",ADDRESS($AD59,MATCH(G$1,INDIRECT("Table!A" &amp; $AH59):INDIRECT("Table!" &amp; $AK$86 &amp; $AH59),0))))/1024)</f>
        <v>442.99659960937498</v>
      </c>
      <c r="H59" s="272">
        <f ca="1">IF(ISERROR(MATCH(H$1,INDIRECT("Table!A"&amp;$AH59):INDIRECT("Table!" &amp; $AK$86 &amp; $AH59),0)),"",INDIRECT(CONCATENATE("Table!",ADDRESS($AD59,MATCH(H$1,INDIRECT("Table!A" &amp; $AH59):INDIRECT("Table!" &amp; $AK$86 &amp; $AH59),0))))/1024)</f>
        <v>137.63384765625</v>
      </c>
      <c r="I59" s="272">
        <f ca="1">IF(ISERROR(MATCH(I$1,INDIRECT("Table!A"&amp;$AH59):INDIRECT("Table!" &amp; $AK$63 &amp; $AH59),0)),"",INDIRECT(CONCATENATE("Table!",ADDRESS($AD59,MATCH(I$1,INDIRECT("Table!A" &amp; $AH59):INDIRECT("Table!" &amp; $AK$63 &amp; $AH59),0))))/1024)</f>
        <v>12.1499736328125</v>
      </c>
      <c r="J59" s="272" t="str">
        <f ca="1">IF(ISERROR(MATCH(J$1,INDIRECT("Table!A"&amp;$AH59):INDIRECT("Table!" &amp; $AK$63 &amp; $AH59),0)),"",INDIRECT(CONCATENATE("Table!",ADDRESS($AD59,MATCH(J$1,INDIRECT("Table!A" &amp; $AH59):INDIRECT("Table!" &amp; $AK$63 &amp; $AH59),0))))/1024)</f>
        <v/>
      </c>
      <c r="K59" s="272" t="str">
        <f ca="1">IF(ISERROR(MATCH(K$1,INDIRECT("Table!A"&amp;$AH59):INDIRECT("Table!" &amp; $AK$63 &amp; $AH59),0)),"",INDIRECT(CONCATENATE("Table!",ADDRESS($AD59,MATCH(K$1,INDIRECT("Table!A" &amp; $AH59):INDIRECT("Table!" &amp; $AK$63 &amp; $AH59),0))))/1024)</f>
        <v/>
      </c>
      <c r="L59" s="272">
        <f ca="1">IF(ISERROR(MATCH(L$1,INDIRECT("Table!A"&amp;$AH59):INDIRECT("Table!" &amp; $AK$63 &amp; $AH59),0)),"",INDIRECT(CONCATENATE("Table!",ADDRESS($AD59,MATCH(L$1,INDIRECT("Table!A" &amp; $AH59):INDIRECT("Table!" &amp; $AK$63 &amp; $AH59),0))))/1024)</f>
        <v>275.92623046874996</v>
      </c>
      <c r="M59" s="272">
        <f ca="1">IF(ISERROR(MATCH(M$1,INDIRECT("Table!A"&amp;$AH59):INDIRECT("Table!" &amp; $AK$63 &amp; $AH59),0)),"",INDIRECT(CONCATENATE("Table!",ADDRESS($AD59,MATCH(M$1,INDIRECT("Table!A" &amp; $AH59):INDIRECT("Table!" &amp; $AK$63 &amp; $AH59),0))))/1024)</f>
        <v>363.87360058593748</v>
      </c>
      <c r="N59" s="272">
        <f ca="1">IF(ISERROR(MATCH(N$1,INDIRECT("Table!A"&amp;$AH59):INDIRECT("Table!" &amp; $AK$63 &amp; $AH59),0)),"",INDIRECT(CONCATENATE("Table!",ADDRESS($AD59,MATCH(N$1,INDIRECT("Table!A" &amp; $AH59):INDIRECT("Table!" &amp; $AK$63 &amp; $AH59),0))))/1024)</f>
        <v>128.5131357421875</v>
      </c>
      <c r="O59" s="272">
        <f ca="1">IF(ISERROR(MATCH(O$1,INDIRECT("Table!A"&amp;$AH59):INDIRECT("Table!" &amp; $AK$63 &amp; $AH59),0)),"",INDIRECT(CONCATENATE("Table!",ADDRESS($AD59,MATCH(O$1,INDIRECT("Table!A" &amp; $AH59):INDIRECT("Table!" &amp; $AK$63 &amp; $AH59),0))))/1024)</f>
        <v>243.26288671875</v>
      </c>
      <c r="P59" s="272">
        <f ca="1">IF(ISERROR(MATCH(P$1,INDIRECT("Table!A"&amp;$AH59):INDIRECT("Table!" &amp; $AK$63 &amp; $AH59),0)),"",INDIRECT(CONCATENATE("Table!",ADDRESS($AD59,MATCH(P$1,INDIRECT("Table!A" &amp; $AH59):INDIRECT("Table!" &amp; $AK$63 &amp; $AH59),0))))/1024)</f>
        <v>26.604820312499999</v>
      </c>
      <c r="Q59" s="272" t="str">
        <f ca="1">IF(ISERROR(MATCH(Q$1,INDIRECT("Table!A"&amp;$AH59):INDIRECT("Table!" &amp; $AK$63 &amp; $AH59),0)),"",INDIRECT(CONCATENATE("Table!",ADDRESS($AD59,MATCH(Q$1,INDIRECT("Table!A" &amp; $AH59):INDIRECT("Table!" &amp; $AK$63 &amp; $AH59),0))))/1024)</f>
        <v/>
      </c>
      <c r="R59" s="272" t="str">
        <f ca="1">IF(ISERROR(MATCH(R$1,INDIRECT("Table!A"&amp;$AH59):INDIRECT("Table!" &amp; $AK$63 &amp; $AH59),0)),"",INDIRECT(CONCATENATE("Table!",ADDRESS($AD59,MATCH(R$1,INDIRECT("Table!A" &amp; $AH59):INDIRECT("Table!" &amp; $AK$63 &amp; $AH59),0))))/1024)</f>
        <v/>
      </c>
      <c r="S59" s="595">
        <f ca="1">IF(ISERROR(MATCH(S$1,INDIRECT("Table!A"&amp;$AH59):INDIRECT("Table!" &amp; $AK$63 &amp; $AH59),0)),"",INDIRECT(CONCATENATE("Table!",ADDRESS($AD59,MATCH(S$1,INDIRECT("Table!A" &amp; $AH59):INDIRECT("Table!" &amp; $AK$63 &amp; $AH59),0))))/1024)</f>
        <v>24.332874023437498</v>
      </c>
      <c r="T59" s="595">
        <f ca="1">IF(ISERROR(MATCH(T$1,INDIRECT("Table!A"&amp;$AH59):INDIRECT("Table!" &amp; $AK$63 &amp; $AH59),0)),"",INDIRECT(CONCATENATE("Table!",ADDRESS($AD59,MATCH(T$1,INDIRECT("Table!A" &amp; $AH59):INDIRECT("Table!" &amp; $AK$63 &amp; $AH59),0))))/1024)</f>
        <v>12.5450947265625</v>
      </c>
      <c r="U59" s="272" t="str">
        <f ca="1">IF(ISERROR(MATCH(U$1,INDIRECT("Table!A"&amp;$AH59):INDIRECT("Table!" &amp; $AK$63 &amp; $AH59),0)),"",INDIRECT(CONCATENATE("Table!",ADDRESS($AD59,MATCH(U$1,INDIRECT("Table!A" &amp; $AH59):INDIRECT("Table!" &amp; $AK$63 &amp; $AH59),0))))/1024)</f>
        <v/>
      </c>
      <c r="V59" s="595"/>
      <c r="W59" s="595"/>
      <c r="X59" s="595"/>
      <c r="Y59" s="595"/>
      <c r="Z59" s="595"/>
      <c r="AA59" s="595"/>
      <c r="AB59" s="595"/>
      <c r="AC59" s="595"/>
      <c r="AD59" s="272">
        <f>MATCH($A59,Table!$A:$A,0)+$AF$2-1</f>
        <v>757</v>
      </c>
      <c r="AE59" s="362"/>
      <c r="AF59" s="362"/>
      <c r="AG59" s="362"/>
      <c r="AH59" s="272">
        <f>MATCH($A59,Table!$A:$A,0)+$AJ$2-1</f>
        <v>749</v>
      </c>
      <c r="AI59" s="362"/>
      <c r="AJ59" s="362"/>
      <c r="AK59" s="904" t="s">
        <v>284</v>
      </c>
      <c r="AL59" s="699">
        <f t="shared" ca="1" si="12"/>
        <v>2550.3090996093752</v>
      </c>
      <c r="AM59" s="699">
        <f t="shared" ca="1" si="10"/>
        <v>6.7170585937501528</v>
      </c>
    </row>
    <row r="60" spans="1:39" s="267" customFormat="1" x14ac:dyDescent="0.25">
      <c r="A60" s="268">
        <v>41379</v>
      </c>
      <c r="B60" s="272">
        <f ca="1">IF(ISERROR(MATCH(B$1,INDIRECT("Table!A"&amp;$AH60):INDIRECT("Table!" &amp; $AK$86 &amp; $AH60),0)),"",INDIRECT(CONCATENATE("Table!",ADDRESS($AD60,MATCH(B$1,INDIRECT("Table!A" &amp; $AH60):INDIRECT("Table!" &amp; $AK$86 &amp; $AH60),0))))/1024)</f>
        <v>187.748373046875</v>
      </c>
      <c r="C60" s="272">
        <f ca="1">IF(ISERROR(MATCH(C$1,INDIRECT("Table!A"&amp;$AH60):INDIRECT("Table!" &amp; $AK$86 &amp; $AH60),0)),"",INDIRECT(CONCATENATE("Table!",ADDRESS($AD60,MATCH(C$1,INDIRECT("Table!A" &amp; $AH60):INDIRECT("Table!" &amp; $AK$86 &amp; $AH60),0))))/1024)</f>
        <v>87.157127929687491</v>
      </c>
      <c r="D60" s="272">
        <f ca="1">IF(ISERROR(MATCH(D$1,INDIRECT("Table!A"&amp;$AH60):INDIRECT("Table!" &amp; $AK$86 &amp; $AH60),0)),"",INDIRECT(CONCATENATE("Table!",ADDRESS($AD60,MATCH(D$1,INDIRECT("Table!A" &amp; $AH60):INDIRECT("Table!" &amp; $AK$86 &amp; $AH60),0))))/1024)</f>
        <v>88.177857421875004</v>
      </c>
      <c r="E60" s="272">
        <f ca="1">IF(ISERROR(MATCH(E$1,INDIRECT("Table!A"&amp;$AH60):INDIRECT("Table!" &amp; $AK$86 &amp; $AH60),0)),"",INDIRECT(CONCATENATE("Table!",ADDRESS($AD60,MATCH(E$1,INDIRECT("Table!A" &amp; $AH60):INDIRECT("Table!" &amp; $AK$86 &amp; $AH60),0))))/1024)</f>
        <v>270.32868164062501</v>
      </c>
      <c r="F60" s="272">
        <f ca="1">IF(ISERROR(MATCH(F$1,INDIRECT("Table!A"&amp;$AH60):INDIRECT("Table!" &amp; $AK$86 &amp; $AH60),0)),"",INDIRECT(CONCATENATE("Table!",ADDRESS($AD60,MATCH(F$1,INDIRECT("Table!A" &amp; $AH60):INDIRECT("Table!" &amp; $AK$86 &amp; $AH60),0))))/1024)</f>
        <v>247.34580468749999</v>
      </c>
      <c r="G60" s="272">
        <f ca="1">IF(ISERROR(MATCH(G$1,INDIRECT("Table!A"&amp;$AH60):INDIRECT("Table!" &amp; $AK$86 &amp; $AH60),0)),"",INDIRECT(CONCATENATE("Table!",ADDRESS($AD60,MATCH(G$1,INDIRECT("Table!A" &amp; $AH60):INDIRECT("Table!" &amp; $AK$86 &amp; $AH60),0))))/1024)</f>
        <v>442.7002587890625</v>
      </c>
      <c r="H60" s="272">
        <f ca="1">IF(ISERROR(MATCH(H$1,INDIRECT("Table!A"&amp;$AH60):INDIRECT("Table!" &amp; $AK$86 &amp; $AH60),0)),"",INDIRECT(CONCATENATE("Table!",ADDRESS($AD60,MATCH(H$1,INDIRECT("Table!A" &amp; $AH60):INDIRECT("Table!" &amp; $AK$86 &amp; $AH60),0))))/1024)</f>
        <v>132.92532128906248</v>
      </c>
      <c r="I60" s="272">
        <f ca="1">IF(ISERROR(MATCH(I$1,INDIRECT("Table!A"&amp;$AH60):INDIRECT("Table!" &amp; $AK$63 &amp; $AH60),0)),"",INDIRECT(CONCATENATE("Table!",ADDRESS($AD60,MATCH(I$1,INDIRECT("Table!A" &amp; $AH60):INDIRECT("Table!" &amp; $AK$63 &amp; $AH60),0))))/1024)</f>
        <v>12.1499736328125</v>
      </c>
      <c r="J60" s="272" t="str">
        <f ca="1">IF(ISERROR(MATCH(J$1,INDIRECT("Table!A"&amp;$AH60):INDIRECT("Table!" &amp; $AK$63 &amp; $AH60),0)),"",INDIRECT(CONCATENATE("Table!",ADDRESS($AD60,MATCH(J$1,INDIRECT("Table!A" &amp; $AH60):INDIRECT("Table!" &amp; $AK$63 &amp; $AH60),0))))/1024)</f>
        <v/>
      </c>
      <c r="K60" s="272" t="str">
        <f ca="1">IF(ISERROR(MATCH(K$1,INDIRECT("Table!A"&amp;$AH60):INDIRECT("Table!" &amp; $AK$63 &amp; $AH60),0)),"",INDIRECT(CONCATENATE("Table!",ADDRESS($AD60,MATCH(K$1,INDIRECT("Table!A" &amp; $AH60):INDIRECT("Table!" &amp; $AK$63 &amp; $AH60),0))))/1024)</f>
        <v/>
      </c>
      <c r="L60" s="272">
        <f ca="1">IF(ISERROR(MATCH(L$1,INDIRECT("Table!A"&amp;$AH60):INDIRECT("Table!" &amp; $AK$63 &amp; $AH60),0)),"",INDIRECT(CONCATENATE("Table!",ADDRESS($AD60,MATCH(L$1,INDIRECT("Table!A" &amp; $AH60):INDIRECT("Table!" &amp; $AK$63 &amp; $AH60),0))))/1024)</f>
        <v>275.92623046874996</v>
      </c>
      <c r="M60" s="272">
        <f ca="1">IF(ISERROR(MATCH(M$1,INDIRECT("Table!A"&amp;$AH60):INDIRECT("Table!" &amp; $AK$63 &amp; $AH60),0)),"",INDIRECT(CONCATENATE("Table!",ADDRESS($AD60,MATCH(M$1,INDIRECT("Table!A" &amp; $AH60):INDIRECT("Table!" &amp; $AK$63 &amp; $AH60),0))))/1024)</f>
        <v>363.87360058593748</v>
      </c>
      <c r="N60" s="272">
        <f ca="1">IF(ISERROR(MATCH(N$1,INDIRECT("Table!A"&amp;$AH60):INDIRECT("Table!" &amp; $AK$63 &amp; $AH60),0)),"",INDIRECT(CONCATENATE("Table!",ADDRESS($AD60,MATCH(N$1,INDIRECT("Table!A" &amp; $AH60):INDIRECT("Table!" &amp; $AK$63 &amp; $AH60),0))))/1024)</f>
        <v>128.5131357421875</v>
      </c>
      <c r="O60" s="272">
        <f ca="1">IF(ISERROR(MATCH(O$1,INDIRECT("Table!A"&amp;$AH60):INDIRECT("Table!" &amp; $AK$63 &amp; $AH60),0)),"",INDIRECT(CONCATENATE("Table!",ADDRESS($AD60,MATCH(O$1,INDIRECT("Table!A" &amp; $AH60):INDIRECT("Table!" &amp; $AK$63 &amp; $AH60),0))))/1024)</f>
        <v>243.26288671875</v>
      </c>
      <c r="P60" s="272">
        <f ca="1">IF(ISERROR(MATCH(P$1,INDIRECT("Table!A"&amp;$AH60):INDIRECT("Table!" &amp; $AK$63 &amp; $AH60),0)),"",INDIRECT(CONCATENATE("Table!",ADDRESS($AD60,MATCH(P$1,INDIRECT("Table!A" &amp; $AH60):INDIRECT("Table!" &amp; $AK$63 &amp; $AH60),0))))/1024)</f>
        <v>26.604820312499999</v>
      </c>
      <c r="Q60" s="272" t="str">
        <f ca="1">IF(ISERROR(MATCH(Q$1,INDIRECT("Table!A"&amp;$AH60):INDIRECT("Table!" &amp; $AK$63 &amp; $AH60),0)),"",INDIRECT(CONCATENATE("Table!",ADDRESS($AD60,MATCH(Q$1,INDIRECT("Table!A" &amp; $AH60):INDIRECT("Table!" &amp; $AK$63 &amp; $AH60),0))))/1024)</f>
        <v/>
      </c>
      <c r="R60" s="272" t="str">
        <f ca="1">IF(ISERROR(MATCH(R$1,INDIRECT("Table!A"&amp;$AH60):INDIRECT("Table!" &amp; $AK$63 &amp; $AH60),0)),"",INDIRECT(CONCATENATE("Table!",ADDRESS($AD60,MATCH(R$1,INDIRECT("Table!A" &amp; $AH60):INDIRECT("Table!" &amp; $AK$63 &amp; $AH60),0))))/1024)</f>
        <v/>
      </c>
      <c r="S60" s="595">
        <f ca="1">IF(ISERROR(MATCH(S$1,INDIRECT("Table!A"&amp;$AH60):INDIRECT("Table!" &amp; $AK$63 &amp; $AH60),0)),"",INDIRECT(CONCATENATE("Table!",ADDRESS($AD60,MATCH(S$1,INDIRECT("Table!A" &amp; $AH60):INDIRECT("Table!" &amp; $AK$63 &amp; $AH60),0))))/1024)</f>
        <v>24.332874023437498</v>
      </c>
      <c r="T60" s="595">
        <f ca="1">IF(ISERROR(MATCH(T$1,INDIRECT("Table!A"&amp;$AH60):INDIRECT("Table!" &amp; $AK$63 &amp; $AH60),0)),"",INDIRECT(CONCATENATE("Table!",ADDRESS($AD60,MATCH(T$1,INDIRECT("Table!A" &amp; $AH60):INDIRECT("Table!" &amp; $AK$63 &amp; $AH60),0))))/1024)</f>
        <v>12.5450947265625</v>
      </c>
      <c r="U60" s="272" t="str">
        <f ca="1">IF(ISERROR(MATCH(U$1,INDIRECT("Table!A"&amp;$AH60):INDIRECT("Table!" &amp; $AK$63 &amp; $AH60),0)),"",INDIRECT(CONCATENATE("Table!",ADDRESS($AD60,MATCH(U$1,INDIRECT("Table!A" &amp; $AH60):INDIRECT("Table!" &amp; $AK$63 &amp; $AH60),0))))/1024)</f>
        <v/>
      </c>
      <c r="V60" s="595"/>
      <c r="W60" s="595"/>
      <c r="X60" s="595"/>
      <c r="Y60" s="595"/>
      <c r="Z60" s="595"/>
      <c r="AA60" s="595"/>
      <c r="AB60" s="595"/>
      <c r="AC60" s="595"/>
      <c r="AD60" s="272">
        <f>MATCH($A60,Table!$A:$A,0)+$AF$2-1</f>
        <v>769</v>
      </c>
      <c r="AE60" s="361"/>
      <c r="AF60" s="361"/>
      <c r="AG60" s="361"/>
      <c r="AH60" s="272">
        <f>MATCH($A60,Table!$A:$A,0)+$AJ$2-1</f>
        <v>761</v>
      </c>
      <c r="AI60" s="361"/>
      <c r="AJ60" s="361"/>
      <c r="AK60" s="904" t="s">
        <v>284</v>
      </c>
      <c r="AL60" s="699">
        <f t="shared" ca="1" si="12"/>
        <v>2543.592041015625</v>
      </c>
      <c r="AM60" s="699">
        <f t="shared" ca="1" si="10"/>
        <v>5.7951093749998108</v>
      </c>
    </row>
    <row r="61" spans="1:39" s="267" customFormat="1" x14ac:dyDescent="0.25">
      <c r="A61" s="268">
        <v>41374</v>
      </c>
      <c r="B61" s="272">
        <f ca="1">IF(ISERROR(MATCH(B$1,INDIRECT("Table!A"&amp;$AH61):INDIRECT("Table!" &amp; $AK$86 &amp; $AH61),0)),"",INDIRECT(CONCATENATE("Table!",ADDRESS($AD61,MATCH(B$1,INDIRECT("Table!A" &amp; $AH61):INDIRECT("Table!" &amp; $AK$86 &amp; $AH61),0))))/1024)</f>
        <v>187.748373046875</v>
      </c>
      <c r="C61" s="272">
        <f ca="1">IF(ISERROR(MATCH(C$1,INDIRECT("Table!A"&amp;$AH61):INDIRECT("Table!" &amp; $AK$86 &amp; $AH61),0)),"",INDIRECT(CONCATENATE("Table!",ADDRESS($AD61,MATCH(C$1,INDIRECT("Table!A" &amp; $AH61):INDIRECT("Table!" &amp; $AK$86 &amp; $AH61),0))))/1024)</f>
        <v>87.157127929687491</v>
      </c>
      <c r="D61" s="272">
        <f ca="1">IF(ISERROR(MATCH(D$1,INDIRECT("Table!A"&amp;$AH61):INDIRECT("Table!" &amp; $AK$86 &amp; $AH61),0)),"",INDIRECT(CONCATENATE("Table!",ADDRESS($AD61,MATCH(D$1,INDIRECT("Table!A" &amp; $AH61):INDIRECT("Table!" &amp; $AK$86 &amp; $AH61),0))))/1024)</f>
        <v>88.177857421875004</v>
      </c>
      <c r="E61" s="272">
        <f ca="1">IF(ISERROR(MATCH(E$1,INDIRECT("Table!A"&amp;$AH61):INDIRECT("Table!" &amp; $AK$86 &amp; $AH61),0)),"",INDIRECT(CONCATENATE("Table!",ADDRESS($AD61,MATCH(E$1,INDIRECT("Table!A" &amp; $AH61):INDIRECT("Table!" &amp; $AK$86 &amp; $AH61),0))))/1024)</f>
        <v>271.51404492187498</v>
      </c>
      <c r="F61" s="272">
        <f ca="1">IF(ISERROR(MATCH(F$1,INDIRECT("Table!A"&amp;$AH61):INDIRECT("Table!" &amp; $AK$86 &amp; $AH61),0)),"",INDIRECT(CONCATENATE("Table!",ADDRESS($AD61,MATCH(F$1,INDIRECT("Table!A" &amp; $AH61):INDIRECT("Table!" &amp; $AK$86 &amp; $AH61),0))))/1024)</f>
        <v>247.675072265625</v>
      </c>
      <c r="G61" s="272">
        <f ca="1">IF(ISERROR(MATCH(G$1,INDIRECT("Table!A"&amp;$AH61):INDIRECT("Table!" &amp; $AK$86 &amp; $AH61),0)),"",INDIRECT(CONCATENATE("Table!",ADDRESS($AD61,MATCH(G$1,INDIRECT("Table!A" &amp; $AH61):INDIRECT("Table!" &amp; $AK$86 &amp; $AH61),0))))/1024)</f>
        <v>441.67952929687499</v>
      </c>
      <c r="H61" s="272">
        <f ca="1">IF(ISERROR(MATCH(H$1,INDIRECT("Table!A"&amp;$AH61):INDIRECT("Table!" &amp; $AK$86 &amp; $AH61),0)),"",INDIRECT(CONCATENATE("Table!",ADDRESS($AD61,MATCH(H$1,INDIRECT("Table!A" &amp; $AH61):INDIRECT("Table!" &amp; $AK$86 &amp; $AH61),0))))/1024)</f>
        <v>130.587521484375</v>
      </c>
      <c r="I61" s="272">
        <f ca="1">IF(ISERROR(MATCH(I$1,INDIRECT("Table!A"&amp;$AH61):INDIRECT("Table!" &amp; $AK$63 &amp; $AH61),0)),"",INDIRECT(CONCATENATE("Table!",ADDRESS($AD61,MATCH(I$1,INDIRECT("Table!A" &amp; $AH61):INDIRECT("Table!" &amp; $AK$63 &amp; $AH61),0))))/1024)</f>
        <v>10.240221679687499</v>
      </c>
      <c r="J61" s="272" t="str">
        <f ca="1">IF(ISERROR(MATCH(J$1,INDIRECT("Table!A"&amp;$AH61):INDIRECT("Table!" &amp; $AK$63 &amp; $AH61),0)),"",INDIRECT(CONCATENATE("Table!",ADDRESS($AD61,MATCH(J$1,INDIRECT("Table!A" &amp; $AH61):INDIRECT("Table!" &amp; $AK$63 &amp; $AH61),0))))/1024)</f>
        <v/>
      </c>
      <c r="K61" s="272" t="str">
        <f ca="1">IF(ISERROR(MATCH(K$1,INDIRECT("Table!A"&amp;$AH61):INDIRECT("Table!" &amp; $AK$63 &amp; $AH61),0)),"",INDIRECT(CONCATENATE("Table!",ADDRESS($AD61,MATCH(K$1,INDIRECT("Table!A" &amp; $AH61):INDIRECT("Table!" &amp; $AK$63 &amp; $AH61),0))))/1024)</f>
        <v/>
      </c>
      <c r="L61" s="272">
        <f ca="1">IF(ISERROR(MATCH(L$1,INDIRECT("Table!A"&amp;$AH61):INDIRECT("Table!" &amp; $AK$63 &amp; $AH61),0)),"",INDIRECT(CONCATENATE("Table!",ADDRESS($AD61,MATCH(L$1,INDIRECT("Table!A" &amp; $AH61):INDIRECT("Table!" &amp; $AK$63 &amp; $AH61),0))))/1024)</f>
        <v>276.650619140625</v>
      </c>
      <c r="M61" s="272">
        <f ca="1">IF(ISERROR(MATCH(M$1,INDIRECT("Table!A"&amp;$AH61):INDIRECT("Table!" &amp; $AK$63 &amp; $AH61),0)),"",INDIRECT(CONCATENATE("Table!",ADDRESS($AD61,MATCH(M$1,INDIRECT("Table!A" &amp; $AH61):INDIRECT("Table!" &amp; $AK$63 &amp; $AH61),0))))/1024)</f>
        <v>363.97238085937499</v>
      </c>
      <c r="N61" s="272">
        <f ca="1">IF(ISERROR(MATCH(N$1,INDIRECT("Table!A"&amp;$AH61):INDIRECT("Table!" &amp; $AK$63 &amp; $AH61),0)),"",INDIRECT(CONCATENATE("Table!",ADDRESS($AD61,MATCH(N$1,INDIRECT("Table!A" &amp; $AH61):INDIRECT("Table!" &amp; $AK$63 &amp; $AH61),0))))/1024)</f>
        <v>129.07289062499999</v>
      </c>
      <c r="O61" s="272">
        <f ca="1">IF(ISERROR(MATCH(O$1,INDIRECT("Table!A"&amp;$AH61):INDIRECT("Table!" &amp; $AK$63 &amp; $AH61),0)),"",INDIRECT(CONCATENATE("Table!",ADDRESS($AD61,MATCH(O$1,INDIRECT("Table!A" &amp; $AH61):INDIRECT("Table!" &amp; $AK$63 &amp; $AH61),0))))/1024)</f>
        <v>239.83850390625</v>
      </c>
      <c r="P61" s="272">
        <f ca="1">IF(ISERROR(MATCH(P$1,INDIRECT("Table!A"&amp;$AH61):INDIRECT("Table!" &amp; $AK$63 &amp; $AH61),0)),"",INDIRECT(CONCATENATE("Table!",ADDRESS($AD61,MATCH(P$1,INDIRECT("Table!A" &amp; $AH61):INDIRECT("Table!" &amp; $AK$63 &amp; $AH61),0))))/1024)</f>
        <v>26.604820312499999</v>
      </c>
      <c r="Q61" s="272" t="str">
        <f ca="1">IF(ISERROR(MATCH(Q$1,INDIRECT("Table!A"&amp;$AH61):INDIRECT("Table!" &amp; $AK$63 &amp; $AH61),0)),"",INDIRECT(CONCATENATE("Table!",ADDRESS($AD61,MATCH(Q$1,INDIRECT("Table!A" &amp; $AH61):INDIRECT("Table!" &amp; $AK$63 &amp; $AH61),0))))/1024)</f>
        <v/>
      </c>
      <c r="R61" s="272" t="str">
        <f ca="1">IF(ISERROR(MATCH(R$1,INDIRECT("Table!A"&amp;$AH61):INDIRECT("Table!" &amp; $AK$63 &amp; $AH61),0)),"",INDIRECT(CONCATENATE("Table!",ADDRESS($AD61,MATCH(R$1,INDIRECT("Table!A" &amp; $AH61):INDIRECT("Table!" &amp; $AK$63 &amp; $AH61),0))))/1024)</f>
        <v/>
      </c>
      <c r="S61" s="595">
        <f ca="1">IF(ISERROR(MATCH(S$1,INDIRECT("Table!A"&amp;$AH61):INDIRECT("Table!" &amp; $AK$63 &amp; $AH61),0)),"",INDIRECT(CONCATENATE("Table!",ADDRESS($AD61,MATCH(S$1,INDIRECT("Table!A" &amp; $AH61):INDIRECT("Table!" &amp; $AK$63 &amp; $AH61),0))))/1024)</f>
        <v>24.332874023437498</v>
      </c>
      <c r="T61" s="595">
        <f ca="1">IF(ISERROR(MATCH(T$1,INDIRECT("Table!A"&amp;$AH61):INDIRECT("Table!" &amp; $AK$63 &amp; $AH61),0)),"",INDIRECT(CONCATENATE("Table!",ADDRESS($AD61,MATCH(T$1,INDIRECT("Table!A" &amp; $AH61):INDIRECT("Table!" &amp; $AK$63 &amp; $AH61),0))))/1024)</f>
        <v>12.5450947265625</v>
      </c>
      <c r="U61" s="272" t="str">
        <f ca="1">IF(ISERROR(MATCH(U$1,INDIRECT("Table!A"&amp;$AH61):INDIRECT("Table!" &amp; $AK$63 &amp; $AH61),0)),"",INDIRECT(CONCATENATE("Table!",ADDRESS($AD61,MATCH(U$1,INDIRECT("Table!A" &amp; $AH61):INDIRECT("Table!" &amp; $AK$63 &amp; $AH61),0))))/1024)</f>
        <v/>
      </c>
      <c r="V61" s="595"/>
      <c r="W61" s="595"/>
      <c r="X61" s="595"/>
      <c r="Y61" s="595"/>
      <c r="Z61" s="595"/>
      <c r="AA61" s="595"/>
      <c r="AB61" s="595"/>
      <c r="AC61" s="595"/>
      <c r="AD61" s="272">
        <f>MATCH($A61,Table!$A:$A,0)+$AF$2-1</f>
        <v>781</v>
      </c>
      <c r="AE61" s="360"/>
      <c r="AF61" s="360"/>
      <c r="AG61" s="360"/>
      <c r="AH61" s="272">
        <f>MATCH($A61,Table!$A:$A,0)+$AJ$2-1</f>
        <v>773</v>
      </c>
      <c r="AI61" s="360"/>
      <c r="AJ61" s="360"/>
      <c r="AK61" s="904" t="s">
        <v>284</v>
      </c>
      <c r="AL61" s="699">
        <f t="shared" ca="1" si="12"/>
        <v>2537.7969316406252</v>
      </c>
      <c r="AM61" s="699">
        <f t="shared" ca="1" si="10"/>
        <v>7.63900781250004</v>
      </c>
    </row>
    <row r="62" spans="1:39" s="267" customFormat="1" x14ac:dyDescent="0.25">
      <c r="A62" s="268">
        <v>41373</v>
      </c>
      <c r="B62" s="272">
        <f ca="1">IF(ISERROR(MATCH(B$1,INDIRECT("Table!A"&amp;$AH62):INDIRECT("Table!" &amp; $AK$86 &amp; $AH62),0)),"",INDIRECT(CONCATENATE("Table!",ADDRESS($AD62,MATCH(B$1,INDIRECT("Table!A" &amp; $AH62):INDIRECT("Table!" &amp; $AK$86 &amp; $AH62),0))))/1024)</f>
        <v>187.748373046875</v>
      </c>
      <c r="C62" s="272">
        <f ca="1">IF(ISERROR(MATCH(C$1,INDIRECT("Table!A"&amp;$AH62):INDIRECT("Table!" &amp; $AK$86 &amp; $AH62),0)),"",INDIRECT(CONCATENATE("Table!",ADDRESS($AD62,MATCH(C$1,INDIRECT("Table!A" &amp; $AH62):INDIRECT("Table!" &amp; $AK$86 &amp; $AH62),0))))/1024)</f>
        <v>87.157127929687491</v>
      </c>
      <c r="D62" s="272">
        <f ca="1">IF(ISERROR(MATCH(D$1,INDIRECT("Table!A"&amp;$AH62):INDIRECT("Table!" &amp; $AK$86 &amp; $AH62),0)),"",INDIRECT(CONCATENATE("Table!",ADDRESS($AD62,MATCH(D$1,INDIRECT("Table!A" &amp; $AH62):INDIRECT("Table!" &amp; $AK$86 &amp; $AH62),0))))/1024)</f>
        <v>88.177857421875004</v>
      </c>
      <c r="E62" s="272">
        <f ca="1">IF(ISERROR(MATCH(E$1,INDIRECT("Table!A"&amp;$AH62):INDIRECT("Table!" &amp; $AK$86 &amp; $AH62),0)),"",INDIRECT(CONCATENATE("Table!",ADDRESS($AD62,MATCH(E$1,INDIRECT("Table!A" &amp; $AH62):INDIRECT("Table!" &amp; $AK$86 &amp; $AH62),0))))/1024)</f>
        <v>271.51404492187498</v>
      </c>
      <c r="F62" s="272">
        <f ca="1">IF(ISERROR(MATCH(F$1,INDIRECT("Table!A"&amp;$AH62):INDIRECT("Table!" &amp; $AK$86 &amp; $AH62),0)),"",INDIRECT(CONCATENATE("Table!",ADDRESS($AD62,MATCH(F$1,INDIRECT("Table!A" &amp; $AH62):INDIRECT("Table!" &amp; $AK$86 &amp; $AH62),0))))/1024)</f>
        <v>246.68726953125</v>
      </c>
      <c r="G62" s="272">
        <f ca="1">IF(ISERROR(MATCH(G$1,INDIRECT("Table!A"&amp;$AH62):INDIRECT("Table!" &amp; $AK$86 &amp; $AH62),0)),"",INDIRECT(CONCATENATE("Table!",ADDRESS($AD62,MATCH(G$1,INDIRECT("Table!A" &amp; $AH62):INDIRECT("Table!" &amp; $AK$86 &amp; $AH62),0))))/1024)</f>
        <v>441.67952929687499</v>
      </c>
      <c r="H62" s="272">
        <f ca="1">IF(ISERROR(MATCH(H$1,INDIRECT("Table!A"&amp;$AH62):INDIRECT("Table!" &amp; $AK$86 &amp; $AH62),0)),"",INDIRECT(CONCATENATE("Table!",ADDRESS($AD62,MATCH(H$1,INDIRECT("Table!A" &amp; $AH62):INDIRECT("Table!" &amp; $AK$86 &amp; $AH62),0))))/1024)</f>
        <v>130.02776660156249</v>
      </c>
      <c r="I62" s="272">
        <f ca="1">IF(ISERROR(MATCH(I$1,INDIRECT("Table!A"&amp;$AH62):INDIRECT("Table!" &amp; $AK$63 &amp; $AH62),0)),"",INDIRECT(CONCATENATE("Table!",ADDRESS($AD62,MATCH(I$1,INDIRECT("Table!A" &amp; $AH62):INDIRECT("Table!" &amp; $AK$63 &amp; $AH62),0))))/1024)</f>
        <v>9.4170527343749999</v>
      </c>
      <c r="J62" s="272" t="str">
        <f ca="1">IF(ISERROR(MATCH(J$1,INDIRECT("Table!A"&amp;$AH62):INDIRECT("Table!" &amp; $AK$63 &amp; $AH62),0)),"",INDIRECT(CONCATENATE("Table!",ADDRESS($AD62,MATCH(J$1,INDIRECT("Table!A" &amp; $AH62):INDIRECT("Table!" &amp; $AK$63 &amp; $AH62),0))))/1024)</f>
        <v/>
      </c>
      <c r="K62" s="272" t="str">
        <f ca="1">IF(ISERROR(MATCH(K$1,INDIRECT("Table!A"&amp;$AH62):INDIRECT("Table!" &amp; $AK$63 &amp; $AH62),0)),"",INDIRECT(CONCATENATE("Table!",ADDRESS($AD62,MATCH(K$1,INDIRECT("Table!A" &amp; $AH62):INDIRECT("Table!" &amp; $AK$63 &amp; $AH62),0))))/1024)</f>
        <v/>
      </c>
      <c r="L62" s="272">
        <f ca="1">IF(ISERROR(MATCH(L$1,INDIRECT("Table!A"&amp;$AH62):INDIRECT("Table!" &amp; $AK$63 &amp; $AH62),0)),"",INDIRECT(CONCATENATE("Table!",ADDRESS($AD62,MATCH(L$1,INDIRECT("Table!A" &amp; $AH62):INDIRECT("Table!" &amp; $AK$63 &amp; $AH62),0))))/1024)</f>
        <v>276.650619140625</v>
      </c>
      <c r="M62" s="272">
        <f ca="1">IF(ISERROR(MATCH(M$1,INDIRECT("Table!A"&amp;$AH62):INDIRECT("Table!" &amp; $AK$63 &amp; $AH62),0)),"",INDIRECT(CONCATENATE("Table!",ADDRESS($AD62,MATCH(M$1,INDIRECT("Table!A" &amp; $AH62):INDIRECT("Table!" &amp; $AK$63 &amp; $AH62),0))))/1024)</f>
        <v>362.91872460937498</v>
      </c>
      <c r="N62" s="272">
        <f ca="1">IF(ISERROR(MATCH(N$1,INDIRECT("Table!A"&amp;$AH62):INDIRECT("Table!" &amp; $AK$63 &amp; $AH62),0)),"",INDIRECT(CONCATENATE("Table!",ADDRESS($AD62,MATCH(N$1,INDIRECT("Table!A" &amp; $AH62):INDIRECT("Table!" &amp; $AK$63 &amp; $AH62),0))))/1024)</f>
        <v>129.03996386718748</v>
      </c>
      <c r="O62" s="272">
        <f ca="1">IF(ISERROR(MATCH(O$1,INDIRECT("Table!A"&amp;$AH62):INDIRECT("Table!" &amp; $AK$63 &amp; $AH62),0)),"",INDIRECT(CONCATENATE("Table!",ADDRESS($AD62,MATCH(O$1,INDIRECT("Table!A" &amp; $AH62):INDIRECT("Table!" &amp; $AK$63 &amp; $AH62),0))))/1024)</f>
        <v>235.65680566406249</v>
      </c>
      <c r="P62" s="272">
        <f ca="1">IF(ISERROR(MATCH(P$1,INDIRECT("Table!A"&amp;$AH62):INDIRECT("Table!" &amp; $AK$63 &amp; $AH62),0)),"",INDIRECT(CONCATENATE("Table!",ADDRESS($AD62,MATCH(P$1,INDIRECT("Table!A" &amp; $AH62):INDIRECT("Table!" &amp; $AK$63 &amp; $AH62),0))))/1024)</f>
        <v>26.604820312499999</v>
      </c>
      <c r="Q62" s="272" t="str">
        <f ca="1">IF(ISERROR(MATCH(Q$1,INDIRECT("Table!A"&amp;$AH62):INDIRECT("Table!" &amp; $AK$63 &amp; $AH62),0)),"",INDIRECT(CONCATENATE("Table!",ADDRESS($AD62,MATCH(Q$1,INDIRECT("Table!A" &amp; $AH62):INDIRECT("Table!" &amp; $AK$63 &amp; $AH62),0))))/1024)</f>
        <v/>
      </c>
      <c r="R62" s="272" t="str">
        <f ca="1">IF(ISERROR(MATCH(R$1,INDIRECT("Table!A"&amp;$AH62):INDIRECT("Table!" &amp; $AK$63 &amp; $AH62),0)),"",INDIRECT(CONCATENATE("Table!",ADDRESS($AD62,MATCH(R$1,INDIRECT("Table!A" &amp; $AH62):INDIRECT("Table!" &amp; $AK$63 &amp; $AH62),0))))/1024)</f>
        <v/>
      </c>
      <c r="S62" s="595">
        <f ca="1">IF(ISERROR(MATCH(S$1,INDIRECT("Table!A"&amp;$AH62):INDIRECT("Table!" &amp; $AK$63 &amp; $AH62),0)),"",INDIRECT(CONCATENATE("Table!",ADDRESS($AD62,MATCH(S$1,INDIRECT("Table!A" &amp; $AH62):INDIRECT("Table!" &amp; $AK$63 &amp; $AH62),0))))/1024)</f>
        <v>24.332874023437498</v>
      </c>
      <c r="T62" s="595">
        <f ca="1">IF(ISERROR(MATCH(T$1,INDIRECT("Table!A"&amp;$AH62):INDIRECT("Table!" &amp; $AK$63 &amp; $AH62),0)),"",INDIRECT(CONCATENATE("Table!",ADDRESS($AD62,MATCH(T$1,INDIRECT("Table!A" &amp; $AH62):INDIRECT("Table!" &amp; $AK$63 &amp; $AH62),0))))/1024)</f>
        <v>12.5450947265625</v>
      </c>
      <c r="U62" s="272" t="str">
        <f ca="1">IF(ISERROR(MATCH(U$1,INDIRECT("Table!A"&amp;$AH62):INDIRECT("Table!" &amp; $AK$63 &amp; $AH62),0)),"",INDIRECT(CONCATENATE("Table!",ADDRESS($AD62,MATCH(U$1,INDIRECT("Table!A" &amp; $AH62):INDIRECT("Table!" &amp; $AK$63 &amp; $AH62),0))))/1024)</f>
        <v/>
      </c>
      <c r="V62" s="595"/>
      <c r="W62" s="595"/>
      <c r="X62" s="595"/>
      <c r="Y62" s="595"/>
      <c r="Z62" s="595"/>
      <c r="AA62" s="595"/>
      <c r="AB62" s="595"/>
      <c r="AC62" s="595"/>
      <c r="AD62" s="272">
        <f>MATCH($A62,Table!$A:$A,0)+$AF$2-1</f>
        <v>793</v>
      </c>
      <c r="AE62" s="359"/>
      <c r="AF62" s="359"/>
      <c r="AG62" s="359"/>
      <c r="AH62" s="272">
        <f>MATCH($A62,Table!$A:$A,0)+$AJ$2-1</f>
        <v>785</v>
      </c>
      <c r="AI62" s="359"/>
      <c r="AJ62" s="359"/>
      <c r="AK62" s="904" t="s">
        <v>284</v>
      </c>
      <c r="AL62" s="699">
        <f t="shared" ca="1" si="12"/>
        <v>2530.1579238281251</v>
      </c>
      <c r="AM62" s="699">
        <f t="shared" ca="1" si="10"/>
        <v>12.117046875000597</v>
      </c>
    </row>
    <row r="63" spans="1:39" x14ac:dyDescent="0.25">
      <c r="A63" s="4">
        <v>41361</v>
      </c>
      <c r="B63" s="22">
        <f ca="1">IF(ISERROR(MATCH(B$1,INDIRECT("Table!A"&amp;$AH63):INDIRECT("Table!" &amp; $AK$86 &amp; $AH63),0)),"",INDIRECT(CONCATENATE("Table!",ADDRESS($AD63,MATCH(B$1,INDIRECT("Table!A" &amp; $AH63):INDIRECT("Table!" &amp; $AK$86 &amp; $AH63),0))))/1024)</f>
        <v>187.748373046875</v>
      </c>
      <c r="C63" s="22">
        <f ca="1">IF(ISERROR(MATCH(C$1,INDIRECT("Table!A"&amp;$AH63):INDIRECT("Table!" &amp; $AK$86 &amp; $AH63),0)),"",INDIRECT(CONCATENATE("Table!",ADDRESS($AD63,MATCH(C$1,INDIRECT("Table!A" &amp; $AH63):INDIRECT("Table!" &amp; $AK$86 &amp; $AH63),0))))/1024)</f>
        <v>87.157127929687491</v>
      </c>
      <c r="D63" s="22">
        <f ca="1">IF(ISERROR(MATCH(D$1,INDIRECT("Table!A"&amp;$AH63):INDIRECT("Table!" &amp; $AK$86 &amp; $AH63),0)),"",INDIRECT(CONCATENATE("Table!",ADDRESS($AD63,MATCH(D$1,INDIRECT("Table!A" &amp; $AH63):INDIRECT("Table!" &amp; $AK$86 &amp; $AH63),0))))/1024)</f>
        <v>88.177857421875004</v>
      </c>
      <c r="E63" s="22">
        <f ca="1">IF(ISERROR(MATCH(E$1,INDIRECT("Table!A"&amp;$AH63):INDIRECT("Table!" &amp; $AK$86 &amp; $AH63),0)),"",INDIRECT(CONCATENATE("Table!",ADDRESS($AD63,MATCH(E$1,INDIRECT("Table!A" &amp; $AH63):INDIRECT("Table!" &amp; $AK$86 &amp; $AH63),0))))/1024)</f>
        <v>271.51404492187498</v>
      </c>
      <c r="F63" s="22">
        <f ca="1">IF(ISERROR(MATCH(F$1,INDIRECT("Table!A"&amp;$AH63):INDIRECT("Table!" &amp; $AK$86 &amp; $AH63),0)),"",INDIRECT(CONCATENATE("Table!",ADDRESS($AD63,MATCH(F$1,INDIRECT("Table!A" &amp; $AH63):INDIRECT("Table!" &amp; $AK$86 &amp; $AH63),0))))/1024)</f>
        <v>244.71166406249998</v>
      </c>
      <c r="G63" s="22">
        <f ca="1">IF(ISERROR(MATCH(G$1,INDIRECT("Table!A"&amp;$AH63):INDIRECT("Table!" &amp; $AK$86 &amp; $AH63),0)),"",INDIRECT(CONCATENATE("Table!",ADDRESS($AD63,MATCH(G$1,INDIRECT("Table!A" &amp; $AH63):INDIRECT("Table!" &amp; $AK$86 &amp; $AH63),0))))/1024)</f>
        <v>441.67952929687499</v>
      </c>
      <c r="H63" s="22">
        <f ca="1">IF(ISERROR(MATCH(H$1,INDIRECT("Table!A"&amp;$AH63):INDIRECT("Table!" &amp; $AK$86 &amp; $AH63),0)),"",INDIRECT(CONCATENATE("Table!",ADDRESS($AD63,MATCH(H$1,INDIRECT("Table!A" &amp; $AH63):INDIRECT("Table!" &amp; $AK$86 &amp; $AH63),0))))/1024)</f>
        <v>125.38509374999998</v>
      </c>
      <c r="I63" s="272">
        <f ca="1">IF(ISERROR(MATCH(I$1,INDIRECT("Table!A"&amp;$AH63):INDIRECT("Table!" &amp; $AK$63 &amp; $AH63),0)),"",INDIRECT(CONCATENATE("Table!",ADDRESS($AD63,MATCH(I$1,INDIRECT("Table!A" &amp; $AH63):INDIRECT("Table!" &amp; $AK$63 &amp; $AH63),0))))/1024)</f>
        <v>9.4170527343749999</v>
      </c>
      <c r="J63" s="272" t="str">
        <f ca="1">IF(ISERROR(MATCH(J$1,INDIRECT("Table!A"&amp;$AH63):INDIRECT("Table!" &amp; $AK$63 &amp; $AH63),0)),"",INDIRECT(CONCATENATE("Table!",ADDRESS($AD63,MATCH(J$1,INDIRECT("Table!A" &amp; $AH63):INDIRECT("Table!" &amp; $AK$63 &amp; $AH63),0))))/1024)</f>
        <v/>
      </c>
      <c r="K63" s="272" t="str">
        <f ca="1">IF(ISERROR(MATCH(K$1,INDIRECT("Table!A"&amp;$AH63):INDIRECT("Table!" &amp; $AK$63 &amp; $AH63),0)),"",INDIRECT(CONCATENATE("Table!",ADDRESS($AD63,MATCH(K$1,INDIRECT("Table!A" &amp; $AH63):INDIRECT("Table!" &amp; $AK$63 &amp; $AH63),0))))/1024)</f>
        <v/>
      </c>
      <c r="L63" s="22">
        <f ca="1">IF(ISERROR(MATCH(L$1,INDIRECT("Table!A"&amp;$AH63):INDIRECT("Table!" &amp; $AK$63 &amp; $AH63),0)),"",INDIRECT(CONCATENATE("Table!",ADDRESS($AD63,MATCH(L$1,INDIRECT("Table!A" &amp; $AH63):INDIRECT("Table!" &amp; $AK$63 &amp; $AH63),0))))/1024)</f>
        <v>276.650619140625</v>
      </c>
      <c r="M63" s="22">
        <f ca="1">IF(ISERROR(MATCH(M$1,INDIRECT("Table!A"&amp;$AH63):INDIRECT("Table!" &amp; $AK$63 &amp; $AH63),0)),"",INDIRECT(CONCATENATE("Table!",ADDRESS($AD63,MATCH(M$1,INDIRECT("Table!A" &amp; $AH63):INDIRECT("Table!" &amp; $AK$63 &amp; $AH63),0))))/1024)</f>
        <v>362.91872460937498</v>
      </c>
      <c r="N63" s="22">
        <f ca="1">IF(ISERROR(MATCH(N$1,INDIRECT("Table!A"&amp;$AH63):INDIRECT("Table!" &amp; $AK$63 &amp; $AH63),0)),"",INDIRECT(CONCATENATE("Table!",ADDRESS($AD63,MATCH(N$1,INDIRECT("Table!A" &amp; $AH63):INDIRECT("Table!" &amp; $AK$63 &amp; $AH63),0))))/1024)</f>
        <v>127.95338085937499</v>
      </c>
      <c r="O63" s="22">
        <f ca="1">IF(ISERROR(MATCH(O$1,INDIRECT("Table!A"&amp;$AH63):INDIRECT("Table!" &amp; $AK$63 &amp; $AH63),0)),"",INDIRECT(CONCATENATE("Table!",ADDRESS($AD63,MATCH(O$1,INDIRECT("Table!A" &amp; $AH63):INDIRECT("Table!" &amp; $AK$63 &amp; $AH63),0))))/1024)</f>
        <v>233.97754101562498</v>
      </c>
      <c r="P63" s="272">
        <f ca="1">IF(ISERROR(MATCH(P$1,INDIRECT("Table!A"&amp;$AH63):INDIRECT("Table!" &amp; $AK$63 &amp; $AH63),0)),"",INDIRECT(CONCATENATE("Table!",ADDRESS($AD63,MATCH(P$1,INDIRECT("Table!A" &amp; $AH63):INDIRECT("Table!" &amp; $AK$63 &amp; $AH63),0))))/1024)</f>
        <v>23.871899414062501</v>
      </c>
      <c r="Q63" s="272" t="str">
        <f ca="1">IF(ISERROR(MATCH(Q$1,INDIRECT("Table!A"&amp;$AH63):INDIRECT("Table!" &amp; $AK$63 &amp; $AH63),0)),"",INDIRECT(CONCATENATE("Table!",ADDRESS($AD63,MATCH(Q$1,INDIRECT("Table!A" &amp; $AH63):INDIRECT("Table!" &amp; $AK$63 &amp; $AH63),0))))/1024)</f>
        <v/>
      </c>
      <c r="R63" s="272" t="str">
        <f ca="1">IF(ISERROR(MATCH(R$1,INDIRECT("Table!A"&amp;$AH63):INDIRECT("Table!" &amp; $AK$63 &amp; $AH63),0)),"",INDIRECT(CONCATENATE("Table!",ADDRESS($AD63,MATCH(R$1,INDIRECT("Table!A" &amp; $AH63):INDIRECT("Table!" &amp; $AK$63 &amp; $AH63),0))))/1024)</f>
        <v/>
      </c>
      <c r="S63" s="595">
        <f ca="1">IF(ISERROR(MATCH(S$1,INDIRECT("Table!A"&amp;$AH63):INDIRECT("Table!" &amp; $AK$63 &amp; $AH63),0)),"",INDIRECT(CONCATENATE("Table!",ADDRESS($AD63,MATCH(S$1,INDIRECT("Table!A" &amp; $AH63):INDIRECT("Table!" &amp; $AK$63 &amp; $AH63),0))))/1024)</f>
        <v>24.332874023437498</v>
      </c>
      <c r="T63" s="595">
        <f ca="1">IF(ISERROR(MATCH(T$1,INDIRECT("Table!A"&amp;$AH63):INDIRECT("Table!" &amp; $AK$63 &amp; $AH63),0)),"",INDIRECT(CONCATENATE("Table!",ADDRESS($AD63,MATCH(T$1,INDIRECT("Table!A" &amp; $AH63):INDIRECT("Table!" &amp; $AK$63 &amp; $AH63),0))))/1024)</f>
        <v>12.5450947265625</v>
      </c>
      <c r="U63" s="272" t="str">
        <f ca="1">IF(ISERROR(MATCH(U$1,INDIRECT("Table!A"&amp;$AH63):INDIRECT("Table!" &amp; $AK$63 &amp; $AH63),0)),"",INDIRECT(CONCATENATE("Table!",ADDRESS($AD63,MATCH(U$1,INDIRECT("Table!A" &amp; $AH63):INDIRECT("Table!" &amp; $AK$63 &amp; $AH63),0))))/1024)</f>
        <v/>
      </c>
      <c r="V63" s="595"/>
      <c r="W63" s="595"/>
      <c r="X63" s="595"/>
      <c r="Y63" s="595"/>
      <c r="Z63" s="595"/>
      <c r="AA63" s="595"/>
      <c r="AB63" s="595"/>
      <c r="AC63" s="595"/>
      <c r="AD63" s="22">
        <f>MATCH($A63,Table!$A:$A,0)+$AF$2-1</f>
        <v>805</v>
      </c>
      <c r="AE63" s="253"/>
      <c r="AF63" s="253"/>
      <c r="AG63" s="253"/>
      <c r="AH63" s="22">
        <f>MATCH($A63,Table!$A:$A,0)+$AJ$2-1</f>
        <v>797</v>
      </c>
      <c r="AI63" s="253"/>
      <c r="AJ63" s="253"/>
      <c r="AK63" s="904" t="s">
        <v>284</v>
      </c>
      <c r="AL63" s="699">
        <f t="shared" ca="1" si="12"/>
        <v>2518.0408769531246</v>
      </c>
      <c r="AM63" s="699">
        <f t="shared" ca="1" si="10"/>
        <v>22.390195312500055</v>
      </c>
    </row>
    <row r="64" spans="1:39" s="267" customFormat="1" x14ac:dyDescent="0.25">
      <c r="A64" s="268">
        <v>41359</v>
      </c>
      <c r="B64" s="272">
        <f ca="1">IF(ISERROR(MATCH(B$1,INDIRECT("Table!A"&amp;$AH64):INDIRECT("Table!" &amp; $AK$86 &amp; $AH64),0)),"",INDIRECT(CONCATENATE("Table!",ADDRESS($AD64,MATCH(B$1,INDIRECT("Table!A" &amp; $AH64):INDIRECT("Table!" &amp; $AK$86 &amp; $AH64),0))))/1024)</f>
        <v>187.748373046875</v>
      </c>
      <c r="C64" s="272">
        <f ca="1">IF(ISERROR(MATCH(C$1,INDIRECT("Table!A"&amp;$AH64):INDIRECT("Table!" &amp; $AK$86 &amp; $AH64),0)),"",INDIRECT(CONCATENATE("Table!",ADDRESS($AD64,MATCH(C$1,INDIRECT("Table!A" &amp; $AH64):INDIRECT("Table!" &amp; $AK$86 &amp; $AH64),0))))/1024)</f>
        <v>87.157127929687491</v>
      </c>
      <c r="D64" s="272">
        <f ca="1">IF(ISERROR(MATCH(D$1,INDIRECT("Table!A"&amp;$AH64):INDIRECT("Table!" &amp; $AK$86 &amp; $AH64),0)),"",INDIRECT(CONCATENATE("Table!",ADDRESS($AD64,MATCH(D$1,INDIRECT("Table!A" &amp; $AH64):INDIRECT("Table!" &amp; $AK$86 &amp; $AH64),0))))/1024)</f>
        <v>88.177857421875004</v>
      </c>
      <c r="E64" s="272">
        <f ca="1">IF(ISERROR(MATCH(E$1,INDIRECT("Table!A"&amp;$AH64):INDIRECT("Table!" &amp; $AK$86 &amp; $AH64),0)),"",INDIRECT(CONCATENATE("Table!",ADDRESS($AD64,MATCH(E$1,INDIRECT("Table!A" &amp; $AH64):INDIRECT("Table!" &amp; $AK$86 &amp; $AH64),0))))/1024)</f>
        <v>271.51404492187498</v>
      </c>
      <c r="F64" s="272">
        <f ca="1">IF(ISERROR(MATCH(F$1,INDIRECT("Table!A"&amp;$AH64):INDIRECT("Table!" &amp; $AK$86 &amp; $AH64),0)),"",INDIRECT(CONCATENATE("Table!",ADDRESS($AD64,MATCH(F$1,INDIRECT("Table!A" &amp; $AH64):INDIRECT("Table!" &amp; $AK$86 &amp; $AH64),0))))/1024)</f>
        <v>240.562892578125</v>
      </c>
      <c r="G64" s="272">
        <f ca="1">IF(ISERROR(MATCH(G$1,INDIRECT("Table!A"&amp;$AH64):INDIRECT("Table!" &amp; $AK$86 &amp; $AH64),0)),"",INDIRECT(CONCATENATE("Table!",ADDRESS($AD64,MATCH(G$1,INDIRECT("Table!A" &amp; $AH64):INDIRECT("Table!" &amp; $AK$86 &amp; $AH64),0))))/1024)</f>
        <v>441.67952929687499</v>
      </c>
      <c r="H64" s="272">
        <f ca="1">IF(ISERROR(MATCH(H$1,INDIRECT("Table!A"&amp;$AH64):INDIRECT("Table!" &amp; $AK$86 &amp; $AH64),0)),"",INDIRECT(CONCATENATE("Table!",ADDRESS($AD64,MATCH(H$1,INDIRECT("Table!A" &amp; $AH64):INDIRECT("Table!" &amp; $AK$86 &amp; $AH64),0))))/1024)</f>
        <v>125.38509374999998</v>
      </c>
      <c r="I64" s="272">
        <f ca="1">IF(ISERROR(MATCH(I$1,INDIRECT("Table!A"&amp;$AH64):INDIRECT("Table!" &amp; $AK$63 &amp; $AH64),0)),"",INDIRECT(CONCATENATE("Table!",ADDRESS($AD64,MATCH(I$1,INDIRECT("Table!A" &amp; $AH64):INDIRECT("Table!" &amp; $AK$63 &amp; $AH64),0))))/1024)</f>
        <v>9.4170527343749999</v>
      </c>
      <c r="J64" s="272" t="str">
        <f ca="1">IF(ISERROR(MATCH(J$1,INDIRECT("Table!A"&amp;$AH64):INDIRECT("Table!" &amp; $AK$63 &amp; $AH64),0)),"",INDIRECT(CONCATENATE("Table!",ADDRESS($AD64,MATCH(J$1,INDIRECT("Table!A" &amp; $AH64):INDIRECT("Table!" &amp; $AK$63 &amp; $AH64),0))))/1024)</f>
        <v/>
      </c>
      <c r="K64" s="272" t="str">
        <f ca="1">IF(ISERROR(MATCH(K$1,INDIRECT("Table!A"&amp;$AH64):INDIRECT("Table!" &amp; $AK$63 &amp; $AH64),0)),"",INDIRECT(CONCATENATE("Table!",ADDRESS($AD64,MATCH(K$1,INDIRECT("Table!A" &amp; $AH64):INDIRECT("Table!" &amp; $AK$63 &amp; $AH64),0))))/1024)</f>
        <v/>
      </c>
      <c r="L64" s="272">
        <f ca="1">IF(ISERROR(MATCH(L$1,INDIRECT("Table!A"&amp;$AH64):INDIRECT("Table!" &amp; $AK$63 &amp; $AH64),0)),"",INDIRECT(CONCATENATE("Table!",ADDRESS($AD64,MATCH(L$1,INDIRECT("Table!A" &amp; $AH64):INDIRECT("Table!" &amp; $AK$63 &amp; $AH64),0))))/1024)</f>
        <v>276.650619140625</v>
      </c>
      <c r="M64" s="272">
        <f ca="1">IF(ISERROR(MATCH(M$1,INDIRECT("Table!A"&amp;$AH64):INDIRECT("Table!" &amp; $AK$63 &amp; $AH64),0)),"",INDIRECT(CONCATENATE("Table!",ADDRESS($AD64,MATCH(M$1,INDIRECT("Table!A" &amp; $AH64):INDIRECT("Table!" &amp; $AK$63 &amp; $AH64),0))))/1024)</f>
        <v>347.113880859375</v>
      </c>
      <c r="N64" s="272">
        <f ca="1">IF(ISERROR(MATCH(N$1,INDIRECT("Table!A"&amp;$AH64):INDIRECT("Table!" &amp; $AK$63 &amp; $AH64),0)),"",INDIRECT(CONCATENATE("Table!",ADDRESS($AD64,MATCH(N$1,INDIRECT("Table!A" &amp; $AH64):INDIRECT("Table!" &amp; $AK$63 &amp; $AH64),0))))/1024)</f>
        <v>125.51680078125</v>
      </c>
      <c r="O64" s="272">
        <f ca="1">IF(ISERROR(MATCH(O$1,INDIRECT("Table!A"&amp;$AH64):INDIRECT("Table!" &amp; $AK$63 &amp; $AH64),0)),"",INDIRECT(CONCATENATE("Table!",ADDRESS($AD64,MATCH(O$1,INDIRECT("Table!A" &amp; $AH64):INDIRECT("Table!" &amp; $AK$63 &amp; $AH64),0))))/1024)</f>
        <v>233.97754101562498</v>
      </c>
      <c r="P64" s="272">
        <f ca="1">IF(ISERROR(MATCH(P$1,INDIRECT("Table!A"&amp;$AH64):INDIRECT("Table!" &amp; $AK$63 &amp; $AH64),0)),"",INDIRECT(CONCATENATE("Table!",ADDRESS($AD64,MATCH(P$1,INDIRECT("Table!A" &amp; $AH64):INDIRECT("Table!" &amp; $AK$63 &amp; $AH64),0))))/1024)</f>
        <v>23.871899414062501</v>
      </c>
      <c r="Q64" s="272" t="str">
        <f ca="1">IF(ISERROR(MATCH(Q$1,INDIRECT("Table!A"&amp;$AH64):INDIRECT("Table!" &amp; $AK$63 &amp; $AH64),0)),"",INDIRECT(CONCATENATE("Table!",ADDRESS($AD64,MATCH(Q$1,INDIRECT("Table!A" &amp; $AH64):INDIRECT("Table!" &amp; $AK$63 &amp; $AH64),0))))/1024)</f>
        <v/>
      </c>
      <c r="R64" s="272" t="str">
        <f ca="1">IF(ISERROR(MATCH(R$1,INDIRECT("Table!A"&amp;$AH64):INDIRECT("Table!" &amp; $AK$63 &amp; $AH64),0)),"",INDIRECT(CONCATENATE("Table!",ADDRESS($AD64,MATCH(R$1,INDIRECT("Table!A" &amp; $AH64):INDIRECT("Table!" &amp; $AK$63 &amp; $AH64),0))))/1024)</f>
        <v/>
      </c>
      <c r="S64" s="595">
        <f ca="1">IF(ISERROR(MATCH(S$1,INDIRECT("Table!A"&amp;$AH64):INDIRECT("Table!" &amp; $AK$63 &amp; $AH64),0)),"",INDIRECT(CONCATENATE("Table!",ADDRESS($AD64,MATCH(S$1,INDIRECT("Table!A" &amp; $AH64):INDIRECT("Table!" &amp; $AK$63 &amp; $AH64),0))))/1024)</f>
        <v>24.332874023437498</v>
      </c>
      <c r="T64" s="595">
        <f ca="1">IF(ISERROR(MATCH(T$1,INDIRECT("Table!A"&amp;$AH64):INDIRECT("Table!" &amp; $AK$63 &amp; $AH64),0)),"",INDIRECT(CONCATENATE("Table!",ADDRESS($AD64,MATCH(T$1,INDIRECT("Table!A" &amp; $AH64):INDIRECT("Table!" &amp; $AK$63 &amp; $AH64),0))))/1024)</f>
        <v>12.5450947265625</v>
      </c>
      <c r="U64" s="272" t="str">
        <f ca="1">IF(ISERROR(MATCH(U$1,INDIRECT("Table!A"&amp;$AH64):INDIRECT("Table!" &amp; $AK$63 &amp; $AH64),0)),"",INDIRECT(CONCATENATE("Table!",ADDRESS($AD64,MATCH(U$1,INDIRECT("Table!A" &amp; $AH64):INDIRECT("Table!" &amp; $AK$63 &amp; $AH64),0))))/1024)</f>
        <v/>
      </c>
      <c r="V64" s="595"/>
      <c r="W64" s="595"/>
      <c r="X64" s="595"/>
      <c r="Y64" s="595"/>
      <c r="Z64" s="595"/>
      <c r="AA64" s="595"/>
      <c r="AB64" s="595"/>
      <c r="AC64" s="595"/>
      <c r="AD64" s="272">
        <f>MATCH($A64,Table!$A:$A,0)+$AF$2-1</f>
        <v>817</v>
      </c>
      <c r="AE64" s="356"/>
      <c r="AF64" s="356"/>
      <c r="AG64" s="356"/>
      <c r="AH64" s="272">
        <f>MATCH($A64,Table!$A:$A,0)+$AJ$2-1</f>
        <v>809</v>
      </c>
      <c r="AI64" s="356"/>
      <c r="AJ64" s="356"/>
      <c r="AK64" s="904" t="s">
        <v>284</v>
      </c>
      <c r="AL64" s="699">
        <f t="shared" ca="1" si="12"/>
        <v>2495.6506816406245</v>
      </c>
      <c r="AM64" s="699">
        <f t="shared" ca="1" si="10"/>
        <v>0</v>
      </c>
    </row>
    <row r="65" spans="1:39" s="267" customFormat="1" x14ac:dyDescent="0.25">
      <c r="A65" s="268">
        <v>41355</v>
      </c>
      <c r="B65" s="272">
        <f ca="1">IF(ISERROR(MATCH(B$1,INDIRECT("Table!A"&amp;$AH65):INDIRECT("Table!" &amp; $AK$86 &amp; $AH65),0)),"",INDIRECT(CONCATENATE("Table!",ADDRESS($AD65,MATCH(B$1,INDIRECT("Table!A" &amp; $AH65):INDIRECT("Table!" &amp; $AK$86 &amp; $AH65),0))))/1024)</f>
        <v>187.748373046875</v>
      </c>
      <c r="C65" s="272">
        <f ca="1">IF(ISERROR(MATCH(C$1,INDIRECT("Table!A"&amp;$AH65):INDIRECT("Table!" &amp; $AK$86 &amp; $AH65),0)),"",INDIRECT(CONCATENATE("Table!",ADDRESS($AD65,MATCH(C$1,INDIRECT("Table!A" &amp; $AH65):INDIRECT("Table!" &amp; $AK$86 &amp; $AH65),0))))/1024)</f>
        <v>87.157127929687491</v>
      </c>
      <c r="D65" s="272">
        <f ca="1">IF(ISERROR(MATCH(D$1,INDIRECT("Table!A"&amp;$AH65):INDIRECT("Table!" &amp; $AK$86 &amp; $AH65),0)),"",INDIRECT(CONCATENATE("Table!",ADDRESS($AD65,MATCH(D$1,INDIRECT("Table!A" &amp; $AH65):INDIRECT("Table!" &amp; $AK$86 &amp; $AH65),0))))/1024)</f>
        <v>88.177857421875004</v>
      </c>
      <c r="E65" s="272">
        <f ca="1">IF(ISERROR(MATCH(E$1,INDIRECT("Table!A"&amp;$AH65):INDIRECT("Table!" &amp; $AK$86 &amp; $AH65),0)),"",INDIRECT(CONCATENATE("Table!",ADDRESS($AD65,MATCH(E$1,INDIRECT("Table!A" &amp; $AH65):INDIRECT("Table!" &amp; $AK$86 &amp; $AH65),0))))/1024)</f>
        <v>271.51404492187498</v>
      </c>
      <c r="F65" s="272">
        <f ca="1">IF(ISERROR(MATCH(F$1,INDIRECT("Table!A"&amp;$AH65):INDIRECT("Table!" &amp; $AK$86 &amp; $AH65),0)),"",INDIRECT(CONCATENATE("Table!",ADDRESS($AD65,MATCH(F$1,INDIRECT("Table!A" &amp; $AH65):INDIRECT("Table!" &amp; $AK$86 &amp; $AH65),0))))/1024)</f>
        <v>240.562892578125</v>
      </c>
      <c r="G65" s="272">
        <f ca="1">IF(ISERROR(MATCH(G$1,INDIRECT("Table!A"&amp;$AH65):INDIRECT("Table!" &amp; $AK$86 &amp; $AH65),0)),"",INDIRECT(CONCATENATE("Table!",ADDRESS($AD65,MATCH(G$1,INDIRECT("Table!A" &amp; $AH65):INDIRECT("Table!" &amp; $AK$86 &amp; $AH65),0))))/1024)</f>
        <v>441.67952929687499</v>
      </c>
      <c r="H65" s="272">
        <f ca="1">IF(ISERROR(MATCH(H$1,INDIRECT("Table!A"&amp;$AH65):INDIRECT("Table!" &amp; $AK$86 &amp; $AH65),0)),"",INDIRECT(CONCATENATE("Table!",ADDRESS($AD65,MATCH(H$1,INDIRECT("Table!A" &amp; $AH65):INDIRECT("Table!" &amp; $AK$86 &amp; $AH65),0))))/1024)</f>
        <v>125.38509374999998</v>
      </c>
      <c r="I65" s="272">
        <f ca="1">IF(ISERROR(MATCH(I$1,INDIRECT("Table!A"&amp;$AH65):INDIRECT("Table!" &amp; $AK$63 &amp; $AH65),0)),"",INDIRECT(CONCATENATE("Table!",ADDRESS($AD65,MATCH(I$1,INDIRECT("Table!A" &amp; $AH65):INDIRECT("Table!" &amp; $AK$63 &amp; $AH65),0))))/1024)</f>
        <v>9.4170527343749999</v>
      </c>
      <c r="J65" s="272" t="str">
        <f ca="1">IF(ISERROR(MATCH(J$1,INDIRECT("Table!A"&amp;$AH65):INDIRECT("Table!" &amp; $AK$63 &amp; $AH65),0)),"",INDIRECT(CONCATENATE("Table!",ADDRESS($AD65,MATCH(J$1,INDIRECT("Table!A" &amp; $AH65):INDIRECT("Table!" &amp; $AK$63 &amp; $AH65),0))))/1024)</f>
        <v/>
      </c>
      <c r="K65" s="272" t="str">
        <f ca="1">IF(ISERROR(MATCH(K$1,INDIRECT("Table!A"&amp;$AH65):INDIRECT("Table!" &amp; $AK$63 &amp; $AH65),0)),"",INDIRECT(CONCATENATE("Table!",ADDRESS($AD65,MATCH(K$1,INDIRECT("Table!A" &amp; $AH65):INDIRECT("Table!" &amp; $AK$63 &amp; $AH65),0))))/1024)</f>
        <v/>
      </c>
      <c r="L65" s="272">
        <f ca="1">IF(ISERROR(MATCH(L$1,INDIRECT("Table!A"&amp;$AH65):INDIRECT("Table!" &amp; $AK$63 &amp; $AH65),0)),"",INDIRECT(CONCATENATE("Table!",ADDRESS($AD65,MATCH(L$1,INDIRECT("Table!A" &amp; $AH65):INDIRECT("Table!" &amp; $AK$63 &amp; $AH65),0))))/1024)</f>
        <v>276.650619140625</v>
      </c>
      <c r="M65" s="272">
        <f ca="1">IF(ISERROR(MATCH(M$1,INDIRECT("Table!A"&amp;$AH65):INDIRECT("Table!" &amp; $AK$63 &amp; $AH65),0)),"",INDIRECT(CONCATENATE("Table!",ADDRESS($AD65,MATCH(M$1,INDIRECT("Table!A" &amp; $AH65):INDIRECT("Table!" &amp; $AK$63 &amp; $AH65),0))))/1024)</f>
        <v>347.113880859375</v>
      </c>
      <c r="N65" s="272">
        <f ca="1">IF(ISERROR(MATCH(N$1,INDIRECT("Table!A"&amp;$AH65):INDIRECT("Table!" &amp; $AK$63 &amp; $AH65),0)),"",INDIRECT(CONCATENATE("Table!",ADDRESS($AD65,MATCH(N$1,INDIRECT("Table!A" &amp; $AH65):INDIRECT("Table!" &amp; $AK$63 &amp; $AH65),0))))/1024)</f>
        <v>125.51680078125</v>
      </c>
      <c r="O65" s="272">
        <f ca="1">IF(ISERROR(MATCH(O$1,INDIRECT("Table!A"&amp;$AH65):INDIRECT("Table!" &amp; $AK$63 &amp; $AH65),0)),"",INDIRECT(CONCATENATE("Table!",ADDRESS($AD65,MATCH(O$1,INDIRECT("Table!A" &amp; $AH65):INDIRECT("Table!" &amp; $AK$63 &amp; $AH65),0))))/1024)</f>
        <v>233.97754101562498</v>
      </c>
      <c r="P65" s="272">
        <f ca="1">IF(ISERROR(MATCH(P$1,INDIRECT("Table!A"&amp;$AH65):INDIRECT("Table!" &amp; $AK$63 &amp; $AH65),0)),"",INDIRECT(CONCATENATE("Table!",ADDRESS($AD65,MATCH(P$1,INDIRECT("Table!A" &amp; $AH65):INDIRECT("Table!" &amp; $AK$63 &amp; $AH65),0))))/1024)</f>
        <v>23.871899414062501</v>
      </c>
      <c r="Q65" s="272" t="str">
        <f ca="1">IF(ISERROR(MATCH(Q$1,INDIRECT("Table!A"&amp;$AH65):INDIRECT("Table!" &amp; $AK$63 &amp; $AH65),0)),"",INDIRECT(CONCATENATE("Table!",ADDRESS($AD65,MATCH(Q$1,INDIRECT("Table!A" &amp; $AH65):INDIRECT("Table!" &amp; $AK$63 &amp; $AH65),0))))/1024)</f>
        <v/>
      </c>
      <c r="R65" s="272" t="str">
        <f ca="1">IF(ISERROR(MATCH(R$1,INDIRECT("Table!A"&amp;$AH65):INDIRECT("Table!" &amp; $AK$63 &amp; $AH65),0)),"",INDIRECT(CONCATENATE("Table!",ADDRESS($AD65,MATCH(R$1,INDIRECT("Table!A" &amp; $AH65):INDIRECT("Table!" &amp; $AK$63 &amp; $AH65),0))))/1024)</f>
        <v/>
      </c>
      <c r="S65" s="595">
        <f ca="1">IF(ISERROR(MATCH(S$1,INDIRECT("Table!A"&amp;$AH65):INDIRECT("Table!" &amp; $AK$63 &amp; $AH65),0)),"",INDIRECT(CONCATENATE("Table!",ADDRESS($AD65,MATCH(S$1,INDIRECT("Table!A" &amp; $AH65):INDIRECT("Table!" &amp; $AK$63 &amp; $AH65),0))))/1024)</f>
        <v>24.332874023437498</v>
      </c>
      <c r="T65" s="595">
        <f ca="1">IF(ISERROR(MATCH(T$1,INDIRECT("Table!A"&amp;$AH65):INDIRECT("Table!" &amp; $AK$63 &amp; $AH65),0)),"",INDIRECT(CONCATENATE("Table!",ADDRESS($AD65,MATCH(T$1,INDIRECT("Table!A" &amp; $AH65):INDIRECT("Table!" &amp; $AK$63 &amp; $AH65),0))))/1024)</f>
        <v>12.5450947265625</v>
      </c>
      <c r="U65" s="272" t="str">
        <f ca="1">IF(ISERROR(MATCH(U$1,INDIRECT("Table!A"&amp;$AH65):INDIRECT("Table!" &amp; $AK$63 &amp; $AH65),0)),"",INDIRECT(CONCATENATE("Table!",ADDRESS($AD65,MATCH(U$1,INDIRECT("Table!A" &amp; $AH65):INDIRECT("Table!" &amp; $AK$63 &amp; $AH65),0))))/1024)</f>
        <v/>
      </c>
      <c r="V65" s="595"/>
      <c r="W65" s="595"/>
      <c r="X65" s="595"/>
      <c r="Y65" s="595"/>
      <c r="Z65" s="595"/>
      <c r="AA65" s="595"/>
      <c r="AB65" s="595"/>
      <c r="AC65" s="595"/>
      <c r="AD65" s="272">
        <f>MATCH($A65,Table!$A:$A,0)+$AF$2-1</f>
        <v>829</v>
      </c>
      <c r="AE65" s="353"/>
      <c r="AF65" s="353"/>
      <c r="AG65" s="353"/>
      <c r="AH65" s="272">
        <f>MATCH($A65,Table!$A:$A,0)+$AJ$2-1</f>
        <v>821</v>
      </c>
      <c r="AI65" s="353"/>
      <c r="AJ65" s="353"/>
      <c r="AK65" s="904" t="s">
        <v>284</v>
      </c>
      <c r="AL65" s="699">
        <f t="shared" ca="1" si="12"/>
        <v>2495.6506816406245</v>
      </c>
      <c r="AM65" s="699">
        <f t="shared" ca="1" si="10"/>
        <v>22.917023437499665</v>
      </c>
    </row>
    <row r="66" spans="1:39" s="267" customFormat="1" x14ac:dyDescent="0.25">
      <c r="A66" s="268">
        <v>41353</v>
      </c>
      <c r="B66" s="272">
        <f ca="1">IF(ISERROR(MATCH(B$1,INDIRECT("Table!A"&amp;$AH66):INDIRECT("Table!" &amp; $AK$86 &amp; $AH66),0)),"",INDIRECT(CONCATENATE("Table!",ADDRESS($AD66,MATCH(B$1,INDIRECT("Table!A" &amp; $AH66):INDIRECT("Table!" &amp; $AK$86 &amp; $AH66),0))))/1024)</f>
        <v>187.748373046875</v>
      </c>
      <c r="C66" s="272">
        <f ca="1">IF(ISERROR(MATCH(C$1,INDIRECT("Table!A"&amp;$AH66):INDIRECT("Table!" &amp; $AK$86 &amp; $AH66),0)),"",INDIRECT(CONCATENATE("Table!",ADDRESS($AD66,MATCH(C$1,INDIRECT("Table!A" &amp; $AH66):INDIRECT("Table!" &amp; $AK$86 &amp; $AH66),0))))/1024)</f>
        <v>87.157127929687491</v>
      </c>
      <c r="D66" s="272">
        <f ca="1">IF(ISERROR(MATCH(D$1,INDIRECT("Table!A"&amp;$AH66):INDIRECT("Table!" &amp; $AK$86 &amp; $AH66),0)),"",INDIRECT(CONCATENATE("Table!",ADDRESS($AD66,MATCH(D$1,INDIRECT("Table!A" &amp; $AH66):INDIRECT("Table!" &amp; $AK$86 &amp; $AH66),0))))/1024)</f>
        <v>88.177857421875004</v>
      </c>
      <c r="E66" s="272">
        <f ca="1">IF(ISERROR(MATCH(E$1,INDIRECT("Table!A"&amp;$AH66):INDIRECT("Table!" &amp; $AK$86 &amp; $AH66),0)),"",INDIRECT(CONCATENATE("Table!",ADDRESS($AD66,MATCH(E$1,INDIRECT("Table!A" &amp; $AH66):INDIRECT("Table!" &amp; $AK$86 &amp; $AH66),0))))/1024)</f>
        <v>271.51404492187498</v>
      </c>
      <c r="F66" s="272">
        <f ca="1">IF(ISERROR(MATCH(F$1,INDIRECT("Table!A"&amp;$AH66):INDIRECT("Table!" &amp; $AK$86 &amp; $AH66),0)),"",INDIRECT(CONCATENATE("Table!",ADDRESS($AD66,MATCH(F$1,INDIRECT("Table!A" &amp; $AH66):INDIRECT("Table!" &amp; $AK$86 &amp; $AH66),0))))/1024)</f>
        <v>237.20436328124998</v>
      </c>
      <c r="G66" s="272">
        <f ca="1">IF(ISERROR(MATCH(G$1,INDIRECT("Table!A"&amp;$AH66):INDIRECT("Table!" &amp; $AK$86 &amp; $AH66),0)),"",INDIRECT(CONCATENATE("Table!",ADDRESS($AD66,MATCH(G$1,INDIRECT("Table!A" &amp; $AH66):INDIRECT("Table!" &amp; $AK$86 &amp; $AH66),0))))/1024)</f>
        <v>441.67952929687499</v>
      </c>
      <c r="H66" s="272">
        <f ca="1">IF(ISERROR(MATCH(H$1,INDIRECT("Table!A"&amp;$AH66):INDIRECT("Table!" &amp; $AK$86 &amp; $AH66),0)),"",INDIRECT(CONCATENATE("Table!",ADDRESS($AD66,MATCH(H$1,INDIRECT("Table!A" &amp; $AH66):INDIRECT("Table!" &amp; $AK$86 &amp; $AH66),0))))/1024)</f>
        <v>117.18633105468749</v>
      </c>
      <c r="I66" s="272">
        <f ca="1">IF(ISERROR(MATCH(I$1,INDIRECT("Table!A"&amp;$AH66):INDIRECT("Table!" &amp; $AK$63 &amp; $AH66),0)),"",INDIRECT(CONCATENATE("Table!",ADDRESS($AD66,MATCH(I$1,INDIRECT("Table!A" &amp; $AH66):INDIRECT("Table!" &amp; $AK$63 &amp; $AH66),0))))/1024)</f>
        <v>9.4170527343749999</v>
      </c>
      <c r="J66" s="272" t="str">
        <f ca="1">IF(ISERROR(MATCH(J$1,INDIRECT("Table!A"&amp;$AH66):INDIRECT("Table!" &amp; $AK$63 &amp; $AH66),0)),"",INDIRECT(CONCATENATE("Table!",ADDRESS($AD66,MATCH(J$1,INDIRECT("Table!A" &amp; $AH66):INDIRECT("Table!" &amp; $AK$63 &amp; $AH66),0))))/1024)</f>
        <v/>
      </c>
      <c r="K66" s="272" t="str">
        <f ca="1">IF(ISERROR(MATCH(K$1,INDIRECT("Table!A"&amp;$AH66):INDIRECT("Table!" &amp; $AK$63 &amp; $AH66),0)),"",INDIRECT(CONCATENATE("Table!",ADDRESS($AD66,MATCH(K$1,INDIRECT("Table!A" &amp; $AH66):INDIRECT("Table!" &amp; $AK$63 &amp; $AH66),0))))/1024)</f>
        <v/>
      </c>
      <c r="L66" s="272">
        <f ca="1">IF(ISERROR(MATCH(L$1,INDIRECT("Table!A"&amp;$AH66):INDIRECT("Table!" &amp; $AK$63 &amp; $AH66),0)),"",INDIRECT(CONCATENATE("Table!",ADDRESS($AD66,MATCH(L$1,INDIRECT("Table!A" &amp; $AH66):INDIRECT("Table!" &amp; $AK$63 &amp; $AH66),0))))/1024)</f>
        <v>274.18111230468747</v>
      </c>
      <c r="M66" s="272">
        <f ca="1">IF(ISERROR(MATCH(M$1,INDIRECT("Table!A"&amp;$AH66):INDIRECT("Table!" &amp; $AK$63 &amp; $AH66),0)),"",INDIRECT(CONCATENATE("Table!",ADDRESS($AD66,MATCH(M$1,INDIRECT("Table!A" &amp; $AH66):INDIRECT("Table!" &amp; $AK$63 &amp; $AH66),0))))/1024)</f>
        <v>347.113880859375</v>
      </c>
      <c r="N66" s="272">
        <f ca="1">IF(ISERROR(MATCH(N$1,INDIRECT("Table!A"&amp;$AH66):INDIRECT("Table!" &amp; $AK$63 &amp; $AH66),0)),"",INDIRECT(CONCATENATE("Table!",ADDRESS($AD66,MATCH(N$1,INDIRECT("Table!A" &amp; $AH66):INDIRECT("Table!" &amp; $AK$63 &amp; $AH66),0))))/1024)</f>
        <v>124.72655859375</v>
      </c>
      <c r="O66" s="272">
        <f ca="1">IF(ISERROR(MATCH(O$1,INDIRECT("Table!A"&amp;$AH66):INDIRECT("Table!" &amp; $AK$63 &amp; $AH66),0)),"",INDIRECT(CONCATENATE("Table!",ADDRESS($AD66,MATCH(O$1,INDIRECT("Table!A" &amp; $AH66):INDIRECT("Table!" &amp; $AK$63 &amp; $AH66),0))))/1024)</f>
        <v>232.46291015624999</v>
      </c>
      <c r="P66" s="272">
        <f ca="1">IF(ISERROR(MATCH(P$1,INDIRECT("Table!A"&amp;$AH66):INDIRECT("Table!" &amp; $AK$63 &amp; $AH66),0)),"",INDIRECT(CONCATENATE("Table!",ADDRESS($AD66,MATCH(P$1,INDIRECT("Table!A" &amp; $AH66):INDIRECT("Table!" &amp; $AK$63 &amp; $AH66),0))))/1024)</f>
        <v>23.871899414062501</v>
      </c>
      <c r="Q66" s="272" t="str">
        <f ca="1">IF(ISERROR(MATCH(Q$1,INDIRECT("Table!A"&amp;$AH66):INDIRECT("Table!" &amp; $AK$63 &amp; $AH66),0)),"",INDIRECT(CONCATENATE("Table!",ADDRESS($AD66,MATCH(Q$1,INDIRECT("Table!A" &amp; $AH66):INDIRECT("Table!" &amp; $AK$63 &amp; $AH66),0))))/1024)</f>
        <v/>
      </c>
      <c r="R66" s="272" t="str">
        <f ca="1">IF(ISERROR(MATCH(R$1,INDIRECT("Table!A"&amp;$AH66):INDIRECT("Table!" &amp; $AK$63 &amp; $AH66),0)),"",INDIRECT(CONCATENATE("Table!",ADDRESS($AD66,MATCH(R$1,INDIRECT("Table!A" &amp; $AH66):INDIRECT("Table!" &amp; $AK$63 &amp; $AH66),0))))/1024)</f>
        <v/>
      </c>
      <c r="S66" s="595">
        <f ca="1">IF(ISERROR(MATCH(S$1,INDIRECT("Table!A"&amp;$AH66):INDIRECT("Table!" &amp; $AK$63 &amp; $AH66),0)),"",INDIRECT(CONCATENATE("Table!",ADDRESS($AD66,MATCH(S$1,INDIRECT("Table!A" &amp; $AH66):INDIRECT("Table!" &amp; $AK$63 &amp; $AH66),0))))/1024)</f>
        <v>18.932885742187498</v>
      </c>
      <c r="T66" s="595">
        <f ca="1">IF(ISERROR(MATCH(T$1,INDIRECT("Table!A"&amp;$AH66):INDIRECT("Table!" &amp; $AK$63 &amp; $AH66),0)),"",INDIRECT(CONCATENATE("Table!",ADDRESS($AD66,MATCH(T$1,INDIRECT("Table!A" &amp; $AH66):INDIRECT("Table!" &amp; $AK$63 &amp; $AH66),0))))/1024)</f>
        <v>11.3597314453125</v>
      </c>
      <c r="U66" s="272" t="str">
        <f ca="1">IF(ISERROR(MATCH(U$1,INDIRECT("Table!A"&amp;$AH66):INDIRECT("Table!" &amp; $AK$63 &amp; $AH66),0)),"",INDIRECT(CONCATENATE("Table!",ADDRESS($AD66,MATCH(U$1,INDIRECT("Table!A" &amp; $AH66):INDIRECT("Table!" &amp; $AK$63 &amp; $AH66),0))))/1024)</f>
        <v/>
      </c>
      <c r="V66" s="595"/>
      <c r="W66" s="595"/>
      <c r="X66" s="595"/>
      <c r="Y66" s="595"/>
      <c r="Z66" s="595"/>
      <c r="AA66" s="595"/>
      <c r="AB66" s="595"/>
      <c r="AC66" s="595"/>
      <c r="AD66" s="272">
        <f>MATCH($A66,Table!$A:$A,0)+$AF$2-1</f>
        <v>841</v>
      </c>
      <c r="AE66" s="352"/>
      <c r="AF66" s="352"/>
      <c r="AG66" s="352"/>
      <c r="AH66" s="272">
        <f>MATCH($A66,Table!$A:$A,0)+$AJ$2-1</f>
        <v>833</v>
      </c>
      <c r="AI66" s="352"/>
      <c r="AJ66" s="352"/>
      <c r="AK66" s="904" t="s">
        <v>284</v>
      </c>
      <c r="AL66" s="699">
        <f t="shared" ca="1" si="12"/>
        <v>2472.7336582031248</v>
      </c>
      <c r="AM66" s="699">
        <f t="shared" ca="1" si="10"/>
        <v>26.143845703124498</v>
      </c>
    </row>
    <row r="67" spans="1:39" s="267" customFormat="1" x14ac:dyDescent="0.25">
      <c r="A67" s="268">
        <v>41351</v>
      </c>
      <c r="B67" s="272">
        <f ca="1">IF(ISERROR(MATCH(B$1,INDIRECT("Table!A"&amp;$AH67):INDIRECT("Table!" &amp; $AK$86 &amp; $AH67),0)),"",INDIRECT(CONCATENATE("Table!",ADDRESS($AD67,MATCH(B$1,INDIRECT("Table!A" &amp; $AH67):INDIRECT("Table!" &amp; $AK$86 &amp; $AH67),0))))/1024)</f>
        <v>187.748373046875</v>
      </c>
      <c r="C67" s="272">
        <f ca="1">IF(ISERROR(MATCH(C$1,INDIRECT("Table!A"&amp;$AH67):INDIRECT("Table!" &amp; $AK$86 &amp; $AH67),0)),"",INDIRECT(CONCATENATE("Table!",ADDRESS($AD67,MATCH(C$1,INDIRECT("Table!A" &amp; $AH67):INDIRECT("Table!" &amp; $AK$86 &amp; $AH67),0))))/1024)</f>
        <v>87.157127929687491</v>
      </c>
      <c r="D67" s="272">
        <f ca="1">IF(ISERROR(MATCH(D$1,INDIRECT("Table!A"&amp;$AH67):INDIRECT("Table!" &amp; $AK$86 &amp; $AH67),0)),"",INDIRECT(CONCATENATE("Table!",ADDRESS($AD67,MATCH(D$1,INDIRECT("Table!A" &amp; $AH67):INDIRECT("Table!" &amp; $AK$86 &amp; $AH67),0))))/1024)</f>
        <v>88.177857421875004</v>
      </c>
      <c r="E67" s="272">
        <f ca="1">IF(ISERROR(MATCH(E$1,INDIRECT("Table!A"&amp;$AH67):INDIRECT("Table!" &amp; $AK$86 &amp; $AH67),0)),"",INDIRECT(CONCATENATE("Table!",ADDRESS($AD67,MATCH(E$1,INDIRECT("Table!A" &amp; $AH67):INDIRECT("Table!" &amp; $AK$86 &amp; $AH67),0))))/1024)</f>
        <v>271.51404492187498</v>
      </c>
      <c r="F67" s="272">
        <f ca="1">IF(ISERROR(MATCH(F$1,INDIRECT("Table!A"&amp;$AH67):INDIRECT("Table!" &amp; $AK$86 &amp; $AH67),0)),"",INDIRECT(CONCATENATE("Table!",ADDRESS($AD67,MATCH(F$1,INDIRECT("Table!A" &amp; $AH67):INDIRECT("Table!" &amp; $AK$86 &amp; $AH67),0))))/1024)</f>
        <v>233.05559179687498</v>
      </c>
      <c r="G67" s="272">
        <f ca="1">IF(ISERROR(MATCH(G$1,INDIRECT("Table!A"&amp;$AH67):INDIRECT("Table!" &amp; $AK$86 &amp; $AH67),0)),"",INDIRECT(CONCATENATE("Table!",ADDRESS($AD67,MATCH(G$1,INDIRECT("Table!A" &amp; $AH67):INDIRECT("Table!" &amp; $AK$86 &amp; $AH67),0))))/1024)</f>
        <v>441.67952929687499</v>
      </c>
      <c r="H67" s="272">
        <f ca="1">IF(ISERROR(MATCH(H$1,INDIRECT("Table!A"&amp;$AH67):INDIRECT("Table!" &amp; $AK$86 &amp; $AH67),0)),"",INDIRECT(CONCATENATE("Table!",ADDRESS($AD67,MATCH(H$1,INDIRECT("Table!A" &amp; $AH67):INDIRECT("Table!" &amp; $AK$86 &amp; $AH67),0))))/1024)</f>
        <v>115.34243261718748</v>
      </c>
      <c r="I67" s="272">
        <f ca="1">IF(ISERROR(MATCH(I$1,INDIRECT("Table!A"&amp;$AH67):INDIRECT("Table!" &amp; $AK$63 &amp; $AH67),0)),"",INDIRECT(CONCATENATE("Table!",ADDRESS($AD67,MATCH(I$1,INDIRECT("Table!A" &amp; $AH67):INDIRECT("Table!" &amp; $AK$63 &amp; $AH67),0))))/1024)</f>
        <v>9.4170527343749999</v>
      </c>
      <c r="J67" s="272" t="str">
        <f ca="1">IF(ISERROR(MATCH(J$1,INDIRECT("Table!A"&amp;$AH67):INDIRECT("Table!" &amp; $AK$63 &amp; $AH67),0)),"",INDIRECT(CONCATENATE("Table!",ADDRESS($AD67,MATCH(J$1,INDIRECT("Table!A" &amp; $AH67):INDIRECT("Table!" &amp; $AK$63 &amp; $AH67),0))))/1024)</f>
        <v/>
      </c>
      <c r="K67" s="272" t="str">
        <f ca="1">IF(ISERROR(MATCH(K$1,INDIRECT("Table!A"&amp;$AH67):INDIRECT("Table!" &amp; $AK$63 &amp; $AH67),0)),"",INDIRECT(CONCATENATE("Table!",ADDRESS($AD67,MATCH(K$1,INDIRECT("Table!A" &amp; $AH67):INDIRECT("Table!" &amp; $AK$63 &amp; $AH67),0))))/1024)</f>
        <v/>
      </c>
      <c r="L67" s="272">
        <f ca="1">IF(ISERROR(MATCH(L$1,INDIRECT("Table!A"&amp;$AH67):INDIRECT("Table!" &amp; $AK$63 &amp; $AH67),0)),"",INDIRECT(CONCATENATE("Table!",ADDRESS($AD67,MATCH(L$1,INDIRECT("Table!A" &amp; $AH67):INDIRECT("Table!" &amp; $AK$63 &amp; $AH67),0))))/1024)</f>
        <v>274.18111230468747</v>
      </c>
      <c r="M67" s="272">
        <f ca="1">IF(ISERROR(MATCH(M$1,INDIRECT("Table!A"&amp;$AH67):INDIRECT("Table!" &amp; $AK$63 &amp; $AH67),0)),"",INDIRECT(CONCATENATE("Table!",ADDRESS($AD67,MATCH(M$1,INDIRECT("Table!A" &amp; $AH67):INDIRECT("Table!" &amp; $AK$63 &amp; $AH67),0))))/1024)</f>
        <v>344.97364160156246</v>
      </c>
      <c r="N67" s="272">
        <f ca="1">IF(ISERROR(MATCH(N$1,INDIRECT("Table!A"&amp;$AH67):INDIRECT("Table!" &amp; $AK$63 &amp; $AH67),0)),"",INDIRECT(CONCATENATE("Table!",ADDRESS($AD67,MATCH(N$1,INDIRECT("Table!A" &amp; $AH67):INDIRECT("Table!" &amp; $AK$63 &amp; $AH67),0))))/1024)</f>
        <v>122.6521728515625</v>
      </c>
      <c r="O67" s="272">
        <f ca="1">IF(ISERROR(MATCH(O$1,INDIRECT("Table!A"&amp;$AH67):INDIRECT("Table!" &amp; $AK$63 &amp; $AH67),0)),"",INDIRECT(CONCATENATE("Table!",ADDRESS($AD67,MATCH(O$1,INDIRECT("Table!A" &amp; $AH67):INDIRECT("Table!" &amp; $AK$63 &amp; $AH67),0))))/1024)</f>
        <v>217.71172265625</v>
      </c>
      <c r="P67" s="272">
        <f ca="1">IF(ISERROR(MATCH(P$1,INDIRECT("Table!A"&amp;$AH67):INDIRECT("Table!" &amp; $AK$63 &amp; $AH67),0)),"",INDIRECT(CONCATENATE("Table!",ADDRESS($AD67,MATCH(P$1,INDIRECT("Table!A" &amp; $AH67):INDIRECT("Table!" &amp; $AK$63 &amp; $AH67),0))))/1024)</f>
        <v>23.871899414062501</v>
      </c>
      <c r="Q67" s="272" t="str">
        <f ca="1">IF(ISERROR(MATCH(Q$1,INDIRECT("Table!A"&amp;$AH67):INDIRECT("Table!" &amp; $AK$63 &amp; $AH67),0)),"",INDIRECT(CONCATENATE("Table!",ADDRESS($AD67,MATCH(Q$1,INDIRECT("Table!A" &amp; $AH67):INDIRECT("Table!" &amp; $AK$63 &amp; $AH67),0))))/1024)</f>
        <v/>
      </c>
      <c r="R67" s="272" t="str">
        <f ca="1">IF(ISERROR(MATCH(R$1,INDIRECT("Table!A"&amp;$AH67):INDIRECT("Table!" &amp; $AK$63 &amp; $AH67),0)),"",INDIRECT(CONCATENATE("Table!",ADDRESS($AD67,MATCH(R$1,INDIRECT("Table!A" &amp; $AH67):INDIRECT("Table!" &amp; $AK$63 &amp; $AH67),0))))/1024)</f>
        <v/>
      </c>
      <c r="S67" s="595">
        <f ca="1">IF(ISERROR(MATCH(S$1,INDIRECT("Table!A"&amp;$AH67):INDIRECT("Table!" &amp; $AK$63 &amp; $AH67),0)),"",INDIRECT(CONCATENATE("Table!",ADDRESS($AD67,MATCH(S$1,INDIRECT("Table!A" &amp; $AH67):INDIRECT("Table!" &amp; $AK$63 &amp; $AH67),0))))/1024)</f>
        <v>17.7475224609375</v>
      </c>
      <c r="T67" s="595">
        <f ca="1">IF(ISERROR(MATCH(T$1,INDIRECT("Table!A"&amp;$AH67):INDIRECT("Table!" &amp; $AK$63 &amp; $AH67),0)),"",INDIRECT(CONCATENATE("Table!",ADDRESS($AD67,MATCH(T$1,INDIRECT("Table!A" &amp; $AH67):INDIRECT("Table!" &amp; $AK$63 &amp; $AH67),0))))/1024)</f>
        <v>11.3597314453125</v>
      </c>
      <c r="U67" s="272" t="str">
        <f ca="1">IF(ISERROR(MATCH(U$1,INDIRECT("Table!A"&amp;$AH67):INDIRECT("Table!" &amp; $AK$63 &amp; $AH67),0)),"",INDIRECT(CONCATENATE("Table!",ADDRESS($AD67,MATCH(U$1,INDIRECT("Table!A" &amp; $AH67):INDIRECT("Table!" &amp; $AK$63 &amp; $AH67),0))))/1024)</f>
        <v/>
      </c>
      <c r="V67" s="595"/>
      <c r="W67" s="595"/>
      <c r="X67" s="595"/>
      <c r="Y67" s="595"/>
      <c r="Z67" s="595"/>
      <c r="AA67" s="595"/>
      <c r="AB67" s="595"/>
      <c r="AC67" s="595"/>
      <c r="AD67" s="272">
        <f>MATCH($A67,Table!$A:$A,0)+$AF$2-1</f>
        <v>853</v>
      </c>
      <c r="AE67" s="351"/>
      <c r="AF67" s="351"/>
      <c r="AG67" s="351"/>
      <c r="AH67" s="272">
        <f>MATCH($A67,Table!$A:$A,0)+$AJ$2-1</f>
        <v>845</v>
      </c>
      <c r="AI67" s="351"/>
      <c r="AJ67" s="351"/>
      <c r="AK67" s="904" t="s">
        <v>284</v>
      </c>
      <c r="AL67" s="699">
        <f t="shared" ca="1" si="12"/>
        <v>2446.5898125000003</v>
      </c>
      <c r="AM67" s="699">
        <f t="shared" ca="1" si="10"/>
        <v>0.46097460937517099</v>
      </c>
    </row>
    <row r="68" spans="1:39" s="267" customFormat="1" x14ac:dyDescent="0.25">
      <c r="A68" s="268">
        <v>41347</v>
      </c>
      <c r="B68" s="272">
        <f ca="1">IF(ISERROR(MATCH(B$1,INDIRECT("Table!A"&amp;$AH68):INDIRECT("Table!" &amp; $AK$86 &amp; $AH68),0)),"",INDIRECT(CONCATENATE("Table!",ADDRESS($AD68,MATCH(B$1,INDIRECT("Table!A" &amp; $AH68):INDIRECT("Table!" &amp; $AK$86 &amp; $AH68),0))))/1024)</f>
        <v>187.748373046875</v>
      </c>
      <c r="C68" s="272">
        <f ca="1">IF(ISERROR(MATCH(C$1,INDIRECT("Table!A"&amp;$AH68):INDIRECT("Table!" &amp; $AK$86 &amp; $AH68),0)),"",INDIRECT(CONCATENATE("Table!",ADDRESS($AD68,MATCH(C$1,INDIRECT("Table!A" &amp; $AH68):INDIRECT("Table!" &amp; $AK$86 &amp; $AH68),0))))/1024)</f>
        <v>87.157127929687491</v>
      </c>
      <c r="D68" s="272">
        <f ca="1">IF(ISERROR(MATCH(D$1,INDIRECT("Table!A"&amp;$AH68):INDIRECT("Table!" &amp; $AK$86 &amp; $AH68),0)),"",INDIRECT(CONCATENATE("Table!",ADDRESS($AD68,MATCH(D$1,INDIRECT("Table!A" &amp; $AH68):INDIRECT("Table!" &amp; $AK$86 &amp; $AH68),0))))/1024)</f>
        <v>88.177857421875004</v>
      </c>
      <c r="E68" s="272">
        <f ca="1">IF(ISERROR(MATCH(E$1,INDIRECT("Table!A"&amp;$AH68):INDIRECT("Table!" &amp; $AK$86 &amp; $AH68),0)),"",INDIRECT(CONCATENATE("Table!",ADDRESS($AD68,MATCH(E$1,INDIRECT("Table!A" &amp; $AH68):INDIRECT("Table!" &amp; $AK$86 &amp; $AH68),0))))/1024)</f>
        <v>271.51404492187498</v>
      </c>
      <c r="F68" s="272">
        <f ca="1">IF(ISERROR(MATCH(F$1,INDIRECT("Table!A"&amp;$AH68):INDIRECT("Table!" &amp; $AK$86 &amp; $AH68),0)),"",INDIRECT(CONCATENATE("Table!",ADDRESS($AD68,MATCH(F$1,INDIRECT("Table!A" &amp; $AH68):INDIRECT("Table!" &amp; $AK$86 &amp; $AH68),0))))/1024)</f>
        <v>233.05559179687498</v>
      </c>
      <c r="G68" s="272">
        <f ca="1">IF(ISERROR(MATCH(G$1,INDIRECT("Table!A"&amp;$AH68):INDIRECT("Table!" &amp; $AK$86 &amp; $AH68),0)),"",INDIRECT(CONCATENATE("Table!",ADDRESS($AD68,MATCH(G$1,INDIRECT("Table!A" &amp; $AH68):INDIRECT("Table!" &amp; $AK$86 &amp; $AH68),0))))/1024)</f>
        <v>441.67952929687499</v>
      </c>
      <c r="H68" s="272">
        <f ca="1">IF(ISERROR(MATCH(H$1,INDIRECT("Table!A"&amp;$AH68):INDIRECT("Table!" &amp; $AK$86 &amp; $AH68),0)),"",INDIRECT(CONCATENATE("Table!",ADDRESS($AD68,MATCH(H$1,INDIRECT("Table!A" &amp; $AH68):INDIRECT("Table!" &amp; $AK$86 &amp; $AH68),0))))/1024)</f>
        <v>115.34243261718748</v>
      </c>
      <c r="I68" s="272">
        <f ca="1">IF(ISERROR(MATCH(I$1,INDIRECT("Table!A"&amp;$AH68):INDIRECT("Table!" &amp; $AK$63 &amp; $AH68),0)),"",INDIRECT(CONCATENATE("Table!",ADDRESS($AD68,MATCH(I$1,INDIRECT("Table!A" &amp; $AH68):INDIRECT("Table!" &amp; $AK$63 &amp; $AH68),0))))/1024)</f>
        <v>9.4170527343749999</v>
      </c>
      <c r="J68" s="272" t="str">
        <f ca="1">IF(ISERROR(MATCH(J$1,INDIRECT("Table!A"&amp;$AH68):INDIRECT("Table!" &amp; $AK$63 &amp; $AH68),0)),"",INDIRECT(CONCATENATE("Table!",ADDRESS($AD68,MATCH(J$1,INDIRECT("Table!A" &amp; $AH68):INDIRECT("Table!" &amp; $AK$63 &amp; $AH68),0))))/1024)</f>
        <v/>
      </c>
      <c r="K68" s="272" t="str">
        <f ca="1">IF(ISERROR(MATCH(K$1,INDIRECT("Table!A"&amp;$AH68):INDIRECT("Table!" &amp; $AK$63 &amp; $AH68),0)),"",INDIRECT(CONCATENATE("Table!",ADDRESS($AD68,MATCH(K$1,INDIRECT("Table!A" &amp; $AH68):INDIRECT("Table!" &amp; $AK$63 &amp; $AH68),0))))/1024)</f>
        <v/>
      </c>
      <c r="L68" s="272">
        <f ca="1">IF(ISERROR(MATCH(L$1,INDIRECT("Table!A"&amp;$AH68):INDIRECT("Table!" &amp; $AK$63 &amp; $AH68),0)),"",INDIRECT(CONCATENATE("Table!",ADDRESS($AD68,MATCH(L$1,INDIRECT("Table!A" &amp; $AH68):INDIRECT("Table!" &amp; $AK$63 &amp; $AH68),0))))/1024)</f>
        <v>274.18111230468747</v>
      </c>
      <c r="M68" s="272">
        <f ca="1">IF(ISERROR(MATCH(M$1,INDIRECT("Table!A"&amp;$AH68):INDIRECT("Table!" &amp; $AK$63 &amp; $AH68),0)),"",INDIRECT(CONCATENATE("Table!",ADDRESS($AD68,MATCH(M$1,INDIRECT("Table!A" &amp; $AH68):INDIRECT("Table!" &amp; $AK$63 &amp; $AH68),0))))/1024)</f>
        <v>344.97364160156246</v>
      </c>
      <c r="N68" s="272">
        <f ca="1">IF(ISERROR(MATCH(N$1,INDIRECT("Table!A"&amp;$AH68):INDIRECT("Table!" &amp; $AK$63 &amp; $AH68),0)),"",INDIRECT(CONCATENATE("Table!",ADDRESS($AD68,MATCH(N$1,INDIRECT("Table!A" &amp; $AH68):INDIRECT("Table!" &amp; $AK$63 &amp; $AH68),0))))/1024)</f>
        <v>122.6521728515625</v>
      </c>
      <c r="O68" s="272">
        <f ca="1">IF(ISERROR(MATCH(O$1,INDIRECT("Table!A"&amp;$AH68):INDIRECT("Table!" &amp; $AK$63 &amp; $AH68),0)),"",INDIRECT(CONCATENATE("Table!",ADDRESS($AD68,MATCH(O$1,INDIRECT("Table!A" &amp; $AH68):INDIRECT("Table!" &amp; $AK$63 &amp; $AH68),0))))/1024)</f>
        <v>217.250748046875</v>
      </c>
      <c r="P68" s="272">
        <f ca="1">IF(ISERROR(MATCH(P$1,INDIRECT("Table!A"&amp;$AH68):INDIRECT("Table!" &amp; $AK$63 &amp; $AH68),0)),"",INDIRECT(CONCATENATE("Table!",ADDRESS($AD68,MATCH(P$1,INDIRECT("Table!A" &amp; $AH68):INDIRECT("Table!" &amp; $AK$63 &amp; $AH68),0))))/1024)</f>
        <v>23.871899414062501</v>
      </c>
      <c r="Q68" s="272" t="str">
        <f ca="1">IF(ISERROR(MATCH(Q$1,INDIRECT("Table!A"&amp;$AH68):INDIRECT("Table!" &amp; $AK$63 &amp; $AH68),0)),"",INDIRECT(CONCATENATE("Table!",ADDRESS($AD68,MATCH(Q$1,INDIRECT("Table!A" &amp; $AH68):INDIRECT("Table!" &amp; $AK$63 &amp; $AH68),0))))/1024)</f>
        <v/>
      </c>
      <c r="R68" s="272" t="str">
        <f ca="1">IF(ISERROR(MATCH(R$1,INDIRECT("Table!A"&amp;$AH68):INDIRECT("Table!" &amp; $AK$63 &amp; $AH68),0)),"",INDIRECT(CONCATENATE("Table!",ADDRESS($AD68,MATCH(R$1,INDIRECT("Table!A" &amp; $AH68):INDIRECT("Table!" &amp; $AK$63 &amp; $AH68),0))))/1024)</f>
        <v/>
      </c>
      <c r="S68" s="595">
        <f ca="1">IF(ISERROR(MATCH(S$1,INDIRECT("Table!A"&amp;$AH68):INDIRECT("Table!" &amp; $AK$63 &amp; $AH68),0)),"",INDIRECT(CONCATENATE("Table!",ADDRESS($AD68,MATCH(S$1,INDIRECT("Table!A" &amp; $AH68):INDIRECT("Table!" &amp; $AK$63 &amp; $AH68),0))))/1024)</f>
        <v>17.7475224609375</v>
      </c>
      <c r="T68" s="595">
        <f ca="1">IF(ISERROR(MATCH(T$1,INDIRECT("Table!A"&amp;$AH68):INDIRECT("Table!" &amp; $AK$63 &amp; $AH68),0)),"",INDIRECT(CONCATENATE("Table!",ADDRESS($AD68,MATCH(T$1,INDIRECT("Table!A" &amp; $AH68):INDIRECT("Table!" &amp; $AK$63 &amp; $AH68),0))))/1024)</f>
        <v>11.3597314453125</v>
      </c>
      <c r="U68" s="272" t="str">
        <f ca="1">IF(ISERROR(MATCH(U$1,INDIRECT("Table!A"&amp;$AH68):INDIRECT("Table!" &amp; $AK$63 &amp; $AH68),0)),"",INDIRECT(CONCATENATE("Table!",ADDRESS($AD68,MATCH(U$1,INDIRECT("Table!A" &amp; $AH68):INDIRECT("Table!" &amp; $AK$63 &amp; $AH68),0))))/1024)</f>
        <v/>
      </c>
      <c r="V68" s="595"/>
      <c r="W68" s="595"/>
      <c r="X68" s="595"/>
      <c r="Y68" s="595"/>
      <c r="Z68" s="595"/>
      <c r="AA68" s="595"/>
      <c r="AB68" s="595"/>
      <c r="AC68" s="595"/>
      <c r="AD68" s="272">
        <f>MATCH($A68,Table!$A:$A,0)+$AF$2-1</f>
        <v>865</v>
      </c>
      <c r="AE68" s="341"/>
      <c r="AF68" s="341"/>
      <c r="AG68" s="341"/>
      <c r="AH68" s="272">
        <f>MATCH($A68,Table!$A:$A,0)+$AJ$2-1</f>
        <v>857</v>
      </c>
      <c r="AI68" s="341"/>
      <c r="AJ68" s="341"/>
      <c r="AK68" s="904" t="s">
        <v>284</v>
      </c>
      <c r="AL68" s="699">
        <f t="shared" ca="1" si="12"/>
        <v>2446.1288378906252</v>
      </c>
      <c r="AM68" s="699">
        <f t="shared" ca="1" si="10"/>
        <v>17.517035156250131</v>
      </c>
    </row>
    <row r="69" spans="1:39" s="267" customFormat="1" x14ac:dyDescent="0.25">
      <c r="A69" s="268">
        <v>41345</v>
      </c>
      <c r="B69" s="272">
        <f ca="1">IF(ISERROR(MATCH(B$1,INDIRECT("Table!A"&amp;$AH69):INDIRECT("Table!" &amp; $AK$86 &amp; $AH69),0)),"",INDIRECT(CONCATENATE("Table!",ADDRESS($AD69,MATCH(B$1,INDIRECT("Table!A" &amp; $AH69):INDIRECT("Table!" &amp; $AK$86 &amp; $AH69),0))))/1024)</f>
        <v>187.748373046875</v>
      </c>
      <c r="C69" s="272">
        <f ca="1">IF(ISERROR(MATCH(C$1,INDIRECT("Table!A"&amp;$AH69):INDIRECT("Table!" &amp; $AK$86 &amp; $AH69),0)),"",INDIRECT(CONCATENATE("Table!",ADDRESS($AD69,MATCH(C$1,INDIRECT("Table!A" &amp; $AH69):INDIRECT("Table!" &amp; $AK$86 &amp; $AH69),0))))/1024)</f>
        <v>87.157127929687491</v>
      </c>
      <c r="D69" s="272">
        <f ca="1">IF(ISERROR(MATCH(D$1,INDIRECT("Table!A"&amp;$AH69):INDIRECT("Table!" &amp; $AK$86 &amp; $AH69),0)),"",INDIRECT(CONCATENATE("Table!",ADDRESS($AD69,MATCH(D$1,INDIRECT("Table!A" &amp; $AH69):INDIRECT("Table!" &amp; $AK$86 &amp; $AH69),0))))/1024)</f>
        <v>88.177857421875004</v>
      </c>
      <c r="E69" s="272">
        <f ca="1">IF(ISERROR(MATCH(E$1,INDIRECT("Table!A"&amp;$AH69):INDIRECT("Table!" &amp; $AK$86 &amp; $AH69),0)),"",INDIRECT(CONCATENATE("Table!",ADDRESS($AD69,MATCH(E$1,INDIRECT("Table!A" &amp; $AH69):INDIRECT("Table!" &amp; $AK$86 &amp; $AH69),0))))/1024)</f>
        <v>271.51404492187498</v>
      </c>
      <c r="F69" s="272">
        <f ca="1">IF(ISERROR(MATCH(F$1,INDIRECT("Table!A"&amp;$AH69):INDIRECT("Table!" &amp; $AK$86 &amp; $AH69),0)),"",INDIRECT(CONCATENATE("Table!",ADDRESS($AD69,MATCH(F$1,INDIRECT("Table!A" &amp; $AH69):INDIRECT("Table!" &amp; $AK$86 &amp; $AH69),0))))/1024)</f>
        <v>233.05559179687498</v>
      </c>
      <c r="G69" s="272">
        <f ca="1">IF(ISERROR(MATCH(G$1,INDIRECT("Table!A"&amp;$AH69):INDIRECT("Table!" &amp; $AK$86 &amp; $AH69),0)),"",INDIRECT(CONCATENATE("Table!",ADDRESS($AD69,MATCH(G$1,INDIRECT("Table!A" &amp; $AH69):INDIRECT("Table!" &amp; $AK$86 &amp; $AH69),0))))/1024)</f>
        <v>440.92221386718751</v>
      </c>
      <c r="H69" s="272">
        <f ca="1">IF(ISERROR(MATCH(H$1,INDIRECT("Table!A"&amp;$AH69):INDIRECT("Table!" &amp; $AK$86 &amp; $AH69),0)),"",INDIRECT(CONCATENATE("Table!",ADDRESS($AD69,MATCH(H$1,INDIRECT("Table!A" &amp; $AH69):INDIRECT("Table!" &amp; $AK$86 &amp; $AH69),0))))/1024)</f>
        <v>111.72048925781249</v>
      </c>
      <c r="I69" s="272">
        <f ca="1">IF(ISERROR(MATCH(I$1,INDIRECT("Table!A"&amp;$AH69):INDIRECT("Table!" &amp; $AK$63 &amp; $AH69),0)),"",INDIRECT(CONCATENATE("Table!",ADDRESS($AD69,MATCH(I$1,INDIRECT("Table!A" &amp; $AH69):INDIRECT("Table!" &amp; $AK$63 &amp; $AH69),0))))/1024)</f>
        <v>9.4170527343749999</v>
      </c>
      <c r="J69" s="272" t="str">
        <f ca="1">IF(ISERROR(MATCH(J$1,INDIRECT("Table!A"&amp;$AH69):INDIRECT("Table!" &amp; $AK$63 &amp; $AH69),0)),"",INDIRECT(CONCATENATE("Table!",ADDRESS($AD69,MATCH(J$1,INDIRECT("Table!A" &amp; $AH69):INDIRECT("Table!" &amp; $AK$63 &amp; $AH69),0))))/1024)</f>
        <v/>
      </c>
      <c r="K69" s="272" t="str">
        <f ca="1">IF(ISERROR(MATCH(K$1,INDIRECT("Table!A"&amp;$AH69):INDIRECT("Table!" &amp; $AK$63 &amp; $AH69),0)),"",INDIRECT(CONCATENATE("Table!",ADDRESS($AD69,MATCH(K$1,INDIRECT("Table!A" &amp; $AH69):INDIRECT("Table!" &amp; $AK$63 &amp; $AH69),0))))/1024)</f>
        <v/>
      </c>
      <c r="L69" s="272">
        <f ca="1">IF(ISERROR(MATCH(L$1,INDIRECT("Table!A"&amp;$AH69):INDIRECT("Table!" &amp; $AK$63 &amp; $AH69),0)),"",INDIRECT(CONCATENATE("Table!",ADDRESS($AD69,MATCH(L$1,INDIRECT("Table!A" &amp; $AH69):INDIRECT("Table!" &amp; $AK$63 &amp; $AH69),0))))/1024)</f>
        <v>274.18111230468747</v>
      </c>
      <c r="M69" s="272">
        <f ca="1">IF(ISERROR(MATCH(M$1,INDIRECT("Table!A"&amp;$AH69):INDIRECT("Table!" &amp; $AK$63 &amp; $AH69),0)),"",INDIRECT(CONCATENATE("Table!",ADDRESS($AD69,MATCH(M$1,INDIRECT("Table!A" &amp; $AH69):INDIRECT("Table!" &amp; $AK$63 &amp; $AH69),0))))/1024)</f>
        <v>335.95170996093748</v>
      </c>
      <c r="N69" s="272">
        <f ca="1">IF(ISERROR(MATCH(N$1,INDIRECT("Table!A"&amp;$AH69):INDIRECT("Table!" &amp; $AK$63 &amp; $AH69),0)),"",INDIRECT(CONCATENATE("Table!",ADDRESS($AD69,MATCH(N$1,INDIRECT("Table!A" &amp; $AH69):INDIRECT("Table!" &amp; $AK$63 &amp; $AH69),0))))/1024)</f>
        <v>122.6521728515625</v>
      </c>
      <c r="O69" s="272">
        <f ca="1">IF(ISERROR(MATCH(O$1,INDIRECT("Table!A"&amp;$AH69):INDIRECT("Table!" &amp; $AK$63 &amp; $AH69),0)),"",INDIRECT(CONCATENATE("Table!",ADDRESS($AD69,MATCH(O$1,INDIRECT("Table!A" &amp; $AH69):INDIRECT("Table!" &amp; $AK$63 &amp; $AH69),0))))/1024)</f>
        <v>213.1349033203125</v>
      </c>
      <c r="P69" s="272">
        <f ca="1">IF(ISERROR(MATCH(P$1,INDIRECT("Table!A"&amp;$AH69):INDIRECT("Table!" &amp; $AK$63 &amp; $AH69),0)),"",INDIRECT(CONCATENATE("Table!",ADDRESS($AD69,MATCH(P$1,INDIRECT("Table!A" &amp; $AH69):INDIRECT("Table!" &amp; $AK$63 &amp; $AH69),0))))/1024)</f>
        <v>23.871899414062501</v>
      </c>
      <c r="Q69" s="272" t="str">
        <f ca="1">IF(ISERROR(MATCH(Q$1,INDIRECT("Table!A"&amp;$AH69):INDIRECT("Table!" &amp; $AK$63 &amp; $AH69),0)),"",INDIRECT(CONCATENATE("Table!",ADDRESS($AD69,MATCH(Q$1,INDIRECT("Table!A" &amp; $AH69):INDIRECT("Table!" &amp; $AK$63 &amp; $AH69),0))))/1024)</f>
        <v/>
      </c>
      <c r="R69" s="272" t="str">
        <f ca="1">IF(ISERROR(MATCH(R$1,INDIRECT("Table!A"&amp;$AH69):INDIRECT("Table!" &amp; $AK$63 &amp; $AH69),0)),"",INDIRECT(CONCATENATE("Table!",ADDRESS($AD69,MATCH(R$1,INDIRECT("Table!A" &amp; $AH69):INDIRECT("Table!" &amp; $AK$63 &amp; $AH69),0))))/1024)</f>
        <v/>
      </c>
      <c r="S69" s="595">
        <f ca="1">IF(ISERROR(MATCH(S$1,INDIRECT("Table!A"&amp;$AH69):INDIRECT("Table!" &amp; $AK$63 &amp; $AH69),0)),"",INDIRECT(CONCATENATE("Table!",ADDRESS($AD69,MATCH(S$1,INDIRECT("Table!A" &amp; $AH69):INDIRECT("Table!" &amp; $AK$63 &amp; $AH69),0))))/1024)</f>
        <v>17.7475224609375</v>
      </c>
      <c r="T69" s="595">
        <f ca="1">IF(ISERROR(MATCH(T$1,INDIRECT("Table!A"&amp;$AH69):INDIRECT("Table!" &amp; $AK$63 &amp; $AH69),0)),"",INDIRECT(CONCATENATE("Table!",ADDRESS($AD69,MATCH(T$1,INDIRECT("Table!A" &amp; $AH69):INDIRECT("Table!" &amp; $AK$63 &amp; $AH69),0))))/1024)</f>
        <v>11.3597314453125</v>
      </c>
      <c r="U69" s="272" t="str">
        <f ca="1">IF(ISERROR(MATCH(U$1,INDIRECT("Table!A"&amp;$AH69):INDIRECT("Table!" &amp; $AK$63 &amp; $AH69),0)),"",INDIRECT(CONCATENATE("Table!",ADDRESS($AD69,MATCH(U$1,INDIRECT("Table!A" &amp; $AH69):INDIRECT("Table!" &amp; $AK$63 &amp; $AH69),0))))/1024)</f>
        <v/>
      </c>
      <c r="V69" s="595"/>
      <c r="W69" s="595"/>
      <c r="X69" s="595"/>
      <c r="Y69" s="595"/>
      <c r="Z69" s="595"/>
      <c r="AA69" s="595"/>
      <c r="AB69" s="595"/>
      <c r="AC69" s="595"/>
      <c r="AD69" s="272">
        <f>MATCH($A69,Table!$A:$A,0)+$AF$2-1</f>
        <v>877</v>
      </c>
      <c r="AE69" s="340"/>
      <c r="AF69" s="340"/>
      <c r="AG69" s="340"/>
      <c r="AH69" s="272">
        <f>MATCH($A69,Table!$A:$A,0)+$AJ$2-1</f>
        <v>869</v>
      </c>
      <c r="AI69" s="340"/>
      <c r="AJ69" s="340"/>
      <c r="AK69" s="904" t="s">
        <v>284</v>
      </c>
      <c r="AL69" s="699">
        <f t="shared" ca="1" si="12"/>
        <v>2428.611802734375</v>
      </c>
      <c r="AM69" s="699">
        <f t="shared" ca="1" si="10"/>
        <v>6.5853515624894499E-2</v>
      </c>
    </row>
    <row r="70" spans="1:39" s="267" customFormat="1" x14ac:dyDescent="0.25">
      <c r="A70" s="268">
        <v>41344</v>
      </c>
      <c r="B70" s="272">
        <f ca="1">IF(ISERROR(MATCH(B$1,INDIRECT("Table!A"&amp;$AH70):INDIRECT("Table!" &amp; $AK$86 &amp; $AH70),0)),"",INDIRECT(CONCATENATE("Table!",ADDRESS($AD70,MATCH(B$1,INDIRECT("Table!A" &amp; $AH70):INDIRECT("Table!" &amp; $AK$86 &amp; $AH70),0))))/1024)</f>
        <v>187.748373046875</v>
      </c>
      <c r="C70" s="272">
        <f ca="1">IF(ISERROR(MATCH(C$1,INDIRECT("Table!A"&amp;$AH70):INDIRECT("Table!" &amp; $AK$86 &amp; $AH70),0)),"",INDIRECT(CONCATENATE("Table!",ADDRESS($AD70,MATCH(C$1,INDIRECT("Table!A" &amp; $AH70):INDIRECT("Table!" &amp; $AK$86 &amp; $AH70),0))))/1024)</f>
        <v>87.157127929687491</v>
      </c>
      <c r="D70" s="272">
        <f ca="1">IF(ISERROR(MATCH(D$1,INDIRECT("Table!A"&amp;$AH70):INDIRECT("Table!" &amp; $AK$86 &amp; $AH70),0)),"",INDIRECT(CONCATENATE("Table!",ADDRESS($AD70,MATCH(D$1,INDIRECT("Table!A" &amp; $AH70):INDIRECT("Table!" &amp; $AK$86 &amp; $AH70),0))))/1024)</f>
        <v>88.177857421875004</v>
      </c>
      <c r="E70" s="272">
        <f ca="1">IF(ISERROR(MATCH(E$1,INDIRECT("Table!A"&amp;$AH70):INDIRECT("Table!" &amp; $AK$86 &amp; $AH70),0)),"",INDIRECT(CONCATENATE("Table!",ADDRESS($AD70,MATCH(E$1,INDIRECT("Table!A" &amp; $AH70):INDIRECT("Table!" &amp; $AK$86 &amp; $AH70),0))))/1024)</f>
        <v>271.51404492187498</v>
      </c>
      <c r="F70" s="272">
        <f ca="1">IF(ISERROR(MATCH(F$1,INDIRECT("Table!A"&amp;$AH70):INDIRECT("Table!" &amp; $AK$86 &amp; $AH70),0)),"",INDIRECT(CONCATENATE("Table!",ADDRESS($AD70,MATCH(F$1,INDIRECT("Table!A" &amp; $AH70):INDIRECT("Table!" &amp; $AK$86 &amp; $AH70),0))))/1024)</f>
        <v>233.05559179687498</v>
      </c>
      <c r="G70" s="272">
        <f ca="1">IF(ISERROR(MATCH(G$1,INDIRECT("Table!A"&amp;$AH70):INDIRECT("Table!" &amp; $AK$86 &amp; $AH70),0)),"",INDIRECT(CONCATENATE("Table!",ADDRESS($AD70,MATCH(G$1,INDIRECT("Table!A" &amp; $AH70):INDIRECT("Table!" &amp; $AK$86 &amp; $AH70),0))))/1024)</f>
        <v>440.92221386718751</v>
      </c>
      <c r="H70" s="272">
        <f ca="1">IF(ISERROR(MATCH(H$1,INDIRECT("Table!A"&amp;$AH70):INDIRECT("Table!" &amp; $AK$86 &amp; $AH70),0)),"",INDIRECT(CONCATENATE("Table!",ADDRESS($AD70,MATCH(H$1,INDIRECT("Table!A" &amp; $AH70):INDIRECT("Table!" &amp; $AK$86 &amp; $AH70),0))))/1024)</f>
        <v>111.72048925781249</v>
      </c>
      <c r="I70" s="272">
        <f ca="1">IF(ISERROR(MATCH(I$1,INDIRECT("Table!A"&amp;$AH70):INDIRECT("Table!" &amp; $AK$63 &amp; $AH70),0)),"",INDIRECT(CONCATENATE("Table!",ADDRESS($AD70,MATCH(I$1,INDIRECT("Table!A" &amp; $AH70):INDIRECT("Table!" &amp; $AK$63 &amp; $AH70),0))))/1024)</f>
        <v>9.4170527343749999</v>
      </c>
      <c r="J70" s="272" t="str">
        <f ca="1">IF(ISERROR(MATCH(J$1,INDIRECT("Table!A"&amp;$AH70):INDIRECT("Table!" &amp; $AK$63 &amp; $AH70),0)),"",INDIRECT(CONCATENATE("Table!",ADDRESS($AD70,MATCH(J$1,INDIRECT("Table!A" &amp; $AH70):INDIRECT("Table!" &amp; $AK$63 &amp; $AH70),0))))/1024)</f>
        <v/>
      </c>
      <c r="K70" s="272" t="str">
        <f ca="1">IF(ISERROR(MATCH(K$1,INDIRECT("Table!A"&amp;$AH70):INDIRECT("Table!" &amp; $AK$63 &amp; $AH70),0)),"",INDIRECT(CONCATENATE("Table!",ADDRESS($AD70,MATCH(K$1,INDIRECT("Table!A" &amp; $AH70):INDIRECT("Table!" &amp; $AK$63 &amp; $AH70),0))))/1024)</f>
        <v/>
      </c>
      <c r="L70" s="272">
        <f ca="1">IF(ISERROR(MATCH(L$1,INDIRECT("Table!A"&amp;$AH70):INDIRECT("Table!" &amp; $AK$63 &amp; $AH70),0)),"",INDIRECT(CONCATENATE("Table!",ADDRESS($AD70,MATCH(L$1,INDIRECT("Table!A" &amp; $AH70):INDIRECT("Table!" &amp; $AK$63 &amp; $AH70),0))))/1024)</f>
        <v>274.18111230468747</v>
      </c>
      <c r="M70" s="272">
        <f ca="1">IF(ISERROR(MATCH(M$1,INDIRECT("Table!A"&amp;$AH70):INDIRECT("Table!" &amp; $AK$63 &amp; $AH70),0)),"",INDIRECT(CONCATENATE("Table!",ADDRESS($AD70,MATCH(M$1,INDIRECT("Table!A" &amp; $AH70):INDIRECT("Table!" &amp; $AK$63 &amp; $AH70),0))))/1024)</f>
        <v>335.88585644531247</v>
      </c>
      <c r="N70" s="272">
        <f ca="1">IF(ISERROR(MATCH(N$1,INDIRECT("Table!A"&amp;$AH70):INDIRECT("Table!" &amp; $AK$63 &amp; $AH70),0)),"",INDIRECT(CONCATENATE("Table!",ADDRESS($AD70,MATCH(N$1,INDIRECT("Table!A" &amp; $AH70):INDIRECT("Table!" &amp; $AK$63 &amp; $AH70),0))))/1024)</f>
        <v>122.6521728515625</v>
      </c>
      <c r="O70" s="272">
        <f ca="1">IF(ISERROR(MATCH(O$1,INDIRECT("Table!A"&amp;$AH70):INDIRECT("Table!" &amp; $AK$63 &amp; $AH70),0)),"",INDIRECT(CONCATENATE("Table!",ADDRESS($AD70,MATCH(O$1,INDIRECT("Table!A" &amp; $AH70):INDIRECT("Table!" &amp; $AK$63 &amp; $AH70),0))))/1024)</f>
        <v>213.1349033203125</v>
      </c>
      <c r="P70" s="272">
        <f ca="1">IF(ISERROR(MATCH(P$1,INDIRECT("Table!A"&amp;$AH70):INDIRECT("Table!" &amp; $AK$63 &amp; $AH70),0)),"",INDIRECT(CONCATENATE("Table!",ADDRESS($AD70,MATCH(P$1,INDIRECT("Table!A" &amp; $AH70):INDIRECT("Table!" &amp; $AK$63 &amp; $AH70),0))))/1024)</f>
        <v>23.871899414062501</v>
      </c>
      <c r="Q70" s="272" t="str">
        <f ca="1">IF(ISERROR(MATCH(Q$1,INDIRECT("Table!A"&amp;$AH70):INDIRECT("Table!" &amp; $AK$63 &amp; $AH70),0)),"",INDIRECT(CONCATENATE("Table!",ADDRESS($AD70,MATCH(Q$1,INDIRECT("Table!A" &amp; $AH70):INDIRECT("Table!" &amp; $AK$63 &amp; $AH70),0))))/1024)</f>
        <v/>
      </c>
      <c r="R70" s="272" t="str">
        <f ca="1">IF(ISERROR(MATCH(R$1,INDIRECT("Table!A"&amp;$AH70):INDIRECT("Table!" &amp; $AK$63 &amp; $AH70),0)),"",INDIRECT(CONCATENATE("Table!",ADDRESS($AD70,MATCH(R$1,INDIRECT("Table!A" &amp; $AH70):INDIRECT("Table!" &amp; $AK$63 &amp; $AH70),0))))/1024)</f>
        <v/>
      </c>
      <c r="S70" s="595">
        <f ca="1">IF(ISERROR(MATCH(S$1,INDIRECT("Table!A"&amp;$AH70):INDIRECT("Table!" &amp; $AK$63 &amp; $AH70),0)),"",INDIRECT(CONCATENATE("Table!",ADDRESS($AD70,MATCH(S$1,INDIRECT("Table!A" &amp; $AH70):INDIRECT("Table!" &amp; $AK$63 &amp; $AH70),0))))/1024)</f>
        <v>17.7475224609375</v>
      </c>
      <c r="T70" s="595">
        <f ca="1">IF(ISERROR(MATCH(T$1,INDIRECT("Table!A"&amp;$AH70):INDIRECT("Table!" &amp; $AK$63 &amp; $AH70),0)),"",INDIRECT(CONCATENATE("Table!",ADDRESS($AD70,MATCH(T$1,INDIRECT("Table!A" &amp; $AH70):INDIRECT("Table!" &amp; $AK$63 &amp; $AH70),0))))/1024)</f>
        <v>11.3597314453125</v>
      </c>
      <c r="U70" s="272" t="str">
        <f ca="1">IF(ISERROR(MATCH(U$1,INDIRECT("Table!A"&amp;$AH70):INDIRECT("Table!" &amp; $AK$63 &amp; $AH70),0)),"",INDIRECT(CONCATENATE("Table!",ADDRESS($AD70,MATCH(U$1,INDIRECT("Table!A" &amp; $AH70):INDIRECT("Table!" &amp; $AK$63 &amp; $AH70),0))))/1024)</f>
        <v/>
      </c>
      <c r="V70" s="595"/>
      <c r="W70" s="595"/>
      <c r="X70" s="595"/>
      <c r="Y70" s="595"/>
      <c r="Z70" s="595"/>
      <c r="AA70" s="595"/>
      <c r="AB70" s="595"/>
      <c r="AC70" s="595"/>
      <c r="AD70" s="272">
        <f>MATCH($A70,Table!$A:$A,0)+$AF$2-1</f>
        <v>889</v>
      </c>
      <c r="AE70" s="339"/>
      <c r="AF70" s="339"/>
      <c r="AG70" s="339"/>
      <c r="AH70" s="272">
        <f>MATCH($A70,Table!$A:$A,0)+$AJ$2-1</f>
        <v>881</v>
      </c>
      <c r="AI70" s="339"/>
      <c r="AJ70" s="339"/>
      <c r="AK70" s="904" t="s">
        <v>284</v>
      </c>
      <c r="AL70" s="699">
        <f t="shared" ca="1" si="12"/>
        <v>2428.5459492187501</v>
      </c>
      <c r="AM70" s="699">
        <f t="shared" ca="1" si="10"/>
        <v>50.363917968750229</v>
      </c>
    </row>
    <row r="71" spans="1:39" s="267" customFormat="1" x14ac:dyDescent="0.25">
      <c r="A71" s="268">
        <v>41341</v>
      </c>
      <c r="B71" s="272">
        <f ca="1">IF(ISERROR(MATCH(B$1,INDIRECT("Table!A"&amp;$AH71):INDIRECT("Table!" &amp; $AK$86 &amp; $AH71),0)),"",INDIRECT(CONCATENATE("Table!",ADDRESS($AD71,MATCH(B$1,INDIRECT("Table!A" &amp; $AH71):INDIRECT("Table!" &amp; $AK$86 &amp; $AH71),0))))/1024)</f>
        <v>186.8759765625</v>
      </c>
      <c r="C71" s="272">
        <f ca="1">IF(ISERROR(MATCH(C$1,INDIRECT("Table!A"&amp;$AH71):INDIRECT("Table!" &amp; $AK$86 &amp; $AH71),0)),"",INDIRECT(CONCATENATE("Table!",ADDRESS($AD71,MATCH(C$1,INDIRECT("Table!A" &amp; $AH71):INDIRECT("Table!" &amp; $AK$86 &amp; $AH71),0))))/1024)</f>
        <v>87.066093749999993</v>
      </c>
      <c r="D71" s="272">
        <f ca="1">IF(ISERROR(MATCH(D$1,INDIRECT("Table!A"&amp;$AH71):INDIRECT("Table!" &amp; $AK$86 &amp; $AH71),0)),"",INDIRECT(CONCATENATE("Table!",ADDRESS($AD71,MATCH(D$1,INDIRECT("Table!A" &amp; $AH71):INDIRECT("Table!" &amp; $AK$86 &amp; $AH71),0))))/1024)</f>
        <v>88.0869140625</v>
      </c>
      <c r="E71" s="272">
        <f ca="1">IF(ISERROR(MATCH(E$1,INDIRECT("Table!A"&amp;$AH71):INDIRECT("Table!" &amp; $AK$86 &amp; $AH71),0)),"",INDIRECT(CONCATENATE("Table!",ADDRESS($AD71,MATCH(E$1,INDIRECT("Table!A" &amp; $AH71):INDIRECT("Table!" &amp; $AK$86 &amp; $AH71),0))))/1024)</f>
        <v>271.538203125</v>
      </c>
      <c r="F71" s="272">
        <f ca="1">IF(ISERROR(MATCH(F$1,INDIRECT("Table!A"&amp;$AH71):INDIRECT("Table!" &amp; $AK$86 &amp; $AH71),0)),"",INDIRECT(CONCATENATE("Table!",ADDRESS($AD71,MATCH(F$1,INDIRECT("Table!A" &amp; $AH71):INDIRECT("Table!" &amp; $AK$86 &amp; $AH71),0))))/1024)</f>
        <v>233.076328125</v>
      </c>
      <c r="G71" s="272">
        <f ca="1">IF(ISERROR(MATCH(G$1,INDIRECT("Table!A"&amp;$AH71):INDIRECT("Table!" &amp; $AK$86 &amp; $AH71),0)),"",INDIRECT(CONCATENATE("Table!",ADDRESS($AD71,MATCH(G$1,INDIRECT("Table!A" &amp; $AH71):INDIRECT("Table!" &amp; $AK$86 &amp; $AH71),0))))/1024)</f>
        <v>440.96144531249996</v>
      </c>
      <c r="H71" s="272">
        <f ca="1">IF(ISERROR(MATCH(H$1,INDIRECT("Table!A"&amp;$AH71):INDIRECT("Table!" &amp; $AK$86 &amp; $AH71),0)),"",INDIRECT(CONCATENATE("Table!",ADDRESS($AD71,MATCH(H$1,INDIRECT("Table!A" &amp; $AH71):INDIRECT("Table!" &amp; $AK$86 &amp; $AH71),0))))/1024)</f>
        <v>111.73042968749999</v>
      </c>
      <c r="I71" s="272">
        <f ca="1">IF(ISERROR(MATCH(I$1,INDIRECT("Table!A"&amp;$AH71):INDIRECT("Table!" &amp; $AK$63 &amp; $AH71),0)),"",INDIRECT(CONCATENATE("Table!",ADDRESS($AD71,MATCH(I$1,INDIRECT("Table!A" &amp; $AH71):INDIRECT("Table!" &amp; $AK$63 &amp; $AH71),0))))/1024)</f>
        <v>9.4178906250000001</v>
      </c>
      <c r="J71" s="272" t="str">
        <f ca="1">IF(ISERROR(MATCH(J$1,INDIRECT("Table!A"&amp;$AH71):INDIRECT("Table!" &amp; $AK$63 &amp; $AH71),0)),"",INDIRECT(CONCATENATE("Table!",ADDRESS($AD71,MATCH(J$1,INDIRECT("Table!A" &amp; $AH71):INDIRECT("Table!" &amp; $AK$63 &amp; $AH71),0))))/1024)</f>
        <v/>
      </c>
      <c r="K71" s="272" t="str">
        <f ca="1">IF(ISERROR(MATCH(K$1,INDIRECT("Table!A"&amp;$AH71):INDIRECT("Table!" &amp; $AK$63 &amp; $AH71),0)),"",INDIRECT(CONCATENATE("Table!",ADDRESS($AD71,MATCH(K$1,INDIRECT("Table!A" &amp; $AH71):INDIRECT("Table!" &amp; $AK$63 &amp; $AH71),0))))/1024)</f>
        <v/>
      </c>
      <c r="L71" s="272">
        <f ca="1">IF(ISERROR(MATCH(L$1,INDIRECT("Table!A"&amp;$AH71):INDIRECT("Table!" &amp; $AK$63 &amp; $AH71),0)),"",INDIRECT(CONCATENATE("Table!",ADDRESS($AD71,MATCH(L$1,INDIRECT("Table!A" &amp; $AH71):INDIRECT("Table!" &amp; $AK$63 &amp; $AH71),0))))/1024)</f>
        <v>274.2055078125</v>
      </c>
      <c r="M71" s="272">
        <f ca="1">IF(ISERROR(MATCH(M$1,INDIRECT("Table!A"&amp;$AH71):INDIRECT("Table!" &amp; $AK$63 &amp; $AH71),0)),"",INDIRECT(CONCATENATE("Table!",ADDRESS($AD71,MATCH(M$1,INDIRECT("Table!A" &amp; $AH71):INDIRECT("Table!" &amp; $AK$63 &amp; $AH71),0))))/1024)</f>
        <v>335.91574218749997</v>
      </c>
      <c r="N71" s="272">
        <f ca="1">IF(ISERROR(MATCH(N$1,INDIRECT("Table!A"&amp;$AH71):INDIRECT("Table!" &amp; $AK$63 &amp; $AH71),0)),"",INDIRECT(CONCATENATE("Table!",ADDRESS($AD71,MATCH(N$1,INDIRECT("Table!A" &amp; $AH71):INDIRECT("Table!" &amp; $AK$63 &amp; $AH71),0))))/1024)</f>
        <v>73.169765624999997</v>
      </c>
      <c r="O71" s="272">
        <f ca="1">IF(ISERROR(MATCH(O$1,INDIRECT("Table!A"&amp;$AH71):INDIRECT("Table!" &amp; $AK$63 &amp; $AH71),0)),"",INDIRECT(CONCATENATE("Table!",ADDRESS($AD71,MATCH(O$1,INDIRECT("Table!A" &amp; $AH71):INDIRECT("Table!" &amp; $AK$63 &amp; $AH71),0))))/1024)</f>
        <v>213.1538671875</v>
      </c>
      <c r="P71" s="272">
        <f ca="1">IF(ISERROR(MATCH(P$1,INDIRECT("Table!A"&amp;$AH71):INDIRECT("Table!" &amp; $AK$63 &amp; $AH71),0)),"",INDIRECT(CONCATENATE("Table!",ADDRESS($AD71,MATCH(P$1,INDIRECT("Table!A" &amp; $AH71):INDIRECT("Table!" &amp; $AK$63 &amp; $AH71),0))))/1024)</f>
        <v>23.8740234375</v>
      </c>
      <c r="Q71" s="272" t="str">
        <f ca="1">IF(ISERROR(MATCH(Q$1,INDIRECT("Table!A"&amp;$AH71):INDIRECT("Table!" &amp; $AK$63 &amp; $AH71),0)),"",INDIRECT(CONCATENATE("Table!",ADDRESS($AD71,MATCH(Q$1,INDIRECT("Table!A" &amp; $AH71):INDIRECT("Table!" &amp; $AK$63 &amp; $AH71),0))))/1024)</f>
        <v/>
      </c>
      <c r="R71" s="272" t="str">
        <f ca="1">IF(ISERROR(MATCH(R$1,INDIRECT("Table!A"&amp;$AH71):INDIRECT("Table!" &amp; $AK$63 &amp; $AH71),0)),"",INDIRECT(CONCATENATE("Table!",ADDRESS($AD71,MATCH(R$1,INDIRECT("Table!A" &amp; $AH71):INDIRECT("Table!" &amp; $AK$63 &amp; $AH71),0))))/1024)</f>
        <v/>
      </c>
      <c r="S71" s="595">
        <f ca="1">IF(ISERROR(MATCH(S$1,INDIRECT("Table!A"&amp;$AH71):INDIRECT("Table!" &amp; $AK$63 &amp; $AH71),0)),"",INDIRECT(CONCATENATE("Table!",ADDRESS($AD71,MATCH(S$1,INDIRECT("Table!A" &amp; $AH71):INDIRECT("Table!" &amp; $AK$63 &amp; $AH71),0))))/1024)</f>
        <v>17.749101562499998</v>
      </c>
      <c r="T71" s="595">
        <f ca="1">IF(ISERROR(MATCH(T$1,INDIRECT("Table!A"&amp;$AH71):INDIRECT("Table!" &amp; $AK$63 &amp; $AH71),0)),"",INDIRECT(CONCATENATE("Table!",ADDRESS($AD71,MATCH(T$1,INDIRECT("Table!A" &amp; $AH71):INDIRECT("Table!" &amp; $AK$63 &amp; $AH71),0))))/1024)</f>
        <v>11.3607421875</v>
      </c>
      <c r="U71" s="272" t="str">
        <f ca="1">IF(ISERROR(MATCH(U$1,INDIRECT("Table!A"&amp;$AH71):INDIRECT("Table!" &amp; $AK$63 &amp; $AH71),0)),"",INDIRECT(CONCATENATE("Table!",ADDRESS($AD71,MATCH(U$1,INDIRECT("Table!A" &amp; $AH71):INDIRECT("Table!" &amp; $AK$63 &amp; $AH71),0))))/1024)</f>
        <v/>
      </c>
      <c r="V71" s="595"/>
      <c r="W71" s="595"/>
      <c r="X71" s="595"/>
      <c r="Y71" s="595"/>
      <c r="Z71" s="595"/>
      <c r="AA71" s="595"/>
      <c r="AB71" s="595"/>
      <c r="AC71" s="595"/>
      <c r="AD71" s="272">
        <f>MATCH($A71,Table!$A:$A,0)+$AF$2-1</f>
        <v>901</v>
      </c>
      <c r="AE71" s="337"/>
      <c r="AF71" s="337"/>
      <c r="AG71" s="337"/>
      <c r="AH71" s="272">
        <f>MATCH($A71,Table!$A:$A,0)+$AJ$2-1</f>
        <v>893</v>
      </c>
      <c r="AI71" s="337"/>
      <c r="AJ71" s="337"/>
      <c r="AK71" s="904" t="s">
        <v>284</v>
      </c>
      <c r="AL71" s="699">
        <f t="shared" ca="1" si="12"/>
        <v>2378.1820312499999</v>
      </c>
      <c r="AM71" s="699">
        <f t="shared" ca="1" si="10"/>
        <v>3.5893359374999818</v>
      </c>
    </row>
    <row r="72" spans="1:39" s="267" customFormat="1" x14ac:dyDescent="0.25">
      <c r="A72" s="268">
        <v>41340</v>
      </c>
      <c r="B72" s="272">
        <f ca="1">IF(ISERROR(MATCH(B$1,INDIRECT("Table!A"&amp;$AH72):INDIRECT("Table!" &amp; $AK$86 &amp; $AH72),0)),"",INDIRECT(CONCATENATE("Table!",ADDRESS($AD72,MATCH(B$1,INDIRECT("Table!A" &amp; $AH72):INDIRECT("Table!" &amp; $AK$86 &amp; $AH72),0))))/1024)</f>
        <v>185.65757812499999</v>
      </c>
      <c r="C72" s="272">
        <f ca="1">IF(ISERROR(MATCH(C$1,INDIRECT("Table!A"&amp;$AH72):INDIRECT("Table!" &amp; $AK$86 &amp; $AH72),0)),"",INDIRECT(CONCATENATE("Table!",ADDRESS($AD72,MATCH(C$1,INDIRECT("Table!A" &amp; $AH72):INDIRECT("Table!" &amp; $AK$86 &amp; $AH72),0))))/1024)</f>
        <v>86.967304687500004</v>
      </c>
      <c r="D72" s="272">
        <f ca="1">IF(ISERROR(MATCH(D$1,INDIRECT("Table!A"&amp;$AH72):INDIRECT("Table!" &amp; $AK$86 &amp; $AH72),0)),"",INDIRECT(CONCATENATE("Table!",ADDRESS($AD72,MATCH(D$1,INDIRECT("Table!A" &amp; $AH72):INDIRECT("Table!" &amp; $AK$86 &amp; $AH72),0))))/1024)</f>
        <v>87.988124999999997</v>
      </c>
      <c r="E72" s="272">
        <f ca="1">IF(ISERROR(MATCH(E$1,INDIRECT("Table!A"&amp;$AH72):INDIRECT("Table!" &amp; $AK$86 &amp; $AH72),0)),"",INDIRECT(CONCATENATE("Table!",ADDRESS($AD72,MATCH(E$1,INDIRECT("Table!A" &amp; $AH72):INDIRECT("Table!" &amp; $AK$86 &amp; $AH72),0))))/1024)</f>
        <v>271.538203125</v>
      </c>
      <c r="F72" s="272">
        <f ca="1">IF(ISERROR(MATCH(F$1,INDIRECT("Table!A"&amp;$AH72):INDIRECT("Table!" &amp; $AK$86 &amp; $AH72),0)),"",INDIRECT(CONCATENATE("Table!",ADDRESS($AD72,MATCH(F$1,INDIRECT("Table!A" &amp; $AH72):INDIRECT("Table!" &amp; $AK$86 &amp; $AH72),0))))/1024)</f>
        <v>233.076328125</v>
      </c>
      <c r="G72" s="272">
        <f ca="1">IF(ISERROR(MATCH(G$1,INDIRECT("Table!A"&amp;$AH72):INDIRECT("Table!" &amp; $AK$86 &amp; $AH72),0)),"",INDIRECT(CONCATENATE("Table!",ADDRESS($AD72,MATCH(G$1,INDIRECT("Table!A" &amp; $AH72):INDIRECT("Table!" &amp; $AK$86 &amp; $AH72),0))))/1024)</f>
        <v>440.96144531249996</v>
      </c>
      <c r="H72" s="272">
        <f ca="1">IF(ISERROR(MATCH(H$1,INDIRECT("Table!A"&amp;$AH72):INDIRECT("Table!" &amp; $AK$86 &amp; $AH72),0)),"",INDIRECT(CONCATENATE("Table!",ADDRESS($AD72,MATCH(H$1,INDIRECT("Table!A" &amp; $AH72):INDIRECT("Table!" &amp; $AK$86 &amp; $AH72),0))))/1024)</f>
        <v>111.1376953125</v>
      </c>
      <c r="I72" s="272">
        <f ca="1">IF(ISERROR(MATCH(I$1,INDIRECT("Table!A"&amp;$AH72):INDIRECT("Table!" &amp; $AK$63 &amp; $AH72),0)),"",INDIRECT(CONCATENATE("Table!",ADDRESS($AD72,MATCH(I$1,INDIRECT("Table!A" &amp; $AH72):INDIRECT("Table!" &amp; $AK$63 &amp; $AH72),0))))/1024)</f>
        <v>9.4178906250000001</v>
      </c>
      <c r="J72" s="272" t="str">
        <f ca="1">IF(ISERROR(MATCH(J$1,INDIRECT("Table!A"&amp;$AH72):INDIRECT("Table!" &amp; $AK$63 &amp; $AH72),0)),"",INDIRECT(CONCATENATE("Table!",ADDRESS($AD72,MATCH(J$1,INDIRECT("Table!A" &amp; $AH72):INDIRECT("Table!" &amp; $AK$63 &amp; $AH72),0))))/1024)</f>
        <v/>
      </c>
      <c r="K72" s="272" t="str">
        <f ca="1">IF(ISERROR(MATCH(K$1,INDIRECT("Table!A"&amp;$AH72):INDIRECT("Table!" &amp; $AK$63 &amp; $AH72),0)),"",INDIRECT(CONCATENATE("Table!",ADDRESS($AD72,MATCH(K$1,INDIRECT("Table!A" &amp; $AH72):INDIRECT("Table!" &amp; $AK$63 &amp; $AH72),0))))/1024)</f>
        <v/>
      </c>
      <c r="L72" s="272">
        <f ca="1">IF(ISERROR(MATCH(L$1,INDIRECT("Table!A"&amp;$AH72):INDIRECT("Table!" &amp; $AK$63 &amp; $AH72),0)),"",INDIRECT(CONCATENATE("Table!",ADDRESS($AD72,MATCH(L$1,INDIRECT("Table!A" &amp; $AH72):INDIRECT("Table!" &amp; $AK$63 &amp; $AH72),0))))/1024)</f>
        <v>274.2055078125</v>
      </c>
      <c r="M72" s="272">
        <f ca="1">IF(ISERROR(MATCH(M$1,INDIRECT("Table!A"&amp;$AH72):INDIRECT("Table!" &amp; $AK$63 &amp; $AH72),0)),"",INDIRECT(CONCATENATE("Table!",ADDRESS($AD72,MATCH(M$1,INDIRECT("Table!A" &amp; $AH72):INDIRECT("Table!" &amp; $AK$63 &amp; $AH72),0))))/1024)</f>
        <v>335.91574218749997</v>
      </c>
      <c r="N72" s="272">
        <f ca="1">IF(ISERROR(MATCH(N$1,INDIRECT("Table!A"&amp;$AH72):INDIRECT("Table!" &amp; $AK$63 &amp; $AH72),0)),"",INDIRECT(CONCATENATE("Table!",ADDRESS($AD72,MATCH(N$1,INDIRECT("Table!A" &amp; $AH72):INDIRECT("Table!" &amp; $AK$63 &amp; $AH72),0))))/1024)</f>
        <v>73.169765624999997</v>
      </c>
      <c r="O72" s="272">
        <f ca="1">IF(ISERROR(MATCH(O$1,INDIRECT("Table!A"&amp;$AH72):INDIRECT("Table!" &amp; $AK$63 &amp; $AH72),0)),"",INDIRECT(CONCATENATE("Table!",ADDRESS($AD72,MATCH(O$1,INDIRECT("Table!A" &amp; $AH72):INDIRECT("Table!" &amp; $AK$63 &amp; $AH72),0))))/1024)</f>
        <v>212.56113281250001</v>
      </c>
      <c r="P72" s="272">
        <f ca="1">IF(ISERROR(MATCH(P$1,INDIRECT("Table!A"&amp;$AH72):INDIRECT("Table!" &amp; $AK$63 &amp; $AH72),0)),"",INDIRECT(CONCATENATE("Table!",ADDRESS($AD72,MATCH(P$1,INDIRECT("Table!A" &amp; $AH72):INDIRECT("Table!" &amp; $AK$63 &amp; $AH72),0))))/1024)</f>
        <v>23.8740234375</v>
      </c>
      <c r="Q72" s="272" t="str">
        <f ca="1">IF(ISERROR(MATCH(Q$1,INDIRECT("Table!A"&amp;$AH72):INDIRECT("Table!" &amp; $AK$63 &amp; $AH72),0)),"",INDIRECT(CONCATENATE("Table!",ADDRESS($AD72,MATCH(Q$1,INDIRECT("Table!A" &amp; $AH72):INDIRECT("Table!" &amp; $AK$63 &amp; $AH72),0))))/1024)</f>
        <v/>
      </c>
      <c r="R72" s="272" t="str">
        <f ca="1">IF(ISERROR(MATCH(R$1,INDIRECT("Table!A"&amp;$AH72):INDIRECT("Table!" &amp; $AK$63 &amp; $AH72),0)),"",INDIRECT(CONCATENATE("Table!",ADDRESS($AD72,MATCH(R$1,INDIRECT("Table!A" &amp; $AH72):INDIRECT("Table!" &amp; $AK$63 &amp; $AH72),0))))/1024)</f>
        <v/>
      </c>
      <c r="S72" s="595">
        <f ca="1">IF(ISERROR(MATCH(S$1,INDIRECT("Table!A"&amp;$AH72):INDIRECT("Table!" &amp; $AK$63 &amp; $AH72),0)),"",INDIRECT(CONCATENATE("Table!",ADDRESS($AD72,MATCH(S$1,INDIRECT("Table!A" &amp; $AH72):INDIRECT("Table!" &amp; $AK$63 &amp; $AH72),0))))/1024)</f>
        <v>17.749101562499998</v>
      </c>
      <c r="T72" s="595">
        <f ca="1">IF(ISERROR(MATCH(T$1,INDIRECT("Table!A"&amp;$AH72):INDIRECT("Table!" &amp; $AK$63 &amp; $AH72),0)),"",INDIRECT(CONCATENATE("Table!",ADDRESS($AD72,MATCH(T$1,INDIRECT("Table!A" &amp; $AH72):INDIRECT("Table!" &amp; $AK$63 &amp; $AH72),0))))/1024)</f>
        <v>10.372851562499999</v>
      </c>
      <c r="U72" s="272" t="str">
        <f ca="1">IF(ISERROR(MATCH(U$1,INDIRECT("Table!A"&amp;$AH72):INDIRECT("Table!" &amp; $AK$63 &amp; $AH72),0)),"",INDIRECT(CONCATENATE("Table!",ADDRESS($AD72,MATCH(U$1,INDIRECT("Table!A" &amp; $AH72):INDIRECT("Table!" &amp; $AK$63 &amp; $AH72),0))))/1024)</f>
        <v/>
      </c>
      <c r="V72" s="595"/>
      <c r="W72" s="595"/>
      <c r="X72" s="595"/>
      <c r="Y72" s="595"/>
      <c r="Z72" s="595"/>
      <c r="AA72" s="595"/>
      <c r="AB72" s="595"/>
      <c r="AC72" s="595"/>
      <c r="AD72" s="272">
        <f>MATCH($A72,Table!$A:$A,0)+$AF$2-1</f>
        <v>913</v>
      </c>
      <c r="AE72" s="290"/>
      <c r="AF72" s="290"/>
      <c r="AG72" s="290"/>
      <c r="AH72" s="272">
        <f>MATCH($A72,Table!$A:$A,0)+$AJ$2-1</f>
        <v>905</v>
      </c>
      <c r="AI72" s="290"/>
      <c r="AJ72" s="290"/>
      <c r="AK72" s="904" t="s">
        <v>284</v>
      </c>
      <c r="AL72" s="699">
        <f t="shared" ca="1" si="12"/>
        <v>2374.5926953124999</v>
      </c>
      <c r="AM72" s="699">
        <f t="shared" ca="1" si="10"/>
        <v>41.524335937499927</v>
      </c>
    </row>
    <row r="73" spans="1:39" s="267" customFormat="1" x14ac:dyDescent="0.25">
      <c r="A73" s="268">
        <v>41337</v>
      </c>
      <c r="B73" s="272">
        <f ca="1">IF(ISERROR(MATCH(B$1,INDIRECT("Table!A"&amp;$AH73):INDIRECT("Table!" &amp; $AK$86 &amp; $AH73),0)),"",INDIRECT(CONCATENATE("Table!",ADDRESS($AD73,MATCH(B$1,INDIRECT("Table!A" &amp; $AH73):INDIRECT("Table!" &amp; $AK$86 &amp; $AH73),0))))/1024)</f>
        <v>185.65757812499999</v>
      </c>
      <c r="C73" s="272">
        <f ca="1">IF(ISERROR(MATCH(C$1,INDIRECT("Table!A"&amp;$AH73):INDIRECT("Table!" &amp; $AK$86 &amp; $AH73),0)),"",INDIRECT(CONCATENATE("Table!",ADDRESS($AD73,MATCH(C$1,INDIRECT("Table!A" &amp; $AH73):INDIRECT("Table!" &amp; $AK$86 &amp; $AH73),0))))/1024)</f>
        <v>86.967304687500004</v>
      </c>
      <c r="D73" s="272">
        <f ca="1">IF(ISERROR(MATCH(D$1,INDIRECT("Table!A"&amp;$AH73):INDIRECT("Table!" &amp; $AK$86 &amp; $AH73),0)),"",INDIRECT(CONCATENATE("Table!",ADDRESS($AD73,MATCH(D$1,INDIRECT("Table!A" &amp; $AH73):INDIRECT("Table!" &amp; $AK$86 &amp; $AH73),0))))/1024)</f>
        <v>87.988124999999997</v>
      </c>
      <c r="E73" s="272">
        <f ca="1">IF(ISERROR(MATCH(E$1,INDIRECT("Table!A"&amp;$AH73):INDIRECT("Table!" &amp; $AK$86 &amp; $AH73),0)),"",INDIRECT(CONCATENATE("Table!",ADDRESS($AD73,MATCH(E$1,INDIRECT("Table!A" &amp; $AH73):INDIRECT("Table!" &amp; $AK$86 &amp; $AH73),0))))/1024)</f>
        <v>271.538203125</v>
      </c>
      <c r="F73" s="272">
        <f ca="1">IF(ISERROR(MATCH(F$1,INDIRECT("Table!A"&amp;$AH73):INDIRECT("Table!" &amp; $AK$86 &amp; $AH73),0)),"",INDIRECT(CONCATENATE("Table!",ADDRESS($AD73,MATCH(F$1,INDIRECT("Table!A" &amp; $AH73):INDIRECT("Table!" &amp; $AK$86 &amp; $AH73),0))))/1024)</f>
        <v>232.48359374999998</v>
      </c>
      <c r="G73" s="272">
        <f ca="1">IF(ISERROR(MATCH(G$1,INDIRECT("Table!A"&amp;$AH73):INDIRECT("Table!" &amp; $AK$86 &amp; $AH73),0)),"",INDIRECT(CONCATENATE("Table!",ADDRESS($AD73,MATCH(G$1,INDIRECT("Table!A" &amp; $AH73):INDIRECT("Table!" &amp; $AK$86 &amp; $AH73),0))))/1024)</f>
        <v>440.96144531249996</v>
      </c>
      <c r="H73" s="272">
        <f ca="1">IF(ISERROR(MATCH(H$1,INDIRECT("Table!A"&amp;$AH73):INDIRECT("Table!" &amp; $AK$86 &amp; $AH73),0)),"",INDIRECT(CONCATENATE("Table!",ADDRESS($AD73,MATCH(H$1,INDIRECT("Table!A" &amp; $AH73):INDIRECT("Table!" &amp; $AK$86 &amp; $AH73),0))))/1024)</f>
        <v>111.1376953125</v>
      </c>
      <c r="I73" s="272">
        <f ca="1">IF(ISERROR(MATCH(I$1,INDIRECT("Table!A"&amp;$AH73):INDIRECT("Table!" &amp; $AK$63 &amp; $AH73),0)),"",INDIRECT(CONCATENATE("Table!",ADDRESS($AD73,MATCH(I$1,INDIRECT("Table!A" &amp; $AH73):INDIRECT("Table!" &amp; $AK$63 &amp; $AH73),0))))/1024)</f>
        <v>9.4178906250000001</v>
      </c>
      <c r="J73" s="272" t="str">
        <f ca="1">IF(ISERROR(MATCH(J$1,INDIRECT("Table!A"&amp;$AH73):INDIRECT("Table!" &amp; $AK$63 &amp; $AH73),0)),"",INDIRECT(CONCATENATE("Table!",ADDRESS($AD73,MATCH(J$1,INDIRECT("Table!A" &amp; $AH73):INDIRECT("Table!" &amp; $AK$63 &amp; $AH73),0))))/1024)</f>
        <v/>
      </c>
      <c r="K73" s="272" t="str">
        <f ca="1">IF(ISERROR(MATCH(K$1,INDIRECT("Table!A"&amp;$AH73):INDIRECT("Table!" &amp; $AK$63 &amp; $AH73),0)),"",INDIRECT(CONCATENATE("Table!",ADDRESS($AD73,MATCH(K$1,INDIRECT("Table!A" &amp; $AH73):INDIRECT("Table!" &amp; $AK$63 &amp; $AH73),0))))/1024)</f>
        <v/>
      </c>
      <c r="L73" s="272">
        <f ca="1">IF(ISERROR(MATCH(L$1,INDIRECT("Table!A"&amp;$AH73):INDIRECT("Table!" &amp; $AK$63 &amp; $AH73),0)),"",INDIRECT(CONCATENATE("Table!",ADDRESS($AD73,MATCH(L$1,INDIRECT("Table!A" &amp; $AH73):INDIRECT("Table!" &amp; $AK$63 &amp; $AH73),0))))/1024)</f>
        <v>274.60066406250002</v>
      </c>
      <c r="M73" s="272">
        <f ca="1">IF(ISERROR(MATCH(M$1,INDIRECT("Table!A"&amp;$AH73):INDIRECT("Table!" &amp; $AK$63 &amp; $AH73),0)),"",INDIRECT(CONCATENATE("Table!",ADDRESS($AD73,MATCH(M$1,INDIRECT("Table!A" &amp; $AH73):INDIRECT("Table!" &amp; $AK$63 &amp; $AH73),0))))/1024)</f>
        <v>323.30367187499996</v>
      </c>
      <c r="N73" s="272">
        <f ca="1">IF(ISERROR(MATCH(N$1,INDIRECT("Table!A"&amp;$AH73):INDIRECT("Table!" &amp; $AK$63 &amp; $AH73),0)),"",INDIRECT(CONCATENATE("Table!",ADDRESS($AD73,MATCH(N$1,INDIRECT("Table!A" &amp; $AH73):INDIRECT("Table!" &amp; $AK$63 &amp; $AH73),0))))/1024)</f>
        <v>72.577031249999976</v>
      </c>
      <c r="O73" s="272">
        <f ca="1">IF(ISERROR(MATCH(O$1,INDIRECT("Table!A"&amp;$AH73):INDIRECT("Table!" &amp; $AK$63 &amp; $AH73),0)),"",INDIRECT(CONCATENATE("Table!",ADDRESS($AD73,MATCH(O$1,INDIRECT("Table!A" &amp; $AH73):INDIRECT("Table!" &amp; $AK$63 &amp; $AH73),0))))/1024)</f>
        <v>212.56113281250001</v>
      </c>
      <c r="P73" s="272">
        <f ca="1">IF(ISERROR(MATCH(P$1,INDIRECT("Table!A"&amp;$AH73):INDIRECT("Table!" &amp; $AK$63 &amp; $AH73),0)),"",INDIRECT(CONCATENATE("Table!",ADDRESS($AD73,MATCH(P$1,INDIRECT("Table!A" &amp; $AH73):INDIRECT("Table!" &amp; $AK$63 &amp; $AH73),0))))/1024)</f>
        <v>23.8740234375</v>
      </c>
      <c r="Q73" s="272" t="str">
        <f ca="1">IF(ISERROR(MATCH(Q$1,INDIRECT("Table!A"&amp;$AH73):INDIRECT("Table!" &amp; $AK$63 &amp; $AH73),0)),"",INDIRECT(CONCATENATE("Table!",ADDRESS($AD73,MATCH(Q$1,INDIRECT("Table!A" &amp; $AH73):INDIRECT("Table!" &amp; $AK$63 &amp; $AH73),0))))/1024)</f>
        <v/>
      </c>
      <c r="R73" s="272" t="str">
        <f ca="1">IF(ISERROR(MATCH(R$1,INDIRECT("Table!A"&amp;$AH73):INDIRECT("Table!" &amp; $AK$63 &amp; $AH73),0)),"",INDIRECT(CONCATENATE("Table!",ADDRESS($AD73,MATCH(R$1,INDIRECT("Table!A" &amp; $AH73):INDIRECT("Table!" &amp; $AK$63 &amp; $AH73),0))))/1024)</f>
        <v/>
      </c>
      <c r="S73" s="595" t="str">
        <f ca="1">IF(ISERROR(MATCH(S$1,INDIRECT("Table!A"&amp;$AH73):INDIRECT("Table!" &amp; $AK$63 &amp; $AH73),0)),"",INDIRECT(CONCATENATE("Table!",ADDRESS($AD73,MATCH(S$1,INDIRECT("Table!A" &amp; $AH73):INDIRECT("Table!" &amp; $AK$63 &amp; $AH73),0))))/1024)</f>
        <v/>
      </c>
      <c r="T73" s="595" t="str">
        <f ca="1">IF(ISERROR(MATCH(T$1,INDIRECT("Table!A"&amp;$AH73):INDIRECT("Table!" &amp; $AK$63 &amp; $AH73),0)),"",INDIRECT(CONCATENATE("Table!",ADDRESS($AD73,MATCH(T$1,INDIRECT("Table!A" &amp; $AH73):INDIRECT("Table!" &amp; $AK$63 &amp; $AH73),0))))/1024)</f>
        <v/>
      </c>
      <c r="U73" s="272" t="str">
        <f ca="1">IF(ISERROR(MATCH(U$1,INDIRECT("Table!A"&amp;$AH73):INDIRECT("Table!" &amp; $AK$63 &amp; $AH73),0)),"",INDIRECT(CONCATENATE("Table!",ADDRESS($AD73,MATCH(U$1,INDIRECT("Table!A" &amp; $AH73):INDIRECT("Table!" &amp; $AK$63 &amp; $AH73),0))))/1024)</f>
        <v/>
      </c>
      <c r="V73" s="595"/>
      <c r="W73" s="595"/>
      <c r="X73" s="595"/>
      <c r="Y73" s="595"/>
      <c r="Z73" s="595"/>
      <c r="AA73" s="595"/>
      <c r="AB73" s="595"/>
      <c r="AC73" s="595"/>
      <c r="AD73" s="272">
        <f>MATCH($A73,Table!$A:$A,0)+$AF$2-1</f>
        <v>925</v>
      </c>
      <c r="AE73" s="269"/>
      <c r="AF73" s="269"/>
      <c r="AG73" s="269"/>
      <c r="AH73" s="272">
        <f>MATCH($A73,Table!$A:$A,0)+$AJ$2-1</f>
        <v>917</v>
      </c>
      <c r="AI73" s="269"/>
      <c r="AJ73" s="269"/>
      <c r="AK73" s="904" t="s">
        <v>284</v>
      </c>
      <c r="AL73" s="699">
        <f t="shared" ca="1" si="12"/>
        <v>2333.068359375</v>
      </c>
      <c r="AM73" s="699">
        <f t="shared" ca="1" si="10"/>
        <v>-57.067148437499782</v>
      </c>
    </row>
    <row r="74" spans="1:39" s="267" customFormat="1" x14ac:dyDescent="0.25">
      <c r="A74" s="268">
        <v>41334</v>
      </c>
      <c r="B74" s="272">
        <f ca="1">IF(ISERROR(MATCH(B$1,INDIRECT("Table!A"&amp;$AH74):INDIRECT("Table!" &amp; $AK$86 &amp; $AH74),0)),"",INDIRECT(CONCATENATE("Table!",ADDRESS($AD74,MATCH(B$1,INDIRECT("Table!A" &amp; $AH74):INDIRECT("Table!" &amp; $AK$86 &amp; $AH74),0))))/1024)</f>
        <v>185.65757812499999</v>
      </c>
      <c r="C74" s="272">
        <f ca="1">IF(ISERROR(MATCH(C$1,INDIRECT("Table!A"&amp;$AH74):INDIRECT("Table!" &amp; $AK$86 &amp; $AH74),0)),"",INDIRECT(CONCATENATE("Table!",ADDRESS($AD74,MATCH(C$1,INDIRECT("Table!A" &amp; $AH74):INDIRECT("Table!" &amp; $AK$86 &amp; $AH74),0))))/1024)</f>
        <v>87.494179687499994</v>
      </c>
      <c r="D74" s="272">
        <f ca="1">IF(ISERROR(MATCH(D$1,INDIRECT("Table!A"&amp;$AH74):INDIRECT("Table!" &amp; $AK$86 &amp; $AH74),0)),"",INDIRECT(CONCATENATE("Table!",ADDRESS($AD74,MATCH(D$1,INDIRECT("Table!A" &amp; $AH74):INDIRECT("Table!" &amp; $AK$86 &amp; $AH74),0))))/1024)</f>
        <v>88.119843750000001</v>
      </c>
      <c r="E74" s="272">
        <f ca="1">IF(ISERROR(MATCH(E$1,INDIRECT("Table!A"&amp;$AH74):INDIRECT("Table!" &amp; $AK$86 &amp; $AH74),0)),"",INDIRECT(CONCATENATE("Table!",ADDRESS($AD74,MATCH(E$1,INDIRECT("Table!A" &amp; $AH74):INDIRECT("Table!" &amp; $AK$86 &amp; $AH74),0))))/1024)</f>
        <v>271.538203125</v>
      </c>
      <c r="F74" s="272">
        <f ca="1">IF(ISERROR(MATCH(F$1,INDIRECT("Table!A"&amp;$AH74):INDIRECT("Table!" &amp; $AK$86 &amp; $AH74),0)),"",INDIRECT(CONCATENATE("Table!",ADDRESS($AD74,MATCH(F$1,INDIRECT("Table!A" &amp; $AH74):INDIRECT("Table!" &amp; $AK$86 &amp; $AH74),0))))/1024)</f>
        <v>232.48359374999998</v>
      </c>
      <c r="G74" s="272">
        <f ca="1">IF(ISERROR(MATCH(G$1,INDIRECT("Table!A"&amp;$AH74):INDIRECT("Table!" &amp; $AK$86 &amp; $AH74),0)),"",INDIRECT(CONCATENATE("Table!",ADDRESS($AD74,MATCH(G$1,INDIRECT("Table!A" &amp; $AH74):INDIRECT("Table!" &amp; $AK$86 &amp; $AH74),0))))/1024)</f>
        <v>440.96144531249996</v>
      </c>
      <c r="H74" s="272">
        <f ca="1">IF(ISERROR(MATCH(H$1,INDIRECT("Table!A"&amp;$AH74):INDIRECT("Table!" &amp; $AK$86 &amp; $AH74),0)),"",INDIRECT(CONCATENATE("Table!",ADDRESS($AD74,MATCH(H$1,INDIRECT("Table!A" &amp; $AH74):INDIRECT("Table!" &amp; $AK$86 &amp; $AH74),0))))/1024)</f>
        <v>110.64374999999998</v>
      </c>
      <c r="I74" s="272" t="str">
        <f ca="1">IF(ISERROR(MATCH(I$1,INDIRECT("Table!A"&amp;$AH74):INDIRECT("Table!" &amp; $AK$63 &amp; $AH74),0)),"",INDIRECT(CONCATENATE("Table!",ADDRESS($AD74,MATCH(I$1,INDIRECT("Table!A" &amp; $AH74):INDIRECT("Table!" &amp; $AK$63 &amp; $AH74),0))))/1024)</f>
        <v/>
      </c>
      <c r="J74" s="272" t="str">
        <f ca="1">IF(ISERROR(MATCH(J$1,INDIRECT("Table!A"&amp;$AH74):INDIRECT("Table!" &amp; $AK$63 &amp; $AH74),0)),"",INDIRECT(CONCATENATE("Table!",ADDRESS($AD74,MATCH(J$1,INDIRECT("Table!A" &amp; $AH74):INDIRECT("Table!" &amp; $AK$63 &amp; $AH74),0))))/1024)</f>
        <v/>
      </c>
      <c r="K74" s="272" t="str">
        <f ca="1">IF(ISERROR(MATCH(K$1,INDIRECT("Table!A"&amp;$AH74):INDIRECT("Table!" &amp; $AK$63 &amp; $AH74),0)),"",INDIRECT(CONCATENATE("Table!",ADDRESS($AD74,MATCH(K$1,INDIRECT("Table!A" &amp; $AH74):INDIRECT("Table!" &amp; $AK$63 &amp; $AH74),0))))/1024)</f>
        <v/>
      </c>
      <c r="L74" s="272">
        <f ca="1">IF(ISERROR(MATCH(L$1,INDIRECT("Table!A"&amp;$AH74):INDIRECT("Table!" &amp; $AK$63 &amp; $AH74),0)),"",INDIRECT(CONCATENATE("Table!",ADDRESS($AD74,MATCH(L$1,INDIRECT("Table!A" &amp; $AH74):INDIRECT("Table!" &amp; $AK$63 &amp; $AH74),0))))/1024)</f>
        <v>274.60066406250002</v>
      </c>
      <c r="M74" s="272">
        <f ca="1">IF(ISERROR(MATCH(M$1,INDIRECT("Table!A"&amp;$AH74):INDIRECT("Table!" &amp; $AK$86 &amp; $AH74),0)),"",INDIRECT(CONCATENATE("Table!",ADDRESS($AD74,MATCH(M$1,INDIRECT("Table!A" &amp; $AH74):INDIRECT("Table!" &amp; $AK$86 &amp; $AH74),0))))/1024)</f>
        <v>323.30367187499996</v>
      </c>
      <c r="N74" s="272">
        <f ca="1">IF(ISERROR(MATCH(N$1,INDIRECT("Table!A"&amp;$AH74):INDIRECT("Table!" &amp; $AK$63 &amp; $AH74),0)),"",INDIRECT(CONCATENATE("Table!",ADDRESS($AD74,MATCH(N$1,INDIRECT("Table!A" &amp; $AH74):INDIRECT("Table!" &amp; $AK$63 &amp; $AH74),0))))/1024)</f>
        <v>122.36671874999999</v>
      </c>
      <c r="O74" s="272">
        <f ca="1">IF(ISERROR(MATCH(O$1,INDIRECT("Table!A"&amp;$AH74):INDIRECT("Table!" &amp; $AK$63 &amp; $AH74),0)),"",INDIRECT(CONCATENATE("Table!",ADDRESS($AD74,MATCH(O$1,INDIRECT("Table!A" &amp; $AH74):INDIRECT("Table!" &amp; $AK$63 &amp; $AH74),0))))/1024)</f>
        <v>252.96585937500001</v>
      </c>
      <c r="P74" s="272" t="str">
        <f ca="1">IF(ISERROR(MATCH(P$1,INDIRECT("Table!A"&amp;$AH74):INDIRECT("Table!" &amp; $AK$63 &amp; $AH74),0)),"",INDIRECT(CONCATENATE("Table!",ADDRESS($AD74,MATCH(P$1,INDIRECT("Table!A" &amp; $AH74):INDIRECT("Table!" &amp; $AK$63 &amp; $AH74),0))))/1024)</f>
        <v/>
      </c>
      <c r="Q74" s="272" t="str">
        <f ca="1">IF(ISERROR(MATCH(Q$1,INDIRECT("Table!A"&amp;$AH74):INDIRECT("Table!" &amp; $AK$63 &amp; $AH74),0)),"",INDIRECT(CONCATENATE("Table!",ADDRESS($AD74,MATCH(Q$1,INDIRECT("Table!A" &amp; $AH74):INDIRECT("Table!" &amp; $AK$63 &amp; $AH74),0))))/1024)</f>
        <v/>
      </c>
      <c r="R74" s="272" t="str">
        <f ca="1">IF(ISERROR(MATCH(R$1,INDIRECT("Table!A"&amp;$AH74):INDIRECT("Table!" &amp; $AK$63 &amp; $AH74),0)),"",INDIRECT(CONCATENATE("Table!",ADDRESS($AD74,MATCH(R$1,INDIRECT("Table!A" &amp; $AH74):INDIRECT("Table!" &amp; $AK$63 &amp; $AH74),0))))/1024)</f>
        <v/>
      </c>
      <c r="S74" s="595"/>
      <c r="T74" s="697"/>
      <c r="U74" s="272"/>
      <c r="V74" s="595"/>
      <c r="W74" s="595"/>
      <c r="X74" s="595"/>
      <c r="Y74" s="595"/>
      <c r="Z74" s="595"/>
      <c r="AA74" s="595"/>
      <c r="AB74" s="595"/>
      <c r="AC74" s="595"/>
      <c r="AD74" s="272">
        <f>MATCH($A74,Table!$A:$A,0)+$AF$2-1</f>
        <v>937</v>
      </c>
      <c r="AE74" s="269"/>
      <c r="AF74" s="269"/>
      <c r="AG74" s="269"/>
      <c r="AH74" s="272">
        <f>MATCH($A74,Table!$A:$A,0)+$AJ$2-1</f>
        <v>929</v>
      </c>
      <c r="AI74" s="269"/>
      <c r="AJ74" s="269"/>
      <c r="AK74" s="904" t="s">
        <v>284</v>
      </c>
      <c r="AL74" s="699">
        <f t="shared" ca="1" si="12"/>
        <v>2390.1355078124998</v>
      </c>
      <c r="AM74" s="699">
        <f t="shared" ca="1" si="10"/>
        <v>14.060976562499945</v>
      </c>
    </row>
    <row r="75" spans="1:39" x14ac:dyDescent="0.25">
      <c r="A75" s="4">
        <v>41330</v>
      </c>
      <c r="B75" s="22">
        <f ca="1">IF(ISERROR(MATCH(B$1,INDIRECT("Table!A"&amp;$AH75):INDIRECT("Table!" &amp; $AK$86 &amp; $AH75),0)),"",INDIRECT(CONCATENATE("Table!",ADDRESS($AD75,MATCH(B$1,INDIRECT("Table!A" &amp; $AH75):INDIRECT("Table!" &amp; $AK$86 &amp; $AH75),0))))/1024)</f>
        <v>185.65757812499999</v>
      </c>
      <c r="C75" s="22">
        <f ca="1">IF(ISERROR(MATCH(C$1,INDIRECT("Table!A"&amp;$AH75):INDIRECT("Table!" &amp; $AK$86 &amp; $AH75),0)),"",INDIRECT(CONCATENATE("Table!",ADDRESS($AD75,MATCH(C$1,INDIRECT("Table!A" &amp; $AH75):INDIRECT("Table!" &amp; $AK$86 &amp; $AH75),0))))/1024)</f>
        <v>87.494179687499994</v>
      </c>
      <c r="D75" s="22">
        <f ca="1">IF(ISERROR(MATCH(D$1,INDIRECT("Table!A"&amp;$AH75):INDIRECT("Table!" &amp; $AK$86 &amp; $AH75),0)),"",INDIRECT(CONCATENATE("Table!",ADDRESS($AD75,MATCH(D$1,INDIRECT("Table!A" &amp; $AH75):INDIRECT("Table!" &amp; $AK$86 &amp; $AH75),0))))/1024)</f>
        <v>88.119843750000001</v>
      </c>
      <c r="E75" s="22">
        <f ca="1">IF(ISERROR(MATCH(E$1,INDIRECT("Table!A"&amp;$AH75):INDIRECT("Table!" &amp; $AK$86 &amp; $AH75),0)),"",INDIRECT(CONCATENATE("Table!",ADDRESS($AD75,MATCH(E$1,INDIRECT("Table!A" &amp; $AH75):INDIRECT("Table!" &amp; $AK$86 &amp; $AH75),0))))/1024)</f>
        <v>271.538203125</v>
      </c>
      <c r="F75" s="22">
        <f ca="1">IF(ISERROR(MATCH(F$1,INDIRECT("Table!A"&amp;$AH75):INDIRECT("Table!" &amp; $AK$86 &amp; $AH75),0)),"",INDIRECT(CONCATENATE("Table!",ADDRESS($AD75,MATCH(F$1,INDIRECT("Table!A" &amp; $AH75):INDIRECT("Table!" &amp; $AK$86 &amp; $AH75),0))))/1024)</f>
        <v>231.49570312500001</v>
      </c>
      <c r="G75" s="22">
        <f ca="1">IF(ISERROR(MATCH(G$1,INDIRECT("Table!A"&amp;$AH75):INDIRECT("Table!" &amp; $AK$86 &amp; $AH75),0)),"",INDIRECT(CONCATENATE("Table!",ADDRESS($AD75,MATCH(G$1,INDIRECT("Table!A" &amp; $AH75):INDIRECT("Table!" &amp; $AK$86 &amp; $AH75),0))))/1024)</f>
        <v>440.3687109375</v>
      </c>
      <c r="H75" s="22">
        <f ca="1">IF(ISERROR(MATCH(H$1,INDIRECT("Table!A"&amp;$AH75):INDIRECT("Table!" &amp; $AK$86 &amp; $AH75),0)),"",INDIRECT(CONCATENATE("Table!",ADDRESS($AD75,MATCH(H$1,INDIRECT("Table!A" &amp; $AH75):INDIRECT("Table!" &amp; $AK$86 &amp; $AH75),0))))/1024)</f>
        <v>109.26070312499999</v>
      </c>
      <c r="K75" s="272"/>
      <c r="L75" s="22">
        <f ca="1">IF(ISERROR(MATCH(L$1,INDIRECT("Table!A"&amp;$AH75):INDIRECT("Table!" &amp; $AK$86 &amp; $AH75),0)),"",INDIRECT(CONCATENATE("Table!",ADDRESS($AD75,MATCH(L$1,INDIRECT("Table!A" &amp; $AH75):INDIRECT("Table!" &amp; $AK$86 &amp; $AH75),0))))/1024)</f>
        <v>264.49124999999998</v>
      </c>
      <c r="M75" s="22">
        <f ca="1">IF(ISERROR(MATCH(M$1,INDIRECT("Table!A"&amp;$AH75):INDIRECT("Table!" &amp; $AK$86 &amp; $AH75),0)),"",INDIRECT(CONCATENATE("Table!",ADDRESS($AD75,MATCH(M$1,INDIRECT("Table!A" &amp; $AH75):INDIRECT("Table!" &amp; $AK$86 &amp; $AH75),0))))/1024)</f>
        <v>323.30367187499996</v>
      </c>
      <c r="N75" s="22">
        <f ca="1">IF(ISERROR(MATCH(N$1,INDIRECT("Table!A"&amp;$AH75):INDIRECT("Table!" &amp; $AK$86 &amp; $AH75),0)),"",INDIRECT(CONCATENATE("Table!",ADDRESS($AD75,MATCH(N$1,INDIRECT("Table!A" &amp; $AH75):INDIRECT("Table!" &amp; $AK$86 &amp; $AH75),0))))/1024)</f>
        <v>121.378828125</v>
      </c>
      <c r="O75" s="22">
        <f ca="1">IF(ISERROR(MATCH(O$1,INDIRECT("Table!A"&amp;$AH75):INDIRECT("Table!" &amp; $AK$86 &amp; $AH75),0)),"",INDIRECT(CONCATENATE("Table!",ADDRESS($AD75,MATCH(O$1,INDIRECT("Table!A" &amp; $AH75):INDIRECT("Table!" &amp; $AK$86 &amp; $AH75),0))))/1024)</f>
        <v>252.96585937500001</v>
      </c>
      <c r="P75" s="22"/>
      <c r="Q75" s="272"/>
      <c r="R75" s="272"/>
      <c r="S75" s="595"/>
      <c r="U75" s="22"/>
      <c r="V75" s="595"/>
      <c r="W75" s="595"/>
      <c r="X75" s="595"/>
      <c r="Y75" s="595"/>
      <c r="Z75" s="595"/>
      <c r="AA75" s="595"/>
      <c r="AB75" s="595"/>
      <c r="AC75" s="595"/>
      <c r="AD75" s="22">
        <f>MATCH($A75,Table!$A:$A,0)+$AF$2-1</f>
        <v>949</v>
      </c>
      <c r="AE75" s="258"/>
      <c r="AF75" s="258"/>
      <c r="AG75" s="258"/>
      <c r="AH75" s="22">
        <f>MATCH($A75,Table!$A:$A,0)+$AJ$2-1</f>
        <v>941</v>
      </c>
      <c r="AI75" s="258"/>
      <c r="AJ75" s="258"/>
      <c r="AK75" s="904" t="s">
        <v>284</v>
      </c>
      <c r="AL75" s="699">
        <f t="shared" ca="1" si="12"/>
        <v>2376.0745312499998</v>
      </c>
      <c r="AM75" s="699">
        <f t="shared" ca="1" si="10"/>
        <v>0</v>
      </c>
    </row>
    <row r="76" spans="1:39" x14ac:dyDescent="0.25">
      <c r="A76" s="4">
        <v>41327</v>
      </c>
      <c r="B76" s="22">
        <f ca="1">IF(ISERROR(MATCH(B$1,INDIRECT("Table!A"&amp;$AH76):INDIRECT("Table!" &amp; $AK$86 &amp; $AH76),0)),"",INDIRECT(CONCATENATE("Table!",ADDRESS($AD76,MATCH(B$1,INDIRECT("Table!A" &amp; $AH76):INDIRECT("Table!" &amp; $AK$86 &amp; $AH76),0))))/1024)</f>
        <v>185.65757812499999</v>
      </c>
      <c r="C76" s="22">
        <f ca="1">IF(ISERROR(MATCH(C$1,INDIRECT("Table!A"&amp;$AH76):INDIRECT("Table!" &amp; $AK$86 &amp; $AH76),0)),"",INDIRECT(CONCATENATE("Table!",ADDRESS($AD76,MATCH(C$1,INDIRECT("Table!A" &amp; $AH76):INDIRECT("Table!" &amp; $AK$86 &amp; $AH76),0))))/1024)</f>
        <v>87.494179687499994</v>
      </c>
      <c r="D76" s="22">
        <f ca="1">IF(ISERROR(MATCH(D$1,INDIRECT("Table!A"&amp;$AH76):INDIRECT("Table!" &amp; $AK$86 &amp; $AH76),0)),"",INDIRECT(CONCATENATE("Table!",ADDRESS($AD76,MATCH(D$1,INDIRECT("Table!A" &amp; $AH76):INDIRECT("Table!" &amp; $AK$86 &amp; $AH76),0))))/1024)</f>
        <v>88.119843750000001</v>
      </c>
      <c r="E76" s="22">
        <f ca="1">IF(ISERROR(MATCH(E$1,INDIRECT("Table!A"&amp;$AH76):INDIRECT("Table!" &amp; $AK$86 &amp; $AH76),0)),"",INDIRECT(CONCATENATE("Table!",ADDRESS($AD76,MATCH(E$1,INDIRECT("Table!A" &amp; $AH76):INDIRECT("Table!" &amp; $AK$86 &amp; $AH76),0))))/1024)</f>
        <v>271.538203125</v>
      </c>
      <c r="F76" s="22">
        <f ca="1">IF(ISERROR(MATCH(F$1,INDIRECT("Table!A"&amp;$AH76):INDIRECT("Table!" &amp; $AK$86 &amp; $AH76),0)),"",INDIRECT(CONCATENATE("Table!",ADDRESS($AD76,MATCH(F$1,INDIRECT("Table!A" &amp; $AH76):INDIRECT("Table!" &amp; $AK$86 &amp; $AH76),0))))/1024)</f>
        <v>231.49570312500001</v>
      </c>
      <c r="G76" s="22">
        <f ca="1">IF(ISERROR(MATCH(G$1,INDIRECT("Table!A"&amp;$AH76):INDIRECT("Table!" &amp; $AK$86 &amp; $AH76),0)),"",INDIRECT(CONCATENATE("Table!",ADDRESS($AD76,MATCH(G$1,INDIRECT("Table!A" &amp; $AH76):INDIRECT("Table!" &amp; $AK$86 &amp; $AH76),0))))/1024)</f>
        <v>440.3687109375</v>
      </c>
      <c r="H76" s="22">
        <f ca="1">IF(ISERROR(MATCH(H$1,INDIRECT("Table!A"&amp;$AH76):INDIRECT("Table!" &amp; $AK$86 &amp; $AH76),0)),"",INDIRECT(CONCATENATE("Table!",ADDRESS($AD76,MATCH(H$1,INDIRECT("Table!A" &amp; $AH76):INDIRECT("Table!" &amp; $AK$86 &amp; $AH76),0))))/1024)</f>
        <v>109.26070312499999</v>
      </c>
      <c r="K76" s="272"/>
      <c r="L76" s="22">
        <f ca="1">IF(ISERROR(MATCH(L$1,INDIRECT("Table!A"&amp;$AH76):INDIRECT("Table!" &amp; $AK$86 &amp; $AH76),0)),"",INDIRECT(CONCATENATE("Table!",ADDRESS($AD76,MATCH(L$1,INDIRECT("Table!A" &amp; $AH76):INDIRECT("Table!" &amp; $AK$86 &amp; $AH76),0))))/1024)</f>
        <v>264.49124999999998</v>
      </c>
      <c r="M76" s="22">
        <f ca="1">IF(ISERROR(MATCH(M$1,INDIRECT("Table!A"&amp;$AH76):INDIRECT("Table!" &amp; $AK$86 &amp; $AH76),0)),"",INDIRECT(CONCATENATE("Table!",ADDRESS($AD76,MATCH(M$1,INDIRECT("Table!A" &amp; $AH76):INDIRECT("Table!" &amp; $AK$86 &amp; $AH76),0))))/1024)</f>
        <v>323.30367187499996</v>
      </c>
      <c r="N76" s="22">
        <f ca="1">IF(ISERROR(MATCH(N$1,INDIRECT("Table!A"&amp;$AH76):INDIRECT("Table!" &amp; $AK$86 &amp; $AH76),0)),"",INDIRECT(CONCATENATE("Table!",ADDRESS($AD76,MATCH(N$1,INDIRECT("Table!A" &amp; $AH76):INDIRECT("Table!" &amp; $AK$86 &amp; $AH76),0))))/1024)</f>
        <v>121.378828125</v>
      </c>
      <c r="O76" s="22">
        <f ca="1">IF(ISERROR(MATCH(O$1,INDIRECT("Table!A"&amp;$AH76):INDIRECT("Table!" &amp; $AK$86 &amp; $AH76),0)),"",INDIRECT(CONCATENATE("Table!",ADDRESS($AD76,MATCH(O$1,INDIRECT("Table!A" &amp; $AH76):INDIRECT("Table!" &amp; $AK$86 &amp; $AH76),0))))/1024)</f>
        <v>252.96585937500001</v>
      </c>
      <c r="P76" s="22"/>
      <c r="Q76" s="272"/>
      <c r="R76" s="272"/>
      <c r="S76" s="595"/>
      <c r="U76" s="22"/>
      <c r="V76" s="595"/>
      <c r="W76" s="595"/>
      <c r="X76" s="595"/>
      <c r="Y76" s="595"/>
      <c r="Z76" s="595"/>
      <c r="AA76" s="595"/>
      <c r="AB76" s="595"/>
      <c r="AC76" s="595"/>
      <c r="AD76" s="22">
        <f>MATCH($A76,Table!$A:$A,0)+$AF$2-1</f>
        <v>961</v>
      </c>
      <c r="AE76" s="257"/>
      <c r="AF76" s="257"/>
      <c r="AG76" s="257"/>
      <c r="AH76" s="22">
        <f>MATCH($A76,Table!$A:$A,0)+$AJ$2-1</f>
        <v>953</v>
      </c>
      <c r="AI76" s="257"/>
      <c r="AJ76" s="257"/>
      <c r="AK76" s="904" t="s">
        <v>284</v>
      </c>
      <c r="AL76" s="699">
        <f t="shared" ca="1" si="12"/>
        <v>2376.0745312499998</v>
      </c>
      <c r="AM76" s="699">
        <f t="shared" ca="1" si="10"/>
        <v>3.6881249999996726</v>
      </c>
    </row>
    <row r="77" spans="1:39" x14ac:dyDescent="0.25">
      <c r="A77" s="4">
        <v>41326</v>
      </c>
      <c r="B77" s="22">
        <f ca="1">IF(ISERROR(MATCH(B$1,INDIRECT("Table!A"&amp;$AH77):INDIRECT("Table!" &amp; $AK$86 &amp; $AH77),0)),"",INDIRECT(CONCATENATE("Table!",ADDRESS($AD77,MATCH(B$1,INDIRECT("Table!A" &amp; $AH77):INDIRECT("Table!" &amp; $AK$86 &amp; $AH77),0))))/1024)</f>
        <v>185.65757812499999</v>
      </c>
      <c r="C77" s="22">
        <f ca="1">IF(ISERROR(MATCH(C$1,INDIRECT("Table!A"&amp;$AH77):INDIRECT("Table!" &amp; $AK$86 &amp; $AH77),0)),"",INDIRECT(CONCATENATE("Table!",ADDRESS($AD77,MATCH(C$1,INDIRECT("Table!A" &amp; $AH77):INDIRECT("Table!" &amp; $AK$86 &amp; $AH77),0))))/1024)</f>
        <v>87.494179687499994</v>
      </c>
      <c r="D77" s="22">
        <f ca="1">IF(ISERROR(MATCH(D$1,INDIRECT("Table!A"&amp;$AH77):INDIRECT("Table!" &amp; $AK$86 &amp; $AH77),0)),"",INDIRECT(CONCATENATE("Table!",ADDRESS($AD77,MATCH(D$1,INDIRECT("Table!A" &amp; $AH77):INDIRECT("Table!" &amp; $AK$86 &amp; $AH77),0))))/1024)</f>
        <v>88.119843750000001</v>
      </c>
      <c r="E77" s="22">
        <f ca="1">IF(ISERROR(MATCH(E$1,INDIRECT("Table!A"&amp;$AH77):INDIRECT("Table!" &amp; $AK$86 &amp; $AH77),0)),"",INDIRECT(CONCATENATE("Table!",ADDRESS($AD77,MATCH(E$1,INDIRECT("Table!A" &amp; $AH77):INDIRECT("Table!" &amp; $AK$86 &amp; $AH77),0))))/1024)</f>
        <v>270.12222656249997</v>
      </c>
      <c r="F77" s="22">
        <f ca="1">IF(ISERROR(MATCH(F$1,INDIRECT("Table!A"&amp;$AH77):INDIRECT("Table!" &amp; $AK$86 &amp; $AH77),0)),"",INDIRECT(CONCATENATE("Table!",ADDRESS($AD77,MATCH(F$1,INDIRECT("Table!A" &amp; $AH77):INDIRECT("Table!" &amp; $AK$86 &amp; $AH77),0))))/1024)</f>
        <v>231.49570312500001</v>
      </c>
      <c r="G77" s="22">
        <f ca="1">IF(ISERROR(MATCH(G$1,INDIRECT("Table!A"&amp;$AH77):INDIRECT("Table!" &amp; $AK$86 &amp; $AH77),0)),"",INDIRECT(CONCATENATE("Table!",ADDRESS($AD77,MATCH(G$1,INDIRECT("Table!A" &amp; $AH77):INDIRECT("Table!" &amp; $AK$86 &amp; $AH77),0))))/1024)</f>
        <v>438.95273437499998</v>
      </c>
      <c r="H77" s="22">
        <f ca="1">IF(ISERROR(MATCH(H$1,INDIRECT("Table!A"&amp;$AH77):INDIRECT("Table!" &amp; $AK$86 &amp; $AH77),0)),"",INDIRECT(CONCATENATE("Table!",ADDRESS($AD77,MATCH(H$1,INDIRECT("Table!A" &amp; $AH77):INDIRECT("Table!" &amp; $AK$86 &amp; $AH77),0))))/1024)</f>
        <v>108.40453124999999</v>
      </c>
      <c r="K77" s="272"/>
      <c r="L77" s="22">
        <f ca="1">IF(ISERROR(MATCH(L$1,INDIRECT("Table!A"&amp;$AH77):INDIRECT("Table!" &amp; $AK$86 &amp; $AH77),0)),"",INDIRECT(CONCATENATE("Table!",ADDRESS($AD77,MATCH(L$1,INDIRECT("Table!A" &amp; $AH77):INDIRECT("Table!" &amp; $AK$86 &amp; $AH77),0))))/1024)</f>
        <v>264.49124999999998</v>
      </c>
      <c r="M77" s="22">
        <f ca="1">IF(ISERROR(MATCH(M$1,INDIRECT("Table!A"&amp;$AH77):INDIRECT("Table!" &amp; $AK$86 &amp; $AH77),0)),"",INDIRECT(CONCATENATE("Table!",ADDRESS($AD77,MATCH(M$1,INDIRECT("Table!A" &amp; $AH77):INDIRECT("Table!" &amp; $AK$86 &amp; $AH77),0))))/1024)</f>
        <v>323.30367187499996</v>
      </c>
      <c r="N77" s="22">
        <f ca="1">IF(ISERROR(MATCH(N$1,INDIRECT("Table!A"&amp;$AH77):INDIRECT("Table!" &amp; $AK$86 &amp; $AH77),0)),"",INDIRECT(CONCATENATE("Table!",ADDRESS($AD77,MATCH(N$1,INDIRECT("Table!A" &amp; $AH77):INDIRECT("Table!" &amp; $AK$86 &amp; $AH77),0))))/1024)</f>
        <v>121.378828125</v>
      </c>
      <c r="O77" s="22">
        <f ca="1">IF(ISERROR(MATCH(O$1,INDIRECT("Table!A"&amp;$AH77):INDIRECT("Table!" &amp; $AK$86 &amp; $AH77),0)),"",INDIRECT(CONCATENATE("Table!",ADDRESS($AD77,MATCH(O$1,INDIRECT("Table!A" &amp; $AH77):INDIRECT("Table!" &amp; $AK$86 &amp; $AH77),0))))/1024)</f>
        <v>252.96585937500001</v>
      </c>
      <c r="P77" s="22"/>
      <c r="Q77" s="272"/>
      <c r="R77" s="272"/>
      <c r="S77" s="595"/>
      <c r="U77" s="22"/>
      <c r="V77" s="595"/>
      <c r="W77" s="595"/>
      <c r="X77" s="595"/>
      <c r="Y77" s="595"/>
      <c r="Z77" s="595"/>
      <c r="AA77" s="595"/>
      <c r="AB77" s="595"/>
      <c r="AC77" s="595"/>
      <c r="AD77" s="22">
        <f>MATCH($A77,Table!$A:$A,0)+$AF$2-1</f>
        <v>973</v>
      </c>
      <c r="AE77" s="256"/>
      <c r="AF77" s="256"/>
      <c r="AG77" s="256"/>
      <c r="AH77" s="22">
        <f>MATCH($A77,Table!$A:$A,0)+$AJ$2-1</f>
        <v>965</v>
      </c>
      <c r="AI77" s="256"/>
      <c r="AJ77" s="256"/>
      <c r="AK77" s="904" t="s">
        <v>284</v>
      </c>
      <c r="AL77" s="699">
        <f t="shared" ca="1" si="12"/>
        <v>2372.3864062500002</v>
      </c>
      <c r="AM77" s="699">
        <f t="shared" ca="1" si="10"/>
        <v>0</v>
      </c>
    </row>
    <row r="78" spans="1:39" x14ac:dyDescent="0.25">
      <c r="A78" s="4">
        <v>41323</v>
      </c>
      <c r="B78" s="22">
        <f ca="1">IF(ISERROR(MATCH(B$1,INDIRECT("Table!A"&amp;$AH78):INDIRECT("Table!" &amp; $AK$86 &amp; $AH78),0)),"",INDIRECT(CONCATENATE("Table!",ADDRESS($AD78,MATCH(B$1,INDIRECT("Table!A" &amp; $AH78):INDIRECT("Table!" &amp; $AK$86 &amp; $AH78),0))))/1024)</f>
        <v>185.65757812499999</v>
      </c>
      <c r="C78" s="22">
        <f ca="1">IF(ISERROR(MATCH(C$1,INDIRECT("Table!A"&amp;$AH78):INDIRECT("Table!" &amp; $AK$86 &amp; $AH78),0)),"",INDIRECT(CONCATENATE("Table!",ADDRESS($AD78,MATCH(C$1,INDIRECT("Table!A" &amp; $AH78):INDIRECT("Table!" &amp; $AK$86 &amp; $AH78),0))))/1024)</f>
        <v>87.494179687499994</v>
      </c>
      <c r="D78" s="22">
        <f ca="1">IF(ISERROR(MATCH(D$1,INDIRECT("Table!A"&amp;$AH78):INDIRECT("Table!" &amp; $AK$86 &amp; $AH78),0)),"",INDIRECT(CONCATENATE("Table!",ADDRESS($AD78,MATCH(D$1,INDIRECT("Table!A" &amp; $AH78):INDIRECT("Table!" &amp; $AK$86 &amp; $AH78),0))))/1024)</f>
        <v>88.119843750000001</v>
      </c>
      <c r="E78" s="22">
        <f ca="1">IF(ISERROR(MATCH(E$1,INDIRECT("Table!A"&amp;$AH78):INDIRECT("Table!" &amp; $AK$86 &amp; $AH78),0)),"",INDIRECT(CONCATENATE("Table!",ADDRESS($AD78,MATCH(E$1,INDIRECT("Table!A" &amp; $AH78):INDIRECT("Table!" &amp; $AK$86 &amp; $AH78),0))))/1024)</f>
        <v>270.12222656249997</v>
      </c>
      <c r="F78" s="22">
        <f ca="1">IF(ISERROR(MATCH(F$1,INDIRECT("Table!A"&amp;$AH78):INDIRECT("Table!" &amp; $AK$86 &amp; $AH78),0)),"",INDIRECT(CONCATENATE("Table!",ADDRESS($AD78,MATCH(F$1,INDIRECT("Table!A" &amp; $AH78):INDIRECT("Table!" &amp; $AK$86 &amp; $AH78),0))))/1024)</f>
        <v>231.49570312500001</v>
      </c>
      <c r="G78" s="22">
        <f ca="1">IF(ISERROR(MATCH(G$1,INDIRECT("Table!A"&amp;$AH78):INDIRECT("Table!" &amp; $AK$86 &amp; $AH78),0)),"",INDIRECT(CONCATENATE("Table!",ADDRESS($AD78,MATCH(G$1,INDIRECT("Table!A" &amp; $AH78):INDIRECT("Table!" &amp; $AK$86 &amp; $AH78),0))))/1024)</f>
        <v>438.95273437499998</v>
      </c>
      <c r="H78" s="22">
        <f ca="1">IF(ISERROR(MATCH(H$1,INDIRECT("Table!A"&amp;$AH78):INDIRECT("Table!" &amp; $AK$86 &amp; $AH78),0)),"",INDIRECT(CONCATENATE("Table!",ADDRESS($AD78,MATCH(H$1,INDIRECT("Table!A" &amp; $AH78):INDIRECT("Table!" &amp; $AK$86 &amp; $AH78),0))))/1024)</f>
        <v>108.40453124999999</v>
      </c>
      <c r="K78" s="272"/>
      <c r="L78" s="22">
        <f ca="1">IF(ISERROR(MATCH(L$1,INDIRECT("Table!A"&amp;$AH78):INDIRECT("Table!" &amp; $AK$86 &amp; $AH78),0)),"",INDIRECT(CONCATENATE("Table!",ADDRESS($AD78,MATCH(L$1,INDIRECT("Table!A" &amp; $AH78):INDIRECT("Table!" &amp; $AK$86 &amp; $AH78),0))))/1024)</f>
        <v>264.49124999999998</v>
      </c>
      <c r="M78" s="22">
        <f ca="1">IF(ISERROR(MATCH(M$1,INDIRECT("Table!A"&amp;$AH78):INDIRECT("Table!" &amp; $AK$86 &amp; $AH78),0)),"",INDIRECT(CONCATENATE("Table!",ADDRESS($AD78,MATCH(M$1,INDIRECT("Table!A" &amp; $AH78):INDIRECT("Table!" &amp; $AK$86 &amp; $AH78),0))))/1024)</f>
        <v>323.30367187499996</v>
      </c>
      <c r="N78" s="22">
        <f ca="1">IF(ISERROR(MATCH(N$1,INDIRECT("Table!A"&amp;$AH78):INDIRECT("Table!" &amp; $AK$86 &amp; $AH78),0)),"",INDIRECT(CONCATENATE("Table!",ADDRESS($AD78,MATCH(N$1,INDIRECT("Table!A" &amp; $AH78):INDIRECT("Table!" &amp; $AK$86 &amp; $AH78),0))))/1024)</f>
        <v>121.378828125</v>
      </c>
      <c r="O78" s="22">
        <f ca="1">IF(ISERROR(MATCH(O$1,INDIRECT("Table!A"&amp;$AH78):INDIRECT("Table!" &amp; $AK$86 &amp; $AH78),0)),"",INDIRECT(CONCATENATE("Table!",ADDRESS($AD78,MATCH(O$1,INDIRECT("Table!A" &amp; $AH78):INDIRECT("Table!" &amp; $AK$86 &amp; $AH78),0))))/1024)</f>
        <v>252.96585937500001</v>
      </c>
      <c r="P78" s="22"/>
      <c r="Q78" s="272"/>
      <c r="R78" s="272"/>
      <c r="S78" s="595"/>
      <c r="U78" s="22"/>
      <c r="V78" s="595"/>
      <c r="W78" s="595"/>
      <c r="X78" s="595"/>
      <c r="Y78" s="595"/>
      <c r="Z78" s="595"/>
      <c r="AA78" s="595"/>
      <c r="AB78" s="595"/>
      <c r="AC78" s="595"/>
      <c r="AD78" s="22">
        <f>MATCH($A78,Table!$A:$A,0)+$AF$2-1</f>
        <v>985</v>
      </c>
      <c r="AE78" s="255"/>
      <c r="AF78" s="255"/>
      <c r="AG78" s="255"/>
      <c r="AH78" s="22">
        <f>MATCH($A78,Table!$A:$A,0)+$AJ$2-1</f>
        <v>977</v>
      </c>
      <c r="AI78" s="255"/>
      <c r="AJ78" s="255"/>
      <c r="AK78" s="904" t="s">
        <v>284</v>
      </c>
      <c r="AL78" s="699">
        <f t="shared" ca="1" si="12"/>
        <v>2372.3864062500002</v>
      </c>
      <c r="AM78" s="699">
        <f t="shared" ca="1" si="10"/>
        <v>3.9844921875001091</v>
      </c>
    </row>
    <row r="79" spans="1:39" x14ac:dyDescent="0.25">
      <c r="A79" s="4">
        <v>41310</v>
      </c>
      <c r="B79" s="22">
        <f ca="1">IF(ISERROR(MATCH(B$1,INDIRECT("Table!A"&amp;$AH79):INDIRECT("Table!" &amp; $AK$86 &amp; $AH79),0)),"",INDIRECT(CONCATENATE("Table!",ADDRESS($AD79,MATCH(B$1,INDIRECT("Table!A" &amp; $AH79):INDIRECT("Table!" &amp; $AK$86 &amp; $AH79),0))))/1024)</f>
        <v>185.03191406249999</v>
      </c>
      <c r="C79" s="22">
        <f ca="1">IF(ISERROR(MATCH(C$1,INDIRECT("Table!A"&amp;$AH79):INDIRECT("Table!" &amp; $AK$86 &amp; $AH79),0)),"",INDIRECT(CONCATENATE("Table!",ADDRESS($AD79,MATCH(C$1,INDIRECT("Table!A" &amp; $AH79):INDIRECT("Table!" &amp; $AK$86 &amp; $AH79),0))))/1024)</f>
        <v>88.021054687499998</v>
      </c>
      <c r="D79" s="22">
        <f ca="1">IF(ISERROR(MATCH(D$1,INDIRECT("Table!A"&amp;$AH79):INDIRECT("Table!" &amp; $AK$86 &amp; $AH79),0)),"",INDIRECT(CONCATENATE("Table!",ADDRESS($AD79,MATCH(D$1,INDIRECT("Table!A" &amp; $AH79):INDIRECT("Table!" &amp; $AK$86 &amp; $AH79),0))))/1024)</f>
        <v>88.646718749999991</v>
      </c>
      <c r="E79" s="22">
        <f ca="1">IF(ISERROR(MATCH(E$1,INDIRECT("Table!A"&amp;$AH79):INDIRECT("Table!" &amp; $AK$86 &amp; $AH79),0)),"",INDIRECT(CONCATENATE("Table!",ADDRESS($AD79,MATCH(E$1,INDIRECT("Table!A" &amp; $AH79):INDIRECT("Table!" &amp; $AK$86 &amp; $AH79),0))))/1024)</f>
        <v>269.99050781249997</v>
      </c>
      <c r="F79" s="22">
        <f ca="1">IF(ISERROR(MATCH(F$1,INDIRECT("Table!A"&amp;$AH79):INDIRECT("Table!" &amp; $AK$86 &amp; $AH79),0)),"",INDIRECT(CONCATENATE("Table!",ADDRESS($AD79,MATCH(F$1,INDIRECT("Table!A" &amp; $AH79):INDIRECT("Table!" &amp; $AK$86 &amp; $AH79),0))))/1024)</f>
        <v>231.49570312500001</v>
      </c>
      <c r="G79" s="22">
        <f ca="1">IF(ISERROR(MATCH(G$1,INDIRECT("Table!A"&amp;$AH79):INDIRECT("Table!" &amp; $AK$86 &amp; $AH79),0)),"",INDIRECT(CONCATENATE("Table!",ADDRESS($AD79,MATCH(G$1,INDIRECT("Table!A" &amp; $AH79):INDIRECT("Table!" &amp; $AK$86 &amp; $AH79),0))))/1024)</f>
        <v>437.63554687499999</v>
      </c>
      <c r="H79" s="22">
        <f ca="1">IF(ISERROR(MATCH(H$1,INDIRECT("Table!A"&amp;$AH79):INDIRECT("Table!" &amp; $AK$86 &amp; $AH79),0)),"",INDIRECT(CONCATENATE("Table!",ADDRESS($AD79,MATCH(H$1,INDIRECT("Table!A" &amp; $AH79):INDIRECT("Table!" &amp; $AK$86 &amp; $AH79),0))))/1024)</f>
        <v>108.14109374999998</v>
      </c>
      <c r="K79" s="272"/>
      <c r="L79" s="22">
        <f ca="1">IF(ISERROR(MATCH(L$1,INDIRECT("Table!A"&amp;$AH79):INDIRECT("Table!" &amp; $AK$86 &amp; $AH79),0)),"",INDIRECT(CONCATENATE("Table!",ADDRESS($AD79,MATCH(L$1,INDIRECT("Table!A" &amp; $AH79):INDIRECT("Table!" &amp; $AK$86 &amp; $AH79),0))))/1024)</f>
        <v>264.49124999999998</v>
      </c>
      <c r="M79" s="22">
        <f ca="1">IF(ISERROR(MATCH(M$1,INDIRECT("Table!A"&amp;$AH79):INDIRECT("Table!" &amp; $AK$86 &amp; $AH79),0)),"",INDIRECT(CONCATENATE("Table!",ADDRESS($AD79,MATCH(M$1,INDIRECT("Table!A" &amp; $AH79):INDIRECT("Table!" &amp; $AK$86 &amp; $AH79),0))))/1024)</f>
        <v>321.65718749999996</v>
      </c>
      <c r="N79" s="22">
        <f ca="1">IF(ISERROR(MATCH(N$1,INDIRECT("Table!A"&amp;$AH79):INDIRECT("Table!" &amp; $AK$86 &amp; $AH79),0)),"",INDIRECT(CONCATENATE("Table!",ADDRESS($AD79,MATCH(N$1,INDIRECT("Table!A" &amp; $AH79):INDIRECT("Table!" &amp; $AK$86 &amp; $AH79),0))))/1024)</f>
        <v>121.378828125</v>
      </c>
      <c r="O79" s="22">
        <f ca="1">IF(ISERROR(MATCH(O$1,INDIRECT("Table!A"&amp;$AH79):INDIRECT("Table!" &amp; $AK$86 &amp; $AH79),0)),"",INDIRECT(CONCATENATE("Table!",ADDRESS($AD79,MATCH(O$1,INDIRECT("Table!A" &amp; $AH79):INDIRECT("Table!" &amp; $AK$86 &amp; $AH79),0))))/1024)</f>
        <v>251.91210937499997</v>
      </c>
      <c r="P79" s="22"/>
      <c r="Q79" s="272"/>
      <c r="R79" s="272"/>
      <c r="S79" s="595"/>
      <c r="U79" s="22"/>
      <c r="V79" s="595"/>
      <c r="W79" s="595"/>
      <c r="X79" s="595"/>
      <c r="Y79" s="595"/>
      <c r="Z79" s="595"/>
      <c r="AA79" s="595"/>
      <c r="AB79" s="595"/>
      <c r="AC79" s="595"/>
      <c r="AD79" s="22">
        <f>MATCH($A79,Table!$A:$A,0)+$AF$2-1</f>
        <v>997</v>
      </c>
      <c r="AE79" s="254"/>
      <c r="AF79" s="254"/>
      <c r="AG79" s="254"/>
      <c r="AH79" s="22">
        <f>MATCH($A79,Table!$A:$A,0)+$AJ$2-1</f>
        <v>989</v>
      </c>
      <c r="AI79" s="254"/>
      <c r="AJ79" s="254"/>
      <c r="AK79" s="904" t="s">
        <v>284</v>
      </c>
      <c r="AL79" s="699">
        <f t="shared" ca="1" si="12"/>
        <v>2368.4019140625001</v>
      </c>
      <c r="AM79" s="699">
        <f t="shared" ca="1" si="10"/>
        <v>8.1665625000000546</v>
      </c>
    </row>
    <row r="80" spans="1:39" x14ac:dyDescent="0.25">
      <c r="A80" s="4">
        <v>41304</v>
      </c>
      <c r="B80" s="22">
        <f ca="1">IF(ISERROR(MATCH(B$1,INDIRECT("Table!A"&amp;$AH80):INDIRECT("Table!" &amp; $AK$86 &amp; $AH80),0)),"",INDIRECT(CONCATENATE("Table!",ADDRESS($AD80,MATCH(B$1,INDIRECT("Table!A" &amp; $AH80):INDIRECT("Table!" &amp; $AK$86 &amp; $AH80),0))))/1024)</f>
        <v>185.03191406249999</v>
      </c>
      <c r="C80" s="22">
        <f ca="1">IF(ISERROR(MATCH(C$1,INDIRECT("Table!A"&amp;$AH80):INDIRECT("Table!" &amp; $AK$86 &amp; $AH80),0)),"",INDIRECT(CONCATENATE("Table!",ADDRESS($AD80,MATCH(C$1,INDIRECT("Table!A" &amp; $AH80):INDIRECT("Table!" &amp; $AK$86 &amp; $AH80),0))))/1024)</f>
        <v>87.922265624999994</v>
      </c>
      <c r="D80" s="22">
        <f ca="1">IF(ISERROR(MATCH(D$1,INDIRECT("Table!A"&amp;$AH80):INDIRECT("Table!" &amp; $AK$86 &amp; $AH80),0)),"",INDIRECT(CONCATENATE("Table!",ADDRESS($AD80,MATCH(D$1,INDIRECT("Table!A" &amp; $AH80):INDIRECT("Table!" &amp; $AK$86 &amp; $AH80),0))))/1024)</f>
        <v>88.547929687500002</v>
      </c>
      <c r="E80" s="22">
        <f ca="1">IF(ISERROR(MATCH(E$1,INDIRECT("Table!A"&amp;$AH80):INDIRECT("Table!" &amp; $AK$86 &amp; $AH80),0)),"",INDIRECT(CONCATENATE("Table!",ADDRESS($AD80,MATCH(E$1,INDIRECT("Table!A" &amp; $AH80):INDIRECT("Table!" &amp; $AK$86 &amp; $AH80),0))))/1024)</f>
        <v>269.99050781249997</v>
      </c>
      <c r="F80" s="22">
        <f ca="1">IF(ISERROR(MATCH(F$1,INDIRECT("Table!A"&amp;$AH80):INDIRECT("Table!" &amp; $AK$86 &amp; $AH80),0)),"",INDIRECT(CONCATENATE("Table!",ADDRESS($AD80,MATCH(F$1,INDIRECT("Table!A" &amp; $AH80):INDIRECT("Table!" &amp; $AK$86 &amp; $AH80),0))))/1024)</f>
        <v>230.96882812499999</v>
      </c>
      <c r="G80" s="22">
        <f ca="1">IF(ISERROR(MATCH(G$1,INDIRECT("Table!A"&amp;$AH80):INDIRECT("Table!" &amp; $AK$86 &amp; $AH80),0)),"",INDIRECT(CONCATENATE("Table!",ADDRESS($AD80,MATCH(G$1,INDIRECT("Table!A" &amp; $AH80):INDIRECT("Table!" &amp; $AK$86 &amp; $AH80),0))))/1024)</f>
        <v>437.43796874999998</v>
      </c>
      <c r="H80" s="22">
        <f ca="1">IF(ISERROR(MATCH(H$1,INDIRECT("Table!A"&amp;$AH80):INDIRECT("Table!" &amp; $AK$86 &amp; $AH80),0)),"",INDIRECT(CONCATENATE("Table!",ADDRESS($AD80,MATCH(H$1,INDIRECT("Table!A" &amp; $AH80):INDIRECT("Table!" &amp; $AK$86 &amp; $AH80),0))))/1024)</f>
        <v>106.42875000000001</v>
      </c>
      <c r="K80" s="272"/>
      <c r="L80" s="22">
        <f ca="1">IF(ISERROR(MATCH(L$1,INDIRECT("Table!A"&amp;$AH80):INDIRECT("Table!" &amp; $AK$86 &amp; $AH80),0)),"",INDIRECT(CONCATENATE("Table!",ADDRESS($AD80,MATCH(L$1,INDIRECT("Table!A" &amp; $AH80):INDIRECT("Table!" &amp; $AK$86 &amp; $AH80),0))))/1024)</f>
        <v>264.49124999999998</v>
      </c>
      <c r="M80" s="22">
        <f ca="1">IF(ISERROR(MATCH(M$1,INDIRECT("Table!A"&amp;$AH80):INDIRECT("Table!" &amp; $AK$86 &amp; $AH80),0)),"",INDIRECT(CONCATENATE("Table!",ADDRESS($AD80,MATCH(M$1,INDIRECT("Table!A" &amp; $AH80):INDIRECT("Table!" &amp; $AK$86 &amp; $AH80),0))))/1024)</f>
        <v>321.59132812499996</v>
      </c>
      <c r="N80" s="22">
        <f ca="1">IF(ISERROR(MATCH(N$1,INDIRECT("Table!A"&amp;$AH80):INDIRECT("Table!" &amp; $AK$86 &amp; $AH80),0)),"",INDIRECT(CONCATENATE("Table!",ADDRESS($AD80,MATCH(N$1,INDIRECT("Table!A" &amp; $AH80):INDIRECT("Table!" &amp; $AK$86 &amp; $AH80),0))))/1024)</f>
        <v>121.378828125</v>
      </c>
      <c r="O80" s="22">
        <f ca="1">IF(ISERROR(MATCH(O$1,INDIRECT("Table!A"&amp;$AH80):INDIRECT("Table!" &amp; $AK$86 &amp; $AH80),0)),"",INDIRECT(CONCATENATE("Table!",ADDRESS($AD80,MATCH(O$1,INDIRECT("Table!A" &amp; $AH80):INDIRECT("Table!" &amp; $AK$86 &amp; $AH80),0))))/1024)</f>
        <v>246.44578125000001</v>
      </c>
      <c r="P80" s="22"/>
      <c r="Q80" s="272"/>
      <c r="R80" s="272"/>
      <c r="S80" s="595"/>
      <c r="U80" s="22"/>
      <c r="V80" s="595"/>
      <c r="W80" s="595"/>
      <c r="X80" s="595"/>
      <c r="Y80" s="595"/>
      <c r="Z80" s="595"/>
      <c r="AA80" s="595"/>
      <c r="AB80" s="595"/>
      <c r="AC80" s="595"/>
      <c r="AD80" s="22">
        <f>MATCH($A80,Table!$A:$A,0)+$AF$2-1</f>
        <v>1009</v>
      </c>
      <c r="AE80" s="248"/>
      <c r="AF80" s="248"/>
      <c r="AG80" s="248"/>
      <c r="AH80" s="22">
        <f>MATCH($A80,Table!$A:$A,0)+$AJ$2-1</f>
        <v>1001</v>
      </c>
      <c r="AI80" s="248"/>
      <c r="AJ80" s="248"/>
      <c r="AK80" s="904" t="s">
        <v>284</v>
      </c>
      <c r="AL80" s="699">
        <f t="shared" ca="1" si="12"/>
        <v>2360.2353515625</v>
      </c>
      <c r="AM80" s="699">
        <f t="shared" ca="1" si="10"/>
        <v>37.967929687500146</v>
      </c>
    </row>
    <row r="81" spans="1:39" x14ac:dyDescent="0.25">
      <c r="A81" s="4">
        <v>41297</v>
      </c>
      <c r="B81" s="22">
        <f ca="1">IF(ISERROR(MATCH(B$1,INDIRECT("Table!A"&amp;$AH81):INDIRECT("Table!" &amp; $AK$86 &amp; $AH81),0)),"",INDIRECT(CONCATENATE("Table!",ADDRESS($AD81,MATCH(B$1,INDIRECT("Table!A" &amp; $AH81):INDIRECT("Table!" &amp; $AK$86 &amp; $AH81),0))))/1024)</f>
        <v>184.90019531249999</v>
      </c>
      <c r="C81" s="22">
        <f ca="1">IF(ISERROR(MATCH(C$1,INDIRECT("Table!A"&amp;$AH81):INDIRECT("Table!" &amp; $AK$86 &amp; $AH81),0)),"",INDIRECT(CONCATENATE("Table!",ADDRESS($AD81,MATCH(C$1,INDIRECT("Table!A" &amp; $AH81):INDIRECT("Table!" &amp; $AK$86 &amp; $AH81),0))))/1024)</f>
        <v>87.527109374999995</v>
      </c>
      <c r="D81" s="22">
        <f ca="1">IF(ISERROR(MATCH(D$1,INDIRECT("Table!A"&amp;$AH81):INDIRECT("Table!" &amp; $AK$86 &amp; $AH81),0)),"",INDIRECT(CONCATENATE("Table!",ADDRESS($AD81,MATCH(D$1,INDIRECT("Table!A" &amp; $AH81):INDIRECT("Table!" &amp; $AK$86 &amp; $AH81),0))))/1024)</f>
        <v>88.152773437500002</v>
      </c>
      <c r="E81" s="22">
        <f ca="1">IF(ISERROR(MATCH(E$1,INDIRECT("Table!A"&amp;$AH81):INDIRECT("Table!" &amp; $AK$86 &amp; $AH81),0)),"",INDIRECT(CONCATENATE("Table!",ADDRESS($AD81,MATCH(E$1,INDIRECT("Table!A" &amp; $AH81):INDIRECT("Table!" &amp; $AK$86 &amp; $AH81),0))))/1024)</f>
        <v>269.99050781249997</v>
      </c>
      <c r="F81" s="22">
        <f ca="1">IF(ISERROR(MATCH(F$1,INDIRECT("Table!A"&amp;$AH81):INDIRECT("Table!" &amp; $AK$86 &amp; $AH81),0)),"",INDIRECT(CONCATENATE("Table!",ADDRESS($AD81,MATCH(F$1,INDIRECT("Table!A" &amp; $AH81):INDIRECT("Table!" &amp; $AK$86 &amp; $AH81),0))))/1024)</f>
        <v>230.96882812499999</v>
      </c>
      <c r="G81" s="22">
        <f ca="1">IF(ISERROR(MATCH(G$1,INDIRECT("Table!A"&amp;$AH81):INDIRECT("Table!" &amp; $AK$86 &amp; $AH81),0)),"",INDIRECT(CONCATENATE("Table!",ADDRESS($AD81,MATCH(G$1,INDIRECT("Table!A" &amp; $AH81):INDIRECT("Table!" &amp; $AK$86 &amp; $AH81),0))))/1024)</f>
        <v>436.77937499999996</v>
      </c>
      <c r="H81" s="22">
        <f ca="1">IF(ISERROR(MATCH(H$1,INDIRECT("Table!A"&amp;$AH81):INDIRECT("Table!" &amp; $AK$86 &amp; $AH81),0)),"",INDIRECT(CONCATENATE("Table!",ADDRESS($AD81,MATCH(H$1,INDIRECT("Table!A" &amp; $AH81):INDIRECT("Table!" &amp; $AK$86 &amp; $AH81),0))))/1024)</f>
        <v>100.10624999999999</v>
      </c>
      <c r="K81" s="272"/>
      <c r="L81" s="22">
        <f ca="1">IF(ISERROR(MATCH(L$1,INDIRECT("Table!A"&amp;$AH81):INDIRECT("Table!" &amp; $AK$86 &amp; $AH81),0)),"",INDIRECT(CONCATENATE("Table!",ADDRESS($AD81,MATCH(L$1,INDIRECT("Table!A" &amp; $AH81):INDIRECT("Table!" &amp; $AK$86 &amp; $AH81),0))))/1024)</f>
        <v>261.33</v>
      </c>
      <c r="M81" s="22">
        <f ca="1">IF(ISERROR(MATCH(M$1,INDIRECT("Table!A"&amp;$AH81):INDIRECT("Table!" &amp; $AK$86 &amp; $AH81),0)),"",INDIRECT(CONCATENATE("Table!",ADDRESS($AD81,MATCH(M$1,INDIRECT("Table!A" &amp; $AH81):INDIRECT("Table!" &amp; $AK$86 &amp; $AH81),0))))/1024)</f>
        <v>319.91191406249999</v>
      </c>
      <c r="N81" s="22">
        <f ca="1">IF(ISERROR(MATCH(N$1,INDIRECT("Table!A"&amp;$AH81):INDIRECT("Table!" &amp; $AK$86 &amp; $AH81),0)),"",INDIRECT(CONCATENATE("Table!",ADDRESS($AD81,MATCH(N$1,INDIRECT("Table!A" &amp; $AH81):INDIRECT("Table!" &amp; $AK$86 &amp; $AH81),0))))/1024)</f>
        <v>121.378828125</v>
      </c>
      <c r="O81" s="22">
        <f ca="1">IF(ISERROR(MATCH(O$1,INDIRECT("Table!A"&amp;$AH81):INDIRECT("Table!" &amp; $AK$81 &amp; $AH81),0)),"",INDIRECT(CONCATENATE("Table!",ADDRESS($AD81,MATCH(O$1,INDIRECT("Table!A" &amp; $AH81):INDIRECT("Table!" &amp; $AK$81 &amp; $AH81),0))))/1024)</f>
        <v>221.22164062499999</v>
      </c>
      <c r="P81" s="22"/>
      <c r="Q81" s="272"/>
      <c r="R81" s="272"/>
      <c r="S81" s="595"/>
      <c r="U81" s="22"/>
      <c r="V81" s="595"/>
      <c r="W81" s="595"/>
      <c r="X81" s="595"/>
      <c r="Y81" s="595"/>
      <c r="Z81" s="595"/>
      <c r="AA81" s="595"/>
      <c r="AB81" s="595"/>
      <c r="AC81" s="595"/>
      <c r="AD81" s="22">
        <f>MATCH($A81,Table!$A:$A,0)+$AF$2-1</f>
        <v>1021</v>
      </c>
      <c r="AE81" s="252"/>
      <c r="AF81" s="252"/>
      <c r="AG81" s="252"/>
      <c r="AH81" s="22">
        <f>MATCH($A81,Table!$A:$A,0)+$AJ$2-1</f>
        <v>1013</v>
      </c>
      <c r="AI81" s="252"/>
      <c r="AJ81" s="252"/>
      <c r="AK81" s="904" t="s">
        <v>284</v>
      </c>
      <c r="AL81" s="699">
        <f t="shared" ca="1" si="12"/>
        <v>2322.2674218749999</v>
      </c>
      <c r="AM81" s="699">
        <f t="shared" ca="1" si="10"/>
        <v>5.2358203124999818</v>
      </c>
    </row>
    <row r="82" spans="1:39" x14ac:dyDescent="0.25">
      <c r="A82" s="4">
        <v>41296</v>
      </c>
      <c r="B82" s="22">
        <f ca="1">IF(ISERROR(MATCH(B$1,INDIRECT("Table!A"&amp;$AH82):INDIRECT("Table!" &amp; $AK$86 &amp; $AH82),0)),"",INDIRECT(CONCATENATE("Table!",ADDRESS($AD82,MATCH(B$1,INDIRECT("Table!A" &amp; $AH82):INDIRECT("Table!" &amp; $AK$86 &amp; $AH82),0))))/1024)</f>
        <v>184.90019531249999</v>
      </c>
      <c r="C82" s="22">
        <f ca="1">IF(ISERROR(MATCH(C$1,INDIRECT("Table!A"&amp;$AH82):INDIRECT("Table!" &amp; $AK$86 &amp; $AH82),0)),"",INDIRECT(CONCATENATE("Table!",ADDRESS($AD82,MATCH(C$1,INDIRECT("Table!A" &amp; $AH82):INDIRECT("Table!" &amp; $AK$86 &amp; $AH82),0))))/1024)</f>
        <v>87.527109374999995</v>
      </c>
      <c r="D82" s="22">
        <f ca="1">IF(ISERROR(MATCH(D$1,INDIRECT("Table!A"&amp;$AH82):INDIRECT("Table!" &amp; $AK$86 &amp; $AH82),0)),"",INDIRECT(CONCATENATE("Table!",ADDRESS($AD82,MATCH(D$1,INDIRECT("Table!A" &amp; $AH82):INDIRECT("Table!" &amp; $AK$86 &amp; $AH82),0))))/1024)</f>
        <v>88.152773437500002</v>
      </c>
      <c r="E82" s="22">
        <f ca="1">IF(ISERROR(MATCH(E$1,INDIRECT("Table!A"&amp;$AH82):INDIRECT("Table!" &amp; $AK$86 &amp; $AH82),0)),"",INDIRECT(CONCATENATE("Table!",ADDRESS($AD82,MATCH(E$1,INDIRECT("Table!A" &amp; $AH82):INDIRECT("Table!" &amp; $AK$86 &amp; $AH82),0))))/1024)</f>
        <v>269.99050781249997</v>
      </c>
      <c r="F82" s="22">
        <f ca="1">IF(ISERROR(MATCH(F$1,INDIRECT("Table!A"&amp;$AH82):INDIRECT("Table!" &amp; $AK$86 &amp; $AH82),0)),"",INDIRECT(CONCATENATE("Table!",ADDRESS($AD82,MATCH(F$1,INDIRECT("Table!A" &amp; $AH82):INDIRECT("Table!" &amp; $AK$86 &amp; $AH82),0))))/1024)</f>
        <v>230.96882812499999</v>
      </c>
      <c r="G82" s="22">
        <f ca="1">IF(ISERROR(MATCH(G$1,INDIRECT("Table!A"&amp;$AH82):INDIRECT("Table!" &amp; $AK$86 &amp; $AH82),0)),"",INDIRECT(CONCATENATE("Table!",ADDRESS($AD82,MATCH(G$1,INDIRECT("Table!A" &amp; $AH82):INDIRECT("Table!" &amp; $AK$86 &amp; $AH82),0))))/1024)</f>
        <v>436.77937499999996</v>
      </c>
      <c r="H82" s="22">
        <f ca="1">IF(ISERROR(MATCH(H$1,INDIRECT("Table!A"&amp;$AH82):INDIRECT("Table!" &amp; $AK$86 &amp; $AH82),0)),"",INDIRECT(CONCATENATE("Table!",ADDRESS($AD82,MATCH(H$1,INDIRECT("Table!A" &amp; $AH82):INDIRECT("Table!" &amp; $AK$86 &amp; $AH82),0))))/1024)</f>
        <v>100.10624999999999</v>
      </c>
      <c r="K82" s="272"/>
      <c r="L82" s="22">
        <f ca="1">IF(ISERROR(MATCH(L$1,INDIRECT("Table!A"&amp;$AH82):INDIRECT("Table!" &amp; $AK$86 &amp; $AH82),0)),"",INDIRECT(CONCATENATE("Table!",ADDRESS($AD82,MATCH(L$1,INDIRECT("Table!A" &amp; $AH82):INDIRECT("Table!" &amp; $AK$86 &amp; $AH82),0))))/1024)</f>
        <v>261.33</v>
      </c>
      <c r="M82" s="22">
        <f ca="1">IF(ISERROR(MATCH(M$1,INDIRECT("Table!A"&amp;$AH82):INDIRECT("Table!" &amp; $AK$86 &amp; $AH82),0)),"",INDIRECT(CONCATENATE("Table!",ADDRESS($AD82,MATCH(M$1,INDIRECT("Table!A" &amp; $AH82):INDIRECT("Table!" &amp; $AK$86 &amp; $AH82),0))))/1024)</f>
        <v>314.67609375000001</v>
      </c>
      <c r="N82" s="22">
        <f ca="1">IF(ISERROR(MATCH(N$1,INDIRECT("Table!A"&amp;$AH82):INDIRECT("Table!" &amp; $AK$86 &amp; $AH82),0)),"",INDIRECT(CONCATENATE("Table!",ADDRESS($AD82,MATCH(N$1,INDIRECT("Table!A" &amp; $AH82):INDIRECT("Table!" &amp; $AK$86 &amp; $AH82),0))))/1024)</f>
        <v>121.378828125</v>
      </c>
      <c r="O82" s="22">
        <f ca="1">IF(ISERROR(MATCH(O$1,INDIRECT("Table!A"&amp;$AH82):INDIRECT("Table!" &amp; $AK$86 &amp; $AH82),0)),"",INDIRECT(CONCATENATE("Table!",ADDRESS($AD82,MATCH(O$1,INDIRECT("Table!A" &amp; $AH82):INDIRECT("Table!" &amp; $AK$86 &amp; $AH82),0))))/1024)</f>
        <v>221.22164062499999</v>
      </c>
      <c r="P82" s="22"/>
      <c r="Q82" s="272"/>
      <c r="R82" s="272"/>
      <c r="S82" s="595"/>
      <c r="U82" s="22"/>
      <c r="V82" s="595"/>
      <c r="W82" s="595"/>
      <c r="X82" s="595"/>
      <c r="Y82" s="595"/>
      <c r="Z82" s="595"/>
      <c r="AA82" s="595"/>
      <c r="AB82" s="595"/>
      <c r="AC82" s="595"/>
      <c r="AD82" s="22">
        <f>MATCH($A82,Table!$A:$A,0)+$AF$2-1</f>
        <v>1033</v>
      </c>
      <c r="AE82" s="247"/>
      <c r="AF82" s="247"/>
      <c r="AG82" s="247"/>
      <c r="AH82" s="22">
        <f>MATCH($A82,Table!$A:$A,0)+$AJ$2-1</f>
        <v>1025</v>
      </c>
      <c r="AI82" s="247"/>
      <c r="AJ82" s="247"/>
      <c r="AK82" s="904" t="s">
        <v>284</v>
      </c>
      <c r="AL82" s="699">
        <f t="shared" ca="1" si="12"/>
        <v>2317.0316015624999</v>
      </c>
      <c r="AM82" s="699">
        <f t="shared" ca="1" si="10"/>
        <v>-1.6794140625002001</v>
      </c>
    </row>
    <row r="83" spans="1:39" x14ac:dyDescent="0.25">
      <c r="A83" s="4">
        <v>41292</v>
      </c>
      <c r="B83" s="22">
        <f ca="1">IF(ISERROR(MATCH(B$1,INDIRECT("Table!A"&amp;$AH83):INDIRECT("Table!" &amp; $AK$86 &amp; $AH83),0)),"",INDIRECT(CONCATENATE("Table!",ADDRESS($AD83,MATCH(B$1,INDIRECT("Table!A" &amp; $AH83):INDIRECT("Table!" &amp; $AK$86 &amp; $AH83),0))))/1024)</f>
        <v>185.06484374999999</v>
      </c>
      <c r="C83" s="22">
        <f ca="1">IF(ISERROR(MATCH(C$1,INDIRECT("Table!A"&amp;$AH83):INDIRECT("Table!" &amp; $AK$86 &amp; $AH83),0)),"",INDIRECT(CONCATENATE("Table!",ADDRESS($AD83,MATCH(C$1,INDIRECT("Table!A" &amp; $AH83):INDIRECT("Table!" &amp; $AK$86 &amp; $AH83),0))))/1024)</f>
        <v>88.284492187499993</v>
      </c>
      <c r="D83" s="22">
        <f ca="1">IF(ISERROR(MATCH(D$1,INDIRECT("Table!A"&amp;$AH83):INDIRECT("Table!" &amp; $AK$86 &amp; $AH83),0)),"",INDIRECT(CONCATENATE("Table!",ADDRESS($AD83,MATCH(D$1,INDIRECT("Table!A" &amp; $AH83):INDIRECT("Table!" &amp; $AK$86 &amp; $AH83),0))))/1024)</f>
        <v>88.91015625</v>
      </c>
      <c r="E83" s="22">
        <f ca="1">IF(ISERROR(MATCH(E$1,INDIRECT("Table!A"&amp;$AH83):INDIRECT("Table!" &amp; $AK$86 &amp; $AH83),0)),"",INDIRECT(CONCATENATE("Table!",ADDRESS($AD83,MATCH(E$1,INDIRECT("Table!A" &amp; $AH83):INDIRECT("Table!" &amp; $AK$86 &amp; $AH83),0))))/1024)</f>
        <v>269.99050781249997</v>
      </c>
      <c r="F83" s="22">
        <f ca="1">IF(ISERROR(MATCH(F$1,INDIRECT("Table!A"&amp;$AH83):INDIRECT("Table!" &amp; $AK$86 &amp; $AH83),0)),"",INDIRECT(CONCATENATE("Table!",ADDRESS($AD83,MATCH(F$1,INDIRECT("Table!A" &amp; $AH83):INDIRECT("Table!" &amp; $AK$86 &amp; $AH83),0))))/1024)</f>
        <v>230.96882812499999</v>
      </c>
      <c r="G83" s="22">
        <f ca="1">IF(ISERROR(MATCH(G$1,INDIRECT("Table!A"&amp;$AH83):INDIRECT("Table!" &amp; $AK$86 &amp; $AH83),0)),"",INDIRECT(CONCATENATE("Table!",ADDRESS($AD83,MATCH(G$1,INDIRECT("Table!A" &amp; $AH83):INDIRECT("Table!" &amp; $AK$86 &amp; $AH83),0))))/1024)</f>
        <v>436.77937499999996</v>
      </c>
      <c r="H83" s="22">
        <f ca="1">IF(ISERROR(MATCH(H$1,INDIRECT("Table!A"&amp;$AH83):INDIRECT("Table!" &amp; $AK$86 &amp; $AH83),0)),"",INDIRECT(CONCATENATE("Table!",ADDRESS($AD83,MATCH(H$1,INDIRECT("Table!A" &amp; $AH83):INDIRECT("Table!" &amp; $AK$86 &amp; $AH83),0))))/1024)</f>
        <v>100.10624999999999</v>
      </c>
      <c r="K83" s="272"/>
      <c r="L83" s="22">
        <f ca="1">IF(ISERROR(MATCH(L$1,INDIRECT("Table!A"&amp;$AH83):INDIRECT("Table!" &amp; $AK$86 &amp; $AH83),0)),"",INDIRECT(CONCATENATE("Table!",ADDRESS($AD83,MATCH(L$1,INDIRECT("Table!A" &amp; $AH83):INDIRECT("Table!" &amp; $AK$86 &amp; $AH83),0))))/1024)</f>
        <v>261.33</v>
      </c>
      <c r="M83" s="22">
        <f ca="1">IF(ISERROR(MATCH(M$1,INDIRECT("Table!A"&amp;$AH83):INDIRECT("Table!" &amp; $AK$86 &amp; $AH83),0)),"",INDIRECT(CONCATENATE("Table!",ADDRESS($AD83,MATCH(M$1,INDIRECT("Table!A" &amp; $AH83):INDIRECT("Table!" &amp; $AK$86 &amp; $AH83),0))))/1024)</f>
        <v>314.67609375000001</v>
      </c>
      <c r="N83" s="22">
        <f ca="1">IF(ISERROR(MATCH(N$1,INDIRECT("Table!A"&amp;$AH83):INDIRECT("Table!" &amp; $AK$86 &amp; $AH83),0)),"",INDIRECT(CONCATENATE("Table!",ADDRESS($AD83,MATCH(N$1,INDIRECT("Table!A" &amp; $AH83):INDIRECT("Table!" &amp; $AK$86 &amp; $AH83),0))))/1024)</f>
        <v>121.378828125</v>
      </c>
      <c r="O83" s="22">
        <f ca="1">IF(ISERROR(MATCH(O$1,INDIRECT("Table!A"&amp;$AH83):INDIRECT("Table!" &amp; $AK$86 &amp; $AH83),0)),"",INDIRECT(CONCATENATE("Table!",ADDRESS($AD83,MATCH(O$1,INDIRECT("Table!A" &amp; $AH83):INDIRECT("Table!" &amp; $AK$86 &amp; $AH83),0))))/1024)</f>
        <v>221.22164062499999</v>
      </c>
      <c r="P83" s="22"/>
      <c r="Q83" s="272"/>
      <c r="R83" s="272"/>
      <c r="S83" s="595"/>
      <c r="U83" s="22"/>
      <c r="V83" s="595"/>
      <c r="W83" s="595"/>
      <c r="X83" s="595"/>
      <c r="Y83" s="595"/>
      <c r="Z83" s="595"/>
      <c r="AA83" s="595"/>
      <c r="AB83" s="595"/>
      <c r="AC83" s="595"/>
      <c r="AD83" s="22">
        <f>MATCH($A83,Table!$A:$A,0)+$AF$2-1</f>
        <v>1045</v>
      </c>
      <c r="AE83" s="246"/>
      <c r="AF83" s="246"/>
      <c r="AG83" s="246"/>
      <c r="AH83" s="22">
        <f>MATCH($A83,Table!$A:$A,0)+$AJ$2-1</f>
        <v>1037</v>
      </c>
      <c r="AI83" s="246"/>
      <c r="AJ83" s="246"/>
      <c r="AK83" s="904" t="s">
        <v>284</v>
      </c>
      <c r="AL83" s="699">
        <f t="shared" ca="1" si="12"/>
        <v>2318.7110156250001</v>
      </c>
      <c r="AM83" s="699">
        <f t="shared" ref="AM83:AM84" ca="1" si="13">AL83-AL84</f>
        <v>0</v>
      </c>
    </row>
    <row r="84" spans="1:39" x14ac:dyDescent="0.25">
      <c r="A84" s="4">
        <v>41289</v>
      </c>
      <c r="B84" s="22">
        <f ca="1">IF(ISERROR(MATCH(B$1,INDIRECT("Table!A"&amp;$AH84):INDIRECT("Table!" &amp; $AK$86 &amp; $AH84),0)),"",INDIRECT(CONCATENATE("Table!",ADDRESS($AD84,MATCH(B$1,INDIRECT("Table!A" &amp; $AH84):INDIRECT("Table!" &amp; $AK$86 &amp; $AH84),0))))/1024)</f>
        <v>185.06484374999999</v>
      </c>
      <c r="C84" s="22">
        <f ca="1">IF(ISERROR(MATCH(C$1,INDIRECT("Table!A"&amp;$AH84):INDIRECT("Table!" &amp; $AK$86 &amp; $AH84),0)),"",INDIRECT(CONCATENATE("Table!",ADDRESS($AD84,MATCH(C$1,INDIRECT("Table!A" &amp; $AH84):INDIRECT("Table!" &amp; $AK$86 &amp; $AH84),0))))/1024)</f>
        <v>88.284492187499993</v>
      </c>
      <c r="D84" s="22">
        <f ca="1">IF(ISERROR(MATCH(D$1,INDIRECT("Table!A"&amp;$AH84):INDIRECT("Table!" &amp; $AK$86 &amp; $AH84),0)),"",INDIRECT(CONCATENATE("Table!",ADDRESS($AD84,MATCH(D$1,INDIRECT("Table!A" &amp; $AH84):INDIRECT("Table!" &amp; $AK$86 &amp; $AH84),0))))/1024)</f>
        <v>88.91015625</v>
      </c>
      <c r="E84" s="22">
        <f ca="1">IF(ISERROR(MATCH(E$1,INDIRECT("Table!A"&amp;$AH84):INDIRECT("Table!" &amp; $AK$86 &amp; $AH84),0)),"",INDIRECT(CONCATENATE("Table!",ADDRESS($AD84,MATCH(E$1,INDIRECT("Table!A" &amp; $AH84):INDIRECT("Table!" &amp; $AK$86 &amp; $AH84),0))))/1024)</f>
        <v>269.99050781249997</v>
      </c>
      <c r="F84" s="22">
        <f ca="1">IF(ISERROR(MATCH(F$1,INDIRECT("Table!A"&amp;$AH84):INDIRECT("Table!" &amp; $AK$86 &amp; $AH84),0)),"",INDIRECT(CONCATENATE("Table!",ADDRESS($AD84,MATCH(F$1,INDIRECT("Table!A" &amp; $AH84):INDIRECT("Table!" &amp; $AK$86 &amp; $AH84),0))))/1024)</f>
        <v>230.96882812499999</v>
      </c>
      <c r="G84" s="22">
        <f ca="1">IF(ISERROR(MATCH(G$1,INDIRECT("Table!A"&amp;$AH84):INDIRECT("Table!" &amp; $AK$86 &amp; $AH84),0)),"",INDIRECT(CONCATENATE("Table!",ADDRESS($AD84,MATCH(G$1,INDIRECT("Table!A" &amp; $AH84):INDIRECT("Table!" &amp; $AK$86 &amp; $AH84),0))))/1024)</f>
        <v>436.77937499999996</v>
      </c>
      <c r="H84" s="22">
        <f ca="1">IF(ISERROR(MATCH(H$1,INDIRECT("Table!A"&amp;$AH84):INDIRECT("Table!" &amp; $AK$86 &amp; $AH84),0)),"",INDIRECT(CONCATENATE("Table!",ADDRESS($AD84,MATCH(H$1,INDIRECT("Table!A" &amp; $AH84):INDIRECT("Table!" &amp; $AK$86 &amp; $AH84),0))))/1024)</f>
        <v>100.10624999999999</v>
      </c>
      <c r="K84" s="272"/>
      <c r="L84" s="22">
        <f ca="1">IF(ISERROR(MATCH(L$1,INDIRECT("Table!A"&amp;$AH84):INDIRECT("Table!" &amp; $AK$86 &amp; $AH84),0)),"",INDIRECT(CONCATENATE("Table!",ADDRESS($AD84,MATCH(L$1,INDIRECT("Table!A" &amp; $AH84):INDIRECT("Table!" &amp; $AK$86 &amp; $AH84),0))))/1024)</f>
        <v>261.33</v>
      </c>
      <c r="M84" s="22">
        <f ca="1">IF(ISERROR(MATCH(M$1,INDIRECT("Table!A"&amp;$AH84):INDIRECT("Table!" &amp; $AK$86 &amp; $AH84),0)),"",INDIRECT(CONCATENATE("Table!",ADDRESS($AD84,MATCH(M$1,INDIRECT("Table!A" &amp; $AH84):INDIRECT("Table!" &amp; $AK$86 &amp; $AH84),0))))/1024)</f>
        <v>314.67609375000001</v>
      </c>
      <c r="N84" s="22">
        <f ca="1">IF(ISERROR(MATCH(N$1,INDIRECT("Table!A"&amp;$AH84):INDIRECT("Table!" &amp; $AK$86 &amp; $AH84),0)),"",INDIRECT(CONCATENATE("Table!",ADDRESS($AD84,MATCH(N$1,INDIRECT("Table!A" &amp; $AH84):INDIRECT("Table!" &amp; $AK$86 &amp; $AH84),0))))/1024)</f>
        <v>121.378828125</v>
      </c>
      <c r="O84" s="22">
        <f ca="1">IF(ISERROR(MATCH(O$1,INDIRECT("Table!A"&amp;$AH84):INDIRECT("Table!" &amp; $AK$86 &amp; $AH84),0)),"",INDIRECT(CONCATENATE("Table!",ADDRESS($AD84,MATCH(O$1,INDIRECT("Table!A" &amp; $AH84):INDIRECT("Table!" &amp; $AK$86 &amp; $AH84),0))))/1024)</f>
        <v>221.22164062499999</v>
      </c>
      <c r="P84" s="22"/>
      <c r="Q84" s="272"/>
      <c r="R84" s="272"/>
      <c r="S84" s="595"/>
      <c r="U84" s="22"/>
      <c r="V84" s="595"/>
      <c r="W84" s="595"/>
      <c r="X84" s="595"/>
      <c r="Y84" s="595"/>
      <c r="Z84" s="595"/>
      <c r="AA84" s="595"/>
      <c r="AB84" s="595"/>
      <c r="AC84" s="595"/>
      <c r="AD84" s="22">
        <f>MATCH($A84,Table!$A:$A,0)+$AF$2-1</f>
        <v>1057</v>
      </c>
      <c r="AE84" s="246"/>
      <c r="AF84" s="246"/>
      <c r="AG84" s="246"/>
      <c r="AH84" s="22">
        <f>MATCH($A84,Table!$A:$A,0)+$AJ$2-1</f>
        <v>1049</v>
      </c>
      <c r="AI84" s="246"/>
      <c r="AJ84" s="246"/>
      <c r="AK84" s="904" t="s">
        <v>284</v>
      </c>
      <c r="AL84" s="699">
        <f t="shared" ca="1" si="12"/>
        <v>2318.7110156250001</v>
      </c>
      <c r="AM84" s="699">
        <f t="shared" ca="1" si="13"/>
        <v>1.9757812500001819</v>
      </c>
    </row>
    <row r="85" spans="1:39" x14ac:dyDescent="0.25">
      <c r="A85" s="4">
        <v>41285</v>
      </c>
      <c r="B85" s="22">
        <f ca="1">IF(ISERROR(MATCH(B$1,INDIRECT("Table!A"&amp;$AH85):INDIRECT("Table!" &amp; $AK$86 &amp; $AH85),0)),"",INDIRECT(CONCATENATE("Table!",ADDRESS($AD85,MATCH(B$1,INDIRECT("Table!A" &amp; $AH85):INDIRECT("Table!" &amp; $AK$86 &amp; $AH85),0))))/1024)</f>
        <v>181.179140625</v>
      </c>
      <c r="C85" s="22">
        <f ca="1">IF(ISERROR(MATCH(C$1,INDIRECT("Table!A"&amp;$AH85):INDIRECT("Table!" &amp; $AK$86 &amp; $AH85),0)),"",INDIRECT(CONCATENATE("Table!",ADDRESS($AD85,MATCH(C$1,INDIRECT("Table!A" &amp; $AH85):INDIRECT("Table!" &amp; $AK$86 &amp; $AH85),0))))/1024)</f>
        <v>88.976015625000002</v>
      </c>
      <c r="D85" s="22">
        <f ca="1">IF(ISERROR(MATCH(D$1,INDIRECT("Table!A"&amp;$AH85):INDIRECT("Table!" &amp; $AK$86 &amp; $AH85),0)),"",INDIRECT(CONCATENATE("Table!",ADDRESS($AD85,MATCH(D$1,INDIRECT("Table!A" &amp; $AH85):INDIRECT("Table!" &amp; $AK$86 &amp; $AH85),0))))/1024)</f>
        <v>89.469960937499991</v>
      </c>
      <c r="E85" s="22">
        <f ca="1">IF(ISERROR(MATCH(E$1,INDIRECT("Table!A"&amp;$AH85):INDIRECT("Table!" &amp; $AK$86 &amp; $AH85),0)),"",INDIRECT(CONCATENATE("Table!",ADDRESS($AD85,MATCH(E$1,INDIRECT("Table!A" &amp; $AH85):INDIRECT("Table!" &amp; $AK$86 &amp; $AH85),0))))/1024)</f>
        <v>270.38566406249998</v>
      </c>
      <c r="F85" s="22">
        <f ca="1">IF(ISERROR(MATCH(F$1,INDIRECT("Table!A"&amp;$AH85):INDIRECT("Table!" &amp; $AK$86 &amp; $AH85),0)),"",INDIRECT(CONCATENATE("Table!",ADDRESS($AD85,MATCH(F$1,INDIRECT("Table!A" &amp; $AH85):INDIRECT("Table!" &amp; $AK$86 &amp; $AH85),0))))/1024)</f>
        <v>230.96882812499999</v>
      </c>
      <c r="G85" s="22">
        <f ca="1">IF(ISERROR(MATCH(G$1,INDIRECT("Table!A"&amp;$AH85):INDIRECT("Table!" &amp; $AK$86 &amp; $AH85),0)),"",INDIRECT(CONCATENATE("Table!",ADDRESS($AD85,MATCH(G$1,INDIRECT("Table!A" &amp; $AH85):INDIRECT("Table!" &amp; $AK$86 &amp; $AH85),0))))/1024)</f>
        <v>436.81230468749999</v>
      </c>
      <c r="H85" s="22">
        <f ca="1">IF(ISERROR(MATCH(H$1,INDIRECT("Table!A"&amp;$AH85):INDIRECT("Table!" &amp; $AK$86 &amp; $AH85),0)),"",INDIRECT(CONCATENATE("Table!",ADDRESS($AD85,MATCH(H$1,INDIRECT("Table!A" &amp; $AH85):INDIRECT("Table!" &amp; $AK$86 &amp; $AH85),0))))/1024)</f>
        <v>100.10624999999999</v>
      </c>
      <c r="K85" s="272"/>
      <c r="L85" s="22">
        <f ca="1">IF(ISERROR(MATCH(L$1,INDIRECT("Table!A"&amp;$AH85):INDIRECT("Table!" &amp; $AK$86 &amp; $AH85),0)),"",INDIRECT(CONCATENATE("Table!",ADDRESS($AD85,MATCH(L$1,INDIRECT("Table!A" &amp; $AH85):INDIRECT("Table!" &amp; $AK$86 &amp; $AH85),0))))/1024)</f>
        <v>261.52757812499999</v>
      </c>
      <c r="M85" s="22">
        <f ca="1">IF(ISERROR(MATCH(M$1,INDIRECT("Table!A"&amp;$AH85):INDIRECT("Table!" &amp; $AK$86 &amp; $AH85),0)),"",INDIRECT(CONCATENATE("Table!",ADDRESS($AD85,MATCH(M$1,INDIRECT("Table!A" &amp; $AH85):INDIRECT("Table!" &amp; $AK$86 &amp; $AH85),0))))/1024)</f>
        <v>314.70902343749998</v>
      </c>
      <c r="N85" s="22">
        <f ca="1">IF(ISERROR(MATCH(N$1,INDIRECT("Table!A"&amp;$AH85):INDIRECT("Table!" &amp; $AK$86 &amp; $AH85),0)),"",INDIRECT(CONCATENATE("Table!",ADDRESS($AD85,MATCH(N$1,INDIRECT("Table!A" &amp; $AH85):INDIRECT("Table!" &amp; $AK$86 &amp; $AH85),0))))/1024)</f>
        <v>121.378828125</v>
      </c>
      <c r="O85" s="22">
        <f ca="1">IF(ISERROR(MATCH(O$1,INDIRECT("Table!A"&amp;$AH85):INDIRECT("Table!" &amp; $AK$86 &amp; $AH85),0)),"",INDIRECT(CONCATENATE("Table!",ADDRESS($AD85,MATCH(O$1,INDIRECT("Table!A" &amp; $AH85):INDIRECT("Table!" &amp; $AK$86 &amp; $AH85),0))))/1024)</f>
        <v>221.22164062499999</v>
      </c>
      <c r="P85" s="22"/>
      <c r="Q85" s="272"/>
      <c r="R85" s="272"/>
      <c r="S85" s="595"/>
      <c r="U85" s="22"/>
      <c r="V85" s="595"/>
      <c r="W85" s="595"/>
      <c r="X85" s="595"/>
      <c r="Y85" s="595"/>
      <c r="Z85" s="595"/>
      <c r="AA85" s="595"/>
      <c r="AB85" s="595"/>
      <c r="AC85" s="595"/>
      <c r="AD85" s="22">
        <f>MATCH($A85,Table!$A:$A,0)+$AF$2-1</f>
        <v>1069</v>
      </c>
      <c r="AE85" s="245"/>
      <c r="AF85" s="245"/>
      <c r="AG85" s="245"/>
      <c r="AH85" s="22">
        <f>MATCH($A85,Table!$A:$A,0)+$AJ$2-1</f>
        <v>1061</v>
      </c>
      <c r="AI85" s="245"/>
      <c r="AJ85" s="245"/>
      <c r="AK85" s="904" t="s">
        <v>284</v>
      </c>
      <c r="AL85" s="699">
        <f t="shared" ca="1" si="12"/>
        <v>2316.7352343749999</v>
      </c>
      <c r="AM85" s="699">
        <f ca="1">AL85-AL86</f>
        <v>11.755898437500036</v>
      </c>
    </row>
    <row r="86" spans="1:39" x14ac:dyDescent="0.25">
      <c r="A86" s="4">
        <v>41283</v>
      </c>
      <c r="B86" s="22">
        <f ca="1">IF(ISERROR(MATCH(B$1,INDIRECT("Table!A"&amp;$AH86):INDIRECT("Table!" &amp; $AK$86 &amp; $AH86),0)),"",INDIRECT(CONCATENATE("Table!",ADDRESS($AD86,MATCH(B$1,INDIRECT("Table!A" &amp; $AH86):INDIRECT("Table!" &amp; $AK$86 &amp; $AH86),0))))/1024)</f>
        <v>181.179140625</v>
      </c>
      <c r="C86" s="22">
        <f ca="1">IF(ISERROR(MATCH(C$1,INDIRECT("Table!A"&amp;$AH86):INDIRECT("Table!" &amp; $AK$86 &amp; $AH86),0)),"",INDIRECT(CONCATENATE("Table!",ADDRESS($AD86,MATCH(C$1,INDIRECT("Table!A" &amp; $AH86):INDIRECT("Table!" &amp; $AK$86 &amp; $AH86),0))))/1024)</f>
        <v>88.976015625000002</v>
      </c>
      <c r="D86" s="22">
        <f ca="1">IF(ISERROR(MATCH(D$1,INDIRECT("Table!A"&amp;$AH86):INDIRECT("Table!" &amp; $AK$86 &amp; $AH86),0)),"",INDIRECT(CONCATENATE("Table!",ADDRESS($AD86,MATCH(D$1,INDIRECT("Table!A" &amp; $AH86):INDIRECT("Table!" &amp; $AK$86 &amp; $AH86),0))))/1024)</f>
        <v>89.469960937499991</v>
      </c>
      <c r="E86" s="22">
        <f ca="1">IF(ISERROR(MATCH(E$1,INDIRECT("Table!A"&amp;$AH86):INDIRECT("Table!" &amp; $AK$86 &amp; $AH86),0)),"",INDIRECT(CONCATENATE("Table!",ADDRESS($AD86,MATCH(E$1,INDIRECT("Table!A" &amp; $AH86):INDIRECT("Table!" &amp; $AK$86 &amp; $AH86),0))))/1024)</f>
        <v>270.38566406249998</v>
      </c>
      <c r="F86" s="22">
        <f ca="1">IF(ISERROR(MATCH(F$1,INDIRECT("Table!A"&amp;$AH86):INDIRECT("Table!" &amp; $AK$86 &amp; $AH86),0)),"",INDIRECT(CONCATENATE("Table!",ADDRESS($AD86,MATCH(F$1,INDIRECT("Table!A" &amp; $AH86):INDIRECT("Table!" &amp; $AK$86 &amp; $AH86),0))))/1024)</f>
        <v>230.96882812499999</v>
      </c>
      <c r="G86" s="22">
        <f ca="1">IF(ISERROR(MATCH(G$1,INDIRECT("Table!A"&amp;$AH86):INDIRECT("Table!" &amp; $AK$86 &amp; $AH86),0)),"",INDIRECT(CONCATENATE("Table!",ADDRESS($AD86,MATCH(G$1,INDIRECT("Table!A" &amp; $AH86):INDIRECT("Table!" &amp; $AK$86 &amp; $AH86),0))))/1024)</f>
        <v>425.05640625000001</v>
      </c>
      <c r="H86" s="22">
        <f ca="1">IF(ISERROR(MATCH(H$1,INDIRECT("Table!A"&amp;$AH86):INDIRECT("Table!" &amp; $AK$86 &amp; $AH86),0)),"",INDIRECT(CONCATENATE("Table!",ADDRESS($AD86,MATCH(H$1,INDIRECT("Table!A" &amp; $AH86):INDIRECT("Table!" &amp; $AK$86 &amp; $AH86),0))))/1024)</f>
        <v>100.10624999999999</v>
      </c>
      <c r="K86" s="272"/>
      <c r="L86" s="22">
        <f ca="1">IF(ISERROR(MATCH(L$1,INDIRECT("Table!A"&amp;$AH86):INDIRECT("Table!" &amp; $AK$86 &amp; $AH86),0)),"",INDIRECT(CONCATENATE("Table!",ADDRESS($AD86,MATCH(L$1,INDIRECT("Table!A" &amp; $AH86):INDIRECT("Table!" &amp; $AK$86 &amp; $AH86),0))))/1024)</f>
        <v>261.52757812499999</v>
      </c>
      <c r="M86" s="22">
        <f ca="1">IF(ISERROR(MATCH(M$1,INDIRECT("Table!A"&amp;$AH86):INDIRECT("Table!" &amp; $AK$86 &amp; $AH86),0)),"",INDIRECT(CONCATENATE("Table!",ADDRESS($AD86,MATCH(M$1,INDIRECT("Table!A" &amp; $AH86):INDIRECT("Table!" &amp; $AK$86 &amp; $AH86),0))))/1024)</f>
        <v>314.70902343749998</v>
      </c>
      <c r="N86" s="22">
        <f ca="1">IF(ISERROR(MATCH(N$1,INDIRECT("Table!A"&amp;$AH86):INDIRECT("Table!" &amp; $AK$86 &amp; $AH86),0)),"",INDIRECT(CONCATENATE("Table!",ADDRESS($AD86,MATCH(N$1,INDIRECT("Table!A" &amp; $AH86):INDIRECT("Table!" &amp; $AK$86 &amp; $AH86),0))))/1024)</f>
        <v>121.378828125</v>
      </c>
      <c r="O86" s="22">
        <f ca="1">IF(ISERROR(MATCH(O$1,INDIRECT("Table!A"&amp;$AH86):INDIRECT("Table!" &amp; $AK$86 &amp; $AH86),0)),"",INDIRECT(CONCATENATE("Table!",ADDRESS($AD86,MATCH(O$1,INDIRECT("Table!A" &amp; $AH86):INDIRECT("Table!" &amp; $AK$86 &amp; $AH86),0))))/1024)</f>
        <v>221.22164062499999</v>
      </c>
      <c r="P86" s="22"/>
      <c r="Q86" s="272"/>
      <c r="R86" s="272"/>
      <c r="S86" s="595"/>
      <c r="U86" s="22"/>
      <c r="V86" s="595"/>
      <c r="W86" s="595"/>
      <c r="X86" s="595"/>
      <c r="Y86" s="595"/>
      <c r="Z86" s="595"/>
      <c r="AA86" s="595"/>
      <c r="AB86" s="595"/>
      <c r="AC86" s="595"/>
      <c r="AD86" s="22">
        <f>MATCH($A86,Table!$A:$A,0)+$AF$2-1</f>
        <v>1081</v>
      </c>
      <c r="AE86" s="244"/>
      <c r="AF86" s="244"/>
      <c r="AG86" s="244"/>
      <c r="AH86" s="22">
        <f>MATCH($A86,Table!$A:$A,0)+$AJ$2-1</f>
        <v>1073</v>
      </c>
      <c r="AI86" s="244"/>
      <c r="AJ86" s="244"/>
      <c r="AK86" s="904" t="s">
        <v>284</v>
      </c>
      <c r="AL86" s="699">
        <f t="shared" ca="1" si="12"/>
        <v>2304.9793359374999</v>
      </c>
    </row>
    <row r="87" spans="1:39" x14ac:dyDescent="0.25">
      <c r="B87" s="22" t="str">
        <f ca="1">IF(ISERROR(MATCH(B$1,INDIRECT("Table!A"&amp;$AG87):INDIRECT("Table!" &amp; $AI$253 &amp; $AG87),0)),"",INDIRECT(CONCATENATE("Table!",ADDRESS(#REF!,MATCH(B$1,INDIRECT("Table!A" &amp; $AG87):INDIRECT("Table!" &amp; $AI$253 &amp; $AG87),0))))/1024)</f>
        <v/>
      </c>
      <c r="C87" s="22" t="str">
        <f ca="1">IF(ISERROR(MATCH(C$1,INDIRECT("Table!A"&amp;$AG87):INDIRECT("Table!" &amp; $AI$253 &amp; $AG87),0)),"",INDIRECT(CONCATENATE("Table!",ADDRESS(#REF!,MATCH(C$1,INDIRECT("Table!A" &amp; $AG87):INDIRECT("Table!" &amp; $AI$253 &amp; $AG87),0))))/1024)</f>
        <v/>
      </c>
      <c r="D87" s="22" t="str">
        <f ca="1">IF(ISERROR(MATCH(D$1,INDIRECT("Table!A"&amp;$AG87):INDIRECT("Table!" &amp; $AI$253 &amp; $AG87),0)),"",INDIRECT(CONCATENATE("Table!",ADDRESS(#REF!,MATCH(D$1,INDIRECT("Table!A" &amp; $AG87):INDIRECT("Table!" &amp; $AI$253 &amp; $AG87),0))))/1024)</f>
        <v/>
      </c>
      <c r="E87" s="22" t="str">
        <f ca="1">IF(ISERROR(MATCH(E$1,INDIRECT("Table!A"&amp;$AG87):INDIRECT("Table!" &amp; $AI$253 &amp; $AG87),0)),"",INDIRECT(CONCATENATE("Table!",ADDRESS(#REF!,MATCH(E$1,INDIRECT("Table!A" &amp; $AG87):INDIRECT("Table!" &amp; $AI$253 &amp; $AG87),0))))/1024)</f>
        <v/>
      </c>
      <c r="F87" s="22" t="str">
        <f ca="1">IF(ISERROR(MATCH(F$1,INDIRECT("Table!A"&amp;$AG87):INDIRECT("Table!" &amp; $AI$253 &amp; $AG87),0)),"",INDIRECT(CONCATENATE("Table!",ADDRESS(#REF!,MATCH(F$1,INDIRECT("Table!A" &amp; $AG87):INDIRECT("Table!" &amp; $AI$253 &amp; $AG87),0))))/1024)</f>
        <v/>
      </c>
      <c r="G87" s="22" t="str">
        <f ca="1">IF(ISERROR(MATCH(G$1,INDIRECT("Table!A"&amp;$AG87):INDIRECT("Table!" &amp; $AI$253 &amp; $AG87),0)),"",INDIRECT(CONCATENATE("Table!",ADDRESS(#REF!,MATCH(G$1,INDIRECT("Table!A" &amp; $AG87):INDIRECT("Table!" &amp; $AI$253 &amp; $AG87),0))))/1024)</f>
        <v/>
      </c>
      <c r="H87" s="22" t="str">
        <f ca="1">IF(ISERROR(MATCH(H$1,INDIRECT("Table!A"&amp;$AG87):INDIRECT("Table!" &amp; $AI$253 &amp; $AG87),0)),"",INDIRECT(CONCATENATE("Table!",ADDRESS(#REF!,MATCH(H$1,INDIRECT("Table!A" &amp; $AG87):INDIRECT("Table!" &amp; $AI$253 &amp; $AG87),0))))/1024)</f>
        <v/>
      </c>
      <c r="K87" s="22" t="str">
        <f ca="1">IF(ISERROR(MATCH(L$1,INDIRECT("Table!A"&amp;$AG87):INDIRECT("Table!" &amp; $AI$253 &amp; $AG87),0)),"",INDIRECT(CONCATENATE("Table!",ADDRESS(#REF!,MATCH(L$1,INDIRECT("Table!A" &amp; $AG87):INDIRECT("Table!" &amp; $AI$253 &amp; $AG87),0))))/1024)</f>
        <v/>
      </c>
      <c r="L87" s="22" t="str">
        <f ca="1">IF(ISERROR(MATCH(M$1,INDIRECT("Table!A"&amp;$AG87):INDIRECT("Table!" &amp; $AI$253 &amp; $AG87),0)),"",INDIRECT(CONCATENATE("Table!",ADDRESS(#REF!,MATCH(M$1,INDIRECT("Table!A" &amp; $AG87):INDIRECT("Table!" &amp; $AI$253 &amp; $AG87),0))))/1024)</f>
        <v/>
      </c>
      <c r="M87" s="22" t="str">
        <f ca="1">IF(ISERROR(MATCH(N$1,INDIRECT("Table!A"&amp;$AG87):INDIRECT("Table!" &amp; $AI$253 &amp; $AG87),0)),"",INDIRECT(CONCATENATE("Table!",ADDRESS(#REF!,MATCH(N$1,INDIRECT("Table!A" &amp; $AG87):INDIRECT("Table!" &amp; $AI$253 &amp; $AG87),0))))/1024)</f>
        <v/>
      </c>
      <c r="N87" s="22" t="str">
        <f ca="1">IF(ISERROR(MATCH(O$1,INDIRECT("Table!A"&amp;$AG87):INDIRECT("Table!" &amp; $AI$253 &amp; $AG87),0)),"",INDIRECT(CONCATENATE("Table!",ADDRESS(#REF!,MATCH(O$1,INDIRECT("Table!A" &amp; $AG87):INDIRECT("Table!" &amp; $AI$253 &amp; $AG87),0))))/1024)</f>
        <v/>
      </c>
      <c r="O87" s="22"/>
      <c r="P87" s="272"/>
      <c r="Q87" s="22"/>
      <c r="R87" s="272"/>
      <c r="U87" s="243"/>
      <c r="AD87" s="243"/>
      <c r="AE87" s="243"/>
      <c r="AF87" s="243"/>
      <c r="AG87" s="22"/>
      <c r="AH87" s="243"/>
      <c r="AI87" s="243"/>
      <c r="AJ87" s="243"/>
    </row>
    <row r="88" spans="1:39" x14ac:dyDescent="0.25">
      <c r="B88" s="22" t="str">
        <f ca="1">IF(ISERROR(MATCH(B$1,INDIRECT("Table!A"&amp;$AF88):INDIRECT("Table!" &amp; $AI$253 &amp; $AF88),0)),"",INDIRECT(CONCATENATE("Table!",ADDRESS(#REF!,MATCH(B$1,INDIRECT("Table!A" &amp; $AF88):INDIRECT("Table!" &amp; $AI$253 &amp; $AF88),0))))/1024)</f>
        <v/>
      </c>
      <c r="C88" s="22" t="str">
        <f ca="1">IF(ISERROR(MATCH(C$1,INDIRECT("Table!A"&amp;$AF88):INDIRECT("Table!" &amp; $AI$253 &amp; $AF88),0)),"",INDIRECT(CONCATENATE("Table!",ADDRESS(#REF!,MATCH(C$1,INDIRECT("Table!A" &amp; $AF88):INDIRECT("Table!" &amp; $AI$253 &amp; $AF88),0))))/1024)</f>
        <v/>
      </c>
      <c r="D88" s="22" t="str">
        <f ca="1">IF(ISERROR(MATCH(D$1,INDIRECT("Table!A"&amp;$AF88):INDIRECT("Table!" &amp; $AI$253 &amp; $AF88),0)),"",INDIRECT(CONCATENATE("Table!",ADDRESS(#REF!,MATCH(D$1,INDIRECT("Table!A" &amp; $AF88):INDIRECT("Table!" &amp; $AI$253 &amp; $AF88),0))))/1024)</f>
        <v/>
      </c>
      <c r="E88" s="22" t="str">
        <f ca="1">IF(ISERROR(MATCH(E$1,INDIRECT("Table!A"&amp;$AF88):INDIRECT("Table!" &amp; $AI$253 &amp; $AF88),0)),"",INDIRECT(CONCATENATE("Table!",ADDRESS(#REF!,MATCH(E$1,INDIRECT("Table!A" &amp; $AF88):INDIRECT("Table!" &amp; $AI$253 &amp; $AF88),0))))/1024)</f>
        <v/>
      </c>
      <c r="F88" s="22" t="str">
        <f ca="1">IF(ISERROR(MATCH(F$1,INDIRECT("Table!A"&amp;$AF88):INDIRECT("Table!" &amp; $AI$253 &amp; $AF88),0)),"",INDIRECT(CONCATENATE("Table!",ADDRESS(#REF!,MATCH(F$1,INDIRECT("Table!A" &amp; $AF88):INDIRECT("Table!" &amp; $AI$253 &amp; $AF88),0))))/1024)</f>
        <v/>
      </c>
      <c r="G88" s="22" t="str">
        <f ca="1">IF(ISERROR(MATCH(G$1,INDIRECT("Table!A"&amp;$AF88):INDIRECT("Table!" &amp; $AI$253 &amp; $AF88),0)),"",INDIRECT(CONCATENATE("Table!",ADDRESS(#REF!,MATCH(G$1,INDIRECT("Table!A" &amp; $AF88):INDIRECT("Table!" &amp; $AI$253 &amp; $AF88),0))))/1024)</f>
        <v/>
      </c>
      <c r="H88" s="22" t="str">
        <f ca="1">IF(ISERROR(MATCH(H$1,INDIRECT("Table!A"&amp;$AF88):INDIRECT("Table!" &amp; $AI$253 &amp; $AF88),0)),"",INDIRECT(CONCATENATE("Table!",ADDRESS(#REF!,MATCH(H$1,INDIRECT("Table!A" &amp; $AF88):INDIRECT("Table!" &amp; $AI$253 &amp; $AF88),0))))/1024)</f>
        <v/>
      </c>
      <c r="K88" s="22" t="str">
        <f ca="1">IF(ISERROR(MATCH(L$1,INDIRECT("Table!A"&amp;$AF88):INDIRECT("Table!" &amp; $AI$253 &amp; $AF88),0)),"",INDIRECT(CONCATENATE("Table!",ADDRESS(#REF!,MATCH(L$1,INDIRECT("Table!A" &amp; $AF88):INDIRECT("Table!" &amp; $AI$253 &amp; $AF88),0))))/1024)</f>
        <v/>
      </c>
      <c r="L88" s="22" t="str">
        <f ca="1">IF(ISERROR(MATCH(M$1,INDIRECT("Table!A"&amp;$AF88):INDIRECT("Table!" &amp; $AI$253 &amp; $AF88),0)),"",INDIRECT(CONCATENATE("Table!",ADDRESS(#REF!,MATCH(M$1,INDIRECT("Table!A" &amp; $AF88):INDIRECT("Table!" &amp; $AI$253 &amp; $AF88),0))))/1024)</f>
        <v/>
      </c>
      <c r="M88" s="22" t="str">
        <f ca="1">IF(ISERROR(MATCH(N$1,INDIRECT("Table!A"&amp;$AF88):INDIRECT("Table!" &amp; $AI$253 &amp; $AF88),0)),"",INDIRECT(CONCATENATE("Table!",ADDRESS(#REF!,MATCH(N$1,INDIRECT("Table!A" &amp; $AF88):INDIRECT("Table!" &amp; $AI$253 &amp; $AF88),0))))/1024)</f>
        <v/>
      </c>
      <c r="N88" s="22" t="str">
        <f ca="1">IF(ISERROR(MATCH(O$1,INDIRECT("Table!A"&amp;$AF88):INDIRECT("Table!" &amp; $AI$253 &amp; $AF88),0)),"",INDIRECT(CONCATENATE("Table!",ADDRESS(#REF!,MATCH(O$1,INDIRECT("Table!A" &amp; $AF88):INDIRECT("Table!" &amp; $AI$253 &amp; $AF88),0))))/1024)</f>
        <v/>
      </c>
      <c r="O88" s="22"/>
      <c r="P88" s="272"/>
      <c r="Q88" s="22"/>
      <c r="R88" s="242"/>
      <c r="T88" s="595"/>
      <c r="U88" s="242"/>
      <c r="AD88" s="242"/>
      <c r="AE88" s="242"/>
      <c r="AF88" s="22"/>
      <c r="AG88" s="242"/>
      <c r="AH88" s="242"/>
      <c r="AI88" s="242"/>
    </row>
    <row r="89" spans="1:39" x14ac:dyDescent="0.25">
      <c r="B89" s="22" t="str">
        <f ca="1">IF(ISERROR(MATCH(B$1,INDIRECT("Table!A"&amp;$AF89):INDIRECT("Table!" &amp; $AI$253 &amp; $AF89),0)),"",INDIRECT(CONCATENATE("Table!",ADDRESS(#REF!,MATCH(B$1,INDIRECT("Table!A" &amp; $AF89):INDIRECT("Table!" &amp; $AI$253 &amp; $AF89),0))))/1024)</f>
        <v/>
      </c>
      <c r="C89" s="22" t="str">
        <f ca="1">IF(ISERROR(MATCH(C$1,INDIRECT("Table!A"&amp;$AF89):INDIRECT("Table!" &amp; $AI$253 &amp; $AF89),0)),"",INDIRECT(CONCATENATE("Table!",ADDRESS(#REF!,MATCH(C$1,INDIRECT("Table!A" &amp; $AF89):INDIRECT("Table!" &amp; $AI$253 &amp; $AF89),0))))/1024)</f>
        <v/>
      </c>
      <c r="D89" s="22" t="str">
        <f ca="1">IF(ISERROR(MATCH(D$1,INDIRECT("Table!A"&amp;$AF89):INDIRECT("Table!" &amp; $AI$253 &amp; $AF89),0)),"",INDIRECT(CONCATENATE("Table!",ADDRESS(#REF!,MATCH(D$1,INDIRECT("Table!A" &amp; $AF89):INDIRECT("Table!" &amp; $AI$253 &amp; $AF89),0))))/1024)</f>
        <v/>
      </c>
      <c r="E89" s="22" t="str">
        <f ca="1">IF(ISERROR(MATCH(E$1,INDIRECT("Table!A"&amp;$AF89):INDIRECT("Table!" &amp; $AI$253 &amp; $AF89),0)),"",INDIRECT(CONCATENATE("Table!",ADDRESS(#REF!,MATCH(E$1,INDIRECT("Table!A" &amp; $AF89):INDIRECT("Table!" &amp; $AI$253 &amp; $AF89),0))))/1024)</f>
        <v/>
      </c>
      <c r="F89" s="592"/>
      <c r="G89" s="22" t="str">
        <f ca="1">IF(ISERROR(MATCH(G$1,INDIRECT("Table!A"&amp;$AF89):INDIRECT("Table!" &amp; $AI$253 &amp; $AF89),0)),"",INDIRECT(CONCATENATE("Table!",ADDRESS(#REF!,MATCH(G$1,INDIRECT("Table!A" &amp; $AF89):INDIRECT("Table!" &amp; $AI$253 &amp; $AF89),0))))/1024)</f>
        <v/>
      </c>
      <c r="H89" s="22" t="str">
        <f ca="1">IF(ISERROR(MATCH(H$1,INDIRECT("Table!A"&amp;$AF89):INDIRECT("Table!" &amp; $AI$253 &amp; $AF89),0)),"",INDIRECT(CONCATENATE("Table!",ADDRESS(#REF!,MATCH(H$1,INDIRECT("Table!A" &amp; $AF89):INDIRECT("Table!" &amp; $AI$253 &amp; $AF89),0))))/1024)</f>
        <v/>
      </c>
      <c r="K89" s="22" t="str">
        <f ca="1">IF(ISERROR(MATCH(L$1,INDIRECT("Table!A"&amp;$AF89):INDIRECT("Table!" &amp; $AI$253 &amp; $AF89),0)),"",INDIRECT(CONCATENATE("Table!",ADDRESS(#REF!,MATCH(L$1,INDIRECT("Table!A" &amp; $AF89):INDIRECT("Table!" &amp; $AI$253 &amp; $AF89),0))))/1024)</f>
        <v/>
      </c>
      <c r="L89" s="22" t="str">
        <f ca="1">IF(ISERROR(MATCH(M$1,INDIRECT("Table!A"&amp;$AF89):INDIRECT("Table!" &amp; $AI$253 &amp; $AF89),0)),"",INDIRECT(CONCATENATE("Table!",ADDRESS(#REF!,MATCH(M$1,INDIRECT("Table!A" &amp; $AF89):INDIRECT("Table!" &amp; $AI$253 &amp; $AF89),0))))/1024)</f>
        <v/>
      </c>
      <c r="M89" s="22" t="str">
        <f ca="1">IF(ISERROR(MATCH(N$1,INDIRECT("Table!A"&amp;$AF89):INDIRECT("Table!" &amp; $AI$253 &amp; $AF89),0)),"",INDIRECT(CONCATENATE("Table!",ADDRESS(#REF!,MATCH(N$1,INDIRECT("Table!A" &amp; $AF89):INDIRECT("Table!" &amp; $AI$253 &amp; $AF89),0))))/1024)</f>
        <v/>
      </c>
      <c r="N89" s="22" t="str">
        <f ca="1">IF(ISERROR(MATCH(O$1,INDIRECT("Table!A"&amp;$AF89):INDIRECT("Table!" &amp; $AI$253 &amp; $AF89),0)),"",INDIRECT(CONCATENATE("Table!",ADDRESS(#REF!,MATCH(O$1,INDIRECT("Table!A" &amp; $AF89):INDIRECT("Table!" &amp; $AI$253 &amp; $AF89),0))))/1024)</f>
        <v/>
      </c>
      <c r="O89" s="22"/>
      <c r="P89" s="272"/>
      <c r="Q89" s="22"/>
      <c r="R89" s="241"/>
      <c r="T89" s="595"/>
      <c r="U89" s="241"/>
      <c r="AD89" s="241"/>
      <c r="AE89" s="241"/>
      <c r="AF89" s="22"/>
      <c r="AG89" s="241"/>
      <c r="AH89" s="241"/>
      <c r="AI89" s="241"/>
    </row>
    <row r="90" spans="1:39" x14ac:dyDescent="0.25">
      <c r="B90" s="22" t="str">
        <f ca="1">IF(ISERROR(MATCH(B$1,INDIRECT("Table!A"&amp;$AF90):INDIRECT("Table!" &amp; $AI$253 &amp; $AF90),0)),"",INDIRECT(CONCATENATE("Table!",ADDRESS(#REF!,MATCH(B$1,INDIRECT("Table!A" &amp; $AF90):INDIRECT("Table!" &amp; $AI$253 &amp; $AF90),0))))/1024)</f>
        <v/>
      </c>
      <c r="C90" s="22" t="str">
        <f ca="1">IF(ISERROR(MATCH(C$1,INDIRECT("Table!A"&amp;$AF90):INDIRECT("Table!" &amp; $AI$253 &amp; $AF90),0)),"",INDIRECT(CONCATENATE("Table!",ADDRESS(#REF!,MATCH(C$1,INDIRECT("Table!A" &amp; $AF90):INDIRECT("Table!" &amp; $AI$253 &amp; $AF90),0))))/1024)</f>
        <v/>
      </c>
      <c r="D90" s="22" t="str">
        <f ca="1">IF(ISERROR(MATCH(D$1,INDIRECT("Table!A"&amp;$AF90):INDIRECT("Table!" &amp; $AI$253 &amp; $AF90),0)),"",INDIRECT(CONCATENATE("Table!",ADDRESS(#REF!,MATCH(D$1,INDIRECT("Table!A" &amp; $AF90):INDIRECT("Table!" &amp; $AI$253 &amp; $AF90),0))))/1024)</f>
        <v/>
      </c>
      <c r="E90" s="22" t="str">
        <f ca="1">IF(ISERROR(MATCH(E$1,INDIRECT("Table!A"&amp;$AF90):INDIRECT("Table!" &amp; $AI$253 &amp; $AF90),0)),"",INDIRECT(CONCATENATE("Table!",ADDRESS(#REF!,MATCH(E$1,INDIRECT("Table!A" &amp; $AF90):INDIRECT("Table!" &amp; $AI$253 &amp; $AF90),0))))/1024)</f>
        <v/>
      </c>
      <c r="F90" s="592"/>
      <c r="G90" s="22" t="str">
        <f ca="1">IF(ISERROR(MATCH(G$1,INDIRECT("Table!A"&amp;$AF90):INDIRECT("Table!" &amp; $AI$253 &amp; $AF90),0)),"",INDIRECT(CONCATENATE("Table!",ADDRESS(#REF!,MATCH(G$1,INDIRECT("Table!A" &amp; $AF90):INDIRECT("Table!" &amp; $AI$253 &amp; $AF90),0))))/1024)</f>
        <v/>
      </c>
      <c r="H90" s="22" t="str">
        <f ca="1">IF(ISERROR(MATCH(H$1,INDIRECT("Table!A"&amp;$AF90):INDIRECT("Table!" &amp; $AI$253 &amp; $AF90),0)),"",INDIRECT(CONCATENATE("Table!",ADDRESS(#REF!,MATCH(H$1,INDIRECT("Table!A" &amp; $AF90):INDIRECT("Table!" &amp; $AI$253 &amp; $AF90),0))))/1024)</f>
        <v/>
      </c>
      <c r="J90" s="592"/>
      <c r="K90" s="22" t="str">
        <f ca="1">IF(ISERROR(MATCH(L$1,INDIRECT("Table!A"&amp;$AF90):INDIRECT("Table!" &amp; $AI$253 &amp; $AF90),0)),"",INDIRECT(CONCATENATE("Table!",ADDRESS(#REF!,MATCH(L$1,INDIRECT("Table!A" &amp; $AF90):INDIRECT("Table!" &amp; $AI$253 &amp; $AF90),0))))/1024)</f>
        <v/>
      </c>
      <c r="L90" s="22" t="str">
        <f ca="1">IF(ISERROR(MATCH(M$1,INDIRECT("Table!A"&amp;$AF90):INDIRECT("Table!" &amp; $AI$253 &amp; $AF90),0)),"",INDIRECT(CONCATENATE("Table!",ADDRESS(#REF!,MATCH(M$1,INDIRECT("Table!A" &amp; $AF90):INDIRECT("Table!" &amp; $AI$253 &amp; $AF90),0))))/1024)</f>
        <v/>
      </c>
      <c r="M90" s="22" t="str">
        <f ca="1">IF(ISERROR(MATCH(N$1,INDIRECT("Table!A"&amp;$AF90):INDIRECT("Table!" &amp; $AI$253 &amp; $AF90),0)),"",INDIRECT(CONCATENATE("Table!",ADDRESS(#REF!,MATCH(N$1,INDIRECT("Table!A" &amp; $AF90):INDIRECT("Table!" &amp; $AI$253 &amp; $AF90),0))))/1024)</f>
        <v/>
      </c>
      <c r="N90" s="22" t="str">
        <f ca="1">IF(ISERROR(MATCH(O$1,INDIRECT("Table!A"&amp;$AF90):INDIRECT("Table!" &amp; $AI$253 &amp; $AF90),0)),"",INDIRECT(CONCATENATE("Table!",ADDRESS(#REF!,MATCH(O$1,INDIRECT("Table!A" &amp; $AF90):INDIRECT("Table!" &amp; $AI$253 &amp; $AF90),0))))/1024)</f>
        <v/>
      </c>
      <c r="O90" s="22"/>
      <c r="P90" s="272"/>
      <c r="Q90" s="22"/>
      <c r="R90" s="240"/>
      <c r="T90" s="595"/>
      <c r="U90" s="240"/>
      <c r="AD90" s="240"/>
      <c r="AE90" s="240"/>
      <c r="AF90" s="22"/>
      <c r="AG90" s="240"/>
      <c r="AH90" s="240"/>
      <c r="AI90" s="240"/>
    </row>
    <row r="91" spans="1:39" x14ac:dyDescent="0.25">
      <c r="B91" s="22" t="str">
        <f ca="1">IF(ISERROR(MATCH(B$1,INDIRECT("Table!A"&amp;$AF91):INDIRECT("Table!" &amp; $AI$253 &amp; $AF91),0)),"",INDIRECT(CONCATENATE("Table!",ADDRESS(#REF!,MATCH(B$1,INDIRECT("Table!A" &amp; $AF91):INDIRECT("Table!" &amp; $AI$253 &amp; $AF91),0))))/1024)</f>
        <v/>
      </c>
      <c r="C91" s="22" t="str">
        <f ca="1">IF(ISERROR(MATCH(C$1,INDIRECT("Table!A"&amp;$AF91):INDIRECT("Table!" &amp; $AI$253 &amp; $AF91),0)),"",INDIRECT(CONCATENATE("Table!",ADDRESS(#REF!,MATCH(C$1,INDIRECT("Table!A" &amp; $AF91):INDIRECT("Table!" &amp; $AI$253 &amp; $AF91),0))))/1024)</f>
        <v/>
      </c>
      <c r="D91" s="22" t="str">
        <f ca="1">IF(ISERROR(MATCH(D$1,INDIRECT("Table!A"&amp;$AF91):INDIRECT("Table!" &amp; $AI$253 &amp; $AF91),0)),"",INDIRECT(CONCATENATE("Table!",ADDRESS(#REF!,MATCH(D$1,INDIRECT("Table!A" &amp; $AF91):INDIRECT("Table!" &amp; $AI$253 &amp; $AF91),0))))/1024)</f>
        <v/>
      </c>
      <c r="E91" s="22" t="str">
        <f ca="1">IF(ISERROR(MATCH(E$1,INDIRECT("Table!A"&amp;$AF91):INDIRECT("Table!" &amp; $AI$253 &amp; $AF91),0)),"",INDIRECT(CONCATENATE("Table!",ADDRESS(#REF!,MATCH(E$1,INDIRECT("Table!A" &amp; $AF91):INDIRECT("Table!" &amp; $AI$253 &amp; $AF91),0))))/1024)</f>
        <v/>
      </c>
      <c r="F91" s="592"/>
      <c r="G91" s="22" t="str">
        <f ca="1">IF(ISERROR(MATCH(G$1,INDIRECT("Table!A"&amp;$AF91):INDIRECT("Table!" &amp; $AI$253 &amp; $AF91),0)),"",INDIRECT(CONCATENATE("Table!",ADDRESS(#REF!,MATCH(G$1,INDIRECT("Table!A" &amp; $AF91):INDIRECT("Table!" &amp; $AI$253 &amp; $AF91),0))))/1024)</f>
        <v/>
      </c>
      <c r="H91" s="22" t="str">
        <f ca="1">IF(ISERROR(MATCH(H$1,INDIRECT("Table!A"&amp;$AF91):INDIRECT("Table!" &amp; $AI$253 &amp; $AF91),0)),"",INDIRECT(CONCATENATE("Table!",ADDRESS(#REF!,MATCH(H$1,INDIRECT("Table!A" &amp; $AF91):INDIRECT("Table!" &amp; $AI$253 &amp; $AF91),0))))/1024)</f>
        <v/>
      </c>
      <c r="J91" s="592"/>
      <c r="K91" s="22" t="str">
        <f ca="1">IF(ISERROR(MATCH(L$1,INDIRECT("Table!A"&amp;$AF91):INDIRECT("Table!" &amp; $AI$253 &amp; $AF91),0)),"",INDIRECT(CONCATENATE("Table!",ADDRESS(#REF!,MATCH(L$1,INDIRECT("Table!A" &amp; $AF91):INDIRECT("Table!" &amp; $AI$253 &amp; $AF91),0))))/1024)</f>
        <v/>
      </c>
      <c r="L91" s="22" t="str">
        <f ca="1">IF(ISERROR(MATCH(M$1,INDIRECT("Table!A"&amp;$AF91):INDIRECT("Table!" &amp; $AI$253 &amp; $AF91),0)),"",INDIRECT(CONCATENATE("Table!",ADDRESS(#REF!,MATCH(M$1,INDIRECT("Table!A" &amp; $AF91):INDIRECT("Table!" &amp; $AI$253 &amp; $AF91),0))))/1024)</f>
        <v/>
      </c>
      <c r="M91" s="22" t="str">
        <f ca="1">IF(ISERROR(MATCH(N$1,INDIRECT("Table!A"&amp;$AF91):INDIRECT("Table!" &amp; $AI$253 &amp; $AF91),0)),"",INDIRECT(CONCATENATE("Table!",ADDRESS(#REF!,MATCH(N$1,INDIRECT("Table!A" &amp; $AF91):INDIRECT("Table!" &amp; $AI$253 &amp; $AF91),0))))/1024)</f>
        <v/>
      </c>
      <c r="N91" s="22" t="str">
        <f ca="1">IF(ISERROR(MATCH(O$1,INDIRECT("Table!A"&amp;$AF91):INDIRECT("Table!" &amp; $AI$253 &amp; $AF91),0)),"",INDIRECT(CONCATENATE("Table!",ADDRESS(#REF!,MATCH(O$1,INDIRECT("Table!A" &amp; $AF91):INDIRECT("Table!" &amp; $AI$253 &amp; $AF91),0))))/1024)</f>
        <v/>
      </c>
      <c r="O91" s="22"/>
      <c r="P91" s="272"/>
      <c r="Q91" s="22"/>
      <c r="R91" s="239"/>
      <c r="T91" s="595"/>
      <c r="U91" s="239"/>
      <c r="AD91" s="239"/>
      <c r="AE91" s="239"/>
      <c r="AF91" s="22"/>
      <c r="AG91" s="239"/>
      <c r="AH91" s="239"/>
      <c r="AI91" s="239"/>
    </row>
    <row r="92" spans="1:39" x14ac:dyDescent="0.25">
      <c r="B92" s="22" t="str">
        <f ca="1">IF(ISERROR(MATCH(B$1,INDIRECT("Table!A"&amp;$AF92):INDIRECT("Table!" &amp; $AI$253 &amp; $AF92),0)),"",INDIRECT(CONCATENATE("Table!",ADDRESS(#REF!,MATCH(B$1,INDIRECT("Table!A" &amp; $AF92):INDIRECT("Table!" &amp; $AI$253 &amp; $AF92),0))))/1024)</f>
        <v/>
      </c>
      <c r="C92" s="22" t="str">
        <f ca="1">IF(ISERROR(MATCH(C$1,INDIRECT("Table!A"&amp;$AF92):INDIRECT("Table!" &amp; $AI$253 &amp; $AF92),0)),"",INDIRECT(CONCATENATE("Table!",ADDRESS(#REF!,MATCH(C$1,INDIRECT("Table!A" &amp; $AF92):INDIRECT("Table!" &amp; $AI$253 &amp; $AF92),0))))/1024)</f>
        <v/>
      </c>
      <c r="D92" s="22" t="str">
        <f ca="1">IF(ISERROR(MATCH(D$1,INDIRECT("Table!A"&amp;$AF92):INDIRECT("Table!" &amp; $AI$253 &amp; $AF92),0)),"",INDIRECT(CONCATENATE("Table!",ADDRESS(#REF!,MATCH(D$1,INDIRECT("Table!A" &amp; $AF92):INDIRECT("Table!" &amp; $AI$253 &amp; $AF92),0))))/1024)</f>
        <v/>
      </c>
      <c r="E92" s="22" t="str">
        <f ca="1">IF(ISERROR(MATCH(E$1,INDIRECT("Table!A"&amp;$AF92):INDIRECT("Table!" &amp; $AI$253 &amp; $AF92),0)),"",INDIRECT(CONCATENATE("Table!",ADDRESS(#REF!,MATCH(E$1,INDIRECT("Table!A" &amp; $AF92):INDIRECT("Table!" &amp; $AI$253 &amp; $AF92),0))))/1024)</f>
        <v/>
      </c>
      <c r="F92" s="592"/>
      <c r="G92" s="22" t="str">
        <f ca="1">IF(ISERROR(MATCH(G$1,INDIRECT("Table!A"&amp;$AF92):INDIRECT("Table!" &amp; $AI$253 &amp; $AF92),0)),"",INDIRECT(CONCATENATE("Table!",ADDRESS(#REF!,MATCH(G$1,INDIRECT("Table!A" &amp; $AF92):INDIRECT("Table!" &amp; $AI$253 &amp; $AF92),0))))/1024)</f>
        <v/>
      </c>
      <c r="H92" s="22" t="str">
        <f ca="1">IF(ISERROR(MATCH(H$1,INDIRECT("Table!A"&amp;$AF92):INDIRECT("Table!" &amp; $AI$253 &amp; $AF92),0)),"",INDIRECT(CONCATENATE("Table!",ADDRESS(#REF!,MATCH(H$1,INDIRECT("Table!A" &amp; $AF92):INDIRECT("Table!" &amp; $AI$253 &amp; $AF92),0))))/1024)</f>
        <v/>
      </c>
      <c r="J92" s="592"/>
      <c r="K92" s="22" t="str">
        <f ca="1">IF(ISERROR(MATCH(L$1,INDIRECT("Table!A"&amp;$AF92):INDIRECT("Table!" &amp; $AI$253 &amp; $AF92),0)),"",INDIRECT(CONCATENATE("Table!",ADDRESS(#REF!,MATCH(L$1,INDIRECT("Table!A" &amp; $AF92):INDIRECT("Table!" &amp; $AI$253 &amp; $AF92),0))))/1024)</f>
        <v/>
      </c>
      <c r="L92" s="22" t="str">
        <f ca="1">IF(ISERROR(MATCH(M$1,INDIRECT("Table!A"&amp;$AF92):INDIRECT("Table!" &amp; $AI$253 &amp; $AF92),0)),"",INDIRECT(CONCATENATE("Table!",ADDRESS(#REF!,MATCH(M$1,INDIRECT("Table!A" &amp; $AF92):INDIRECT("Table!" &amp; $AI$253 &amp; $AF92),0))))/1024)</f>
        <v/>
      </c>
      <c r="M92" s="22" t="str">
        <f ca="1">IF(ISERROR(MATCH(N$1,INDIRECT("Table!A"&amp;$AF92):INDIRECT("Table!" &amp; $AI$253 &amp; $AF92),0)),"",INDIRECT(CONCATENATE("Table!",ADDRESS(#REF!,MATCH(N$1,INDIRECT("Table!A" &amp; $AF92):INDIRECT("Table!" &amp; $AI$253 &amp; $AF92),0))))/1024)</f>
        <v/>
      </c>
      <c r="N92" s="22" t="str">
        <f ca="1">IF(ISERROR(MATCH(O$1,INDIRECT("Table!A"&amp;$AF92):INDIRECT("Table!" &amp; $AI$253 &amp; $AF92),0)),"",INDIRECT(CONCATENATE("Table!",ADDRESS(#REF!,MATCH(O$1,INDIRECT("Table!A" &amp; $AF92):INDIRECT("Table!" &amp; $AI$253 &amp; $AF92),0))))/1024)</f>
        <v/>
      </c>
      <c r="O92" s="22"/>
      <c r="P92" s="272"/>
      <c r="Q92" s="22"/>
      <c r="R92" s="238"/>
      <c r="T92" s="595"/>
      <c r="U92" s="238"/>
      <c r="AD92" s="238"/>
      <c r="AE92" s="238"/>
      <c r="AF92" s="22"/>
      <c r="AG92" s="238"/>
      <c r="AH92" s="238"/>
      <c r="AI92" s="238"/>
    </row>
    <row r="93" spans="1:39" x14ac:dyDescent="0.25">
      <c r="B93" s="22" t="str">
        <f ca="1">IF(ISERROR(MATCH(B$1,INDIRECT("Table!A"&amp;$AF93):INDIRECT("Table!" &amp; $AI$253 &amp; $AF93),0)),"",INDIRECT(CONCATENATE("Table!",ADDRESS(#REF!,MATCH(B$1,INDIRECT("Table!A" &amp; $AF93):INDIRECT("Table!" &amp; $AI$253 &amp; $AF93),0))))/1024)</f>
        <v/>
      </c>
      <c r="C93" s="22" t="str">
        <f ca="1">IF(ISERROR(MATCH(C$1,INDIRECT("Table!A"&amp;$AF93):INDIRECT("Table!" &amp; $AI$253 &amp; $AF93),0)),"",INDIRECT(CONCATENATE("Table!",ADDRESS(#REF!,MATCH(C$1,INDIRECT("Table!A" &amp; $AF93):INDIRECT("Table!" &amp; $AI$253 &amp; $AF93),0))))/1024)</f>
        <v/>
      </c>
      <c r="D93" s="22" t="str">
        <f ca="1">IF(ISERROR(MATCH(D$1,INDIRECT("Table!A"&amp;$AF93):INDIRECT("Table!" &amp; $AI$253 &amp; $AF93),0)),"",INDIRECT(CONCATENATE("Table!",ADDRESS(#REF!,MATCH(D$1,INDIRECT("Table!A" &amp; $AF93):INDIRECT("Table!" &amp; $AI$253 &amp; $AF93),0))))/1024)</f>
        <v/>
      </c>
      <c r="E93" s="22" t="str">
        <f ca="1">IF(ISERROR(MATCH(E$1,INDIRECT("Table!A"&amp;$AF93):INDIRECT("Table!" &amp; $AI$253 &amp; $AF93),0)),"",INDIRECT(CONCATENATE("Table!",ADDRESS(#REF!,MATCH(E$1,INDIRECT("Table!A" &amp; $AF93):INDIRECT("Table!" &amp; $AI$253 &amp; $AF93),0))))/1024)</f>
        <v/>
      </c>
      <c r="F93" s="22" t="str">
        <f ca="1">IF(ISERROR(MATCH(F$1,INDIRECT("Table!A"&amp;$AF93):INDIRECT("Table!" &amp; $AI$253 &amp; $AF93),0)),"",INDIRECT(CONCATENATE("Table!",ADDRESS(#REF!,MATCH(F$1,INDIRECT("Table!A" &amp; $AF93):INDIRECT("Table!" &amp; $AI$253 &amp; $AF93),0))))/1024)</f>
        <v/>
      </c>
      <c r="G93" s="22" t="str">
        <f ca="1">IF(ISERROR(MATCH(G$1,INDIRECT("Table!A"&amp;$AF93):INDIRECT("Table!" &amp; $AI$253 &amp; $AF93),0)),"",INDIRECT(CONCATENATE("Table!",ADDRESS(#REF!,MATCH(G$1,INDIRECT("Table!A" &amp; $AF93):INDIRECT("Table!" &amp; $AI$253 &amp; $AF93),0))))/1024)</f>
        <v/>
      </c>
      <c r="H93" s="22" t="str">
        <f ca="1">IF(ISERROR(MATCH(H$1,INDIRECT("Table!A"&amp;$AF93):INDIRECT("Table!" &amp; $AI$253 &amp; $AF93),0)),"",INDIRECT(CONCATENATE("Table!",ADDRESS(#REF!,MATCH(H$1,INDIRECT("Table!A" &amp; $AF93):INDIRECT("Table!" &amp; $AI$253 &amp; $AF93),0))))/1024)</f>
        <v/>
      </c>
      <c r="J93" s="592"/>
      <c r="K93" s="22" t="str">
        <f ca="1">IF(ISERROR(MATCH(L$1,INDIRECT("Table!A"&amp;$AF93):INDIRECT("Table!" &amp; $AI$253 &amp; $AF93),0)),"",INDIRECT(CONCATENATE("Table!",ADDRESS(#REF!,MATCH(L$1,INDIRECT("Table!A" &amp; $AF93):INDIRECT("Table!" &amp; $AI$253 &amp; $AF93),0))))/1024)</f>
        <v/>
      </c>
      <c r="L93" s="22" t="str">
        <f ca="1">IF(ISERROR(MATCH(M$1,INDIRECT("Table!A"&amp;$AF93):INDIRECT("Table!" &amp; $AI$253 &amp; $AF93),0)),"",INDIRECT(CONCATENATE("Table!",ADDRESS(#REF!,MATCH(M$1,INDIRECT("Table!A" &amp; $AF93):INDIRECT("Table!" &amp; $AI$253 &amp; $AF93),0))))/1024)</f>
        <v/>
      </c>
      <c r="M93" s="22" t="str">
        <f ca="1">IF(ISERROR(MATCH(N$1,INDIRECT("Table!A"&amp;$AF93):INDIRECT("Table!" &amp; $AI$253 &amp; $AF93),0)),"",INDIRECT(CONCATENATE("Table!",ADDRESS(#REF!,MATCH(N$1,INDIRECT("Table!A" &amp; $AF93):INDIRECT("Table!" &amp; $AI$253 &amp; $AF93),0))))/1024)</f>
        <v/>
      </c>
      <c r="N93" s="22" t="str">
        <f ca="1">IF(ISERROR(MATCH(O$1,INDIRECT("Table!A"&amp;$AF93):INDIRECT("Table!" &amp; $AI$253 &amp; $AF93),0)),"",INDIRECT(CONCATENATE("Table!",ADDRESS(#REF!,MATCH(O$1,INDIRECT("Table!A" &amp; $AF93):INDIRECT("Table!" &amp; $AI$253 &amp; $AF93),0))))/1024)</f>
        <v/>
      </c>
      <c r="O93" s="22"/>
      <c r="P93" s="272"/>
      <c r="Q93" s="22"/>
      <c r="R93" s="220"/>
      <c r="T93" s="595"/>
      <c r="U93" s="220"/>
      <c r="AD93" s="220"/>
      <c r="AE93" s="220"/>
      <c r="AF93" s="22"/>
      <c r="AG93" s="220"/>
      <c r="AH93" s="220"/>
      <c r="AI93" s="220"/>
    </row>
    <row r="94" spans="1:39" x14ac:dyDescent="0.25">
      <c r="B94" s="22" t="str">
        <f ca="1">IF(ISERROR(MATCH(B$1,INDIRECT("Table!A"&amp;$AF94):INDIRECT("Table!" &amp; $AI$253 &amp; $AF94),0)),"",INDIRECT(CONCATENATE("Table!",ADDRESS(#REF!,MATCH(B$1,INDIRECT("Table!A" &amp; $AF94):INDIRECT("Table!" &amp; $AI$253 &amp; $AF94),0))))/1024)</f>
        <v/>
      </c>
      <c r="C94" s="22" t="str">
        <f ca="1">IF(ISERROR(MATCH(C$1,INDIRECT("Table!A"&amp;$AF94):INDIRECT("Table!" &amp; $AI$253 &amp; $AF94),0)),"",INDIRECT(CONCATENATE("Table!",ADDRESS(#REF!,MATCH(C$1,INDIRECT("Table!A" &amp; $AF94):INDIRECT("Table!" &amp; $AI$253 &amp; $AF94),0))))/1024)</f>
        <v/>
      </c>
      <c r="D94" s="22" t="str">
        <f ca="1">IF(ISERROR(MATCH(D$1,INDIRECT("Table!A"&amp;$AF94):INDIRECT("Table!" &amp; $AI$253 &amp; $AF94),0)),"",INDIRECT(CONCATENATE("Table!",ADDRESS(#REF!,MATCH(D$1,INDIRECT("Table!A" &amp; $AF94):INDIRECT("Table!" &amp; $AI$253 &amp; $AF94),0))))/1024)</f>
        <v/>
      </c>
      <c r="E94" s="22" t="str">
        <f ca="1">IF(ISERROR(MATCH(E$1,INDIRECT("Table!A"&amp;$AF94):INDIRECT("Table!" &amp; $AI$253 &amp; $AF94),0)),"",INDIRECT(CONCATENATE("Table!",ADDRESS(#REF!,MATCH(E$1,INDIRECT("Table!A" &amp; $AF94):INDIRECT("Table!" &amp; $AI$253 &amp; $AF94),0))))/1024)</f>
        <v/>
      </c>
      <c r="F94" s="22" t="str">
        <f ca="1">IF(ISERROR(MATCH(F$1,INDIRECT("Table!A"&amp;$AF94):INDIRECT("Table!" &amp; $AI$253 &amp; $AF94),0)),"",INDIRECT(CONCATENATE("Table!",ADDRESS(#REF!,MATCH(F$1,INDIRECT("Table!A" &amp; $AF94):INDIRECT("Table!" &amp; $AI$253 &amp; $AF94),0))))/1024)</f>
        <v/>
      </c>
      <c r="G94" s="22" t="str">
        <f ca="1">IF(ISERROR(MATCH(G$1,INDIRECT("Table!A"&amp;$AF94):INDIRECT("Table!" &amp; $AI$253 &amp; $AF94),0)),"",INDIRECT(CONCATENATE("Table!",ADDRESS(#REF!,MATCH(G$1,INDIRECT("Table!A" &amp; $AF94):INDIRECT("Table!" &amp; $AI$253 &amp; $AF94),0))))/1024)</f>
        <v/>
      </c>
      <c r="H94" s="22" t="str">
        <f ca="1">IF(ISERROR(MATCH(H$1,INDIRECT("Table!A"&amp;$AF94):INDIRECT("Table!" &amp; $AI$253 &amp; $AF94),0)),"",INDIRECT(CONCATENATE("Table!",ADDRESS(#REF!,MATCH(H$1,INDIRECT("Table!A" &amp; $AF94):INDIRECT("Table!" &amp; $AI$253 &amp; $AF94),0))))/1024)</f>
        <v/>
      </c>
      <c r="K94" s="22" t="str">
        <f ca="1">IF(ISERROR(MATCH(L$1,INDIRECT("Table!A"&amp;$AF94):INDIRECT("Table!" &amp; $AI$253 &amp; $AF94),0)),"",INDIRECT(CONCATENATE("Table!",ADDRESS(#REF!,MATCH(L$1,INDIRECT("Table!A" &amp; $AF94):INDIRECT("Table!" &amp; $AI$253 &amp; $AF94),0))))/1024)</f>
        <v/>
      </c>
      <c r="L94" s="22" t="str">
        <f ca="1">IF(ISERROR(MATCH(M$1,INDIRECT("Table!A"&amp;$AF94):INDIRECT("Table!" &amp; $AI$253 &amp; $AF94),0)),"",INDIRECT(CONCATENATE("Table!",ADDRESS(#REF!,MATCH(M$1,INDIRECT("Table!A" &amp; $AF94):INDIRECT("Table!" &amp; $AI$253 &amp; $AF94),0))))/1024)</f>
        <v/>
      </c>
      <c r="M94" s="22" t="str">
        <f ca="1">IF(ISERROR(MATCH(N$1,INDIRECT("Table!A"&amp;$AF94):INDIRECT("Table!" &amp; $AI$253 &amp; $AF94),0)),"",INDIRECT(CONCATENATE("Table!",ADDRESS(#REF!,MATCH(N$1,INDIRECT("Table!A" &amp; $AF94):INDIRECT("Table!" &amp; $AI$253 &amp; $AF94),0))))/1024)</f>
        <v/>
      </c>
      <c r="N94" s="22" t="str">
        <f ca="1">IF(ISERROR(MATCH(O$1,INDIRECT("Table!A"&amp;$AF94):INDIRECT("Table!" &amp; $AI$253 &amp; $AF94),0)),"",INDIRECT(CONCATENATE("Table!",ADDRESS(#REF!,MATCH(O$1,INDIRECT("Table!A" &amp; $AF94):INDIRECT("Table!" &amp; $AI$253 &amp; $AF94),0))))/1024)</f>
        <v/>
      </c>
      <c r="O94" s="22"/>
      <c r="P94" s="272"/>
      <c r="Q94" s="22"/>
      <c r="R94" s="219"/>
      <c r="T94" s="595"/>
      <c r="U94" s="219"/>
      <c r="AD94" s="219"/>
      <c r="AE94" s="219"/>
      <c r="AF94" s="22"/>
      <c r="AG94" s="219"/>
      <c r="AH94" s="219"/>
      <c r="AI94" s="27"/>
    </row>
    <row r="95" spans="1:39" x14ac:dyDescent="0.25">
      <c r="B95" s="22" t="str">
        <f ca="1">IF(ISERROR(MATCH(B$1,INDIRECT("Table!A"&amp;$AF95):INDIRECT("Table!" &amp; $AI$253 &amp; $AF95),0)),"",INDIRECT(CONCATENATE("Table!",ADDRESS(#REF!,MATCH(B$1,INDIRECT("Table!A" &amp; $AF95):INDIRECT("Table!" &amp; $AI$253 &amp; $AF95),0))))/1024)</f>
        <v/>
      </c>
      <c r="C95" s="22" t="str">
        <f ca="1">IF(ISERROR(MATCH(C$1,INDIRECT("Table!A"&amp;$AF95):INDIRECT("Table!" &amp; $AI$253 &amp; $AF95),0)),"",INDIRECT(CONCATENATE("Table!",ADDRESS(#REF!,MATCH(C$1,INDIRECT("Table!A" &amp; $AF95):INDIRECT("Table!" &amp; $AI$253 &amp; $AF95),0))))/1024)</f>
        <v/>
      </c>
      <c r="D95" s="22" t="str">
        <f ca="1">IF(ISERROR(MATCH(D$1,INDIRECT("Table!A"&amp;$AF95):INDIRECT("Table!" &amp; $AI$253 &amp; $AF95),0)),"",INDIRECT(CONCATENATE("Table!",ADDRESS(#REF!,MATCH(D$1,INDIRECT("Table!A" &amp; $AF95):INDIRECT("Table!" &amp; $AI$253 &amp; $AF95),0))))/1024)</f>
        <v/>
      </c>
      <c r="E95" s="22" t="str">
        <f ca="1">IF(ISERROR(MATCH(E$1,INDIRECT("Table!A"&amp;$AF95):INDIRECT("Table!" &amp; $AI$253 &amp; $AF95),0)),"",INDIRECT(CONCATENATE("Table!",ADDRESS(#REF!,MATCH(E$1,INDIRECT("Table!A" &amp; $AF95):INDIRECT("Table!" &amp; $AI$253 &amp; $AF95),0))))/1024)</f>
        <v/>
      </c>
      <c r="F95" s="22" t="str">
        <f ca="1">IF(ISERROR(MATCH(F$1,INDIRECT("Table!A"&amp;$AF95):INDIRECT("Table!" &amp; $AI$253 &amp; $AF95),0)),"",INDIRECT(CONCATENATE("Table!",ADDRESS(#REF!,MATCH(F$1,INDIRECT("Table!A" &amp; $AF95):INDIRECT("Table!" &amp; $AI$253 &amp; $AF95),0))))/1024)</f>
        <v/>
      </c>
      <c r="G95" s="22" t="str">
        <f ca="1">IF(ISERROR(MATCH(G$1,INDIRECT("Table!A"&amp;$AF95):INDIRECT("Table!" &amp; $AI$253 &amp; $AF95),0)),"",INDIRECT(CONCATENATE("Table!",ADDRESS(#REF!,MATCH(G$1,INDIRECT("Table!A" &amp; $AF95):INDIRECT("Table!" &amp; $AI$253 &amp; $AF95),0))))/1024)</f>
        <v/>
      </c>
      <c r="H95" s="22" t="str">
        <f ca="1">IF(ISERROR(MATCH(H$1,INDIRECT("Table!A"&amp;$AF95):INDIRECT("Table!" &amp; $AI$253 &amp; $AF95),0)),"",INDIRECT(CONCATENATE("Table!",ADDRESS(#REF!,MATCH(H$1,INDIRECT("Table!A" &amp; $AF95):INDIRECT("Table!" &amp; $AI$253 &amp; $AF95),0))))/1024)</f>
        <v/>
      </c>
      <c r="K95" s="22" t="str">
        <f ca="1">IF(ISERROR(MATCH(L$1,INDIRECT("Table!A"&amp;$AF95):INDIRECT("Table!" &amp; $AI$253 &amp; $AF95),0)),"",INDIRECT(CONCATENATE("Table!",ADDRESS(#REF!,MATCH(L$1,INDIRECT("Table!A" &amp; $AF95):INDIRECT("Table!" &amp; $AI$253 &amp; $AF95),0))))/1024)</f>
        <v/>
      </c>
      <c r="L95" s="22" t="str">
        <f ca="1">IF(ISERROR(MATCH(M$1,INDIRECT("Table!A"&amp;$AF95):INDIRECT("Table!" &amp; $AI$253 &amp; $AF95),0)),"",INDIRECT(CONCATENATE("Table!",ADDRESS(#REF!,MATCH(M$1,INDIRECT("Table!A" &amp; $AF95):INDIRECT("Table!" &amp; $AI$253 &amp; $AF95),0))))/1024)</f>
        <v/>
      </c>
      <c r="M95" s="22" t="str">
        <f ca="1">IF(ISERROR(MATCH(N$1,INDIRECT("Table!A"&amp;$AF95):INDIRECT("Table!" &amp; $AI$253 &amp; $AF95),0)),"",INDIRECT(CONCATENATE("Table!",ADDRESS(#REF!,MATCH(N$1,INDIRECT("Table!A" &amp; $AF95):INDIRECT("Table!" &amp; $AI$253 &amp; $AF95),0))))/1024)</f>
        <v/>
      </c>
      <c r="N95" s="22" t="str">
        <f ca="1">IF(ISERROR(MATCH(O$1,INDIRECT("Table!A"&amp;$AF95):INDIRECT("Table!" &amp; $AI$253 &amp; $AF95),0)),"",INDIRECT(CONCATENATE("Table!",ADDRESS(#REF!,MATCH(O$1,INDIRECT("Table!A" &amp; $AF95):INDIRECT("Table!" &amp; $AI$253 &amp; $AF95),0))))/1024)</f>
        <v/>
      </c>
      <c r="O95" s="22"/>
      <c r="P95" s="272"/>
      <c r="Q95" s="22"/>
      <c r="R95" s="218"/>
      <c r="T95" s="595"/>
      <c r="U95" s="218"/>
      <c r="AD95" s="218"/>
      <c r="AE95" s="218"/>
      <c r="AF95" s="22"/>
      <c r="AG95" s="218"/>
      <c r="AH95" s="218"/>
      <c r="AI95" s="27"/>
    </row>
    <row r="96" spans="1:39" x14ac:dyDescent="0.25">
      <c r="B96" s="22" t="str">
        <f ca="1">IF(ISERROR(MATCH(B$1,INDIRECT("Table!A"&amp;$AF96):INDIRECT("Table!" &amp; $AI$253 &amp; $AF96),0)),"",INDIRECT(CONCATENATE("Table!",ADDRESS(#REF!,MATCH(B$1,INDIRECT("Table!A" &amp; $AF96):INDIRECT("Table!" &amp; $AI$253 &amp; $AF96),0))))/1024)</f>
        <v/>
      </c>
      <c r="C96" s="22" t="str">
        <f ca="1">IF(ISERROR(MATCH(C$1,INDIRECT("Table!A"&amp;$AF96):INDIRECT("Table!" &amp; $AI$253 &amp; $AF96),0)),"",INDIRECT(CONCATENATE("Table!",ADDRESS(#REF!,MATCH(C$1,INDIRECT("Table!A" &amp; $AF96):INDIRECT("Table!" &amp; $AI$253 &amp; $AF96),0))))/1024)</f>
        <v/>
      </c>
      <c r="D96" s="22" t="str">
        <f ca="1">IF(ISERROR(MATCH(D$1,INDIRECT("Table!A"&amp;$AF96):INDIRECT("Table!" &amp; $AI$253 &amp; $AF96),0)),"",INDIRECT(CONCATENATE("Table!",ADDRESS(#REF!,MATCH(D$1,INDIRECT("Table!A" &amp; $AF96):INDIRECT("Table!" &amp; $AI$253 &amp; $AF96),0))))/1024)</f>
        <v/>
      </c>
      <c r="E96" s="22" t="str">
        <f ca="1">IF(ISERROR(MATCH(E$1,INDIRECT("Table!A"&amp;$AF96):INDIRECT("Table!" &amp; $AI$253 &amp; $AF96),0)),"",INDIRECT(CONCATENATE("Table!",ADDRESS(#REF!,MATCH(E$1,INDIRECT("Table!A" &amp; $AF96):INDIRECT("Table!" &amp; $AI$253 &amp; $AF96),0))))/1024)</f>
        <v/>
      </c>
      <c r="F96" s="22" t="str">
        <f ca="1">IF(ISERROR(MATCH(F$1,INDIRECT("Table!A"&amp;$AF96):INDIRECT("Table!" &amp; $AI$253 &amp; $AF96),0)),"",INDIRECT(CONCATENATE("Table!",ADDRESS(#REF!,MATCH(F$1,INDIRECT("Table!A" &amp; $AF96):INDIRECT("Table!" &amp; $AI$253 &amp; $AF96),0))))/1024)</f>
        <v/>
      </c>
      <c r="G96" s="22" t="str">
        <f ca="1">IF(ISERROR(MATCH(G$1,INDIRECT("Table!A"&amp;$AF96):INDIRECT("Table!" &amp; $AI$253 &amp; $AF96),0)),"",INDIRECT(CONCATENATE("Table!",ADDRESS(#REF!,MATCH(G$1,INDIRECT("Table!A" &amp; $AF96):INDIRECT("Table!" &amp; $AI$253 &amp; $AF96),0))))/1024)</f>
        <v/>
      </c>
      <c r="H96" s="22" t="str">
        <f ca="1">IF(ISERROR(MATCH(H$1,INDIRECT("Table!A"&amp;$AF96):INDIRECT("Table!" &amp; $AI$253 &amp; $AF96),0)),"",INDIRECT(CONCATENATE("Table!",ADDRESS(#REF!,MATCH(H$1,INDIRECT("Table!A" &amp; $AF96):INDIRECT("Table!" &amp; $AI$253 &amp; $AF96),0))))/1024)</f>
        <v/>
      </c>
      <c r="K96" s="22" t="str">
        <f ca="1">IF(ISERROR(MATCH(L$1,INDIRECT("Table!A"&amp;$AF96):INDIRECT("Table!" &amp; $AI$253 &amp; $AF96),0)),"",INDIRECT(CONCATENATE("Table!",ADDRESS(#REF!,MATCH(L$1,INDIRECT("Table!A" &amp; $AF96):INDIRECT("Table!" &amp; $AI$253 &amp; $AF96),0))))/1024)</f>
        <v/>
      </c>
      <c r="L96" s="22" t="str">
        <f ca="1">IF(ISERROR(MATCH(M$1,INDIRECT("Table!A"&amp;$AF96):INDIRECT("Table!" &amp; $AI$253 &amp; $AF96),0)),"",INDIRECT(CONCATENATE("Table!",ADDRESS(#REF!,MATCH(M$1,INDIRECT("Table!A" &amp; $AF96):INDIRECT("Table!" &amp; $AI$253 &amp; $AF96),0))))/1024)</f>
        <v/>
      </c>
      <c r="M96" s="22" t="str">
        <f ca="1">IF(ISERROR(MATCH(N$1,INDIRECT("Table!A"&amp;$AF96):INDIRECT("Table!" &amp; $AI$253 &amp; $AF96),0)),"",INDIRECT(CONCATENATE("Table!",ADDRESS(#REF!,MATCH(N$1,INDIRECT("Table!A" &amp; $AF96):INDIRECT("Table!" &amp; $AI$253 &amp; $AF96),0))))/1024)</f>
        <v/>
      </c>
      <c r="N96" s="22" t="str">
        <f ca="1">IF(ISERROR(MATCH(O$1,INDIRECT("Table!A"&amp;$AF96):INDIRECT("Table!" &amp; $AI$253 &amp; $AF96),0)),"",INDIRECT(CONCATENATE("Table!",ADDRESS(#REF!,MATCH(O$1,INDIRECT("Table!A" &amp; $AF96):INDIRECT("Table!" &amp; $AI$253 &amp; $AF96),0))))/1024)</f>
        <v/>
      </c>
      <c r="O96" s="22"/>
      <c r="P96" s="272"/>
      <c r="Q96" s="22"/>
      <c r="R96" s="217"/>
      <c r="T96" s="595"/>
      <c r="U96" s="217"/>
      <c r="AD96" s="217"/>
      <c r="AE96" s="217"/>
      <c r="AF96" s="22"/>
      <c r="AG96" s="217"/>
      <c r="AH96" s="217"/>
      <c r="AI96" s="27"/>
    </row>
    <row r="97" spans="2:35" x14ac:dyDescent="0.25">
      <c r="B97" s="22" t="str">
        <f ca="1">IF(ISERROR(MATCH(B$1,INDIRECT("Table!A"&amp;$AF97):INDIRECT("Table!" &amp; $AI$253 &amp; $AF97),0)),"",INDIRECT(CONCATENATE("Table!",ADDRESS(#REF!,MATCH(B$1,INDIRECT("Table!A" &amp; $AF97):INDIRECT("Table!" &amp; $AI$253 &amp; $AF97),0))))/1024)</f>
        <v/>
      </c>
      <c r="C97" s="22" t="str">
        <f ca="1">IF(ISERROR(MATCH(C$1,INDIRECT("Table!A"&amp;$AF97):INDIRECT("Table!" &amp; $AI$253 &amp; $AF97),0)),"",INDIRECT(CONCATENATE("Table!",ADDRESS(#REF!,MATCH(C$1,INDIRECT("Table!A" &amp; $AF97):INDIRECT("Table!" &amp; $AI$253 &amp; $AF97),0))))/1024)</f>
        <v/>
      </c>
      <c r="D97" s="22" t="str">
        <f ca="1">IF(ISERROR(MATCH(D$1,INDIRECT("Table!A"&amp;$AF97):INDIRECT("Table!" &amp; $AI$253 &amp; $AF97),0)),"",INDIRECT(CONCATENATE("Table!",ADDRESS(#REF!,MATCH(D$1,INDIRECT("Table!A" &amp; $AF97):INDIRECT("Table!" &amp; $AI$253 &amp; $AF97),0))))/1024)</f>
        <v/>
      </c>
      <c r="E97" s="22" t="str">
        <f ca="1">IF(ISERROR(MATCH(E$1,INDIRECT("Table!A"&amp;$AF97):INDIRECT("Table!" &amp; $AI$253 &amp; $AF97),0)),"",INDIRECT(CONCATENATE("Table!",ADDRESS(#REF!,MATCH(E$1,INDIRECT("Table!A" &amp; $AF97):INDIRECT("Table!" &amp; $AI$253 &amp; $AF97),0))))/1024)</f>
        <v/>
      </c>
      <c r="F97" s="22" t="str">
        <f ca="1">IF(ISERROR(MATCH(F$1,INDIRECT("Table!A"&amp;$AF97):INDIRECT("Table!" &amp; $AI$253 &amp; $AF97),0)),"",INDIRECT(CONCATENATE("Table!",ADDRESS(#REF!,MATCH(F$1,INDIRECT("Table!A" &amp; $AF97):INDIRECT("Table!" &amp; $AI$253 &amp; $AF97),0))))/1024)</f>
        <v/>
      </c>
      <c r="G97" s="22" t="str">
        <f ca="1">IF(ISERROR(MATCH(G$1,INDIRECT("Table!A"&amp;$AF97):INDIRECT("Table!" &amp; $AI$253 &amp; $AF97),0)),"",INDIRECT(CONCATENATE("Table!",ADDRESS(#REF!,MATCH(G$1,INDIRECT("Table!A" &amp; $AF97):INDIRECT("Table!" &amp; $AI$253 &amp; $AF97),0))))/1024)</f>
        <v/>
      </c>
      <c r="H97" s="22" t="str">
        <f ca="1">IF(ISERROR(MATCH(H$1,INDIRECT("Table!A"&amp;$AF97):INDIRECT("Table!" &amp; $AI$253 &amp; $AF97),0)),"",INDIRECT(CONCATENATE("Table!",ADDRESS(#REF!,MATCH(H$1,INDIRECT("Table!A" &amp; $AF97):INDIRECT("Table!" &amp; $AI$253 &amp; $AF97),0))))/1024)</f>
        <v/>
      </c>
      <c r="K97" s="22" t="str">
        <f ca="1">IF(ISERROR(MATCH(L$1,INDIRECT("Table!A"&amp;$AF97):INDIRECT("Table!" &amp; $AI$253 &amp; $AF97),0)),"",INDIRECT(CONCATENATE("Table!",ADDRESS(#REF!,MATCH(L$1,INDIRECT("Table!A" &amp; $AF97):INDIRECT("Table!" &amp; $AI$253 &amp; $AF97),0))))/1024)</f>
        <v/>
      </c>
      <c r="L97" s="22" t="str">
        <f ca="1">IF(ISERROR(MATCH(M$1,INDIRECT("Table!A"&amp;$AF97):INDIRECT("Table!" &amp; $AI$253 &amp; $AF97),0)),"",INDIRECT(CONCATENATE("Table!",ADDRESS(#REF!,MATCH(M$1,INDIRECT("Table!A" &amp; $AF97):INDIRECT("Table!" &amp; $AI$253 &amp; $AF97),0))))/1024)</f>
        <v/>
      </c>
      <c r="M97" s="22" t="str">
        <f ca="1">IF(ISERROR(MATCH(N$1,INDIRECT("Table!A"&amp;$AF97):INDIRECT("Table!" &amp; $AI$253 &amp; $AF97),0)),"",INDIRECT(CONCATENATE("Table!",ADDRESS(#REF!,MATCH(N$1,INDIRECT("Table!A" &amp; $AF97):INDIRECT("Table!" &amp; $AI$253 &amp; $AF97),0))))/1024)</f>
        <v/>
      </c>
      <c r="N97" s="22" t="str">
        <f ca="1">IF(ISERROR(MATCH(O$1,INDIRECT("Table!A"&amp;$AF97):INDIRECT("Table!" &amp; $AI$253 &amp; $AF97),0)),"",INDIRECT(CONCATENATE("Table!",ADDRESS(#REF!,MATCH(O$1,INDIRECT("Table!A" &amp; $AF97):INDIRECT("Table!" &amp; $AI$253 &amp; $AF97),0))))/1024)</f>
        <v/>
      </c>
      <c r="O97" s="22"/>
      <c r="P97" s="272"/>
      <c r="Q97" s="22"/>
      <c r="R97" s="216"/>
      <c r="T97" s="595"/>
      <c r="U97" s="216"/>
      <c r="AD97" s="216"/>
      <c r="AE97" s="216"/>
      <c r="AF97" s="22"/>
      <c r="AG97" s="216"/>
      <c r="AH97" s="216"/>
      <c r="AI97" s="27"/>
    </row>
    <row r="98" spans="2:35" x14ac:dyDescent="0.25">
      <c r="B98" s="22" t="str">
        <f ca="1">IF(ISERROR(MATCH(B$1,INDIRECT("Table!A"&amp;$AF98):INDIRECT("Table!" &amp; $AI$253 &amp; $AF98),0)),"",INDIRECT(CONCATENATE("Table!",ADDRESS(#REF!,MATCH(B$1,INDIRECT("Table!A" &amp; $AF98):INDIRECT("Table!" &amp; $AI$253 &amp; $AF98),0))))/1024)</f>
        <v/>
      </c>
      <c r="C98" s="22" t="str">
        <f ca="1">IF(ISERROR(MATCH(C$1,INDIRECT("Table!A"&amp;$AF98):INDIRECT("Table!" &amp; $AI$253 &amp; $AF98),0)),"",INDIRECT(CONCATENATE("Table!",ADDRESS(#REF!,MATCH(C$1,INDIRECT("Table!A" &amp; $AF98):INDIRECT("Table!" &amp; $AI$253 &amp; $AF98),0))))/1024)</f>
        <v/>
      </c>
      <c r="D98" s="22" t="str">
        <f ca="1">IF(ISERROR(MATCH(D$1,INDIRECT("Table!A"&amp;$AF98):INDIRECT("Table!" &amp; $AI$253 &amp; $AF98),0)),"",INDIRECT(CONCATENATE("Table!",ADDRESS(#REF!,MATCH(D$1,INDIRECT("Table!A" &amp; $AF98):INDIRECT("Table!" &amp; $AI$253 &amp; $AF98),0))))/1024)</f>
        <v/>
      </c>
      <c r="E98" s="22" t="str">
        <f ca="1">IF(ISERROR(MATCH(E$1,INDIRECT("Table!A"&amp;$AF98):INDIRECT("Table!" &amp; $AI$253 &amp; $AF98),0)),"",INDIRECT(CONCATENATE("Table!",ADDRESS(#REF!,MATCH(E$1,INDIRECT("Table!A" &amp; $AF98):INDIRECT("Table!" &amp; $AI$253 &amp; $AF98),0))))/1024)</f>
        <v/>
      </c>
      <c r="F98" s="22" t="str">
        <f ca="1">IF(ISERROR(MATCH(F$1,INDIRECT("Table!A"&amp;$AF98):INDIRECT("Table!" &amp; $AI$253 &amp; $AF98),0)),"",INDIRECT(CONCATENATE("Table!",ADDRESS(#REF!,MATCH(F$1,INDIRECT("Table!A" &amp; $AF98):INDIRECT("Table!" &amp; $AI$253 &amp; $AF98),0))))/1024)</f>
        <v/>
      </c>
      <c r="G98" s="22" t="str">
        <f ca="1">IF(ISERROR(MATCH(G$1,INDIRECT("Table!A"&amp;$AF98):INDIRECT("Table!" &amp; $AI$253 &amp; $AF98),0)),"",INDIRECT(CONCATENATE("Table!",ADDRESS(#REF!,MATCH(G$1,INDIRECT("Table!A" &amp; $AF98):INDIRECT("Table!" &amp; $AI$253 &amp; $AF98),0))))/1024)</f>
        <v/>
      </c>
      <c r="H98" s="22" t="str">
        <f ca="1">IF(ISERROR(MATCH(H$1,INDIRECT("Table!A"&amp;$AF98):INDIRECT("Table!" &amp; $AI$253 &amp; $AF98),0)),"",INDIRECT(CONCATENATE("Table!",ADDRESS(#REF!,MATCH(H$1,INDIRECT("Table!A" &amp; $AF98):INDIRECT("Table!" &amp; $AI$253 &amp; $AF98),0))))/1024)</f>
        <v/>
      </c>
      <c r="K98" s="22" t="str">
        <f ca="1">IF(ISERROR(MATCH(L$1,INDIRECT("Table!A"&amp;$AF98):INDIRECT("Table!" &amp; $AI$253 &amp; $AF98),0)),"",INDIRECT(CONCATENATE("Table!",ADDRESS(#REF!,MATCH(L$1,INDIRECT("Table!A" &amp; $AF98):INDIRECT("Table!" &amp; $AI$253 &amp; $AF98),0))))/1024)</f>
        <v/>
      </c>
      <c r="L98" s="22" t="str">
        <f ca="1">IF(ISERROR(MATCH(M$1,INDIRECT("Table!A"&amp;$AF98):INDIRECT("Table!" &amp; $AI$253 &amp; $AF98),0)),"",INDIRECT(CONCATENATE("Table!",ADDRESS(#REF!,MATCH(M$1,INDIRECT("Table!A" &amp; $AF98):INDIRECT("Table!" &amp; $AI$253 &amp; $AF98),0))))/1024)</f>
        <v/>
      </c>
      <c r="M98" s="22" t="str">
        <f ca="1">IF(ISERROR(MATCH(N$1,INDIRECT("Table!A"&amp;$AF98):INDIRECT("Table!" &amp; $AI$253 &amp; $AF98),0)),"",INDIRECT(CONCATENATE("Table!",ADDRESS(#REF!,MATCH(N$1,INDIRECT("Table!A" &amp; $AF98):INDIRECT("Table!" &amp; $AI$253 &amp; $AF98),0))))/1024)</f>
        <v/>
      </c>
      <c r="N98" s="22" t="str">
        <f ca="1">IF(ISERROR(MATCH(O$1,INDIRECT("Table!A"&amp;$AF98):INDIRECT("Table!" &amp; $AI$253 &amp; $AF98),0)),"",INDIRECT(CONCATENATE("Table!",ADDRESS(#REF!,MATCH(O$1,INDIRECT("Table!A" &amp; $AF98):INDIRECT("Table!" &amp; $AI$253 &amp; $AF98),0))))/1024)</f>
        <v/>
      </c>
      <c r="O98" s="22"/>
      <c r="P98" s="272"/>
      <c r="Q98" s="22"/>
      <c r="R98" s="215"/>
      <c r="T98" s="595"/>
      <c r="U98" s="215"/>
      <c r="AD98" s="215"/>
      <c r="AE98" s="215"/>
      <c r="AF98" s="22"/>
      <c r="AG98" s="215"/>
      <c r="AH98" s="215"/>
      <c r="AI98" s="27"/>
    </row>
    <row r="99" spans="2:35" x14ac:dyDescent="0.25">
      <c r="B99" s="22" t="str">
        <f ca="1">IF(ISERROR(MATCH(B$1,INDIRECT("Table!A"&amp;$AF99):INDIRECT("Table!" &amp; $AI$253 &amp; $AF99),0)),"",INDIRECT(CONCATENATE("Table!",ADDRESS(#REF!,MATCH(B$1,INDIRECT("Table!A" &amp; $AF99):INDIRECT("Table!" &amp; $AI$253 &amp; $AF99),0))))/1024)</f>
        <v/>
      </c>
      <c r="C99" s="22" t="str">
        <f ca="1">IF(ISERROR(MATCH(C$1,INDIRECT("Table!A"&amp;$AF99):INDIRECT("Table!" &amp; $AI$253 &amp; $AF99),0)),"",INDIRECT(CONCATENATE("Table!",ADDRESS(#REF!,MATCH(C$1,INDIRECT("Table!A" &amp; $AF99):INDIRECT("Table!" &amp; $AI$253 &amp; $AF99),0))))/1024)</f>
        <v/>
      </c>
      <c r="D99" s="22" t="str">
        <f ca="1">IF(ISERROR(MATCH(D$1,INDIRECT("Table!A"&amp;$AF99):INDIRECT("Table!" &amp; $AI$253 &amp; $AF99),0)),"",INDIRECT(CONCATENATE("Table!",ADDRESS(#REF!,MATCH(D$1,INDIRECT("Table!A" &amp; $AF99):INDIRECT("Table!" &amp; $AI$253 &amp; $AF99),0))))/1024)</f>
        <v/>
      </c>
      <c r="E99" s="22" t="str">
        <f ca="1">IF(ISERROR(MATCH(E$1,INDIRECT("Table!A"&amp;$AF99):INDIRECT("Table!" &amp; $AI$253 &amp; $AF99),0)),"",INDIRECT(CONCATENATE("Table!",ADDRESS(#REF!,MATCH(E$1,INDIRECT("Table!A" &amp; $AF99):INDIRECT("Table!" &amp; $AI$253 &amp; $AF99),0))))/1024)</f>
        <v/>
      </c>
      <c r="F99" s="22" t="str">
        <f ca="1">IF(ISERROR(MATCH(F$1,INDIRECT("Table!A"&amp;$AF99):INDIRECT("Table!" &amp; $AI$253 &amp; $AF99),0)),"",INDIRECT(CONCATENATE("Table!",ADDRESS(#REF!,MATCH(F$1,INDIRECT("Table!A" &amp; $AF99):INDIRECT("Table!" &amp; $AI$253 &amp; $AF99),0))))/1024)</f>
        <v/>
      </c>
      <c r="G99" s="22" t="str">
        <f ca="1">IF(ISERROR(MATCH(G$1,INDIRECT("Table!A"&amp;$AF99):INDIRECT("Table!" &amp; $AI$253 &amp; $AF99),0)),"",INDIRECT(CONCATENATE("Table!",ADDRESS(#REF!,MATCH(G$1,INDIRECT("Table!A" &amp; $AF99):INDIRECT("Table!" &amp; $AI$253 &amp; $AF99),0))))/1024)</f>
        <v/>
      </c>
      <c r="H99" s="22" t="str">
        <f ca="1">IF(ISERROR(MATCH(H$1,INDIRECT("Table!A"&amp;$AF99):INDIRECT("Table!" &amp; $AI$253 &amp; $AF99),0)),"",INDIRECT(CONCATENATE("Table!",ADDRESS(#REF!,MATCH(H$1,INDIRECT("Table!A" &amp; $AF99):INDIRECT("Table!" &amp; $AI$253 &amp; $AF99),0))))/1024)</f>
        <v/>
      </c>
      <c r="K99" s="22" t="str">
        <f ca="1">IF(ISERROR(MATCH(L$1,INDIRECT("Table!A"&amp;$AF99):INDIRECT("Table!" &amp; $AI$253 &amp; $AF99),0)),"",INDIRECT(CONCATENATE("Table!",ADDRESS(#REF!,MATCH(L$1,INDIRECT("Table!A" &amp; $AF99):INDIRECT("Table!" &amp; $AI$253 &amp; $AF99),0))))/1024)</f>
        <v/>
      </c>
      <c r="L99" s="22" t="str">
        <f ca="1">IF(ISERROR(MATCH(M$1,INDIRECT("Table!A"&amp;$AF99):INDIRECT("Table!" &amp; $AI$253 &amp; $AF99),0)),"",INDIRECT(CONCATENATE("Table!",ADDRESS(#REF!,MATCH(M$1,INDIRECT("Table!A" &amp; $AF99):INDIRECT("Table!" &amp; $AI$253 &amp; $AF99),0))))/1024)</f>
        <v/>
      </c>
      <c r="M99" s="22" t="str">
        <f ca="1">IF(ISERROR(MATCH(N$1,INDIRECT("Table!A"&amp;$AF99):INDIRECT("Table!" &amp; $AI$253 &amp; $AF99),0)),"",INDIRECT(CONCATENATE("Table!",ADDRESS(#REF!,MATCH(N$1,INDIRECT("Table!A" &amp; $AF99):INDIRECT("Table!" &amp; $AI$253 &amp; $AF99),0))))/1024)</f>
        <v/>
      </c>
      <c r="N99" s="22" t="str">
        <f ca="1">IF(ISERROR(MATCH(O$1,INDIRECT("Table!A"&amp;$AF99):INDIRECT("Table!" &amp; $AI$253 &amp; $AF99),0)),"",INDIRECT(CONCATENATE("Table!",ADDRESS(#REF!,MATCH(O$1,INDIRECT("Table!A" &amp; $AF99):INDIRECT("Table!" &amp; $AI$253 &amp; $AF99),0))))/1024)</f>
        <v/>
      </c>
      <c r="O99" s="22"/>
      <c r="P99" s="272"/>
      <c r="Q99" s="22"/>
      <c r="R99" s="214"/>
      <c r="T99" s="595"/>
      <c r="U99" s="214"/>
      <c r="AD99" s="214"/>
      <c r="AE99" s="214"/>
      <c r="AF99" s="22"/>
      <c r="AG99" s="214"/>
      <c r="AH99" s="214"/>
      <c r="AI99" s="27"/>
    </row>
    <row r="100" spans="2:35" x14ac:dyDescent="0.25">
      <c r="B100" s="22" t="str">
        <f ca="1">IF(ISERROR(MATCH(B$1,INDIRECT("Table!A"&amp;$AF100):INDIRECT("Table!" &amp; $AI$253 &amp; $AF100),0)),"",INDIRECT(CONCATENATE("Table!",ADDRESS(#REF!,MATCH(B$1,INDIRECT("Table!A" &amp; $AF100):INDIRECT("Table!" &amp; $AI$253 &amp; $AF100),0))))/1024)</f>
        <v/>
      </c>
      <c r="C100" s="22" t="str">
        <f ca="1">IF(ISERROR(MATCH(C$1,INDIRECT("Table!A"&amp;$AF100):INDIRECT("Table!" &amp; $AI$253 &amp; $AF100),0)),"",INDIRECT(CONCATENATE("Table!",ADDRESS(#REF!,MATCH(C$1,INDIRECT("Table!A" &amp; $AF100):INDIRECT("Table!" &amp; $AI$253 &amp; $AF100),0))))/1024)</f>
        <v/>
      </c>
      <c r="D100" s="22" t="str">
        <f ca="1">IF(ISERROR(MATCH(D$1,INDIRECT("Table!A"&amp;$AF100):INDIRECT("Table!" &amp; $AI$253 &amp; $AF100),0)),"",INDIRECT(CONCATENATE("Table!",ADDRESS(#REF!,MATCH(D$1,INDIRECT("Table!A" &amp; $AF100):INDIRECT("Table!" &amp; $AI$253 &amp; $AF100),0))))/1024)</f>
        <v/>
      </c>
      <c r="E100" s="22" t="str">
        <f ca="1">IF(ISERROR(MATCH(E$1,INDIRECT("Table!A"&amp;$AF100):INDIRECT("Table!" &amp; $AI$253 &amp; $AF100),0)),"",INDIRECT(CONCATENATE("Table!",ADDRESS(#REF!,MATCH(E$1,INDIRECT("Table!A" &amp; $AF100):INDIRECT("Table!" &amp; $AI$253 &amp; $AF100),0))))/1024)</f>
        <v/>
      </c>
      <c r="F100" s="22" t="str">
        <f ca="1">IF(ISERROR(MATCH(F$1,INDIRECT("Table!A"&amp;$AF100):INDIRECT("Table!" &amp; $AI$253 &amp; $AF100),0)),"",INDIRECT(CONCATENATE("Table!",ADDRESS(#REF!,MATCH(F$1,INDIRECT("Table!A" &amp; $AF100):INDIRECT("Table!" &amp; $AI$253 &amp; $AF100),0))))/1024)</f>
        <v/>
      </c>
      <c r="G100" s="22" t="str">
        <f ca="1">IF(ISERROR(MATCH(G$1,INDIRECT("Table!A"&amp;$AF100):INDIRECT("Table!" &amp; $AI$253 &amp; $AF100),0)),"",INDIRECT(CONCATENATE("Table!",ADDRESS(#REF!,MATCH(G$1,INDIRECT("Table!A" &amp; $AF100):INDIRECT("Table!" &amp; $AI$253 &amp; $AF100),0))))/1024)</f>
        <v/>
      </c>
      <c r="H100" s="22" t="str">
        <f ca="1">IF(ISERROR(MATCH(H$1,INDIRECT("Table!A"&amp;$AF100):INDIRECT("Table!" &amp; $AI$253 &amp; $AF100),0)),"",INDIRECT(CONCATENATE("Table!",ADDRESS(#REF!,MATCH(H$1,INDIRECT("Table!A" &amp; $AF100):INDIRECT("Table!" &amp; $AI$253 &amp; $AF100),0))))/1024)</f>
        <v/>
      </c>
      <c r="K100" s="22" t="str">
        <f ca="1">IF(ISERROR(MATCH(L$1,INDIRECT("Table!A"&amp;$AF100):INDIRECT("Table!" &amp; $AI$253 &amp; $AF100),0)),"",INDIRECT(CONCATENATE("Table!",ADDRESS(#REF!,MATCH(L$1,INDIRECT("Table!A" &amp; $AF100):INDIRECT("Table!" &amp; $AI$253 &amp; $AF100),0))))/1024)</f>
        <v/>
      </c>
      <c r="L100" s="22" t="str">
        <f ca="1">IF(ISERROR(MATCH(M$1,INDIRECT("Table!A"&amp;$AF100):INDIRECT("Table!" &amp; $AI$253 &amp; $AF100),0)),"",INDIRECT(CONCATENATE("Table!",ADDRESS(#REF!,MATCH(M$1,INDIRECT("Table!A" &amp; $AF100):INDIRECT("Table!" &amp; $AI$253 &amp; $AF100),0))))/1024)</f>
        <v/>
      </c>
      <c r="M100" s="22" t="str">
        <f ca="1">IF(ISERROR(MATCH(N$1,INDIRECT("Table!A"&amp;$AF100):INDIRECT("Table!" &amp; $AI$253 &amp; $AF100),0)),"",INDIRECT(CONCATENATE("Table!",ADDRESS(#REF!,MATCH(N$1,INDIRECT("Table!A" &amp; $AF100):INDIRECT("Table!" &amp; $AI$253 &amp; $AF100),0))))/1024)</f>
        <v/>
      </c>
      <c r="N100" s="22" t="str">
        <f ca="1">IF(ISERROR(MATCH(O$1,INDIRECT("Table!A"&amp;$AF100):INDIRECT("Table!" &amp; $AI$253 &amp; $AF100),0)),"",INDIRECT(CONCATENATE("Table!",ADDRESS(#REF!,MATCH(O$1,INDIRECT("Table!A" &amp; $AF100):INDIRECT("Table!" &amp; $AI$253 &amp; $AF100),0))))/1024)</f>
        <v/>
      </c>
      <c r="O100" s="22"/>
      <c r="P100" s="272"/>
      <c r="Q100" s="22"/>
      <c r="R100" s="213"/>
      <c r="T100" s="595"/>
      <c r="U100" s="213"/>
      <c r="AD100" s="213"/>
      <c r="AE100" s="213"/>
      <c r="AF100" s="22"/>
      <c r="AG100" s="213"/>
      <c r="AH100" s="213"/>
      <c r="AI100" s="27"/>
    </row>
    <row r="101" spans="2:35" x14ac:dyDescent="0.25">
      <c r="B101" s="22" t="str">
        <f ca="1">IF(ISERROR(MATCH(B$1,INDIRECT("Table!A"&amp;$AF101):INDIRECT("Table!" &amp; $AI$253 &amp; $AF101),0)),"",INDIRECT(CONCATENATE("Table!",ADDRESS(#REF!,MATCH(B$1,INDIRECT("Table!A" &amp; $AF101):INDIRECT("Table!" &amp; $AI$253 &amp; $AF101),0))))/1024)</f>
        <v/>
      </c>
      <c r="C101" s="22" t="str">
        <f ca="1">IF(ISERROR(MATCH(C$1,INDIRECT("Table!A"&amp;$AF101):INDIRECT("Table!" &amp; $AI$253 &amp; $AF101),0)),"",INDIRECT(CONCATENATE("Table!",ADDRESS(#REF!,MATCH(C$1,INDIRECT("Table!A" &amp; $AF101):INDIRECT("Table!" &amp; $AI$253 &amp; $AF101),0))))/1024)</f>
        <v/>
      </c>
      <c r="D101" s="22" t="str">
        <f ca="1">IF(ISERROR(MATCH(D$1,INDIRECT("Table!A"&amp;$AF101):INDIRECT("Table!" &amp; $AI$253 &amp; $AF101),0)),"",INDIRECT(CONCATENATE("Table!",ADDRESS(#REF!,MATCH(D$1,INDIRECT("Table!A" &amp; $AF101):INDIRECT("Table!" &amp; $AI$253 &amp; $AF101),0))))/1024)</f>
        <v/>
      </c>
      <c r="E101" s="22" t="str">
        <f ca="1">IF(ISERROR(MATCH(E$1,INDIRECT("Table!A"&amp;$AF101):INDIRECT("Table!" &amp; $AI$253 &amp; $AF101),0)),"",INDIRECT(CONCATENATE("Table!",ADDRESS(#REF!,MATCH(E$1,INDIRECT("Table!A" &amp; $AF101):INDIRECT("Table!" &amp; $AI$253 &amp; $AF101),0))))/1024)</f>
        <v/>
      </c>
      <c r="F101" s="22" t="str">
        <f ca="1">IF(ISERROR(MATCH(F$1,INDIRECT("Table!A"&amp;$AF101):INDIRECT("Table!" &amp; $AI$253 &amp; $AF101),0)),"",INDIRECT(CONCATENATE("Table!",ADDRESS(#REF!,MATCH(F$1,INDIRECT("Table!A" &amp; $AF101):INDIRECT("Table!" &amp; $AI$253 &amp; $AF101),0))))/1024)</f>
        <v/>
      </c>
      <c r="G101" s="22" t="str">
        <f ca="1">IF(ISERROR(MATCH(G$1,INDIRECT("Table!A"&amp;$AF101):INDIRECT("Table!" &amp; $AI$253 &amp; $AF101),0)),"",INDIRECT(CONCATENATE("Table!",ADDRESS(#REF!,MATCH(G$1,INDIRECT("Table!A" &amp; $AF101):INDIRECT("Table!" &amp; $AI$253 &amp; $AF101),0))))/1024)</f>
        <v/>
      </c>
      <c r="H101" s="22" t="str">
        <f ca="1">IF(ISERROR(MATCH(H$1,INDIRECT("Table!A"&amp;$AF101):INDIRECT("Table!" &amp; $AI$253 &amp; $AF101),0)),"",INDIRECT(CONCATENATE("Table!",ADDRESS(#REF!,MATCH(H$1,INDIRECT("Table!A" &amp; $AF101):INDIRECT("Table!" &amp; $AI$253 &amp; $AF101),0))))/1024)</f>
        <v/>
      </c>
      <c r="K101" s="22" t="str">
        <f ca="1">IF(ISERROR(MATCH(L$1,INDIRECT("Table!A"&amp;$AF101):INDIRECT("Table!" &amp; $AI$253 &amp; $AF101),0)),"",INDIRECT(CONCATENATE("Table!",ADDRESS(#REF!,MATCH(L$1,INDIRECT("Table!A" &amp; $AF101):INDIRECT("Table!" &amp; $AI$253 &amp; $AF101),0))))/1024)</f>
        <v/>
      </c>
      <c r="L101" s="22" t="str">
        <f ca="1">IF(ISERROR(MATCH(M$1,INDIRECT("Table!A"&amp;$AF101):INDIRECT("Table!" &amp; $AI$253 &amp; $AF101),0)),"",INDIRECT(CONCATENATE("Table!",ADDRESS(#REF!,MATCH(M$1,INDIRECT("Table!A" &amp; $AF101):INDIRECT("Table!" &amp; $AI$253 &amp; $AF101),0))))/1024)</f>
        <v/>
      </c>
      <c r="M101" s="22" t="str">
        <f ca="1">IF(ISERROR(MATCH(N$1,INDIRECT("Table!A"&amp;$AF101):INDIRECT("Table!" &amp; $AI$253 &amp; $AF101),0)),"",INDIRECT(CONCATENATE("Table!",ADDRESS(#REF!,MATCH(N$1,INDIRECT("Table!A" &amp; $AF101):INDIRECT("Table!" &amp; $AI$253 &amp; $AF101),0))))/1024)</f>
        <v/>
      </c>
      <c r="N101" s="22" t="str">
        <f ca="1">IF(ISERROR(MATCH(O$1,INDIRECT("Table!A"&amp;$AF101):INDIRECT("Table!" &amp; $AI$253 &amp; $AF101),0)),"",INDIRECT(CONCATENATE("Table!",ADDRESS(#REF!,MATCH(O$1,INDIRECT("Table!A" &amp; $AF101):INDIRECT("Table!" &amp; $AI$253 &amp; $AF101),0))))/1024)</f>
        <v/>
      </c>
      <c r="O101" s="22"/>
      <c r="P101" s="272"/>
      <c r="Q101" s="22"/>
      <c r="R101" s="212"/>
      <c r="T101" s="595"/>
      <c r="U101" s="212"/>
      <c r="AD101" s="212"/>
      <c r="AE101" s="212"/>
      <c r="AF101" s="22"/>
      <c r="AG101" s="212"/>
      <c r="AH101" s="212"/>
      <c r="AI101" s="27"/>
    </row>
    <row r="102" spans="2:35" x14ac:dyDescent="0.25">
      <c r="B102" s="22" t="str">
        <f ca="1">IF(ISERROR(MATCH(B$1,INDIRECT("Table!A"&amp;$AF102):INDIRECT("Table!" &amp; $AI$253 &amp; $AF102),0)),"",INDIRECT(CONCATENATE("Table!",ADDRESS(#REF!,MATCH(B$1,INDIRECT("Table!A" &amp; $AF102):INDIRECT("Table!" &amp; $AI$253 &amp; $AF102),0))))/1024)</f>
        <v/>
      </c>
      <c r="C102" s="22" t="str">
        <f ca="1">IF(ISERROR(MATCH(C$1,INDIRECT("Table!A"&amp;$AF102):INDIRECT("Table!" &amp; $AI$253 &amp; $AF102),0)),"",INDIRECT(CONCATENATE("Table!",ADDRESS(#REF!,MATCH(C$1,INDIRECT("Table!A" &amp; $AF102):INDIRECT("Table!" &amp; $AI$253 &amp; $AF102),0))))/1024)</f>
        <v/>
      </c>
      <c r="D102" s="22" t="str">
        <f ca="1">IF(ISERROR(MATCH(D$1,INDIRECT("Table!A"&amp;$AF102):INDIRECT("Table!" &amp; $AI$253 &amp; $AF102),0)),"",INDIRECT(CONCATENATE("Table!",ADDRESS(#REF!,MATCH(D$1,INDIRECT("Table!A" &amp; $AF102):INDIRECT("Table!" &amp; $AI$253 &amp; $AF102),0))))/1024)</f>
        <v/>
      </c>
      <c r="E102" s="22" t="str">
        <f ca="1">IF(ISERROR(MATCH(E$1,INDIRECT("Table!A"&amp;$AF102):INDIRECT("Table!" &amp; $AI$253 &amp; $AF102),0)),"",INDIRECT(CONCATENATE("Table!",ADDRESS(#REF!,MATCH(E$1,INDIRECT("Table!A" &amp; $AF102):INDIRECT("Table!" &amp; $AI$253 &amp; $AF102),0))))/1024)</f>
        <v/>
      </c>
      <c r="F102" s="22" t="str">
        <f ca="1">IF(ISERROR(MATCH(F$1,INDIRECT("Table!A"&amp;$AF102):INDIRECT("Table!" &amp; $AI$253 &amp; $AF102),0)),"",INDIRECT(CONCATENATE("Table!",ADDRESS(#REF!,MATCH(F$1,INDIRECT("Table!A" &amp; $AF102):INDIRECT("Table!" &amp; $AI$253 &amp; $AF102),0))))/1024)</f>
        <v/>
      </c>
      <c r="G102" s="22" t="str">
        <f ca="1">IF(ISERROR(MATCH(G$1,INDIRECT("Table!A"&amp;$AF102):INDIRECT("Table!" &amp; $AI$253 &amp; $AF102),0)),"",INDIRECT(CONCATENATE("Table!",ADDRESS(#REF!,MATCH(G$1,INDIRECT("Table!A" &amp; $AF102):INDIRECT("Table!" &amp; $AI$253 &amp; $AF102),0))))/1024)</f>
        <v/>
      </c>
      <c r="H102" s="22" t="str">
        <f ca="1">IF(ISERROR(MATCH(H$1,INDIRECT("Table!A"&amp;$AF102):INDIRECT("Table!" &amp; $AI$253 &amp; $AF102),0)),"",INDIRECT(CONCATENATE("Table!",ADDRESS(#REF!,MATCH(H$1,INDIRECT("Table!A" &amp; $AF102):INDIRECT("Table!" &amp; $AI$253 &amp; $AF102),0))))/1024)</f>
        <v/>
      </c>
      <c r="K102" s="22" t="str">
        <f ca="1">IF(ISERROR(MATCH(L$1,INDIRECT("Table!A"&amp;$AF102):INDIRECT("Table!" &amp; $AI$253 &amp; $AF102),0)),"",INDIRECT(CONCATENATE("Table!",ADDRESS(#REF!,MATCH(L$1,INDIRECT("Table!A" &amp; $AF102):INDIRECT("Table!" &amp; $AI$253 &amp; $AF102),0))))/1024)</f>
        <v/>
      </c>
      <c r="L102" s="22" t="str">
        <f ca="1">IF(ISERROR(MATCH(M$1,INDIRECT("Table!A"&amp;$AF102):INDIRECT("Table!" &amp; $AI$253 &amp; $AF102),0)),"",INDIRECT(CONCATENATE("Table!",ADDRESS(#REF!,MATCH(M$1,INDIRECT("Table!A" &amp; $AF102):INDIRECT("Table!" &amp; $AI$253 &amp; $AF102),0))))/1024)</f>
        <v/>
      </c>
      <c r="M102" s="22" t="str">
        <f ca="1">IF(ISERROR(MATCH(N$1,INDIRECT("Table!A"&amp;$AF102):INDIRECT("Table!" &amp; $AI$253 &amp; $AF102),0)),"",INDIRECT(CONCATENATE("Table!",ADDRESS(#REF!,MATCH(N$1,INDIRECT("Table!A" &amp; $AF102):INDIRECT("Table!" &amp; $AI$253 &amp; $AF102),0))))/1024)</f>
        <v/>
      </c>
      <c r="N102" s="22" t="str">
        <f ca="1">IF(ISERROR(MATCH(O$1,INDIRECT("Table!A"&amp;$AF102):INDIRECT("Table!" &amp; $AI$253 &amp; $AF102),0)),"",INDIRECT(CONCATENATE("Table!",ADDRESS(#REF!,MATCH(O$1,INDIRECT("Table!A" &amp; $AF102):INDIRECT("Table!" &amp; $AI$253 &amp; $AF102),0))))/1024)</f>
        <v/>
      </c>
      <c r="O102" s="22"/>
      <c r="P102" s="272"/>
      <c r="Q102" s="22"/>
      <c r="R102" s="211"/>
      <c r="T102" s="595"/>
      <c r="U102" s="211"/>
      <c r="AD102" s="211"/>
      <c r="AE102" s="211"/>
      <c r="AF102" s="22"/>
      <c r="AG102" s="211"/>
      <c r="AH102" s="211"/>
      <c r="AI102" s="27"/>
    </row>
    <row r="103" spans="2:35" x14ac:dyDescent="0.25">
      <c r="B103" s="22" t="str">
        <f ca="1">IF(ISERROR(MATCH(B$1,INDIRECT("Table!A"&amp;$AF103):INDIRECT("Table!" &amp; $AI$253 &amp; $AF103),0)),"",INDIRECT(CONCATENATE("Table!",ADDRESS(#REF!,MATCH(B$1,INDIRECT("Table!A" &amp; $AF103):INDIRECT("Table!" &amp; $AI$253 &amp; $AF103),0))))/1024)</f>
        <v/>
      </c>
      <c r="C103" s="22" t="str">
        <f ca="1">IF(ISERROR(MATCH(C$1,INDIRECT("Table!A"&amp;$AF103):INDIRECT("Table!" &amp; $AI$253 &amp; $AF103),0)),"",INDIRECT(CONCATENATE("Table!",ADDRESS(#REF!,MATCH(C$1,INDIRECT("Table!A" &amp; $AF103):INDIRECT("Table!" &amp; $AI$253 &amp; $AF103),0))))/1024)</f>
        <v/>
      </c>
      <c r="D103" s="22" t="str">
        <f ca="1">IF(ISERROR(MATCH(D$1,INDIRECT("Table!A"&amp;$AF103):INDIRECT("Table!" &amp; $AI$253 &amp; $AF103),0)),"",INDIRECT(CONCATENATE("Table!",ADDRESS(#REF!,MATCH(D$1,INDIRECT("Table!A" &amp; $AF103):INDIRECT("Table!" &amp; $AI$253 &amp; $AF103),0))))/1024)</f>
        <v/>
      </c>
      <c r="E103" s="22" t="str">
        <f ca="1">IF(ISERROR(MATCH(E$1,INDIRECT("Table!A"&amp;$AF103):INDIRECT("Table!" &amp; $AI$253 &amp; $AF103),0)),"",INDIRECT(CONCATENATE("Table!",ADDRESS(#REF!,MATCH(E$1,INDIRECT("Table!A" &amp; $AF103):INDIRECT("Table!" &amp; $AI$253 &amp; $AF103),0))))/1024)</f>
        <v/>
      </c>
      <c r="F103" s="22" t="str">
        <f ca="1">IF(ISERROR(MATCH(F$1,INDIRECT("Table!A"&amp;$AF103):INDIRECT("Table!" &amp; $AI$253 &amp; $AF103),0)),"",INDIRECT(CONCATENATE("Table!",ADDRESS(#REF!,MATCH(F$1,INDIRECT("Table!A" &amp; $AF103):INDIRECT("Table!" &amp; $AI$253 &amp; $AF103),0))))/1024)</f>
        <v/>
      </c>
      <c r="G103" s="22" t="str">
        <f ca="1">IF(ISERROR(MATCH(G$1,INDIRECT("Table!A"&amp;$AF103):INDIRECT("Table!" &amp; $AI$253 &amp; $AF103),0)),"",INDIRECT(CONCATENATE("Table!",ADDRESS(#REF!,MATCH(G$1,INDIRECT("Table!A" &amp; $AF103):INDIRECT("Table!" &amp; $AI$253 &amp; $AF103),0))))/1024)</f>
        <v/>
      </c>
      <c r="H103" s="22" t="str">
        <f ca="1">IF(ISERROR(MATCH(H$1,INDIRECT("Table!A"&amp;$AF103):INDIRECT("Table!" &amp; $AI$253 &amp; $AF103),0)),"",INDIRECT(CONCATENATE("Table!",ADDRESS(#REF!,MATCH(H$1,INDIRECT("Table!A" &amp; $AF103):INDIRECT("Table!" &amp; $AI$253 &amp; $AF103),0))))/1024)</f>
        <v/>
      </c>
      <c r="K103" s="22" t="str">
        <f ca="1">IF(ISERROR(MATCH(L$1,INDIRECT("Table!A"&amp;$AF103):INDIRECT("Table!" &amp; $AI$253 &amp; $AF103),0)),"",INDIRECT(CONCATENATE("Table!",ADDRESS(#REF!,MATCH(L$1,INDIRECT("Table!A" &amp; $AF103):INDIRECT("Table!" &amp; $AI$253 &amp; $AF103),0))))/1024)</f>
        <v/>
      </c>
      <c r="L103" s="22" t="str">
        <f ca="1">IF(ISERROR(MATCH(M$1,INDIRECT("Table!A"&amp;$AF103):INDIRECT("Table!" &amp; $AI$253 &amp; $AF103),0)),"",INDIRECT(CONCATENATE("Table!",ADDRESS(#REF!,MATCH(M$1,INDIRECT("Table!A" &amp; $AF103):INDIRECT("Table!" &amp; $AI$253 &amp; $AF103),0))))/1024)</f>
        <v/>
      </c>
      <c r="M103" s="22" t="str">
        <f ca="1">IF(ISERROR(MATCH(N$1,INDIRECT("Table!A"&amp;$AF103):INDIRECT("Table!" &amp; $AI$253 &amp; $AF103),0)),"",INDIRECT(CONCATENATE("Table!",ADDRESS(#REF!,MATCH(N$1,INDIRECT("Table!A" &amp; $AF103):INDIRECT("Table!" &amp; $AI$253 &amp; $AF103),0))))/1024)</f>
        <v/>
      </c>
      <c r="N103" s="22" t="str">
        <f ca="1">IF(ISERROR(MATCH(O$1,INDIRECT("Table!A"&amp;$AF103):INDIRECT("Table!" &amp; $AI$253 &amp; $AF103),0)),"",INDIRECT(CONCATENATE("Table!",ADDRESS(#REF!,MATCH(O$1,INDIRECT("Table!A" &amp; $AF103):INDIRECT("Table!" &amp; $AI$253 &amp; $AF103),0))))/1024)</f>
        <v/>
      </c>
      <c r="O103" s="22"/>
      <c r="P103" s="272"/>
      <c r="Q103" s="22"/>
      <c r="R103" s="210"/>
      <c r="T103" s="595"/>
      <c r="U103" s="210"/>
      <c r="AD103" s="210"/>
      <c r="AE103" s="210"/>
      <c r="AF103" s="22"/>
      <c r="AG103" s="210"/>
      <c r="AH103" s="210"/>
      <c r="AI103" s="27"/>
    </row>
    <row r="104" spans="2:35" x14ac:dyDescent="0.25">
      <c r="B104" s="22" t="str">
        <f ca="1">IF(ISERROR(MATCH(B$1,INDIRECT("Table!A"&amp;$AF104):INDIRECT("Table!" &amp; $AI$253 &amp; $AF104),0)),"",INDIRECT(CONCATENATE("Table!",ADDRESS(#REF!,MATCH(B$1,INDIRECT("Table!A" &amp; $AF104):INDIRECT("Table!" &amp; $AI$253 &amp; $AF104),0))))/1024)</f>
        <v/>
      </c>
      <c r="C104" s="22" t="str">
        <f ca="1">IF(ISERROR(MATCH(C$1,INDIRECT("Table!A"&amp;$AF104):INDIRECT("Table!" &amp; $AI$253 &amp; $AF104),0)),"",INDIRECT(CONCATENATE("Table!",ADDRESS(#REF!,MATCH(C$1,INDIRECT("Table!A" &amp; $AF104):INDIRECT("Table!" &amp; $AI$253 &amp; $AF104),0))))/1024)</f>
        <v/>
      </c>
      <c r="D104" s="22" t="str">
        <f ca="1">IF(ISERROR(MATCH(D$1,INDIRECT("Table!A"&amp;$AF104):INDIRECT("Table!" &amp; $AI$253 &amp; $AF104),0)),"",INDIRECT(CONCATENATE("Table!",ADDRESS(#REF!,MATCH(D$1,INDIRECT("Table!A" &amp; $AF104):INDIRECT("Table!" &amp; $AI$253 &amp; $AF104),0))))/1024)</f>
        <v/>
      </c>
      <c r="E104" s="22" t="str">
        <f ca="1">IF(ISERROR(MATCH(E$1,INDIRECT("Table!A"&amp;$AF104):INDIRECT("Table!" &amp; $AI$253 &amp; $AF104),0)),"",INDIRECT(CONCATENATE("Table!",ADDRESS(#REF!,MATCH(E$1,INDIRECT("Table!A" &amp; $AF104):INDIRECT("Table!" &amp; $AI$253 &amp; $AF104),0))))/1024)</f>
        <v/>
      </c>
      <c r="F104" s="22" t="str">
        <f ca="1">IF(ISERROR(MATCH(F$1,INDIRECT("Table!A"&amp;$AF104):INDIRECT("Table!" &amp; $AI$253 &amp; $AF104),0)),"",INDIRECT(CONCATENATE("Table!",ADDRESS(#REF!,MATCH(F$1,INDIRECT("Table!A" &amp; $AF104):INDIRECT("Table!" &amp; $AI$253 &amp; $AF104),0))))/1024)</f>
        <v/>
      </c>
      <c r="G104" s="22" t="str">
        <f ca="1">IF(ISERROR(MATCH(G$1,INDIRECT("Table!A"&amp;$AF104):INDIRECT("Table!" &amp; $AI$253 &amp; $AF104),0)),"",INDIRECT(CONCATENATE("Table!",ADDRESS(#REF!,MATCH(G$1,INDIRECT("Table!A" &amp; $AF104):INDIRECT("Table!" &amp; $AI$253 &amp; $AF104),0))))/1024)</f>
        <v/>
      </c>
      <c r="H104" s="22" t="str">
        <f ca="1">IF(ISERROR(MATCH(H$1,INDIRECT("Table!A"&amp;$AF104):INDIRECT("Table!" &amp; $AI$253 &amp; $AF104),0)),"",INDIRECT(CONCATENATE("Table!",ADDRESS(#REF!,MATCH(H$1,INDIRECT("Table!A" &amp; $AF104):INDIRECT("Table!" &amp; $AI$253 &amp; $AF104),0))))/1024)</f>
        <v/>
      </c>
      <c r="K104" s="22" t="str">
        <f ca="1">IF(ISERROR(MATCH(L$1,INDIRECT("Table!A"&amp;$AF104):INDIRECT("Table!" &amp; $AI$253 &amp; $AF104),0)),"",INDIRECT(CONCATENATE("Table!",ADDRESS(#REF!,MATCH(L$1,INDIRECT("Table!A" &amp; $AF104):INDIRECT("Table!" &amp; $AI$253 &amp; $AF104),0))))/1024)</f>
        <v/>
      </c>
      <c r="L104" s="22" t="str">
        <f ca="1">IF(ISERROR(MATCH(M$1,INDIRECT("Table!A"&amp;$AF104):INDIRECT("Table!" &amp; $AI$253 &amp; $AF104),0)),"",INDIRECT(CONCATENATE("Table!",ADDRESS(#REF!,MATCH(M$1,INDIRECT("Table!A" &amp; $AF104):INDIRECT("Table!" &amp; $AI$253 &amp; $AF104),0))))/1024)</f>
        <v/>
      </c>
      <c r="M104" s="22" t="str">
        <f ca="1">IF(ISERROR(MATCH(N$1,INDIRECT("Table!A"&amp;$AF104):INDIRECT("Table!" &amp; $AI$253 &amp; $AF104),0)),"",INDIRECT(CONCATENATE("Table!",ADDRESS(#REF!,MATCH(N$1,INDIRECT("Table!A" &amp; $AF104):INDIRECT("Table!" &amp; $AI$253 &amp; $AF104),0))))/1024)</f>
        <v/>
      </c>
      <c r="N104" s="22" t="str">
        <f ca="1">IF(ISERROR(MATCH(O$1,INDIRECT("Table!A"&amp;$AF104):INDIRECT("Table!" &amp; $AI$253 &amp; $AF104),0)),"",INDIRECT(CONCATENATE("Table!",ADDRESS(#REF!,MATCH(O$1,INDIRECT("Table!A" &amp; $AF104):INDIRECT("Table!" &amp; $AI$253 &amp; $AF104),0))))/1024)</f>
        <v/>
      </c>
      <c r="O104" s="22"/>
      <c r="P104" s="272"/>
      <c r="Q104" s="22"/>
      <c r="R104" s="209"/>
      <c r="T104" s="595"/>
      <c r="U104" s="209"/>
      <c r="AD104" s="209"/>
      <c r="AE104" s="209"/>
      <c r="AF104" s="22"/>
      <c r="AG104" s="209"/>
      <c r="AH104" s="209"/>
      <c r="AI104" s="29"/>
    </row>
    <row r="105" spans="2:35" x14ac:dyDescent="0.25">
      <c r="N105" s="22"/>
      <c r="O105" s="22"/>
      <c r="P105" s="272"/>
      <c r="Q105" s="22"/>
      <c r="R105" s="208"/>
      <c r="T105" s="595"/>
      <c r="U105" s="208"/>
      <c r="AD105" s="208"/>
      <c r="AE105" s="208"/>
      <c r="AF105" s="22"/>
      <c r="AG105" s="208"/>
      <c r="AH105" s="208"/>
      <c r="AI105" s="29"/>
    </row>
    <row r="106" spans="2:35" x14ac:dyDescent="0.25">
      <c r="B106" s="22" t="str">
        <f ca="1">IF(ISERROR(MATCH(B$1,INDIRECT("Table!A"&amp;$AF106):INDIRECT("Table!" &amp; $AI$253 &amp; $AF106),0)),"",INDIRECT(CONCATENATE("Table!",ADDRESS(#REF!,MATCH(B$1,INDIRECT("Table!A" &amp; $AF106):INDIRECT("Table!" &amp; $AI$253 &amp; $AF106),0))))/1024)</f>
        <v/>
      </c>
      <c r="C106" s="22" t="str">
        <f ca="1">IF(ISERROR(MATCH(C$1,INDIRECT("Table!A"&amp;$AF106):INDIRECT("Table!" &amp; $AI$253 &amp; $AF106),0)),"",INDIRECT(CONCATENATE("Table!",ADDRESS(#REF!,MATCH(C$1,INDIRECT("Table!A" &amp; $AF106):INDIRECT("Table!" &amp; $AI$253 &amp; $AF106),0))))/1024)</f>
        <v/>
      </c>
      <c r="D106" s="22" t="str">
        <f ca="1">IF(ISERROR(MATCH(D$1,INDIRECT("Table!A"&amp;$AF106):INDIRECT("Table!" &amp; $AI$253 &amp; $AF106),0)),"",INDIRECT(CONCATENATE("Table!",ADDRESS(#REF!,MATCH(D$1,INDIRECT("Table!A" &amp; $AF106):INDIRECT("Table!" &amp; $AI$253 &amp; $AF106),0))))/1024)</f>
        <v/>
      </c>
      <c r="E106" s="22" t="str">
        <f ca="1">IF(ISERROR(MATCH(E$1,INDIRECT("Table!A"&amp;$AF106):INDIRECT("Table!" &amp; $AI$253 &amp; $AF106),0)),"",INDIRECT(CONCATENATE("Table!",ADDRESS(#REF!,MATCH(E$1,INDIRECT("Table!A" &amp; $AF106):INDIRECT("Table!" &amp; $AI$253 &amp; $AF106),0))))/1024)</f>
        <v/>
      </c>
      <c r="F106" s="22" t="str">
        <f ca="1">IF(ISERROR(MATCH(F$1,INDIRECT("Table!A"&amp;$AF106):INDIRECT("Table!" &amp; $AI$253 &amp; $AF106),0)),"",INDIRECT(CONCATENATE("Table!",ADDRESS(#REF!,MATCH(F$1,INDIRECT("Table!A" &amp; $AF106):INDIRECT("Table!" &amp; $AI$253 &amp; $AF106),0))))/1024)</f>
        <v/>
      </c>
      <c r="G106" s="22" t="str">
        <f ca="1">IF(ISERROR(MATCH(G$1,INDIRECT("Table!A"&amp;$AF106):INDIRECT("Table!" &amp; $AI$253 &amp; $AF106),0)),"",INDIRECT(CONCATENATE("Table!",ADDRESS(#REF!,MATCH(G$1,INDIRECT("Table!A" &amp; $AF106):INDIRECT("Table!" &amp; $AI$253 &amp; $AF106),0))))/1024)</f>
        <v/>
      </c>
      <c r="H106" s="22" t="str">
        <f ca="1">IF(ISERROR(MATCH(H$1,INDIRECT("Table!A"&amp;$AF106):INDIRECT("Table!" &amp; $AI$253 &amp; $AF106),0)),"",INDIRECT(CONCATENATE("Table!",ADDRESS(#REF!,MATCH(H$1,INDIRECT("Table!A" &amp; $AF106):INDIRECT("Table!" &amp; $AI$253 &amp; $AF106),0))))/1024)</f>
        <v/>
      </c>
      <c r="K106" s="22" t="str">
        <f ca="1">IF(ISERROR(MATCH(L$1,INDIRECT("Table!A"&amp;$AF106):INDIRECT("Table!" &amp; $AI$253 &amp; $AF106),0)),"",INDIRECT(CONCATENATE("Table!",ADDRESS(#REF!,MATCH(L$1,INDIRECT("Table!A" &amp; $AF106):INDIRECT("Table!" &amp; $AI$253 &amp; $AF106),0))))/1024)</f>
        <v/>
      </c>
      <c r="L106" s="22" t="str">
        <f ca="1">IF(ISERROR(MATCH(M$1,INDIRECT("Table!A"&amp;$AF106):INDIRECT("Table!" &amp; $AI$253 &amp; $AF106),0)),"",INDIRECT(CONCATENATE("Table!",ADDRESS(#REF!,MATCH(M$1,INDIRECT("Table!A" &amp; $AF106):INDIRECT("Table!" &amp; $AI$253 &amp; $AF106),0))))/1024)</f>
        <v/>
      </c>
      <c r="M106" s="22" t="str">
        <f ca="1">IF(ISERROR(MATCH(N$1,INDIRECT("Table!A"&amp;$AF106):INDIRECT("Table!" &amp; $AI$253 &amp; $AF106),0)),"",INDIRECT(CONCATENATE("Table!",ADDRESS(#REF!,MATCH(N$1,INDIRECT("Table!A" &amp; $AF106):INDIRECT("Table!" &amp; $AI$253 &amp; $AF106),0))))/1024)</f>
        <v/>
      </c>
      <c r="N106" s="22" t="str">
        <f ca="1">IF(ISERROR(MATCH(O$1,INDIRECT("Table!A"&amp;$AF106):INDIRECT("Table!" &amp; $AI$253 &amp; $AF106),0)),"",INDIRECT(CONCATENATE("Table!",ADDRESS(#REF!,MATCH(O$1,INDIRECT("Table!A" &amp; $AF106):INDIRECT("Table!" &amp; $AI$253 &amp; $AF106),0))))/1024)</f>
        <v/>
      </c>
      <c r="O106" s="22"/>
      <c r="P106" s="272"/>
      <c r="Q106" s="22"/>
      <c r="R106" s="207"/>
      <c r="T106" s="595"/>
      <c r="U106" s="207"/>
      <c r="AD106" s="207"/>
      <c r="AE106" s="207"/>
      <c r="AF106" s="22"/>
      <c r="AG106" s="207"/>
      <c r="AH106" s="207"/>
      <c r="AI106" s="29"/>
    </row>
    <row r="107" spans="2:35" x14ac:dyDescent="0.25">
      <c r="B107" s="22" t="str">
        <f ca="1">IF(ISERROR(MATCH(B$1,INDIRECT("Table!A"&amp;$AF107):INDIRECT("Table!" &amp; $AI$253 &amp; $AF107),0)),"",INDIRECT(CONCATENATE("Table!",ADDRESS(#REF!,MATCH(B$1,INDIRECT("Table!A" &amp; $AF107):INDIRECT("Table!" &amp; $AI$253 &amp; $AF107),0))))/1024)</f>
        <v/>
      </c>
      <c r="C107" s="22" t="str">
        <f ca="1">IF(ISERROR(MATCH(C$1,INDIRECT("Table!A"&amp;$AF107):INDIRECT("Table!" &amp; $AI$253 &amp; $AF107),0)),"",INDIRECT(CONCATENATE("Table!",ADDRESS(#REF!,MATCH(C$1,INDIRECT("Table!A" &amp; $AF107):INDIRECT("Table!" &amp; $AI$253 &amp; $AF107),0))))/1024)</f>
        <v/>
      </c>
      <c r="D107" s="22" t="str">
        <f ca="1">IF(ISERROR(MATCH(D$1,INDIRECT("Table!A"&amp;$AF107):INDIRECT("Table!" &amp; $AI$253 &amp; $AF107),0)),"",INDIRECT(CONCATENATE("Table!",ADDRESS(#REF!,MATCH(D$1,INDIRECT("Table!A" &amp; $AF107):INDIRECT("Table!" &amp; $AI$253 &amp; $AF107),0))))/1024)</f>
        <v/>
      </c>
      <c r="E107" s="22" t="str">
        <f ca="1">IF(ISERROR(MATCH(E$1,INDIRECT("Table!A"&amp;$AF107):INDIRECT("Table!" &amp; $AI$253 &amp; $AF107),0)),"",INDIRECT(CONCATENATE("Table!",ADDRESS(#REF!,MATCH(E$1,INDIRECT("Table!A" &amp; $AF107):INDIRECT("Table!" &amp; $AI$253 &amp; $AF107),0))))/1024)</f>
        <v/>
      </c>
      <c r="F107" s="22" t="str">
        <f ca="1">IF(ISERROR(MATCH(F$1,INDIRECT("Table!A"&amp;$AF107):INDIRECT("Table!" &amp; $AI$253 &amp; $AF107),0)),"",INDIRECT(CONCATENATE("Table!",ADDRESS(#REF!,MATCH(F$1,INDIRECT("Table!A" &amp; $AF107):INDIRECT("Table!" &amp; $AI$253 &amp; $AF107),0))))/1024)</f>
        <v/>
      </c>
      <c r="G107" s="22" t="str">
        <f ca="1">IF(ISERROR(MATCH(G$1,INDIRECT("Table!A"&amp;$AF107):INDIRECT("Table!" &amp; $AI$253 &amp; $AF107),0)),"",INDIRECT(CONCATENATE("Table!",ADDRESS(#REF!,MATCH(G$1,INDIRECT("Table!A" &amp; $AF107):INDIRECT("Table!" &amp; $AI$253 &amp; $AF107),0))))/1024)</f>
        <v/>
      </c>
      <c r="H107" s="22" t="str">
        <f ca="1">IF(ISERROR(MATCH(H$1,INDIRECT("Table!A"&amp;$AF107):INDIRECT("Table!" &amp; $AI$253 &amp; $AF107),0)),"",INDIRECT(CONCATENATE("Table!",ADDRESS(#REF!,MATCH(H$1,INDIRECT("Table!A" &amp; $AF107):INDIRECT("Table!" &amp; $AI$253 &amp; $AF107),0))))/1024)</f>
        <v/>
      </c>
      <c r="K107" s="22" t="str">
        <f ca="1">IF(ISERROR(MATCH(L$1,INDIRECT("Table!A"&amp;$AF107):INDIRECT("Table!" &amp; $AI$253 &amp; $AF107),0)),"",INDIRECT(CONCATENATE("Table!",ADDRESS(#REF!,MATCH(L$1,INDIRECT("Table!A" &amp; $AF107):INDIRECT("Table!" &amp; $AI$253 &amp; $AF107),0))))/1024)</f>
        <v/>
      </c>
      <c r="L107" s="22" t="str">
        <f ca="1">IF(ISERROR(MATCH(M$1,INDIRECT("Table!A"&amp;$AF107):INDIRECT("Table!" &amp; $AI$253 &amp; $AF107),0)),"",INDIRECT(CONCATENATE("Table!",ADDRESS(#REF!,MATCH(M$1,INDIRECT("Table!A" &amp; $AF107):INDIRECT("Table!" &amp; $AI$253 &amp; $AF107),0))))/1024)</f>
        <v/>
      </c>
      <c r="M107" s="22" t="str">
        <f ca="1">IF(ISERROR(MATCH(N$1,INDIRECT("Table!A"&amp;$AF107):INDIRECT("Table!" &amp; $AI$253 &amp; $AF107),0)),"",INDIRECT(CONCATENATE("Table!",ADDRESS(#REF!,MATCH(N$1,INDIRECT("Table!A" &amp; $AF107):INDIRECT("Table!" &amp; $AI$253 &amp; $AF107),0))))/1024)</f>
        <v/>
      </c>
      <c r="N107" s="22" t="str">
        <f ca="1">IF(ISERROR(MATCH(O$1,INDIRECT("Table!A"&amp;$AF107):INDIRECT("Table!" &amp; $AI$253 &amp; $AF107),0)),"",INDIRECT(CONCATENATE("Table!",ADDRESS(#REF!,MATCH(O$1,INDIRECT("Table!A" &amp; $AF107):INDIRECT("Table!" &amp; $AI$253 &amp; $AF107),0))))/1024)</f>
        <v/>
      </c>
      <c r="O107" s="22"/>
      <c r="P107" s="272"/>
      <c r="Q107" s="22"/>
      <c r="R107" s="206"/>
      <c r="T107" s="595"/>
      <c r="U107" s="206"/>
      <c r="AD107" s="206"/>
      <c r="AE107" s="206"/>
      <c r="AF107" s="22"/>
      <c r="AG107" s="206"/>
      <c r="AH107" s="206"/>
      <c r="AI107" s="29"/>
    </row>
    <row r="108" spans="2:35" x14ac:dyDescent="0.25">
      <c r="B108" s="22" t="str">
        <f ca="1">IF(ISERROR(MATCH(B$1,INDIRECT("Table!A"&amp;$AF108):INDIRECT("Table!" &amp; $AI$253 &amp; $AF108),0)),"",INDIRECT(CONCATENATE("Table!",ADDRESS(#REF!,MATCH(B$1,INDIRECT("Table!A" &amp; $AF108):INDIRECT("Table!" &amp; $AI$253 &amp; $AF108),0))))/1024)</f>
        <v/>
      </c>
      <c r="C108" s="22" t="str">
        <f ca="1">IF(ISERROR(MATCH(C$1,INDIRECT("Table!A"&amp;$AF108):INDIRECT("Table!" &amp; $AI$253 &amp; $AF108),0)),"",INDIRECT(CONCATENATE("Table!",ADDRESS(#REF!,MATCH(C$1,INDIRECT("Table!A" &amp; $AF108):INDIRECT("Table!" &amp; $AI$253 &amp; $AF108),0))))/1024)</f>
        <v/>
      </c>
      <c r="D108" s="22" t="str">
        <f ca="1">IF(ISERROR(MATCH(D$1,INDIRECT("Table!A"&amp;$AF108):INDIRECT("Table!" &amp; $AI$253 &amp; $AF108),0)),"",INDIRECT(CONCATENATE("Table!",ADDRESS(#REF!,MATCH(D$1,INDIRECT("Table!A" &amp; $AF108):INDIRECT("Table!" &amp; $AI$253 &amp; $AF108),0))))/1024)</f>
        <v/>
      </c>
      <c r="E108" s="22" t="str">
        <f ca="1">IF(ISERROR(MATCH(E$1,INDIRECT("Table!A"&amp;$AF108):INDIRECT("Table!" &amp; $AI$253 &amp; $AF108),0)),"",INDIRECT(CONCATENATE("Table!",ADDRESS(#REF!,MATCH(E$1,INDIRECT("Table!A" &amp; $AF108):INDIRECT("Table!" &amp; $AI$253 &amp; $AF108),0))))/1024)</f>
        <v/>
      </c>
      <c r="F108" s="22" t="str">
        <f ca="1">IF(ISERROR(MATCH(F$1,INDIRECT("Table!A"&amp;$AF108):INDIRECT("Table!" &amp; $AI$253 &amp; $AF108),0)),"",INDIRECT(CONCATENATE("Table!",ADDRESS(#REF!,MATCH(F$1,INDIRECT("Table!A" &amp; $AF108):INDIRECT("Table!" &amp; $AI$253 &amp; $AF108),0))))/1024)</f>
        <v/>
      </c>
      <c r="G108" s="22" t="str">
        <f ca="1">IF(ISERROR(MATCH(G$1,INDIRECT("Table!A"&amp;$AF108):INDIRECT("Table!" &amp; $AI$253 &amp; $AF108),0)),"",INDIRECT(CONCATENATE("Table!",ADDRESS(#REF!,MATCH(G$1,INDIRECT("Table!A" &amp; $AF108):INDIRECT("Table!" &amp; $AI$253 &amp; $AF108),0))))/1024)</f>
        <v/>
      </c>
      <c r="H108" s="22" t="str">
        <f ca="1">IF(ISERROR(MATCH(H$1,INDIRECT("Table!A"&amp;$AF108):INDIRECT("Table!" &amp; $AI$253 &amp; $AF108),0)),"",INDIRECT(CONCATENATE("Table!",ADDRESS(#REF!,MATCH(H$1,INDIRECT("Table!A" &amp; $AF108):INDIRECT("Table!" &amp; $AI$253 &amp; $AF108),0))))/1024)</f>
        <v/>
      </c>
      <c r="K108" s="22" t="str">
        <f ca="1">IF(ISERROR(MATCH(L$1,INDIRECT("Table!A"&amp;$AF108):INDIRECT("Table!" &amp; $AI$253 &amp; $AF108),0)),"",INDIRECT(CONCATENATE("Table!",ADDRESS(#REF!,MATCH(L$1,INDIRECT("Table!A" &amp; $AF108):INDIRECT("Table!" &amp; $AI$253 &amp; $AF108),0))))/1024)</f>
        <v/>
      </c>
      <c r="L108" s="22" t="str">
        <f ca="1">IF(ISERROR(MATCH(M$1,INDIRECT("Table!A"&amp;$AF108):INDIRECT("Table!" &amp; $AI$253 &amp; $AF108),0)),"",INDIRECT(CONCATENATE("Table!",ADDRESS(#REF!,MATCH(M$1,INDIRECT("Table!A" &amp; $AF108):INDIRECT("Table!" &amp; $AI$253 &amp; $AF108),0))))/1024)</f>
        <v/>
      </c>
      <c r="M108" s="22" t="str">
        <f ca="1">IF(ISERROR(MATCH(N$1,INDIRECT("Table!A"&amp;$AF108):INDIRECT("Table!" &amp; $AI$253 &amp; $AF108),0)),"",INDIRECT(CONCATENATE("Table!",ADDRESS(#REF!,MATCH(N$1,INDIRECT("Table!A" &amp; $AF108):INDIRECT("Table!" &amp; $AI$253 &amp; $AF108),0))))/1024)</f>
        <v/>
      </c>
      <c r="N108" s="22" t="str">
        <f ca="1">IF(ISERROR(MATCH(O$1,INDIRECT("Table!A"&amp;$AF108):INDIRECT("Table!" &amp; $AI$253 &amp; $AF108),0)),"",INDIRECT(CONCATENATE("Table!",ADDRESS(#REF!,MATCH(O$1,INDIRECT("Table!A" &amp; $AF108):INDIRECT("Table!" &amp; $AI$253 &amp; $AF108),0))))/1024)</f>
        <v/>
      </c>
      <c r="O108" s="22"/>
      <c r="P108" s="272"/>
      <c r="Q108" s="22"/>
      <c r="R108" s="205"/>
      <c r="T108" s="595"/>
      <c r="U108" s="205"/>
      <c r="AD108" s="205"/>
      <c r="AE108" s="205"/>
      <c r="AF108" s="22"/>
      <c r="AG108" s="205"/>
      <c r="AH108" s="205"/>
      <c r="AI108" s="29"/>
    </row>
    <row r="109" spans="2:35" x14ac:dyDescent="0.25">
      <c r="B109" s="22" t="str">
        <f ca="1">IF(ISERROR(MATCH(B$1,INDIRECT("Table!A"&amp;$AF109):INDIRECT("Table!" &amp; $AI$253 &amp; $AF109),0)),"",INDIRECT(CONCATENATE("Table!",ADDRESS(#REF!,MATCH(B$1,INDIRECT("Table!A" &amp; $AF109):INDIRECT("Table!" &amp; $AI$253 &amp; $AF109),0))))/1024)</f>
        <v/>
      </c>
      <c r="C109" s="22" t="str">
        <f ca="1">IF(ISERROR(MATCH(C$1,INDIRECT("Table!A"&amp;$AF109):INDIRECT("Table!" &amp; $AI$253 &amp; $AF109),0)),"",INDIRECT(CONCATENATE("Table!",ADDRESS(#REF!,MATCH(C$1,INDIRECT("Table!A" &amp; $AF109):INDIRECT("Table!" &amp; $AI$253 &amp; $AF109),0))))/1024)</f>
        <v/>
      </c>
      <c r="D109" s="22" t="str">
        <f ca="1">IF(ISERROR(MATCH(D$1,INDIRECT("Table!A"&amp;$AF109):INDIRECT("Table!" &amp; $AI$253 &amp; $AF109),0)),"",INDIRECT(CONCATENATE("Table!",ADDRESS(#REF!,MATCH(D$1,INDIRECT("Table!A" &amp; $AF109):INDIRECT("Table!" &amp; $AI$253 &amp; $AF109),0))))/1024)</f>
        <v/>
      </c>
      <c r="E109" s="22" t="str">
        <f ca="1">IF(ISERROR(MATCH(E$1,INDIRECT("Table!A"&amp;$AF109):INDIRECT("Table!" &amp; $AI$253 &amp; $AF109),0)),"",INDIRECT(CONCATENATE("Table!",ADDRESS(#REF!,MATCH(E$1,INDIRECT("Table!A" &amp; $AF109):INDIRECT("Table!" &amp; $AI$253 &amp; $AF109),0))))/1024)</f>
        <v/>
      </c>
      <c r="F109" s="22" t="str">
        <f ca="1">IF(ISERROR(MATCH(F$1,INDIRECT("Table!A"&amp;$AF109):INDIRECT("Table!" &amp; $AI$253 &amp; $AF109),0)),"",INDIRECT(CONCATENATE("Table!",ADDRESS(#REF!,MATCH(F$1,INDIRECT("Table!A" &amp; $AF109):INDIRECT("Table!" &amp; $AI$253 &amp; $AF109),0))))/1024)</f>
        <v/>
      </c>
      <c r="G109" s="22" t="str">
        <f ca="1">IF(ISERROR(MATCH(G$1,INDIRECT("Table!A"&amp;$AF109):INDIRECT("Table!" &amp; $AI$253 &amp; $AF109),0)),"",INDIRECT(CONCATENATE("Table!",ADDRESS(#REF!,MATCH(G$1,INDIRECT("Table!A" &amp; $AF109):INDIRECT("Table!" &amp; $AI$253 &amp; $AF109),0))))/1024)</f>
        <v/>
      </c>
      <c r="H109" s="22" t="str">
        <f ca="1">IF(ISERROR(MATCH(H$1,INDIRECT("Table!A"&amp;$AF109):INDIRECT("Table!" &amp; $AI$253 &amp; $AF109),0)),"",INDIRECT(CONCATENATE("Table!",ADDRESS(#REF!,MATCH(H$1,INDIRECT("Table!A" &amp; $AF109):INDIRECT("Table!" &amp; $AI$253 &amp; $AF109),0))))/1024)</f>
        <v/>
      </c>
      <c r="K109" s="22" t="str">
        <f ca="1">IF(ISERROR(MATCH(L$1,INDIRECT("Table!A"&amp;$AF109):INDIRECT("Table!" &amp; $AI$253 &amp; $AF109),0)),"",INDIRECT(CONCATENATE("Table!",ADDRESS(#REF!,MATCH(L$1,INDIRECT("Table!A" &amp; $AF109):INDIRECT("Table!" &amp; $AI$253 &amp; $AF109),0))))/1024)</f>
        <v/>
      </c>
      <c r="L109" s="22" t="str">
        <f ca="1">IF(ISERROR(MATCH(M$1,INDIRECT("Table!A"&amp;$AF109):INDIRECT("Table!" &amp; $AI$253 &amp; $AF109),0)),"",INDIRECT(CONCATENATE("Table!",ADDRESS(#REF!,MATCH(M$1,INDIRECT("Table!A" &amp; $AF109):INDIRECT("Table!" &amp; $AI$253 &amp; $AF109),0))))/1024)</f>
        <v/>
      </c>
      <c r="M109" s="22" t="str">
        <f ca="1">IF(ISERROR(MATCH(N$1,INDIRECT("Table!A"&amp;$AF109):INDIRECT("Table!" &amp; $AI$253 &amp; $AF109),0)),"",INDIRECT(CONCATENATE("Table!",ADDRESS(#REF!,MATCH(N$1,INDIRECT("Table!A" &amp; $AF109):INDIRECT("Table!" &amp; $AI$253 &amp; $AF109),0))))/1024)</f>
        <v/>
      </c>
      <c r="N109" s="22" t="str">
        <f ca="1">IF(ISERROR(MATCH(O$1,INDIRECT("Table!A"&amp;$AF109):INDIRECT("Table!" &amp; $AI$253 &amp; $AF109),0)),"",INDIRECT(CONCATENATE("Table!",ADDRESS(#REF!,MATCH(O$1,INDIRECT("Table!A" &amp; $AF109):INDIRECT("Table!" &amp; $AI$253 &amp; $AF109),0))))/1024)</f>
        <v/>
      </c>
      <c r="O109" s="22"/>
      <c r="P109" s="272"/>
      <c r="Q109" s="22"/>
      <c r="R109" s="204"/>
      <c r="T109" s="595"/>
      <c r="U109" s="204"/>
      <c r="AD109" s="204"/>
      <c r="AE109" s="204"/>
      <c r="AF109" s="22"/>
      <c r="AG109" s="204"/>
      <c r="AH109" s="204"/>
      <c r="AI109" s="29"/>
    </row>
    <row r="110" spans="2:35" x14ac:dyDescent="0.25">
      <c r="B110" s="22" t="str">
        <f ca="1">IF(ISERROR(MATCH(B$1,INDIRECT("Table!A"&amp;$AF110):INDIRECT("Table!" &amp; $AI$253 &amp; $AF110),0)),"",INDIRECT(CONCATENATE("Table!",ADDRESS(#REF!,MATCH(B$1,INDIRECT("Table!A" &amp; $AF110):INDIRECT("Table!" &amp; $AI$253 &amp; $AF110),0))))/1024)</f>
        <v/>
      </c>
      <c r="C110" s="22" t="str">
        <f ca="1">IF(ISERROR(MATCH(C$1,INDIRECT("Table!A"&amp;$AF110):INDIRECT("Table!" &amp; $AI$253 &amp; $AF110),0)),"",INDIRECT(CONCATENATE("Table!",ADDRESS(#REF!,MATCH(C$1,INDIRECT("Table!A" &amp; $AF110):INDIRECT("Table!" &amp; $AI$253 &amp; $AF110),0))))/1024)</f>
        <v/>
      </c>
      <c r="D110" s="22" t="str">
        <f ca="1">IF(ISERROR(MATCH(D$1,INDIRECT("Table!A"&amp;$AF110):INDIRECT("Table!" &amp; $AI$253 &amp; $AF110),0)),"",INDIRECT(CONCATENATE("Table!",ADDRESS(#REF!,MATCH(D$1,INDIRECT("Table!A" &amp; $AF110):INDIRECT("Table!" &amp; $AI$253 &amp; $AF110),0))))/1024)</f>
        <v/>
      </c>
      <c r="E110" s="22" t="str">
        <f ca="1">IF(ISERROR(MATCH(E$1,INDIRECT("Table!A"&amp;$AF110):INDIRECT("Table!" &amp; $AI$253 &amp; $AF110),0)),"",INDIRECT(CONCATENATE("Table!",ADDRESS(#REF!,MATCH(E$1,INDIRECT("Table!A" &amp; $AF110):INDIRECT("Table!" &amp; $AI$253 &amp; $AF110),0))))/1024)</f>
        <v/>
      </c>
      <c r="F110" s="22" t="str">
        <f ca="1">IF(ISERROR(MATCH(F$1,INDIRECT("Table!A"&amp;$AF110):INDIRECT("Table!" &amp; $AI$253 &amp; $AF110),0)),"",INDIRECT(CONCATENATE("Table!",ADDRESS(#REF!,MATCH(F$1,INDIRECT("Table!A" &amp; $AF110):INDIRECT("Table!" &amp; $AI$253 &amp; $AF110),0))))/1024)</f>
        <v/>
      </c>
      <c r="G110" s="22" t="str">
        <f ca="1">IF(ISERROR(MATCH(G$1,INDIRECT("Table!A"&amp;$AF110):INDIRECT("Table!" &amp; $AI$253 &amp; $AF110),0)),"",INDIRECT(CONCATENATE("Table!",ADDRESS(#REF!,MATCH(G$1,INDIRECT("Table!A" &amp; $AF110):INDIRECT("Table!" &amp; $AI$253 &amp; $AF110),0))))/1024)</f>
        <v/>
      </c>
      <c r="H110" s="22" t="str">
        <f ca="1">IF(ISERROR(MATCH(H$1,INDIRECT("Table!A"&amp;$AF110):INDIRECT("Table!" &amp; $AI$253 &amp; $AF110),0)),"",INDIRECT(CONCATENATE("Table!",ADDRESS(#REF!,MATCH(H$1,INDIRECT("Table!A" &amp; $AF110):INDIRECT("Table!" &amp; $AI$253 &amp; $AF110),0))))/1024)</f>
        <v/>
      </c>
      <c r="K110" s="22" t="str">
        <f ca="1">IF(ISERROR(MATCH(L$1,INDIRECT("Table!A"&amp;$AF110):INDIRECT("Table!" &amp; $AI$253 &amp; $AF110),0)),"",INDIRECT(CONCATENATE("Table!",ADDRESS(#REF!,MATCH(L$1,INDIRECT("Table!A" &amp; $AF110):INDIRECT("Table!" &amp; $AI$253 &amp; $AF110),0))))/1024)</f>
        <v/>
      </c>
      <c r="L110" s="22" t="str">
        <f ca="1">IF(ISERROR(MATCH(M$1,INDIRECT("Table!A"&amp;$AF110):INDIRECT("Table!" &amp; $AI$253 &amp; $AF110),0)),"",INDIRECT(CONCATENATE("Table!",ADDRESS(#REF!,MATCH(M$1,INDIRECT("Table!A" &amp; $AF110):INDIRECT("Table!" &amp; $AI$253 &amp; $AF110),0))))/1024)</f>
        <v/>
      </c>
      <c r="M110" s="22" t="str">
        <f ca="1">IF(ISERROR(MATCH(N$1,INDIRECT("Table!A"&amp;$AF110):INDIRECT("Table!" &amp; $AI$253 &amp; $AF110),0)),"",INDIRECT(CONCATENATE("Table!",ADDRESS(#REF!,MATCH(N$1,INDIRECT("Table!A" &amp; $AF110):INDIRECT("Table!" &amp; $AI$253 &amp; $AF110),0))))/1024)</f>
        <v/>
      </c>
      <c r="N110" s="22" t="str">
        <f ca="1">IF(ISERROR(MATCH(O$1,INDIRECT("Table!A"&amp;$AF110):INDIRECT("Table!" &amp; $AI$253 &amp; $AF110),0)),"",INDIRECT(CONCATENATE("Table!",ADDRESS(#REF!,MATCH(O$1,INDIRECT("Table!A" &amp; $AF110):INDIRECT("Table!" &amp; $AI$253 &amp; $AF110),0))))/1024)</f>
        <v/>
      </c>
      <c r="O110" s="22"/>
      <c r="P110" s="272"/>
      <c r="Q110" s="22"/>
      <c r="R110" s="203"/>
      <c r="T110" s="595"/>
      <c r="U110" s="203"/>
      <c r="AD110" s="203"/>
      <c r="AE110" s="203"/>
      <c r="AF110" s="22"/>
      <c r="AG110" s="203"/>
      <c r="AH110" s="203"/>
      <c r="AI110" s="29"/>
    </row>
    <row r="111" spans="2:35" x14ac:dyDescent="0.25">
      <c r="B111" s="22" t="str">
        <f ca="1">IF(ISERROR(MATCH(B$1,INDIRECT("Table!A"&amp;$AF111):INDIRECT("Table!" &amp; $AI$253 &amp; $AF111),0)),"",INDIRECT(CONCATENATE("Table!",ADDRESS(#REF!,MATCH(B$1,INDIRECT("Table!A" &amp; $AF111):INDIRECT("Table!" &amp; $AI$253 &amp; $AF111),0))))/1024)</f>
        <v/>
      </c>
      <c r="C111" s="22" t="str">
        <f ca="1">IF(ISERROR(MATCH(C$1,INDIRECT("Table!A"&amp;$AF111):INDIRECT("Table!" &amp; $AI$253 &amp; $AF111),0)),"",INDIRECT(CONCATENATE("Table!",ADDRESS(#REF!,MATCH(C$1,INDIRECT("Table!A" &amp; $AF111):INDIRECT("Table!" &amp; $AI$253 &amp; $AF111),0))))/1024)</f>
        <v/>
      </c>
      <c r="D111" s="22" t="str">
        <f ca="1">IF(ISERROR(MATCH(D$1,INDIRECT("Table!A"&amp;$AF111):INDIRECT("Table!" &amp; $AI$253 &amp; $AF111),0)),"",INDIRECT(CONCATENATE("Table!",ADDRESS(#REF!,MATCH(D$1,INDIRECT("Table!A" &amp; $AF111):INDIRECT("Table!" &amp; $AI$253 &amp; $AF111),0))))/1024)</f>
        <v/>
      </c>
      <c r="E111" s="22" t="str">
        <f ca="1">IF(ISERROR(MATCH(E$1,INDIRECT("Table!A"&amp;$AF111):INDIRECT("Table!" &amp; $AI$253 &amp; $AF111),0)),"",INDIRECT(CONCATENATE("Table!",ADDRESS(#REF!,MATCH(E$1,INDIRECT("Table!A" &amp; $AF111):INDIRECT("Table!" &amp; $AI$253 &amp; $AF111),0))))/1024)</f>
        <v/>
      </c>
      <c r="F111" s="22" t="str">
        <f ca="1">IF(ISERROR(MATCH(F$1,INDIRECT("Table!A"&amp;$AF111):INDIRECT("Table!" &amp; $AI$253 &amp; $AF111),0)),"",INDIRECT(CONCATENATE("Table!",ADDRESS(#REF!,MATCH(F$1,INDIRECT("Table!A" &amp; $AF111):INDIRECT("Table!" &amp; $AI$253 &amp; $AF111),0))))/1024)</f>
        <v/>
      </c>
      <c r="G111" s="22" t="str">
        <f ca="1">IF(ISERROR(MATCH(G$1,INDIRECT("Table!A"&amp;$AF111):INDIRECT("Table!" &amp; $AI$253 &amp; $AF111),0)),"",INDIRECT(CONCATENATE("Table!",ADDRESS(#REF!,MATCH(G$1,INDIRECT("Table!A" &amp; $AF111):INDIRECT("Table!" &amp; $AI$253 &amp; $AF111),0))))/1024)</f>
        <v/>
      </c>
      <c r="H111" s="22" t="str">
        <f ca="1">IF(ISERROR(MATCH(H$1,INDIRECT("Table!A"&amp;$AF111):INDIRECT("Table!" &amp; $AI$253 &amp; $AF111),0)),"",INDIRECT(CONCATENATE("Table!",ADDRESS(#REF!,MATCH(H$1,INDIRECT("Table!A" &amp; $AF111):INDIRECT("Table!" &amp; $AI$253 &amp; $AF111),0))))/1024)</f>
        <v/>
      </c>
      <c r="K111" s="22" t="str">
        <f ca="1">IF(ISERROR(MATCH(L$1,INDIRECT("Table!A"&amp;$AF111):INDIRECT("Table!" &amp; $AI$253 &amp; $AF111),0)),"",INDIRECT(CONCATENATE("Table!",ADDRESS(#REF!,MATCH(L$1,INDIRECT("Table!A" &amp; $AF111):INDIRECT("Table!" &amp; $AI$253 &amp; $AF111),0))))/1024)</f>
        <v/>
      </c>
      <c r="L111" s="22" t="str">
        <f ca="1">IF(ISERROR(MATCH(M$1,INDIRECT("Table!A"&amp;$AF111):INDIRECT("Table!" &amp; $AI$253 &amp; $AF111),0)),"",INDIRECT(CONCATENATE("Table!",ADDRESS(#REF!,MATCH(M$1,INDIRECT("Table!A" &amp; $AF111):INDIRECT("Table!" &amp; $AI$253 &amp; $AF111),0))))/1024)</f>
        <v/>
      </c>
      <c r="M111" s="22" t="str">
        <f ca="1">IF(ISERROR(MATCH(N$1,INDIRECT("Table!A"&amp;$AF111):INDIRECT("Table!" &amp; $AI$253 &amp; $AF111),0)),"",INDIRECT(CONCATENATE("Table!",ADDRESS(#REF!,MATCH(N$1,INDIRECT("Table!A" &amp; $AF111):INDIRECT("Table!" &amp; $AI$253 &amp; $AF111),0))))/1024)</f>
        <v/>
      </c>
      <c r="N111" s="22" t="str">
        <f ca="1">IF(ISERROR(MATCH(O$1,INDIRECT("Table!A"&amp;$AF111):INDIRECT("Table!" &amp; $AI$253 &amp; $AF111),0)),"",INDIRECT(CONCATENATE("Table!",ADDRESS(#REF!,MATCH(O$1,INDIRECT("Table!A" &amp; $AF111):INDIRECT("Table!" &amp; $AI$253 &amp; $AF111),0))))/1024)</f>
        <v/>
      </c>
      <c r="O111" s="22"/>
      <c r="P111" s="272"/>
      <c r="Q111" s="22"/>
      <c r="R111" s="202"/>
      <c r="T111" s="595"/>
      <c r="U111" s="202"/>
      <c r="AD111" s="202"/>
      <c r="AE111" s="202"/>
      <c r="AF111" s="22"/>
      <c r="AG111" s="202"/>
      <c r="AH111" s="202"/>
      <c r="AI111" s="29"/>
    </row>
    <row r="112" spans="2:35" x14ac:dyDescent="0.25">
      <c r="B112" s="22" t="str">
        <f ca="1">IF(ISERROR(MATCH(B$1,INDIRECT("Table!A"&amp;$AF112):INDIRECT("Table!" &amp; $AI$253 &amp; $AF112),0)),"",INDIRECT(CONCATENATE("Table!",ADDRESS(#REF!,MATCH(B$1,INDIRECT("Table!A" &amp; $AF112):INDIRECT("Table!" &amp; $AI$253 &amp; $AF112),0))))/1024)</f>
        <v/>
      </c>
      <c r="C112" s="22" t="str">
        <f ca="1">IF(ISERROR(MATCH(C$1,INDIRECT("Table!A"&amp;$AF112):INDIRECT("Table!" &amp; $AI$253 &amp; $AF112),0)),"",INDIRECT(CONCATENATE("Table!",ADDRESS(#REF!,MATCH(C$1,INDIRECT("Table!A" &amp; $AF112):INDIRECT("Table!" &amp; $AI$253 &amp; $AF112),0))))/1024)</f>
        <v/>
      </c>
      <c r="D112" s="22" t="str">
        <f ca="1">IF(ISERROR(MATCH(D$1,INDIRECT("Table!A"&amp;$AF112):INDIRECT("Table!" &amp; $AI$253 &amp; $AF112),0)),"",INDIRECT(CONCATENATE("Table!",ADDRESS(#REF!,MATCH(D$1,INDIRECT("Table!A" &amp; $AF112):INDIRECT("Table!" &amp; $AI$253 &amp; $AF112),0))))/1024)</f>
        <v/>
      </c>
      <c r="E112" s="22" t="str">
        <f ca="1">IF(ISERROR(MATCH(E$1,INDIRECT("Table!A"&amp;$AF112):INDIRECT("Table!" &amp; $AI$253 &amp; $AF112),0)),"",INDIRECT(CONCATENATE("Table!",ADDRESS(#REF!,MATCH(E$1,INDIRECT("Table!A" &amp; $AF112):INDIRECT("Table!" &amp; $AI$253 &amp; $AF112),0))))/1024)</f>
        <v/>
      </c>
      <c r="F112" s="22" t="str">
        <f ca="1">IF(ISERROR(MATCH(F$1,INDIRECT("Table!A"&amp;$AF112):INDIRECT("Table!" &amp; $AI$253 &amp; $AF112),0)),"",INDIRECT(CONCATENATE("Table!",ADDRESS(#REF!,MATCH(F$1,INDIRECT("Table!A" &amp; $AF112):INDIRECT("Table!" &amp; $AI$253 &amp; $AF112),0))))/1024)</f>
        <v/>
      </c>
      <c r="G112" s="22" t="str">
        <f ca="1">IF(ISERROR(MATCH(G$1,INDIRECT("Table!A"&amp;$AF112):INDIRECT("Table!" &amp; $AI$253 &amp; $AF112),0)),"",INDIRECT(CONCATENATE("Table!",ADDRESS(#REF!,MATCH(G$1,INDIRECT("Table!A" &amp; $AF112):INDIRECT("Table!" &amp; $AI$253 &amp; $AF112),0))))/1024)</f>
        <v/>
      </c>
      <c r="H112" s="22" t="str">
        <f ca="1">IF(ISERROR(MATCH(H$1,INDIRECT("Table!A"&amp;$AF112):INDIRECT("Table!" &amp; $AI$253 &amp; $AF112),0)),"",INDIRECT(CONCATENATE("Table!",ADDRESS(#REF!,MATCH(H$1,INDIRECT("Table!A" &amp; $AF112):INDIRECT("Table!" &amp; $AI$253 &amp; $AF112),0))))/1024)</f>
        <v/>
      </c>
      <c r="K112" s="22" t="str">
        <f ca="1">IF(ISERROR(MATCH(L$1,INDIRECT("Table!A"&amp;$AF112):INDIRECT("Table!" &amp; $AI$253 &amp; $AF112),0)),"",INDIRECT(CONCATENATE("Table!",ADDRESS(#REF!,MATCH(L$1,INDIRECT("Table!A" &amp; $AF112):INDIRECT("Table!" &amp; $AI$253 &amp; $AF112),0))))/1024)</f>
        <v/>
      </c>
      <c r="L112" s="22" t="str">
        <f ca="1">IF(ISERROR(MATCH(M$1,INDIRECT("Table!A"&amp;$AF112):INDIRECT("Table!" &amp; $AI$253 &amp; $AF112),0)),"",INDIRECT(CONCATENATE("Table!",ADDRESS(#REF!,MATCH(M$1,INDIRECT("Table!A" &amp; $AF112):INDIRECT("Table!" &amp; $AI$253 &amp; $AF112),0))))/1024)</f>
        <v/>
      </c>
      <c r="M112" s="22" t="str">
        <f ca="1">IF(ISERROR(MATCH(N$1,INDIRECT("Table!A"&amp;$AF112):INDIRECT("Table!" &amp; $AI$253 &amp; $AF112),0)),"",INDIRECT(CONCATENATE("Table!",ADDRESS(#REF!,MATCH(N$1,INDIRECT("Table!A" &amp; $AF112):INDIRECT("Table!" &amp; $AI$253 &amp; $AF112),0))))/1024)</f>
        <v/>
      </c>
      <c r="N112" s="22" t="str">
        <f ca="1">IF(ISERROR(MATCH(O$1,INDIRECT("Table!A"&amp;$AF112):INDIRECT("Table!" &amp; $AI$253 &amp; $AF112),0)),"",INDIRECT(CONCATENATE("Table!",ADDRESS(#REF!,MATCH(O$1,INDIRECT("Table!A" &amp; $AF112):INDIRECT("Table!" &amp; $AI$253 &amp; $AF112),0))))/1024)</f>
        <v/>
      </c>
      <c r="O112" s="22"/>
      <c r="P112" s="272"/>
      <c r="Q112" s="22"/>
      <c r="R112" s="202"/>
      <c r="T112" s="595"/>
      <c r="U112" s="202"/>
      <c r="AD112" s="202"/>
      <c r="AE112" s="202"/>
      <c r="AF112" s="22"/>
      <c r="AG112" s="202"/>
      <c r="AH112" s="202"/>
      <c r="AI112" s="29"/>
    </row>
    <row r="113" spans="2:35" x14ac:dyDescent="0.25">
      <c r="B113" s="22" t="str">
        <f ca="1">IF(ISERROR(MATCH(B$1,INDIRECT("Table!A"&amp;$AF113):INDIRECT("Table!" &amp; $AI$253 &amp; $AF113),0)),"",INDIRECT(CONCATENATE("Table!",ADDRESS(#REF!,MATCH(B$1,INDIRECT("Table!A" &amp; $AF113):INDIRECT("Table!" &amp; $AI$253 &amp; $AF113),0))))/1024)</f>
        <v/>
      </c>
      <c r="C113" s="22" t="str">
        <f ca="1">IF(ISERROR(MATCH(C$1,INDIRECT("Table!A"&amp;$AF113):INDIRECT("Table!" &amp; $AI$253 &amp; $AF113),0)),"",INDIRECT(CONCATENATE("Table!",ADDRESS(#REF!,MATCH(C$1,INDIRECT("Table!A" &amp; $AF113):INDIRECT("Table!" &amp; $AI$253 &amp; $AF113),0))))/1024)</f>
        <v/>
      </c>
      <c r="D113" s="22" t="str">
        <f ca="1">IF(ISERROR(MATCH(D$1,INDIRECT("Table!A"&amp;$AF113):INDIRECT("Table!" &amp; $AI$253 &amp; $AF113),0)),"",INDIRECT(CONCATENATE("Table!",ADDRESS(#REF!,MATCH(D$1,INDIRECT("Table!A" &amp; $AF113):INDIRECT("Table!" &amp; $AI$253 &amp; $AF113),0))))/1024)</f>
        <v/>
      </c>
      <c r="E113" s="22" t="str">
        <f ca="1">IF(ISERROR(MATCH(E$1,INDIRECT("Table!A"&amp;$AF113):INDIRECT("Table!" &amp; $AI$253 &amp; $AF113),0)),"",INDIRECT(CONCATENATE("Table!",ADDRESS(#REF!,MATCH(E$1,INDIRECT("Table!A" &amp; $AF113):INDIRECT("Table!" &amp; $AI$253 &amp; $AF113),0))))/1024)</f>
        <v/>
      </c>
      <c r="F113" s="22" t="str">
        <f ca="1">IF(ISERROR(MATCH(F$1,INDIRECT("Table!A"&amp;$AF113):INDIRECT("Table!" &amp; $AI$253 &amp; $AF113),0)),"",INDIRECT(CONCATENATE("Table!",ADDRESS(#REF!,MATCH(F$1,INDIRECT("Table!A" &amp; $AF113):INDIRECT("Table!" &amp; $AI$253 &amp; $AF113),0))))/1024)</f>
        <v/>
      </c>
      <c r="G113" s="22" t="str">
        <f ca="1">IF(ISERROR(MATCH(G$1,INDIRECT("Table!A"&amp;$AF113):INDIRECT("Table!" &amp; $AI$253 &amp; $AF113),0)),"",INDIRECT(CONCATENATE("Table!",ADDRESS(#REF!,MATCH(G$1,INDIRECT("Table!A" &amp; $AF113):INDIRECT("Table!" &amp; $AI$253 &amp; $AF113),0))))/1024)</f>
        <v/>
      </c>
      <c r="H113" s="22" t="str">
        <f ca="1">IF(ISERROR(MATCH(H$1,INDIRECT("Table!A"&amp;$AF113):INDIRECT("Table!" &amp; $AI$253 &amp; $AF113),0)),"",INDIRECT(CONCATENATE("Table!",ADDRESS(#REF!,MATCH(H$1,INDIRECT("Table!A" &amp; $AF113):INDIRECT("Table!" &amp; $AI$253 &amp; $AF113),0))))/1024)</f>
        <v/>
      </c>
      <c r="K113" s="22" t="str">
        <f ca="1">IF(ISERROR(MATCH(L$1,INDIRECT("Table!A"&amp;$AF113):INDIRECT("Table!" &amp; $AI$253 &amp; $AF113),0)),"",INDIRECT(CONCATENATE("Table!",ADDRESS(#REF!,MATCH(L$1,INDIRECT("Table!A" &amp; $AF113):INDIRECT("Table!" &amp; $AI$253 &amp; $AF113),0))))/1024)</f>
        <v/>
      </c>
      <c r="L113" s="22" t="str">
        <f ca="1">IF(ISERROR(MATCH(M$1,INDIRECT("Table!A"&amp;$AF113):INDIRECT("Table!" &amp; $AI$253 &amp; $AF113),0)),"",INDIRECT(CONCATENATE("Table!",ADDRESS(#REF!,MATCH(M$1,INDIRECT("Table!A" &amp; $AF113):INDIRECT("Table!" &amp; $AI$253 &amp; $AF113),0))))/1024)</f>
        <v/>
      </c>
      <c r="M113" s="22" t="str">
        <f ca="1">IF(ISERROR(MATCH(N$1,INDIRECT("Table!A"&amp;$AF113):INDIRECT("Table!" &amp; $AI$253 &amp; $AF113),0)),"",INDIRECT(CONCATENATE("Table!",ADDRESS(#REF!,MATCH(N$1,INDIRECT("Table!A" &amp; $AF113):INDIRECT("Table!" &amp; $AI$253 &amp; $AF113),0))))/1024)</f>
        <v/>
      </c>
      <c r="N113" s="22" t="str">
        <f ca="1">IF(ISERROR(MATCH(O$1,INDIRECT("Table!A"&amp;$AF113):INDIRECT("Table!" &amp; $AI$253 &amp; $AF113),0)),"",INDIRECT(CONCATENATE("Table!",ADDRESS(#REF!,MATCH(O$1,INDIRECT("Table!A" &amp; $AF113):INDIRECT("Table!" &amp; $AI$253 &amp; $AF113),0))))/1024)</f>
        <v/>
      </c>
      <c r="O113" s="22"/>
      <c r="P113" s="272"/>
      <c r="Q113" s="22"/>
      <c r="R113" s="200"/>
      <c r="T113" s="595"/>
      <c r="U113" s="200"/>
      <c r="AD113" s="200"/>
      <c r="AE113" s="200"/>
      <c r="AF113" s="22"/>
      <c r="AG113" s="200"/>
      <c r="AH113" s="200"/>
      <c r="AI113" s="29"/>
    </row>
    <row r="114" spans="2:35" x14ac:dyDescent="0.25">
      <c r="B114" s="22" t="str">
        <f ca="1">IF(ISERROR(MATCH(B$1,INDIRECT("Table!A"&amp;$AF114):INDIRECT("Table!" &amp; $AI$253 &amp; $AF114),0)),"",INDIRECT(CONCATENATE("Table!",ADDRESS(#REF!,MATCH(B$1,INDIRECT("Table!A" &amp; $AF114):INDIRECT("Table!" &amp; $AI$253 &amp; $AF114),0))))/1024)</f>
        <v/>
      </c>
      <c r="C114" s="22" t="str">
        <f ca="1">IF(ISERROR(MATCH(C$1,INDIRECT("Table!A"&amp;$AF114):INDIRECT("Table!" &amp; $AI$253 &amp; $AF114),0)),"",INDIRECT(CONCATENATE("Table!",ADDRESS(#REF!,MATCH(C$1,INDIRECT("Table!A" &amp; $AF114):INDIRECT("Table!" &amp; $AI$253 &amp; $AF114),0))))/1024)</f>
        <v/>
      </c>
      <c r="D114" s="22" t="str">
        <f ca="1">IF(ISERROR(MATCH(D$1,INDIRECT("Table!A"&amp;$AF114):INDIRECT("Table!" &amp; $AI$253 &amp; $AF114),0)),"",INDIRECT(CONCATENATE("Table!",ADDRESS(#REF!,MATCH(D$1,INDIRECT("Table!A" &amp; $AF114):INDIRECT("Table!" &amp; $AI$253 &amp; $AF114),0))))/1024)</f>
        <v/>
      </c>
      <c r="E114" s="22" t="str">
        <f ca="1">IF(ISERROR(MATCH(E$1,INDIRECT("Table!A"&amp;$AF114):INDIRECT("Table!" &amp; $AI$253 &amp; $AF114),0)),"",INDIRECT(CONCATENATE("Table!",ADDRESS(#REF!,MATCH(E$1,INDIRECT("Table!A" &amp; $AF114):INDIRECT("Table!" &amp; $AI$253 &amp; $AF114),0))))/1024)</f>
        <v/>
      </c>
      <c r="F114" s="22" t="str">
        <f ca="1">IF(ISERROR(MATCH(F$1,INDIRECT("Table!A"&amp;$AF114):INDIRECT("Table!" &amp; $AI$253 &amp; $AF114),0)),"",INDIRECT(CONCATENATE("Table!",ADDRESS(#REF!,MATCH(F$1,INDIRECT("Table!A" &amp; $AF114):INDIRECT("Table!" &amp; $AI$253 &amp; $AF114),0))))/1024)</f>
        <v/>
      </c>
      <c r="G114" s="22" t="str">
        <f ca="1">IF(ISERROR(MATCH(G$1,INDIRECT("Table!A"&amp;$AF114):INDIRECT("Table!" &amp; $AI$253 &amp; $AF114),0)),"",INDIRECT(CONCATENATE("Table!",ADDRESS(#REF!,MATCH(G$1,INDIRECT("Table!A" &amp; $AF114):INDIRECT("Table!" &amp; $AI$253 &amp; $AF114),0))))/1024)</f>
        <v/>
      </c>
      <c r="H114" s="22" t="str">
        <f ca="1">IF(ISERROR(MATCH(H$1,INDIRECT("Table!A"&amp;$AF114):INDIRECT("Table!" &amp; $AI$253 &amp; $AF114),0)),"",INDIRECT(CONCATENATE("Table!",ADDRESS(#REF!,MATCH(H$1,INDIRECT("Table!A" &amp; $AF114):INDIRECT("Table!" &amp; $AI$253 &amp; $AF114),0))))/1024)</f>
        <v/>
      </c>
      <c r="K114" s="22" t="str">
        <f ca="1">IF(ISERROR(MATCH(L$1,INDIRECT("Table!A"&amp;$AF114):INDIRECT("Table!" &amp; $AI$253 &amp; $AF114),0)),"",INDIRECT(CONCATENATE("Table!",ADDRESS(#REF!,MATCH(L$1,INDIRECT("Table!A" &amp; $AF114):INDIRECT("Table!" &amp; $AI$253 &amp; $AF114),0))))/1024)</f>
        <v/>
      </c>
      <c r="L114" s="22" t="str">
        <f ca="1">IF(ISERROR(MATCH(M$1,INDIRECT("Table!A"&amp;$AF114):INDIRECT("Table!" &amp; $AI$253 &amp; $AF114),0)),"",INDIRECT(CONCATENATE("Table!",ADDRESS(#REF!,MATCH(M$1,INDIRECT("Table!A" &amp; $AF114):INDIRECT("Table!" &amp; $AI$253 &amp; $AF114),0))))/1024)</f>
        <v/>
      </c>
      <c r="M114" s="22" t="str">
        <f ca="1">IF(ISERROR(MATCH(N$1,INDIRECT("Table!A"&amp;$AF114):INDIRECT("Table!" &amp; $AI$253 &amp; $AF114),0)),"",INDIRECT(CONCATENATE("Table!",ADDRESS(#REF!,MATCH(N$1,INDIRECT("Table!A" &amp; $AF114):INDIRECT("Table!" &amp; $AI$253 &amp; $AF114),0))))/1024)</f>
        <v/>
      </c>
      <c r="N114" s="22" t="str">
        <f ca="1">IF(ISERROR(MATCH(O$1,INDIRECT("Table!A"&amp;$AF114):INDIRECT("Table!" &amp; $AI$253 &amp; $AF114),0)),"",INDIRECT(CONCATENATE("Table!",ADDRESS(#REF!,MATCH(O$1,INDIRECT("Table!A" &amp; $AF114):INDIRECT("Table!" &amp; $AI$253 &amp; $AF114),0))))/1024)</f>
        <v/>
      </c>
      <c r="O114" s="22"/>
      <c r="P114" s="272"/>
      <c r="Q114" s="22"/>
      <c r="R114" s="200"/>
      <c r="T114" s="595"/>
      <c r="U114" s="200"/>
      <c r="AD114" s="200"/>
      <c r="AE114" s="200"/>
      <c r="AF114" s="22"/>
      <c r="AG114" s="200"/>
      <c r="AH114" s="200"/>
      <c r="AI114" s="29"/>
    </row>
    <row r="115" spans="2:35" x14ac:dyDescent="0.25">
      <c r="B115" s="22" t="str">
        <f ca="1">IF(ISERROR(MATCH(B$1,INDIRECT("Table!A"&amp;$AF115):INDIRECT("Table!" &amp; $AI$253 &amp; $AF115),0)),"",INDIRECT(CONCATENATE("Table!",ADDRESS(#REF!,MATCH(B$1,INDIRECT("Table!A" &amp; $AF115):INDIRECT("Table!" &amp; $AI$253 &amp; $AF115),0))))/1024)</f>
        <v/>
      </c>
      <c r="C115" s="22" t="str">
        <f ca="1">IF(ISERROR(MATCH(C$1,INDIRECT("Table!A"&amp;$AF115):INDIRECT("Table!" &amp; $AI$253 &amp; $AF115),0)),"",INDIRECT(CONCATENATE("Table!",ADDRESS(#REF!,MATCH(C$1,INDIRECT("Table!A" &amp; $AF115):INDIRECT("Table!" &amp; $AI$253 &amp; $AF115),0))))/1024)</f>
        <v/>
      </c>
      <c r="D115" s="22" t="str">
        <f ca="1">IF(ISERROR(MATCH(D$1,INDIRECT("Table!A"&amp;$AF115):INDIRECT("Table!" &amp; $AI$253 &amp; $AF115),0)),"",INDIRECT(CONCATENATE("Table!",ADDRESS(#REF!,MATCH(D$1,INDIRECT("Table!A" &amp; $AF115):INDIRECT("Table!" &amp; $AI$253 &amp; $AF115),0))))/1024)</f>
        <v/>
      </c>
      <c r="E115" s="22" t="str">
        <f ca="1">IF(ISERROR(MATCH(E$1,INDIRECT("Table!A"&amp;$AF115):INDIRECT("Table!" &amp; $AI$253 &amp; $AF115),0)),"",INDIRECT(CONCATENATE("Table!",ADDRESS(#REF!,MATCH(E$1,INDIRECT("Table!A" &amp; $AF115):INDIRECT("Table!" &amp; $AI$253 &amp; $AF115),0))))/1024)</f>
        <v/>
      </c>
      <c r="F115" s="22" t="str">
        <f ca="1">IF(ISERROR(MATCH(F$1,INDIRECT("Table!A"&amp;$AF115):INDIRECT("Table!" &amp; $AI$253 &amp; $AF115),0)),"",INDIRECT(CONCATENATE("Table!",ADDRESS(#REF!,MATCH(F$1,INDIRECT("Table!A" &amp; $AF115):INDIRECT("Table!" &amp; $AI$253 &amp; $AF115),0))))/1024)</f>
        <v/>
      </c>
      <c r="G115" s="22" t="str">
        <f ca="1">IF(ISERROR(MATCH(G$1,INDIRECT("Table!A"&amp;$AF115):INDIRECT("Table!" &amp; $AI$253 &amp; $AF115),0)),"",INDIRECT(CONCATENATE("Table!",ADDRESS(#REF!,MATCH(G$1,INDIRECT("Table!A" &amp; $AF115):INDIRECT("Table!" &amp; $AI$253 &amp; $AF115),0))))/1024)</f>
        <v/>
      </c>
      <c r="H115" s="22" t="str">
        <f ca="1">IF(ISERROR(MATCH(H$1,INDIRECT("Table!A"&amp;$AF115):INDIRECT("Table!" &amp; $AI$253 &amp; $AF115),0)),"",INDIRECT(CONCATENATE("Table!",ADDRESS(#REF!,MATCH(H$1,INDIRECT("Table!A" &amp; $AF115):INDIRECT("Table!" &amp; $AI$253 &amp; $AF115),0))))/1024)</f>
        <v/>
      </c>
      <c r="K115" s="22" t="str">
        <f ca="1">IF(ISERROR(MATCH(L$1,INDIRECT("Table!A"&amp;$AF115):INDIRECT("Table!" &amp; $AI$253 &amp; $AF115),0)),"",INDIRECT(CONCATENATE("Table!",ADDRESS(#REF!,MATCH(L$1,INDIRECT("Table!A" &amp; $AF115):INDIRECT("Table!" &amp; $AI$253 &amp; $AF115),0))))/1024)</f>
        <v/>
      </c>
      <c r="L115" s="22" t="str">
        <f ca="1">IF(ISERROR(MATCH(M$1,INDIRECT("Table!A"&amp;$AF115):INDIRECT("Table!" &amp; $AI$253 &amp; $AF115),0)),"",INDIRECT(CONCATENATE("Table!",ADDRESS(#REF!,MATCH(M$1,INDIRECT("Table!A" &amp; $AF115):INDIRECT("Table!" &amp; $AI$253 &amp; $AF115),0))))/1024)</f>
        <v/>
      </c>
      <c r="M115" s="22" t="str">
        <f ca="1">IF(ISERROR(MATCH(N$1,INDIRECT("Table!A"&amp;$AF115):INDIRECT("Table!" &amp; $AI$253 &amp; $AF115),0)),"",INDIRECT(CONCATENATE("Table!",ADDRESS(#REF!,MATCH(N$1,INDIRECT("Table!A" &amp; $AF115):INDIRECT("Table!" &amp; $AI$253 &amp; $AF115),0))))/1024)</f>
        <v/>
      </c>
      <c r="N115" s="22" t="str">
        <f ca="1">IF(ISERROR(MATCH(O$1,INDIRECT("Table!A"&amp;$AF115):INDIRECT("Table!" &amp; $AI$253 &amp; $AF115),0)),"",INDIRECT(CONCATENATE("Table!",ADDRESS(#REF!,MATCH(O$1,INDIRECT("Table!A" &amp; $AF115):INDIRECT("Table!" &amp; $AI$253 &amp; $AF115),0))))/1024)</f>
        <v/>
      </c>
      <c r="O115" s="22"/>
      <c r="P115" s="272"/>
      <c r="Q115" s="22"/>
      <c r="R115" s="200"/>
      <c r="T115" s="595"/>
      <c r="U115" s="200"/>
      <c r="AD115" s="200"/>
      <c r="AE115" s="200"/>
      <c r="AF115" s="22"/>
      <c r="AG115" s="200"/>
      <c r="AH115" s="200"/>
      <c r="AI115" s="29"/>
    </row>
    <row r="116" spans="2:35" x14ac:dyDescent="0.25">
      <c r="B116" s="22" t="str">
        <f ca="1">IF(ISERROR(MATCH(B$1,INDIRECT("Table!A"&amp;$AF116):INDIRECT("Table!" &amp; $AI$253 &amp; $AF116),0)),"",INDIRECT(CONCATENATE("Table!",ADDRESS(#REF!,MATCH(B$1,INDIRECT("Table!A" &amp; $AF116):INDIRECT("Table!" &amp; $AI$253 &amp; $AF116),0))))/1024)</f>
        <v/>
      </c>
      <c r="C116" s="22" t="str">
        <f ca="1">IF(ISERROR(MATCH(C$1,INDIRECT("Table!A"&amp;$AF116):INDIRECT("Table!" &amp; $AI$253 &amp; $AF116),0)),"",INDIRECT(CONCATENATE("Table!",ADDRESS(#REF!,MATCH(C$1,INDIRECT("Table!A" &amp; $AF116):INDIRECT("Table!" &amp; $AI$253 &amp; $AF116),0))))/1024)</f>
        <v/>
      </c>
      <c r="D116" s="22" t="str">
        <f ca="1">IF(ISERROR(MATCH(D$1,INDIRECT("Table!A"&amp;$AF116):INDIRECT("Table!" &amp; $AI$253 &amp; $AF116),0)),"",INDIRECT(CONCATENATE("Table!",ADDRESS(#REF!,MATCH(D$1,INDIRECT("Table!A" &amp; $AF116):INDIRECT("Table!" &amp; $AI$253 &amp; $AF116),0))))/1024)</f>
        <v/>
      </c>
      <c r="E116" s="22" t="str">
        <f ca="1">IF(ISERROR(MATCH(E$1,INDIRECT("Table!A"&amp;$AF116):INDIRECT("Table!" &amp; $AI$253 &amp; $AF116),0)),"",INDIRECT(CONCATENATE("Table!",ADDRESS(#REF!,MATCH(E$1,INDIRECT("Table!A" &amp; $AF116):INDIRECT("Table!" &amp; $AI$253 &amp; $AF116),0))))/1024)</f>
        <v/>
      </c>
      <c r="F116" s="22" t="str">
        <f ca="1">IF(ISERROR(MATCH(F$1,INDIRECT("Table!A"&amp;$AF116):INDIRECT("Table!" &amp; $AI$253 &amp; $AF116),0)),"",INDIRECT(CONCATENATE("Table!",ADDRESS(#REF!,MATCH(F$1,INDIRECT("Table!A" &amp; $AF116):INDIRECT("Table!" &amp; $AI$253 &amp; $AF116),0))))/1024)</f>
        <v/>
      </c>
      <c r="G116" s="22" t="str">
        <f ca="1">IF(ISERROR(MATCH(G$1,INDIRECT("Table!A"&amp;$AF116):INDIRECT("Table!" &amp; $AI$253 &amp; $AF116),0)),"",INDIRECT(CONCATENATE("Table!",ADDRESS(#REF!,MATCH(G$1,INDIRECT("Table!A" &amp; $AF116):INDIRECT("Table!" &amp; $AI$253 &amp; $AF116),0))))/1024)</f>
        <v/>
      </c>
      <c r="H116" s="22" t="str">
        <f ca="1">IF(ISERROR(MATCH(H$1,INDIRECT("Table!A"&amp;$AF116):INDIRECT("Table!" &amp; $AI$253 &amp; $AF116),0)),"",INDIRECT(CONCATENATE("Table!",ADDRESS(#REF!,MATCH(H$1,INDIRECT("Table!A" &amp; $AF116):INDIRECT("Table!" &amp; $AI$253 &amp; $AF116),0))))/1024)</f>
        <v/>
      </c>
      <c r="K116" s="22" t="str">
        <f ca="1">IF(ISERROR(MATCH(L$1,INDIRECT("Table!A"&amp;$AF116):INDIRECT("Table!" &amp; $AI$253 &amp; $AF116),0)),"",INDIRECT(CONCATENATE("Table!",ADDRESS(#REF!,MATCH(L$1,INDIRECT("Table!A" &amp; $AF116):INDIRECT("Table!" &amp; $AI$253 &amp; $AF116),0))))/1024)</f>
        <v/>
      </c>
      <c r="L116" s="22" t="str">
        <f ca="1">IF(ISERROR(MATCH(M$1,INDIRECT("Table!A"&amp;$AF116):INDIRECT("Table!" &amp; $AI$253 &amp; $AF116),0)),"",INDIRECT(CONCATENATE("Table!",ADDRESS(#REF!,MATCH(M$1,INDIRECT("Table!A" &amp; $AF116):INDIRECT("Table!" &amp; $AI$253 &amp; $AF116),0))))/1024)</f>
        <v/>
      </c>
      <c r="M116" s="22" t="str">
        <f ca="1">IF(ISERROR(MATCH(N$1,INDIRECT("Table!A"&amp;$AF116):INDIRECT("Table!" &amp; $AI$253 &amp; $AF116),0)),"",INDIRECT(CONCATENATE("Table!",ADDRESS(#REF!,MATCH(N$1,INDIRECT("Table!A" &amp; $AF116):INDIRECT("Table!" &amp; $AI$253 &amp; $AF116),0))))/1024)</f>
        <v/>
      </c>
      <c r="N116" s="22" t="str">
        <f ca="1">IF(ISERROR(MATCH(O$1,INDIRECT("Table!A"&amp;$AF116):INDIRECT("Table!" &amp; $AI$253 &amp; $AF116),0)),"",INDIRECT(CONCATENATE("Table!",ADDRESS(#REF!,MATCH(O$1,INDIRECT("Table!A" &amp; $AF116):INDIRECT("Table!" &amp; $AI$253 &amp; $AF116),0))))/1024)</f>
        <v/>
      </c>
      <c r="O116" s="22"/>
      <c r="P116" s="272"/>
      <c r="Q116" s="22"/>
      <c r="R116" s="199"/>
      <c r="T116" s="595"/>
      <c r="U116" s="199"/>
      <c r="AD116" s="199"/>
      <c r="AE116" s="199"/>
      <c r="AF116" s="22"/>
      <c r="AG116" s="199"/>
      <c r="AH116" s="199"/>
      <c r="AI116" s="29"/>
    </row>
    <row r="117" spans="2:35" x14ac:dyDescent="0.25">
      <c r="B117" s="22" t="str">
        <f ca="1">IF(ISERROR(MATCH(B$1,INDIRECT("Table!A"&amp;$AF117):INDIRECT("Table!" &amp; $AI$253 &amp; $AF117),0)),"",INDIRECT(CONCATENATE("Table!",ADDRESS(#REF!,MATCH(B$1,INDIRECT("Table!A" &amp; $AF117):INDIRECT("Table!" &amp; $AI$253 &amp; $AF117),0))))/1024)</f>
        <v/>
      </c>
      <c r="C117" s="22" t="str">
        <f ca="1">IF(ISERROR(MATCH(C$1,INDIRECT("Table!A"&amp;$AF117):INDIRECT("Table!" &amp; $AI$253 &amp; $AF117),0)),"",INDIRECT(CONCATENATE("Table!",ADDRESS(#REF!,MATCH(C$1,INDIRECT("Table!A" &amp; $AF117):INDIRECT("Table!" &amp; $AI$253 &amp; $AF117),0))))/1024)</f>
        <v/>
      </c>
      <c r="D117" s="22" t="str">
        <f ca="1">IF(ISERROR(MATCH(D$1,INDIRECT("Table!A"&amp;$AF117):INDIRECT("Table!" &amp; $AI$253 &amp; $AF117),0)),"",INDIRECT(CONCATENATE("Table!",ADDRESS(#REF!,MATCH(D$1,INDIRECT("Table!A" &amp; $AF117):INDIRECT("Table!" &amp; $AI$253 &amp; $AF117),0))))/1024)</f>
        <v/>
      </c>
      <c r="E117" s="22" t="str">
        <f ca="1">IF(ISERROR(MATCH(E$1,INDIRECT("Table!A"&amp;$AF117):INDIRECT("Table!" &amp; $AI$253 &amp; $AF117),0)),"",INDIRECT(CONCATENATE("Table!",ADDRESS(#REF!,MATCH(E$1,INDIRECT("Table!A" &amp; $AF117):INDIRECT("Table!" &amp; $AI$253 &amp; $AF117),0))))/1024)</f>
        <v/>
      </c>
      <c r="F117" s="22" t="str">
        <f ca="1">IF(ISERROR(MATCH(F$1,INDIRECT("Table!A"&amp;$AF117):INDIRECT("Table!" &amp; $AI$253 &amp; $AF117),0)),"",INDIRECT(CONCATENATE("Table!",ADDRESS(#REF!,MATCH(F$1,INDIRECT("Table!A" &amp; $AF117):INDIRECT("Table!" &amp; $AI$253 &amp; $AF117),0))))/1024)</f>
        <v/>
      </c>
      <c r="G117" s="22" t="str">
        <f ca="1">IF(ISERROR(MATCH(G$1,INDIRECT("Table!A"&amp;$AF117):INDIRECT("Table!" &amp; $AI$253 &amp; $AF117),0)),"",INDIRECT(CONCATENATE("Table!",ADDRESS(#REF!,MATCH(G$1,INDIRECT("Table!A" &amp; $AF117):INDIRECT("Table!" &amp; $AI$253 &amp; $AF117),0))))/1024)</f>
        <v/>
      </c>
      <c r="H117" s="22" t="str">
        <f ca="1">IF(ISERROR(MATCH(H$1,INDIRECT("Table!A"&amp;$AF117):INDIRECT("Table!" &amp; $AI$253 &amp; $AF117),0)),"",INDIRECT(CONCATENATE("Table!",ADDRESS(#REF!,MATCH(H$1,INDIRECT("Table!A" &amp; $AF117):INDIRECT("Table!" &amp; $AI$253 &amp; $AF117),0))))/1024)</f>
        <v/>
      </c>
      <c r="K117" s="22" t="str">
        <f ca="1">IF(ISERROR(MATCH(L$1,INDIRECT("Table!A"&amp;$AF117):INDIRECT("Table!" &amp; $AI$253 &amp; $AF117),0)),"",INDIRECT(CONCATENATE("Table!",ADDRESS(#REF!,MATCH(L$1,INDIRECT("Table!A" &amp; $AF117):INDIRECT("Table!" &amp; $AI$253 &amp; $AF117),0))))/1024)</f>
        <v/>
      </c>
      <c r="L117" s="22" t="str">
        <f ca="1">IF(ISERROR(MATCH(M$1,INDIRECT("Table!A"&amp;$AF117):INDIRECT("Table!" &amp; $AI$253 &amp; $AF117),0)),"",INDIRECT(CONCATENATE("Table!",ADDRESS(#REF!,MATCH(M$1,INDIRECT("Table!A" &amp; $AF117):INDIRECT("Table!" &amp; $AI$253 &amp; $AF117),0))))/1024)</f>
        <v/>
      </c>
      <c r="M117" s="22" t="str">
        <f ca="1">IF(ISERROR(MATCH(N$1,INDIRECT("Table!A"&amp;$AF117):INDIRECT("Table!" &amp; $AI$253 &amp; $AF117),0)),"",INDIRECT(CONCATENATE("Table!",ADDRESS(#REF!,MATCH(N$1,INDIRECT("Table!A" &amp; $AF117):INDIRECT("Table!" &amp; $AI$253 &amp; $AF117),0))))/1024)</f>
        <v/>
      </c>
      <c r="N117" s="22" t="str">
        <f ca="1">IF(ISERROR(MATCH(O$1,INDIRECT("Table!A"&amp;$AF117):INDIRECT("Table!" &amp; $AI$253 &amp; $AF117),0)),"",INDIRECT(CONCATENATE("Table!",ADDRESS(#REF!,MATCH(O$1,INDIRECT("Table!A" &amp; $AF117):INDIRECT("Table!" &amp; $AI$253 &amp; $AF117),0))))/1024)</f>
        <v/>
      </c>
      <c r="O117" s="22"/>
      <c r="P117" s="272"/>
      <c r="Q117" s="22"/>
      <c r="R117" s="198"/>
      <c r="T117" s="595"/>
      <c r="U117" s="198"/>
      <c r="AD117" s="198"/>
      <c r="AE117" s="198"/>
      <c r="AF117" s="22"/>
      <c r="AG117" s="198"/>
      <c r="AH117" s="198"/>
      <c r="AI117" s="29"/>
    </row>
    <row r="118" spans="2:35" x14ac:dyDescent="0.25">
      <c r="B118" s="22" t="str">
        <f ca="1">IF(ISERROR(MATCH(B$1,INDIRECT("Table!A"&amp;$AF118):INDIRECT("Table!" &amp; $AI$253 &amp; $AF118),0)),"",INDIRECT(CONCATENATE("Table!",ADDRESS(#REF!,MATCH(B$1,INDIRECT("Table!A" &amp; $AF118):INDIRECT("Table!" &amp; $AI$253 &amp; $AF118),0))))/1024)</f>
        <v/>
      </c>
      <c r="C118" s="22" t="str">
        <f ca="1">IF(ISERROR(MATCH(C$1,INDIRECT("Table!A"&amp;$AF118):INDIRECT("Table!" &amp; $AI$253 &amp; $AF118),0)),"",INDIRECT(CONCATENATE("Table!",ADDRESS(#REF!,MATCH(C$1,INDIRECT("Table!A" &amp; $AF118):INDIRECT("Table!" &amp; $AI$253 &amp; $AF118),0))))/1024)</f>
        <v/>
      </c>
      <c r="D118" s="22" t="str">
        <f ca="1">IF(ISERROR(MATCH(D$1,INDIRECT("Table!A"&amp;$AF118):INDIRECT("Table!" &amp; $AI$253 &amp; $AF118),0)),"",INDIRECT(CONCATENATE("Table!",ADDRESS(#REF!,MATCH(D$1,INDIRECT("Table!A" &amp; $AF118):INDIRECT("Table!" &amp; $AI$253 &amp; $AF118),0))))/1024)</f>
        <v/>
      </c>
      <c r="E118" s="22" t="str">
        <f ca="1">IF(ISERROR(MATCH(E$1,INDIRECT("Table!A"&amp;$AF118):INDIRECT("Table!" &amp; $AI$253 &amp; $AF118),0)),"",INDIRECT(CONCATENATE("Table!",ADDRESS(#REF!,MATCH(E$1,INDIRECT("Table!A" &amp; $AF118):INDIRECT("Table!" &amp; $AI$253 &amp; $AF118),0))))/1024)</f>
        <v/>
      </c>
      <c r="F118" s="22" t="str">
        <f ca="1">IF(ISERROR(MATCH(F$1,INDIRECT("Table!A"&amp;$AF118):INDIRECT("Table!" &amp; $AI$253 &amp; $AF118),0)),"",INDIRECT(CONCATENATE("Table!",ADDRESS(#REF!,MATCH(F$1,INDIRECT("Table!A" &amp; $AF118):INDIRECT("Table!" &amp; $AI$253 &amp; $AF118),0))))/1024)</f>
        <v/>
      </c>
      <c r="G118" s="22" t="str">
        <f ca="1">IF(ISERROR(MATCH(G$1,INDIRECT("Table!A"&amp;$AF118):INDIRECT("Table!" &amp; $AI$253 &amp; $AF118),0)),"",INDIRECT(CONCATENATE("Table!",ADDRESS(#REF!,MATCH(G$1,INDIRECT("Table!A" &amp; $AF118):INDIRECT("Table!" &amp; $AI$253 &amp; $AF118),0))))/1024)</f>
        <v/>
      </c>
      <c r="H118" s="22" t="str">
        <f ca="1">IF(ISERROR(MATCH(H$1,INDIRECT("Table!A"&amp;$AF118):INDIRECT("Table!" &amp; $AI$253 &amp; $AF118),0)),"",INDIRECT(CONCATENATE("Table!",ADDRESS(#REF!,MATCH(H$1,INDIRECT("Table!A" &amp; $AF118):INDIRECT("Table!" &amp; $AI$253 &amp; $AF118),0))))/1024)</f>
        <v/>
      </c>
      <c r="K118" s="22" t="str">
        <f ca="1">IF(ISERROR(MATCH(L$1,INDIRECT("Table!A"&amp;$AF118):INDIRECT("Table!" &amp; $AI$253 &amp; $AF118),0)),"",INDIRECT(CONCATENATE("Table!",ADDRESS(#REF!,MATCH(L$1,INDIRECT("Table!A" &amp; $AF118):INDIRECT("Table!" &amp; $AI$253 &amp; $AF118),0))))/1024)</f>
        <v/>
      </c>
      <c r="L118" s="22" t="str">
        <f ca="1">IF(ISERROR(MATCH(M$1,INDIRECT("Table!A"&amp;$AF118):INDIRECT("Table!" &amp; $AI$253 &amp; $AF118),0)),"",INDIRECT(CONCATENATE("Table!",ADDRESS(#REF!,MATCH(M$1,INDIRECT("Table!A" &amp; $AF118):INDIRECT("Table!" &amp; $AI$253 &amp; $AF118),0))))/1024)</f>
        <v/>
      </c>
      <c r="M118" s="22" t="str">
        <f ca="1">IF(ISERROR(MATCH(N$1,INDIRECT("Table!A"&amp;$AF118):INDIRECT("Table!" &amp; $AI$253 &amp; $AF118),0)),"",INDIRECT(CONCATENATE("Table!",ADDRESS(#REF!,MATCH(N$1,INDIRECT("Table!A" &amp; $AF118):INDIRECT("Table!" &amp; $AI$253 &amp; $AF118),0))))/1024)</f>
        <v/>
      </c>
      <c r="N118" s="22" t="str">
        <f ca="1">IF(ISERROR(MATCH(O$1,INDIRECT("Table!A"&amp;$AF118):INDIRECT("Table!" &amp; $AI$253 &amp; $AF118),0)),"",INDIRECT(CONCATENATE("Table!",ADDRESS(#REF!,MATCH(O$1,INDIRECT("Table!A" &amp; $AF118):INDIRECT("Table!" &amp; $AI$253 &amp; $AF118),0))))/1024)</f>
        <v/>
      </c>
      <c r="O118" s="22"/>
      <c r="P118" s="272"/>
      <c r="Q118" s="22"/>
      <c r="R118" s="197"/>
      <c r="T118" s="595"/>
      <c r="U118" s="197"/>
      <c r="AD118" s="197"/>
      <c r="AE118" s="197"/>
      <c r="AF118" s="22"/>
      <c r="AG118" s="197"/>
      <c r="AH118" s="197"/>
      <c r="AI118" s="29"/>
    </row>
    <row r="119" spans="2:35" x14ac:dyDescent="0.25">
      <c r="B119" s="22" t="str">
        <f ca="1">IF(ISERROR(MATCH(B$1,INDIRECT("Table!A"&amp;$AF119):INDIRECT("Table!" &amp; $AI$253 &amp; $AF119),0)),"",INDIRECT(CONCATENATE("Table!",ADDRESS(#REF!,MATCH(B$1,INDIRECT("Table!A" &amp; $AF119):INDIRECT("Table!" &amp; $AI$253 &amp; $AF119),0))))/1024)</f>
        <v/>
      </c>
      <c r="C119" s="22" t="str">
        <f ca="1">IF(ISERROR(MATCH(C$1,INDIRECT("Table!A"&amp;$AF119):INDIRECT("Table!" &amp; $AI$253 &amp; $AF119),0)),"",INDIRECT(CONCATENATE("Table!",ADDRESS(#REF!,MATCH(C$1,INDIRECT("Table!A" &amp; $AF119):INDIRECT("Table!" &amp; $AI$253 &amp; $AF119),0))))/1024)</f>
        <v/>
      </c>
      <c r="D119" s="22" t="str">
        <f ca="1">IF(ISERROR(MATCH(D$1,INDIRECT("Table!A"&amp;$AF119):INDIRECT("Table!" &amp; $AI$253 &amp; $AF119),0)),"",INDIRECT(CONCATENATE("Table!",ADDRESS(#REF!,MATCH(D$1,INDIRECT("Table!A" &amp; $AF119):INDIRECT("Table!" &amp; $AI$253 &amp; $AF119),0))))/1024)</f>
        <v/>
      </c>
      <c r="E119" s="22" t="str">
        <f ca="1">IF(ISERROR(MATCH(E$1,INDIRECT("Table!A"&amp;$AF119):INDIRECT("Table!" &amp; $AI$253 &amp; $AF119),0)),"",INDIRECT(CONCATENATE("Table!",ADDRESS(#REF!,MATCH(E$1,INDIRECT("Table!A" &amp; $AF119):INDIRECT("Table!" &amp; $AI$253 &amp; $AF119),0))))/1024)</f>
        <v/>
      </c>
      <c r="F119" s="22" t="str">
        <f ca="1">IF(ISERROR(MATCH(F$1,INDIRECT("Table!A"&amp;$AF119):INDIRECT("Table!" &amp; $AI$253 &amp; $AF119),0)),"",INDIRECT(CONCATENATE("Table!",ADDRESS(#REF!,MATCH(F$1,INDIRECT("Table!A" &amp; $AF119):INDIRECT("Table!" &amp; $AI$253 &amp; $AF119),0))))/1024)</f>
        <v/>
      </c>
      <c r="G119" s="22" t="str">
        <f ca="1">IF(ISERROR(MATCH(G$1,INDIRECT("Table!A"&amp;$AF119):INDIRECT("Table!" &amp; $AI$253 &amp; $AF119),0)),"",INDIRECT(CONCATENATE("Table!",ADDRESS(#REF!,MATCH(G$1,INDIRECT("Table!A" &amp; $AF119):INDIRECT("Table!" &amp; $AI$253 &amp; $AF119),0))))/1024)</f>
        <v/>
      </c>
      <c r="H119" s="22" t="str">
        <f ca="1">IF(ISERROR(MATCH(H$1,INDIRECT("Table!A"&amp;$AF119):INDIRECT("Table!" &amp; $AI$253 &amp; $AF119),0)),"",INDIRECT(CONCATENATE("Table!",ADDRESS(#REF!,MATCH(H$1,INDIRECT("Table!A" &amp; $AF119):INDIRECT("Table!" &amp; $AI$253 &amp; $AF119),0))))/1024)</f>
        <v/>
      </c>
      <c r="K119" s="22" t="str">
        <f ca="1">IF(ISERROR(MATCH(L$1,INDIRECT("Table!A"&amp;$AF119):INDIRECT("Table!" &amp; $AI$253 &amp; $AF119),0)),"",INDIRECT(CONCATENATE("Table!",ADDRESS(#REF!,MATCH(L$1,INDIRECT("Table!A" &amp; $AF119):INDIRECT("Table!" &amp; $AI$253 &amp; $AF119),0))))/1024)</f>
        <v/>
      </c>
      <c r="L119" s="22" t="str">
        <f ca="1">IF(ISERROR(MATCH(M$1,INDIRECT("Table!A"&amp;$AF119):INDIRECT("Table!" &amp; $AI$253 &amp; $AF119),0)),"",INDIRECT(CONCATENATE("Table!",ADDRESS(#REF!,MATCH(M$1,INDIRECT("Table!A" &amp; $AF119):INDIRECT("Table!" &amp; $AI$253 &amp; $AF119),0))))/1024)</f>
        <v/>
      </c>
      <c r="M119" s="22" t="str">
        <f ca="1">IF(ISERROR(MATCH(N$1,INDIRECT("Table!A"&amp;$AF119):INDIRECT("Table!" &amp; $AI$253 &amp; $AF119),0)),"",INDIRECT(CONCATENATE("Table!",ADDRESS(#REF!,MATCH(N$1,INDIRECT("Table!A" &amp; $AF119):INDIRECT("Table!" &amp; $AI$253 &amp; $AF119),0))))/1024)</f>
        <v/>
      </c>
      <c r="N119" s="22" t="str">
        <f ca="1">IF(ISERROR(MATCH(O$1,INDIRECT("Table!A"&amp;$AF119):INDIRECT("Table!" &amp; $AI$253 &amp; $AF119),0)),"",INDIRECT(CONCATENATE("Table!",ADDRESS(#REF!,MATCH(O$1,INDIRECT("Table!A" &amp; $AF119):INDIRECT("Table!" &amp; $AI$253 &amp; $AF119),0))))/1024)</f>
        <v/>
      </c>
      <c r="O119" s="22"/>
      <c r="P119" s="272"/>
      <c r="Q119" s="22"/>
      <c r="R119" s="196"/>
      <c r="T119" s="595"/>
      <c r="U119" s="196"/>
      <c r="AD119" s="196"/>
      <c r="AE119" s="196"/>
      <c r="AF119" s="22"/>
      <c r="AG119" s="196"/>
      <c r="AH119" s="196"/>
      <c r="AI119" s="29"/>
    </row>
    <row r="120" spans="2:35" x14ac:dyDescent="0.25">
      <c r="B120" s="22" t="str">
        <f ca="1">IF(ISERROR(MATCH(B$1,INDIRECT("Table!A"&amp;$AF120):INDIRECT("Table!" &amp; $AI$253 &amp; $AF120),0)),"",INDIRECT(CONCATENATE("Table!",ADDRESS(#REF!,MATCH(B$1,INDIRECT("Table!A" &amp; $AF120):INDIRECT("Table!" &amp; $AI$253 &amp; $AF120),0))))/1024)</f>
        <v/>
      </c>
      <c r="C120" s="22" t="str">
        <f ca="1">IF(ISERROR(MATCH(C$1,INDIRECT("Table!A"&amp;$AF120):INDIRECT("Table!" &amp; $AI$253 &amp; $AF120),0)),"",INDIRECT(CONCATENATE("Table!",ADDRESS(#REF!,MATCH(C$1,INDIRECT("Table!A" &amp; $AF120):INDIRECT("Table!" &amp; $AI$253 &amp; $AF120),0))))/1024)</f>
        <v/>
      </c>
      <c r="D120" s="22" t="str">
        <f ca="1">IF(ISERROR(MATCH(D$1,INDIRECT("Table!A"&amp;$AF120):INDIRECT("Table!" &amp; $AI$253 &amp; $AF120),0)),"",INDIRECT(CONCATENATE("Table!",ADDRESS(#REF!,MATCH(D$1,INDIRECT("Table!A" &amp; $AF120):INDIRECT("Table!" &amp; $AI$253 &amp; $AF120),0))))/1024)</f>
        <v/>
      </c>
      <c r="E120" s="22" t="str">
        <f ca="1">IF(ISERROR(MATCH(E$1,INDIRECT("Table!A"&amp;$AF120):INDIRECT("Table!" &amp; $AI$253 &amp; $AF120),0)),"",INDIRECT(CONCATENATE("Table!",ADDRESS(#REF!,MATCH(E$1,INDIRECT("Table!A" &amp; $AF120):INDIRECT("Table!" &amp; $AI$253 &amp; $AF120),0))))/1024)</f>
        <v/>
      </c>
      <c r="F120" s="22" t="str">
        <f ca="1">IF(ISERROR(MATCH(F$1,INDIRECT("Table!A"&amp;$AF120):INDIRECT("Table!" &amp; $AI$253 &amp; $AF120),0)),"",INDIRECT(CONCATENATE("Table!",ADDRESS(#REF!,MATCH(F$1,INDIRECT("Table!A" &amp; $AF120):INDIRECT("Table!" &amp; $AI$253 &amp; $AF120),0))))/1024)</f>
        <v/>
      </c>
      <c r="G120" s="22" t="str">
        <f ca="1">IF(ISERROR(MATCH(G$1,INDIRECT("Table!A"&amp;$AF120):INDIRECT("Table!" &amp; $AI$253 &amp; $AF120),0)),"",INDIRECT(CONCATENATE("Table!",ADDRESS(#REF!,MATCH(G$1,INDIRECT("Table!A" &amp; $AF120):INDIRECT("Table!" &amp; $AI$253 &amp; $AF120),0))))/1024)</f>
        <v/>
      </c>
      <c r="H120" s="22" t="str">
        <f ca="1">IF(ISERROR(MATCH(H$1,INDIRECT("Table!A"&amp;$AF120):INDIRECT("Table!" &amp; $AI$253 &amp; $AF120),0)),"",INDIRECT(CONCATENATE("Table!",ADDRESS(#REF!,MATCH(H$1,INDIRECT("Table!A" &amp; $AF120):INDIRECT("Table!" &amp; $AI$253 &amp; $AF120),0))))/1024)</f>
        <v/>
      </c>
      <c r="K120" s="22" t="str">
        <f ca="1">IF(ISERROR(MATCH(L$1,INDIRECT("Table!A"&amp;$AF120):INDIRECT("Table!" &amp; $AI$253 &amp; $AF120),0)),"",INDIRECT(CONCATENATE("Table!",ADDRESS(#REF!,MATCH(L$1,INDIRECT("Table!A" &amp; $AF120):INDIRECT("Table!" &amp; $AI$253 &amp; $AF120),0))))/1024)</f>
        <v/>
      </c>
      <c r="L120" s="22" t="str">
        <f ca="1">IF(ISERROR(MATCH(M$1,INDIRECT("Table!A"&amp;$AF120):INDIRECT("Table!" &amp; $AI$253 &amp; $AF120),0)),"",INDIRECT(CONCATENATE("Table!",ADDRESS(#REF!,MATCH(M$1,INDIRECT("Table!A" &amp; $AF120):INDIRECT("Table!" &amp; $AI$253 &amp; $AF120),0))))/1024)</f>
        <v/>
      </c>
      <c r="M120" s="22" t="str">
        <f ca="1">IF(ISERROR(MATCH(N$1,INDIRECT("Table!A"&amp;$AF120):INDIRECT("Table!" &amp; $AI$253 &amp; $AF120),0)),"",INDIRECT(CONCATENATE("Table!",ADDRESS(#REF!,MATCH(N$1,INDIRECT("Table!A" &amp; $AF120):INDIRECT("Table!" &amp; $AI$253 &amp; $AF120),0))))/1024)</f>
        <v/>
      </c>
      <c r="N120" s="22" t="str">
        <f ca="1">IF(ISERROR(MATCH(O$1,INDIRECT("Table!A"&amp;$AF120):INDIRECT("Table!" &amp; $AI$253 &amp; $AF120),0)),"",INDIRECT(CONCATENATE("Table!",ADDRESS(#REF!,MATCH(O$1,INDIRECT("Table!A" &amp; $AF120):INDIRECT("Table!" &amp; $AI$253 &amp; $AF120),0))))/1024)</f>
        <v/>
      </c>
      <c r="O120" s="22"/>
      <c r="P120" s="272"/>
      <c r="Q120" s="22"/>
      <c r="R120" s="195"/>
      <c r="T120" s="595"/>
      <c r="U120" s="195"/>
      <c r="AD120" s="195"/>
      <c r="AE120" s="195"/>
      <c r="AF120" s="22"/>
      <c r="AG120" s="195"/>
      <c r="AH120" s="195"/>
      <c r="AI120" s="29"/>
    </row>
    <row r="121" spans="2:35" x14ac:dyDescent="0.25">
      <c r="B121" s="22" t="str">
        <f ca="1">IF(ISERROR(MATCH(B$1,INDIRECT("Table!A"&amp;$AF121):INDIRECT("Table!" &amp; $AI$253 &amp; $AF121),0)),"",INDIRECT(CONCATENATE("Table!",ADDRESS(#REF!,MATCH(B$1,INDIRECT("Table!A" &amp; $AF121):INDIRECT("Table!" &amp; $AI$253 &amp; $AF121),0))))/1024)</f>
        <v/>
      </c>
      <c r="C121" s="22" t="str">
        <f ca="1">IF(ISERROR(MATCH(C$1,INDIRECT("Table!A"&amp;$AF121):INDIRECT("Table!" &amp; $AI$253 &amp; $AF121),0)),"",INDIRECT(CONCATENATE("Table!",ADDRESS(#REF!,MATCH(C$1,INDIRECT("Table!A" &amp; $AF121):INDIRECT("Table!" &amp; $AI$253 &amp; $AF121),0))))/1024)</f>
        <v/>
      </c>
      <c r="D121" s="22" t="str">
        <f ca="1">IF(ISERROR(MATCH(D$1,INDIRECT("Table!A"&amp;$AF121):INDIRECT("Table!" &amp; $AI$253 &amp; $AF121),0)),"",INDIRECT(CONCATENATE("Table!",ADDRESS(#REF!,MATCH(D$1,INDIRECT("Table!A" &amp; $AF121):INDIRECT("Table!" &amp; $AI$253 &amp; $AF121),0))))/1024)</f>
        <v/>
      </c>
      <c r="E121" s="22" t="str">
        <f ca="1">IF(ISERROR(MATCH(E$1,INDIRECT("Table!A"&amp;$AF121):INDIRECT("Table!" &amp; $AI$253 &amp; $AF121),0)),"",INDIRECT(CONCATENATE("Table!",ADDRESS(#REF!,MATCH(E$1,INDIRECT("Table!A" &amp; $AF121):INDIRECT("Table!" &amp; $AI$253 &amp; $AF121),0))))/1024)</f>
        <v/>
      </c>
      <c r="F121" s="22" t="str">
        <f ca="1">IF(ISERROR(MATCH(F$1,INDIRECT("Table!A"&amp;$AF121):INDIRECT("Table!" &amp; $AI$253 &amp; $AF121),0)),"",INDIRECT(CONCATENATE("Table!",ADDRESS(#REF!,MATCH(F$1,INDIRECT("Table!A" &amp; $AF121):INDIRECT("Table!" &amp; $AI$253 &amp; $AF121),0))))/1024)</f>
        <v/>
      </c>
      <c r="G121" s="22" t="str">
        <f ca="1">IF(ISERROR(MATCH(G$1,INDIRECT("Table!A"&amp;$AF121):INDIRECT("Table!" &amp; $AI$253 &amp; $AF121),0)),"",INDIRECT(CONCATENATE("Table!",ADDRESS(#REF!,MATCH(G$1,INDIRECT("Table!A" &amp; $AF121):INDIRECT("Table!" &amp; $AI$253 &amp; $AF121),0))))/1024)</f>
        <v/>
      </c>
      <c r="H121" s="22" t="str">
        <f ca="1">IF(ISERROR(MATCH(H$1,INDIRECT("Table!A"&amp;$AF121):INDIRECT("Table!" &amp; $AI$253 &amp; $AF121),0)),"",INDIRECT(CONCATENATE("Table!",ADDRESS(#REF!,MATCH(H$1,INDIRECT("Table!A" &amp; $AF121):INDIRECT("Table!" &amp; $AI$253 &amp; $AF121),0))))/1024)</f>
        <v/>
      </c>
      <c r="K121" s="22" t="str">
        <f ca="1">IF(ISERROR(MATCH(L$1,INDIRECT("Table!A"&amp;$AF121):INDIRECT("Table!" &amp; $AI$253 &amp; $AF121),0)),"",INDIRECT(CONCATENATE("Table!",ADDRESS(#REF!,MATCH(L$1,INDIRECT("Table!A" &amp; $AF121):INDIRECT("Table!" &amp; $AI$253 &amp; $AF121),0))))/1024)</f>
        <v/>
      </c>
      <c r="L121" s="22" t="str">
        <f ca="1">IF(ISERROR(MATCH(M$1,INDIRECT("Table!A"&amp;$AF121):INDIRECT("Table!" &amp; $AI$253 &amp; $AF121),0)),"",INDIRECT(CONCATENATE("Table!",ADDRESS(#REF!,MATCH(M$1,INDIRECT("Table!A" &amp; $AF121):INDIRECT("Table!" &amp; $AI$253 &amp; $AF121),0))))/1024)</f>
        <v/>
      </c>
      <c r="M121" s="22" t="str">
        <f ca="1">IF(ISERROR(MATCH(N$1,INDIRECT("Table!A"&amp;$AF121):INDIRECT("Table!" &amp; $AI$253 &amp; $AF121),0)),"",INDIRECT(CONCATENATE("Table!",ADDRESS(#REF!,MATCH(N$1,INDIRECT("Table!A" &amp; $AF121):INDIRECT("Table!" &amp; $AI$253 &amp; $AF121),0))))/1024)</f>
        <v/>
      </c>
      <c r="N121" s="22" t="str">
        <f ca="1">IF(ISERROR(MATCH(O$1,INDIRECT("Table!A"&amp;$AF121):INDIRECT("Table!" &amp; $AI$253 &amp; $AF121),0)),"",INDIRECT(CONCATENATE("Table!",ADDRESS(#REF!,MATCH(O$1,INDIRECT("Table!A" &amp; $AF121):INDIRECT("Table!" &amp; $AI$253 &amp; $AF121),0))))/1024)</f>
        <v/>
      </c>
      <c r="O121" s="22"/>
      <c r="P121" s="272"/>
      <c r="Q121" s="22"/>
      <c r="R121" s="195"/>
      <c r="T121" s="595"/>
      <c r="U121" s="195"/>
      <c r="AD121" s="195"/>
      <c r="AE121" s="195"/>
      <c r="AF121" s="22"/>
      <c r="AG121" s="195"/>
      <c r="AH121" s="195"/>
      <c r="AI121" s="29"/>
    </row>
    <row r="122" spans="2:35" x14ac:dyDescent="0.25">
      <c r="B122" s="22" t="str">
        <f ca="1">IF(ISERROR(MATCH(B$1,INDIRECT("Table!A"&amp;$AF122):INDIRECT("Table!" &amp; $AI$253 &amp; $AF122),0)),"",INDIRECT(CONCATENATE("Table!",ADDRESS(#REF!,MATCH(B$1,INDIRECT("Table!A" &amp; $AF122):INDIRECT("Table!" &amp; $AI$253 &amp; $AF122),0))))/1024)</f>
        <v/>
      </c>
      <c r="C122" s="22" t="str">
        <f ca="1">IF(ISERROR(MATCH(C$1,INDIRECT("Table!A"&amp;$AF122):INDIRECT("Table!" &amp; $AI$253 &amp; $AF122),0)),"",INDIRECT(CONCATENATE("Table!",ADDRESS(#REF!,MATCH(C$1,INDIRECT("Table!A" &amp; $AF122):INDIRECT("Table!" &amp; $AI$253 &amp; $AF122),0))))/1024)</f>
        <v/>
      </c>
      <c r="D122" s="22" t="str">
        <f ca="1">IF(ISERROR(MATCH(D$1,INDIRECT("Table!A"&amp;$AF122):INDIRECT("Table!" &amp; $AI$253 &amp; $AF122),0)),"",INDIRECT(CONCATENATE("Table!",ADDRESS(#REF!,MATCH(D$1,INDIRECT("Table!A" &amp; $AF122):INDIRECT("Table!" &amp; $AI$253 &amp; $AF122),0))))/1024)</f>
        <v/>
      </c>
      <c r="E122" s="22" t="str">
        <f ca="1">IF(ISERROR(MATCH(E$1,INDIRECT("Table!A"&amp;$AF122):INDIRECT("Table!" &amp; $AI$253 &amp; $AF122),0)),"",INDIRECT(CONCATENATE("Table!",ADDRESS(#REF!,MATCH(E$1,INDIRECT("Table!A" &amp; $AF122):INDIRECT("Table!" &amp; $AI$253 &amp; $AF122),0))))/1024)</f>
        <v/>
      </c>
      <c r="F122" s="22" t="str">
        <f ca="1">IF(ISERROR(MATCH(F$1,INDIRECT("Table!A"&amp;$AF122):INDIRECT("Table!" &amp; $AI$253 &amp; $AF122),0)),"",INDIRECT(CONCATENATE("Table!",ADDRESS(#REF!,MATCH(F$1,INDIRECT("Table!A" &amp; $AF122):INDIRECT("Table!" &amp; $AI$253 &amp; $AF122),0))))/1024)</f>
        <v/>
      </c>
      <c r="G122" s="22" t="str">
        <f ca="1">IF(ISERROR(MATCH(G$1,INDIRECT("Table!A"&amp;$AF122):INDIRECT("Table!" &amp; $AI$253 &amp; $AF122),0)),"",INDIRECT(CONCATENATE("Table!",ADDRESS(#REF!,MATCH(G$1,INDIRECT("Table!A" &amp; $AF122):INDIRECT("Table!" &amp; $AI$253 &amp; $AF122),0))))/1024)</f>
        <v/>
      </c>
      <c r="H122" s="22" t="str">
        <f ca="1">IF(ISERROR(MATCH(H$1,INDIRECT("Table!A"&amp;$AF122):INDIRECT("Table!" &amp; $AI$253 &amp; $AF122),0)),"",INDIRECT(CONCATENATE("Table!",ADDRESS(#REF!,MATCH(H$1,INDIRECT("Table!A" &amp; $AF122):INDIRECT("Table!" &amp; $AI$253 &amp; $AF122),0))))/1024)</f>
        <v/>
      </c>
      <c r="K122" s="22" t="str">
        <f ca="1">IF(ISERROR(MATCH(L$1,INDIRECT("Table!A"&amp;$AF122):INDIRECT("Table!" &amp; $AI$253 &amp; $AF122),0)),"",INDIRECT(CONCATENATE("Table!",ADDRESS(#REF!,MATCH(L$1,INDIRECT("Table!A" &amp; $AF122):INDIRECT("Table!" &amp; $AI$253 &amp; $AF122),0))))/1024)</f>
        <v/>
      </c>
      <c r="L122" s="22" t="str">
        <f ca="1">IF(ISERROR(MATCH(M$1,INDIRECT("Table!A"&amp;$AF122):INDIRECT("Table!" &amp; $AI$253 &amp; $AF122),0)),"",INDIRECT(CONCATENATE("Table!",ADDRESS(#REF!,MATCH(M$1,INDIRECT("Table!A" &amp; $AF122):INDIRECT("Table!" &amp; $AI$253 &amp; $AF122),0))))/1024)</f>
        <v/>
      </c>
      <c r="M122" s="22" t="str">
        <f ca="1">IF(ISERROR(MATCH(N$1,INDIRECT("Table!A"&amp;$AF122):INDIRECT("Table!" &amp; $AI$253 &amp; $AF122),0)),"",INDIRECT(CONCATENATE("Table!",ADDRESS(#REF!,MATCH(N$1,INDIRECT("Table!A" &amp; $AF122):INDIRECT("Table!" &amp; $AI$253 &amp; $AF122),0))))/1024)</f>
        <v/>
      </c>
      <c r="N122" s="22" t="str">
        <f ca="1">IF(ISERROR(MATCH(O$1,INDIRECT("Table!A"&amp;$AF122):INDIRECT("Table!" &amp; $AI$253 &amp; $AF122),0)),"",INDIRECT(CONCATENATE("Table!",ADDRESS(#REF!,MATCH(O$1,INDIRECT("Table!A" &amp; $AF122):INDIRECT("Table!" &amp; $AI$253 &amp; $AF122),0))))/1024)</f>
        <v/>
      </c>
      <c r="O122" s="22"/>
      <c r="P122" s="272"/>
      <c r="Q122" s="22"/>
      <c r="R122" s="194"/>
      <c r="T122" s="595"/>
      <c r="U122" s="194"/>
      <c r="AD122" s="194"/>
      <c r="AE122" s="194"/>
      <c r="AF122" s="22"/>
      <c r="AG122" s="194"/>
      <c r="AH122" s="194"/>
      <c r="AI122" s="29"/>
    </row>
    <row r="123" spans="2:35" x14ac:dyDescent="0.25">
      <c r="B123" s="22" t="str">
        <f ca="1">IF(ISERROR(MATCH(B$1,INDIRECT("Table!A"&amp;$AF123):INDIRECT("Table!" &amp; $AI$253 &amp; $AF123),0)),"",INDIRECT(CONCATENATE("Table!",ADDRESS(#REF!,MATCH(B$1,INDIRECT("Table!A" &amp; $AF123):INDIRECT("Table!" &amp; $AI$253 &amp; $AF123),0))))/1024)</f>
        <v/>
      </c>
      <c r="C123" s="22" t="str">
        <f ca="1">IF(ISERROR(MATCH(C$1,INDIRECT("Table!A"&amp;$AF123):INDIRECT("Table!" &amp; $AI$253 &amp; $AF123),0)),"",INDIRECT(CONCATENATE("Table!",ADDRESS(#REF!,MATCH(C$1,INDIRECT("Table!A" &amp; $AF123):INDIRECT("Table!" &amp; $AI$253 &amp; $AF123),0))))/1024)</f>
        <v/>
      </c>
      <c r="D123" s="22" t="str">
        <f ca="1">IF(ISERROR(MATCH(D$1,INDIRECT("Table!A"&amp;$AF123):INDIRECT("Table!" &amp; $AI$253 &amp; $AF123),0)),"",INDIRECT(CONCATENATE("Table!",ADDRESS(#REF!,MATCH(D$1,INDIRECT("Table!A" &amp; $AF123):INDIRECT("Table!" &amp; $AI$253 &amp; $AF123),0))))/1024)</f>
        <v/>
      </c>
      <c r="E123" s="22" t="str">
        <f ca="1">IF(ISERROR(MATCH(E$1,INDIRECT("Table!A"&amp;$AF123):INDIRECT("Table!" &amp; $AI$253 &amp; $AF123),0)),"",INDIRECT(CONCATENATE("Table!",ADDRESS(#REF!,MATCH(E$1,INDIRECT("Table!A" &amp; $AF123):INDIRECT("Table!" &amp; $AI$253 &amp; $AF123),0))))/1024)</f>
        <v/>
      </c>
      <c r="F123" s="22" t="str">
        <f ca="1">IF(ISERROR(MATCH(F$1,INDIRECT("Table!A"&amp;$AF123):INDIRECT("Table!" &amp; $AI$253 &amp; $AF123),0)),"",INDIRECT(CONCATENATE("Table!",ADDRESS(#REF!,MATCH(F$1,INDIRECT("Table!A" &amp; $AF123):INDIRECT("Table!" &amp; $AI$253 &amp; $AF123),0))))/1024)</f>
        <v/>
      </c>
      <c r="G123" s="22" t="str">
        <f ca="1">IF(ISERROR(MATCH(G$1,INDIRECT("Table!A"&amp;$AF123):INDIRECT("Table!" &amp; $AI$253 &amp; $AF123),0)),"",INDIRECT(CONCATENATE("Table!",ADDRESS(#REF!,MATCH(G$1,INDIRECT("Table!A" &amp; $AF123):INDIRECT("Table!" &amp; $AI$253 &amp; $AF123),0))))/1024)</f>
        <v/>
      </c>
      <c r="H123" s="22" t="str">
        <f ca="1">IF(ISERROR(MATCH(H$1,INDIRECT("Table!A"&amp;$AF123):INDIRECT("Table!" &amp; $AI$253 &amp; $AF123),0)),"",INDIRECT(CONCATENATE("Table!",ADDRESS(#REF!,MATCH(H$1,INDIRECT("Table!A" &amp; $AF123):INDIRECT("Table!" &amp; $AI$253 &amp; $AF123),0))))/1024)</f>
        <v/>
      </c>
      <c r="K123" s="22" t="str">
        <f ca="1">IF(ISERROR(MATCH(L$1,INDIRECT("Table!A"&amp;$AF123):INDIRECT("Table!" &amp; $AI$253 &amp; $AF123),0)),"",INDIRECT(CONCATENATE("Table!",ADDRESS(#REF!,MATCH(L$1,INDIRECT("Table!A" &amp; $AF123):INDIRECT("Table!" &amp; $AI$253 &amp; $AF123),0))))/1024)</f>
        <v/>
      </c>
      <c r="L123" s="22" t="str">
        <f ca="1">IF(ISERROR(MATCH(M$1,INDIRECT("Table!A"&amp;$AF123):INDIRECT("Table!" &amp; $AI$253 &amp; $AF123),0)),"",INDIRECT(CONCATENATE("Table!",ADDRESS(#REF!,MATCH(M$1,INDIRECT("Table!A" &amp; $AF123):INDIRECT("Table!" &amp; $AI$253 &amp; $AF123),0))))/1024)</f>
        <v/>
      </c>
      <c r="M123" s="22" t="str">
        <f ca="1">IF(ISERROR(MATCH(N$1,INDIRECT("Table!A"&amp;$AF123):INDIRECT("Table!" &amp; $AI$253 &amp; $AF123),0)),"",INDIRECT(CONCATENATE("Table!",ADDRESS(#REF!,MATCH(N$1,INDIRECT("Table!A" &amp; $AF123):INDIRECT("Table!" &amp; $AI$253 &amp; $AF123),0))))/1024)</f>
        <v/>
      </c>
      <c r="N123" s="22" t="str">
        <f ca="1">IF(ISERROR(MATCH(O$1,INDIRECT("Table!A"&amp;$AF123):INDIRECT("Table!" &amp; $AI$253 &amp; $AF123),0)),"",INDIRECT(CONCATENATE("Table!",ADDRESS(#REF!,MATCH(O$1,INDIRECT("Table!A" &amp; $AF123):INDIRECT("Table!" &amp; $AI$253 &amp; $AF123),0))))/1024)</f>
        <v/>
      </c>
      <c r="O123" s="22"/>
      <c r="P123" s="272"/>
      <c r="Q123" s="22"/>
      <c r="R123" s="193"/>
      <c r="T123" s="595"/>
      <c r="U123" s="193"/>
      <c r="AD123" s="193"/>
      <c r="AE123" s="193"/>
      <c r="AF123" s="22"/>
      <c r="AG123" s="193"/>
      <c r="AH123" s="193"/>
      <c r="AI123" s="29"/>
    </row>
    <row r="124" spans="2:35" x14ac:dyDescent="0.25">
      <c r="B124" s="22" t="str">
        <f ca="1">IF(ISERROR(MATCH(B$1,INDIRECT("Table!A"&amp;$AF124):INDIRECT("Table!" &amp; $AI$253 &amp; $AF124),0)),"",INDIRECT(CONCATENATE("Table!",ADDRESS(#REF!,MATCH(B$1,INDIRECT("Table!A" &amp; $AF124):INDIRECT("Table!" &amp; $AI$253 &amp; $AF124),0))))/1024)</f>
        <v/>
      </c>
      <c r="C124" s="22" t="str">
        <f ca="1">IF(ISERROR(MATCH(C$1,INDIRECT("Table!A"&amp;$AF124):INDIRECT("Table!" &amp; $AI$253 &amp; $AF124),0)),"",INDIRECT(CONCATENATE("Table!",ADDRESS(#REF!,MATCH(C$1,INDIRECT("Table!A" &amp; $AF124):INDIRECT("Table!" &amp; $AI$253 &amp; $AF124),0))))/1024)</f>
        <v/>
      </c>
      <c r="D124" s="22" t="str">
        <f ca="1">IF(ISERROR(MATCH(D$1,INDIRECT("Table!A"&amp;$AF124):INDIRECT("Table!" &amp; $AI$253 &amp; $AF124),0)),"",INDIRECT(CONCATENATE("Table!",ADDRESS(#REF!,MATCH(D$1,INDIRECT("Table!A" &amp; $AF124):INDIRECT("Table!" &amp; $AI$253 &amp; $AF124),0))))/1024)</f>
        <v/>
      </c>
      <c r="E124" s="22" t="str">
        <f ca="1">IF(ISERROR(MATCH(E$1,INDIRECT("Table!A"&amp;$AF124):INDIRECT("Table!" &amp; $AI$253 &amp; $AF124),0)),"",INDIRECT(CONCATENATE("Table!",ADDRESS(#REF!,MATCH(E$1,INDIRECT("Table!A" &amp; $AF124):INDIRECT("Table!" &amp; $AI$253 &amp; $AF124),0))))/1024)</f>
        <v/>
      </c>
      <c r="F124" s="22" t="str">
        <f ca="1">IF(ISERROR(MATCH(F$1,INDIRECT("Table!A"&amp;$AF124):INDIRECT("Table!" &amp; $AI$253 &amp; $AF124),0)),"",INDIRECT(CONCATENATE("Table!",ADDRESS(#REF!,MATCH(F$1,INDIRECT("Table!A" &amp; $AF124):INDIRECT("Table!" &amp; $AI$253 &amp; $AF124),0))))/1024)</f>
        <v/>
      </c>
      <c r="G124" s="22" t="str">
        <f ca="1">IF(ISERROR(MATCH(G$1,INDIRECT("Table!A"&amp;$AF124):INDIRECT("Table!" &amp; $AI$253 &amp; $AF124),0)),"",INDIRECT(CONCATENATE("Table!",ADDRESS(#REF!,MATCH(G$1,INDIRECT("Table!A" &amp; $AF124):INDIRECT("Table!" &amp; $AI$253 &amp; $AF124),0))))/1024)</f>
        <v/>
      </c>
      <c r="H124" s="22" t="str">
        <f ca="1">IF(ISERROR(MATCH(H$1,INDIRECT("Table!A"&amp;$AF124):INDIRECT("Table!" &amp; $AI$253 &amp; $AF124),0)),"",INDIRECT(CONCATENATE("Table!",ADDRESS(#REF!,MATCH(H$1,INDIRECT("Table!A" &amp; $AF124):INDIRECT("Table!" &amp; $AI$253 &amp; $AF124),0))))/1024)</f>
        <v/>
      </c>
      <c r="K124" s="22" t="str">
        <f ca="1">IF(ISERROR(MATCH(L$1,INDIRECT("Table!A"&amp;$AF124):INDIRECT("Table!" &amp; $AI$253 &amp; $AF124),0)),"",INDIRECT(CONCATENATE("Table!",ADDRESS(#REF!,MATCH(L$1,INDIRECT("Table!A" &amp; $AF124):INDIRECT("Table!" &amp; $AI$253 &amp; $AF124),0))))/1024)</f>
        <v/>
      </c>
      <c r="L124" s="22" t="str">
        <f ca="1">IF(ISERROR(MATCH(M$1,INDIRECT("Table!A"&amp;$AF124):INDIRECT("Table!" &amp; $AI$253 &amp; $AF124),0)),"",INDIRECT(CONCATENATE("Table!",ADDRESS(#REF!,MATCH(M$1,INDIRECT("Table!A" &amp; $AF124):INDIRECT("Table!" &amp; $AI$253 &amp; $AF124),0))))/1024)</f>
        <v/>
      </c>
      <c r="M124" s="22" t="str">
        <f ca="1">IF(ISERROR(MATCH(N$1,INDIRECT("Table!A"&amp;$AF124):INDIRECT("Table!" &amp; $AI$253 &amp; $AF124),0)),"",INDIRECT(CONCATENATE("Table!",ADDRESS(#REF!,MATCH(N$1,INDIRECT("Table!A" &amp; $AF124):INDIRECT("Table!" &amp; $AI$253 &amp; $AF124),0))))/1024)</f>
        <v/>
      </c>
      <c r="N124" s="22" t="str">
        <f ca="1">IF(ISERROR(MATCH(O$1,INDIRECT("Table!A"&amp;$AF124):INDIRECT("Table!" &amp; $AI$253 &amp; $AF124),0)),"",INDIRECT(CONCATENATE("Table!",ADDRESS(#REF!,MATCH(O$1,INDIRECT("Table!A" &amp; $AF124):INDIRECT("Table!" &amp; $AI$253 &amp; $AF124),0))))/1024)</f>
        <v/>
      </c>
      <c r="O124" s="22"/>
      <c r="P124" s="272"/>
      <c r="Q124" s="22"/>
      <c r="R124" s="192"/>
      <c r="T124" s="595"/>
      <c r="U124" s="192"/>
      <c r="AD124" s="192"/>
      <c r="AE124" s="192"/>
      <c r="AF124" s="22"/>
      <c r="AG124" s="192"/>
      <c r="AH124" s="192"/>
      <c r="AI124" s="29"/>
    </row>
    <row r="125" spans="2:35" x14ac:dyDescent="0.25">
      <c r="B125" s="22" t="str">
        <f ca="1">IF(ISERROR(MATCH(B$1,INDIRECT("Table!A"&amp;$AF125):INDIRECT("Table!" &amp; $AI$253 &amp; $AF125),0)),"",INDIRECT(CONCATENATE("Table!",ADDRESS(#REF!,MATCH(B$1,INDIRECT("Table!A" &amp; $AF125):INDIRECT("Table!" &amp; $AI$253 &amp; $AF125),0))))/1024)</f>
        <v/>
      </c>
      <c r="C125" s="22" t="str">
        <f ca="1">IF(ISERROR(MATCH(C$1,INDIRECT("Table!A"&amp;$AF125):INDIRECT("Table!" &amp; $AI$253 &amp; $AF125),0)),"",INDIRECT(CONCATENATE("Table!",ADDRESS(#REF!,MATCH(C$1,INDIRECT("Table!A" &amp; $AF125):INDIRECT("Table!" &amp; $AI$253 &amp; $AF125),0))))/1024)</f>
        <v/>
      </c>
      <c r="D125" s="22" t="str">
        <f ca="1">IF(ISERROR(MATCH(D$1,INDIRECT("Table!A"&amp;$AF125):INDIRECT("Table!" &amp; $AI$253 &amp; $AF125),0)),"",INDIRECT(CONCATENATE("Table!",ADDRESS(#REF!,MATCH(D$1,INDIRECT("Table!A" &amp; $AF125):INDIRECT("Table!" &amp; $AI$253 &amp; $AF125),0))))/1024)</f>
        <v/>
      </c>
      <c r="E125" s="22" t="str">
        <f ca="1">IF(ISERROR(MATCH(E$1,INDIRECT("Table!A"&amp;$AF125):INDIRECT("Table!" &amp; $AI$253 &amp; $AF125),0)),"",INDIRECT(CONCATENATE("Table!",ADDRESS(#REF!,MATCH(E$1,INDIRECT("Table!A" &amp; $AF125):INDIRECT("Table!" &amp; $AI$253 &amp; $AF125),0))))/1024)</f>
        <v/>
      </c>
      <c r="F125" s="22" t="str">
        <f ca="1">IF(ISERROR(MATCH(F$1,INDIRECT("Table!A"&amp;$AF125):INDIRECT("Table!" &amp; $AI$253 &amp; $AF125),0)),"",INDIRECT(CONCATENATE("Table!",ADDRESS(#REF!,MATCH(F$1,INDIRECT("Table!A" &amp; $AF125):INDIRECT("Table!" &amp; $AI$253 &amp; $AF125),0))))/1024)</f>
        <v/>
      </c>
      <c r="G125" s="22" t="str">
        <f ca="1">IF(ISERROR(MATCH(G$1,INDIRECT("Table!A"&amp;$AF125):INDIRECT("Table!" &amp; $AI$253 &amp; $AF125),0)),"",INDIRECT(CONCATENATE("Table!",ADDRESS(#REF!,MATCH(G$1,INDIRECT("Table!A" &amp; $AF125):INDIRECT("Table!" &amp; $AI$253 &amp; $AF125),0))))/1024)</f>
        <v/>
      </c>
      <c r="H125" s="22" t="str">
        <f ca="1">IF(ISERROR(MATCH(H$1,INDIRECT("Table!A"&amp;$AF125):INDIRECT("Table!" &amp; $AI$253 &amp; $AF125),0)),"",INDIRECT(CONCATENATE("Table!",ADDRESS(#REF!,MATCH(H$1,INDIRECT("Table!A" &amp; $AF125):INDIRECT("Table!" &amp; $AI$253 &amp; $AF125),0))))/1024)</f>
        <v/>
      </c>
      <c r="K125" s="22" t="str">
        <f ca="1">IF(ISERROR(MATCH(L$1,INDIRECT("Table!A"&amp;$AF125):INDIRECT("Table!" &amp; $AI$253 &amp; $AF125),0)),"",INDIRECT(CONCATENATE("Table!",ADDRESS(#REF!,MATCH(L$1,INDIRECT("Table!A" &amp; $AF125):INDIRECT("Table!" &amp; $AI$253 &amp; $AF125),0))))/1024)</f>
        <v/>
      </c>
      <c r="L125" s="22" t="str">
        <f ca="1">IF(ISERROR(MATCH(M$1,INDIRECT("Table!A"&amp;$AF125):INDIRECT("Table!" &amp; $AI$253 &amp; $AF125),0)),"",INDIRECT(CONCATENATE("Table!",ADDRESS(#REF!,MATCH(M$1,INDIRECT("Table!A" &amp; $AF125):INDIRECT("Table!" &amp; $AI$253 &amp; $AF125),0))))/1024)</f>
        <v/>
      </c>
      <c r="M125" s="22" t="str">
        <f ca="1">IF(ISERROR(MATCH(N$1,INDIRECT("Table!A"&amp;$AF125):INDIRECT("Table!" &amp; $AI$253 &amp; $AF125),0)),"",INDIRECT(CONCATENATE("Table!",ADDRESS(#REF!,MATCH(N$1,INDIRECT("Table!A" &amp; $AF125):INDIRECT("Table!" &amp; $AI$253 &amp; $AF125),0))))/1024)</f>
        <v/>
      </c>
      <c r="N125" s="22" t="str">
        <f ca="1">IF(ISERROR(MATCH(O$1,INDIRECT("Table!A"&amp;$AF125):INDIRECT("Table!" &amp; $AI$253 &amp; $AF125),0)),"",INDIRECT(CONCATENATE("Table!",ADDRESS(#REF!,MATCH(O$1,INDIRECT("Table!A" &amp; $AF125):INDIRECT("Table!" &amp; $AI$253 &amp; $AF125),0))))/1024)</f>
        <v/>
      </c>
      <c r="O125" s="22"/>
      <c r="P125" s="272"/>
      <c r="Q125" s="22"/>
      <c r="R125" s="191"/>
      <c r="T125" s="595"/>
      <c r="U125" s="191"/>
      <c r="AD125" s="191"/>
      <c r="AE125" s="191"/>
      <c r="AF125" s="22"/>
      <c r="AG125" s="191"/>
      <c r="AH125" s="191"/>
      <c r="AI125" s="29"/>
    </row>
    <row r="126" spans="2:35" x14ac:dyDescent="0.25">
      <c r="B126" s="22" t="str">
        <f ca="1">IF(ISERROR(MATCH(B$1,INDIRECT("Table!A"&amp;$AF126):INDIRECT("Table!" &amp; $AI$253 &amp; $AF126),0)),"",INDIRECT(CONCATENATE("Table!",ADDRESS(#REF!,MATCH(B$1,INDIRECT("Table!A" &amp; $AF126):INDIRECT("Table!" &amp; $AI$253 &amp; $AF126),0))))/1024)</f>
        <v/>
      </c>
      <c r="C126" s="22" t="str">
        <f ca="1">IF(ISERROR(MATCH(C$1,INDIRECT("Table!A"&amp;$AF126):INDIRECT("Table!" &amp; $AI$253 &amp; $AF126),0)),"",INDIRECT(CONCATENATE("Table!",ADDRESS(#REF!,MATCH(C$1,INDIRECT("Table!A" &amp; $AF126):INDIRECT("Table!" &amp; $AI$253 &amp; $AF126),0))))/1024)</f>
        <v/>
      </c>
      <c r="D126" s="22" t="str">
        <f ca="1">IF(ISERROR(MATCH(D$1,INDIRECT("Table!A"&amp;$AF126):INDIRECT("Table!" &amp; $AI$253 &amp; $AF126),0)),"",INDIRECT(CONCATENATE("Table!",ADDRESS(#REF!,MATCH(D$1,INDIRECT("Table!A" &amp; $AF126):INDIRECT("Table!" &amp; $AI$253 &amp; $AF126),0))))/1024)</f>
        <v/>
      </c>
      <c r="E126" s="22" t="str">
        <f ca="1">IF(ISERROR(MATCH(E$1,INDIRECT("Table!A"&amp;$AF126):INDIRECT("Table!" &amp; $AI$253 &amp; $AF126),0)),"",INDIRECT(CONCATENATE("Table!",ADDRESS(#REF!,MATCH(E$1,INDIRECT("Table!A" &amp; $AF126):INDIRECT("Table!" &amp; $AI$253 &amp; $AF126),0))))/1024)</f>
        <v/>
      </c>
      <c r="F126" s="22" t="str">
        <f ca="1">IF(ISERROR(MATCH(F$1,INDIRECT("Table!A"&amp;$AF126):INDIRECT("Table!" &amp; $AI$253 &amp; $AF126),0)),"",INDIRECT(CONCATENATE("Table!",ADDRESS(#REF!,MATCH(F$1,INDIRECT("Table!A" &amp; $AF126):INDIRECT("Table!" &amp; $AI$253 &amp; $AF126),0))))/1024)</f>
        <v/>
      </c>
      <c r="G126" s="22" t="str">
        <f ca="1">IF(ISERROR(MATCH(G$1,INDIRECT("Table!A"&amp;$AF126):INDIRECT("Table!" &amp; $AI$253 &amp; $AF126),0)),"",INDIRECT(CONCATENATE("Table!",ADDRESS(#REF!,MATCH(G$1,INDIRECT("Table!A" &amp; $AF126):INDIRECT("Table!" &amp; $AI$253 &amp; $AF126),0))))/1024)</f>
        <v/>
      </c>
      <c r="H126" s="22" t="str">
        <f ca="1">IF(ISERROR(MATCH(H$1,INDIRECT("Table!A"&amp;$AF126):INDIRECT("Table!" &amp; $AI$253 &amp; $AF126),0)),"",INDIRECT(CONCATENATE("Table!",ADDRESS(#REF!,MATCH(H$1,INDIRECT("Table!A" &amp; $AF126):INDIRECT("Table!" &amp; $AI$253 &amp; $AF126),0))))/1024)</f>
        <v/>
      </c>
      <c r="K126" s="22" t="str">
        <f ca="1">IF(ISERROR(MATCH(L$1,INDIRECT("Table!A"&amp;$AF126):INDIRECT("Table!" &amp; $AI$253 &amp; $AF126),0)),"",INDIRECT(CONCATENATE("Table!",ADDRESS(#REF!,MATCH(L$1,INDIRECT("Table!A" &amp; $AF126):INDIRECT("Table!" &amp; $AI$253 &amp; $AF126),0))))/1024)</f>
        <v/>
      </c>
      <c r="L126" s="22" t="str">
        <f ca="1">IF(ISERROR(MATCH(M$1,INDIRECT("Table!A"&amp;$AF126):INDIRECT("Table!" &amp; $AI$253 &amp; $AF126),0)),"",INDIRECT(CONCATENATE("Table!",ADDRESS(#REF!,MATCH(M$1,INDIRECT("Table!A" &amp; $AF126):INDIRECT("Table!" &amp; $AI$253 &amp; $AF126),0))))/1024)</f>
        <v/>
      </c>
      <c r="M126" s="22" t="str">
        <f ca="1">IF(ISERROR(MATCH(N$1,INDIRECT("Table!A"&amp;$AF126):INDIRECT("Table!" &amp; $AI$253 &amp; $AF126),0)),"",INDIRECT(CONCATENATE("Table!",ADDRESS(#REF!,MATCH(N$1,INDIRECT("Table!A" &amp; $AF126):INDIRECT("Table!" &amp; $AI$253 &amp; $AF126),0))))/1024)</f>
        <v/>
      </c>
      <c r="N126" s="22" t="str">
        <f ca="1">IF(ISERROR(MATCH(O$1,INDIRECT("Table!A"&amp;$AF126):INDIRECT("Table!" &amp; $AI$253 &amp; $AF126),0)),"",INDIRECT(CONCATENATE("Table!",ADDRESS(#REF!,MATCH(O$1,INDIRECT("Table!A" &amp; $AF126):INDIRECT("Table!" &amp; $AI$253 &amp; $AF126),0))))/1024)</f>
        <v/>
      </c>
      <c r="O126" s="22"/>
      <c r="P126" s="272"/>
      <c r="Q126" s="22"/>
      <c r="R126" s="190"/>
      <c r="T126" s="595"/>
      <c r="U126" s="190"/>
      <c r="AD126" s="190"/>
      <c r="AE126" s="190"/>
      <c r="AF126" s="22"/>
      <c r="AG126" s="190"/>
      <c r="AH126" s="190"/>
      <c r="AI126" s="29"/>
    </row>
    <row r="127" spans="2:35" x14ac:dyDescent="0.25">
      <c r="B127" s="22" t="str">
        <f ca="1">IF(ISERROR(MATCH(B$1,INDIRECT("Table!A"&amp;$AF127):INDIRECT("Table!" &amp; $AI$253 &amp; $AF127),0)),"",INDIRECT(CONCATENATE("Table!",ADDRESS(#REF!,MATCH(B$1,INDIRECT("Table!A" &amp; $AF127):INDIRECT("Table!" &amp; $AI$253 &amp; $AF127),0))))/1024)</f>
        <v/>
      </c>
      <c r="C127" s="22" t="str">
        <f ca="1">IF(ISERROR(MATCH(C$1,INDIRECT("Table!A"&amp;$AF127):INDIRECT("Table!" &amp; $AI$253 &amp; $AF127),0)),"",INDIRECT(CONCATENATE("Table!",ADDRESS(#REF!,MATCH(C$1,INDIRECT("Table!A" &amp; $AF127):INDIRECT("Table!" &amp; $AI$253 &amp; $AF127),0))))/1024)</f>
        <v/>
      </c>
      <c r="D127" s="22" t="str">
        <f ca="1">IF(ISERROR(MATCH(D$1,INDIRECT("Table!A"&amp;$AF127):INDIRECT("Table!" &amp; $AI$253 &amp; $AF127),0)),"",INDIRECT(CONCATENATE("Table!",ADDRESS(#REF!,MATCH(D$1,INDIRECT("Table!A" &amp; $AF127):INDIRECT("Table!" &amp; $AI$253 &amp; $AF127),0))))/1024)</f>
        <v/>
      </c>
      <c r="E127" s="22" t="str">
        <f ca="1">IF(ISERROR(MATCH(E$1,INDIRECT("Table!A"&amp;$AF127):INDIRECT("Table!" &amp; $AI$253 &amp; $AF127),0)),"",INDIRECT(CONCATENATE("Table!",ADDRESS(#REF!,MATCH(E$1,INDIRECT("Table!A" &amp; $AF127):INDIRECT("Table!" &amp; $AI$253 &amp; $AF127),0))))/1024)</f>
        <v/>
      </c>
      <c r="F127" s="22" t="str">
        <f ca="1">IF(ISERROR(MATCH(F$1,INDIRECT("Table!A"&amp;$AF127):INDIRECT("Table!" &amp; $AI$253 &amp; $AF127),0)),"",INDIRECT(CONCATENATE("Table!",ADDRESS(#REF!,MATCH(F$1,INDIRECT("Table!A" &amp; $AF127):INDIRECT("Table!" &amp; $AI$253 &amp; $AF127),0))))/1024)</f>
        <v/>
      </c>
      <c r="G127" s="22" t="str">
        <f ca="1">IF(ISERROR(MATCH(G$1,INDIRECT("Table!A"&amp;$AF127):INDIRECT("Table!" &amp; $AI$253 &amp; $AF127),0)),"",INDIRECT(CONCATENATE("Table!",ADDRESS(#REF!,MATCH(G$1,INDIRECT("Table!A" &amp; $AF127):INDIRECT("Table!" &amp; $AI$253 &amp; $AF127),0))))/1024)</f>
        <v/>
      </c>
      <c r="H127" s="22" t="str">
        <f ca="1">IF(ISERROR(MATCH(H$1,INDIRECT("Table!A"&amp;$AF127):INDIRECT("Table!" &amp; $AI$253 &amp; $AF127),0)),"",INDIRECT(CONCATENATE("Table!",ADDRESS(#REF!,MATCH(H$1,INDIRECT("Table!A" &amp; $AF127):INDIRECT("Table!" &amp; $AI$253 &amp; $AF127),0))))/1024)</f>
        <v/>
      </c>
      <c r="K127" s="22" t="str">
        <f ca="1">IF(ISERROR(MATCH(L$1,INDIRECT("Table!A"&amp;$AF127):INDIRECT("Table!" &amp; $AI$253 &amp; $AF127),0)),"",INDIRECT(CONCATENATE("Table!",ADDRESS(#REF!,MATCH(L$1,INDIRECT("Table!A" &amp; $AF127):INDIRECT("Table!" &amp; $AI$253 &amp; $AF127),0))))/1024)</f>
        <v/>
      </c>
      <c r="L127" s="22" t="str">
        <f ca="1">IF(ISERROR(MATCH(M$1,INDIRECT("Table!A"&amp;$AF127):INDIRECT("Table!" &amp; $AI$253 &amp; $AF127),0)),"",INDIRECT(CONCATENATE("Table!",ADDRESS(#REF!,MATCH(M$1,INDIRECT("Table!A" &amp; $AF127):INDIRECT("Table!" &amp; $AI$253 &amp; $AF127),0))))/1024)</f>
        <v/>
      </c>
      <c r="M127" s="22" t="str">
        <f ca="1">IF(ISERROR(MATCH(N$1,INDIRECT("Table!A"&amp;$AF127):INDIRECT("Table!" &amp; $AI$253 &amp; $AF127),0)),"",INDIRECT(CONCATENATE("Table!",ADDRESS(#REF!,MATCH(N$1,INDIRECT("Table!A" &amp; $AF127):INDIRECT("Table!" &amp; $AI$253 &amp; $AF127),0))))/1024)</f>
        <v/>
      </c>
      <c r="N127" s="22" t="str">
        <f ca="1">IF(ISERROR(MATCH(O$1,INDIRECT("Table!A"&amp;$AF127):INDIRECT("Table!" &amp; $AI$253 &amp; $AF127),0)),"",INDIRECT(CONCATENATE("Table!",ADDRESS(#REF!,MATCH(O$1,INDIRECT("Table!A" &amp; $AF127):INDIRECT("Table!" &amp; $AI$253 &amp; $AF127),0))))/1024)</f>
        <v/>
      </c>
      <c r="O127" s="22"/>
      <c r="P127" s="272"/>
      <c r="Q127" s="22"/>
      <c r="R127" s="189"/>
      <c r="T127" s="595"/>
      <c r="U127" s="189"/>
      <c r="AD127" s="189"/>
      <c r="AE127" s="189"/>
      <c r="AF127" s="22"/>
      <c r="AG127" s="189"/>
      <c r="AH127" s="189"/>
      <c r="AI127" s="29"/>
    </row>
    <row r="128" spans="2:35" x14ac:dyDescent="0.25">
      <c r="B128" s="22" t="str">
        <f ca="1">IF(ISERROR(MATCH(B$1,INDIRECT("Table!A"&amp;$AF128):INDIRECT("Table!" &amp; $AI$253 &amp; $AF128),0)),"",INDIRECT(CONCATENATE("Table!",ADDRESS(#REF!,MATCH(B$1,INDIRECT("Table!A" &amp; $AF128):INDIRECT("Table!" &amp; $AI$253 &amp; $AF128),0))))/1024)</f>
        <v/>
      </c>
      <c r="C128" s="22" t="str">
        <f ca="1">IF(ISERROR(MATCH(C$1,INDIRECT("Table!A"&amp;$AF128):INDIRECT("Table!" &amp; $AI$253 &amp; $AF128),0)),"",INDIRECT(CONCATENATE("Table!",ADDRESS(#REF!,MATCH(C$1,INDIRECT("Table!A" &amp; $AF128):INDIRECT("Table!" &amp; $AI$253 &amp; $AF128),0))))/1024)</f>
        <v/>
      </c>
      <c r="D128" s="22" t="str">
        <f ca="1">IF(ISERROR(MATCH(D$1,INDIRECT("Table!A"&amp;$AF128):INDIRECT("Table!" &amp; $AI$253 &amp; $AF128),0)),"",INDIRECT(CONCATENATE("Table!",ADDRESS(#REF!,MATCH(D$1,INDIRECT("Table!A" &amp; $AF128):INDIRECT("Table!" &amp; $AI$253 &amp; $AF128),0))))/1024)</f>
        <v/>
      </c>
      <c r="E128" s="22" t="str">
        <f ca="1">IF(ISERROR(MATCH(E$1,INDIRECT("Table!A"&amp;$AF128):INDIRECT("Table!" &amp; $AI$253 &amp; $AF128),0)),"",INDIRECT(CONCATENATE("Table!",ADDRESS(#REF!,MATCH(E$1,INDIRECT("Table!A" &amp; $AF128):INDIRECT("Table!" &amp; $AI$253 &amp; $AF128),0))))/1024)</f>
        <v/>
      </c>
      <c r="F128" s="22" t="str">
        <f ca="1">IF(ISERROR(MATCH(F$1,INDIRECT("Table!A"&amp;$AF128):INDIRECT("Table!" &amp; $AI$253 &amp; $AF128),0)),"",INDIRECT(CONCATENATE("Table!",ADDRESS(#REF!,MATCH(F$1,INDIRECT("Table!A" &amp; $AF128):INDIRECT("Table!" &amp; $AI$253 &amp; $AF128),0))))/1024)</f>
        <v/>
      </c>
      <c r="G128" s="22" t="str">
        <f ca="1">IF(ISERROR(MATCH(G$1,INDIRECT("Table!A"&amp;$AF128):INDIRECT("Table!" &amp; $AI$253 &amp; $AF128),0)),"",INDIRECT(CONCATENATE("Table!",ADDRESS(#REF!,MATCH(G$1,INDIRECT("Table!A" &amp; $AF128):INDIRECT("Table!" &amp; $AI$253 &amp; $AF128),0))))/1024)</f>
        <v/>
      </c>
      <c r="H128" s="22" t="str">
        <f ca="1">IF(ISERROR(MATCH(H$1,INDIRECT("Table!A"&amp;$AF128):INDIRECT("Table!" &amp; $AI$253 &amp; $AF128),0)),"",INDIRECT(CONCATENATE("Table!",ADDRESS(#REF!,MATCH(H$1,INDIRECT("Table!A" &amp; $AF128):INDIRECT("Table!" &amp; $AI$253 &amp; $AF128),0))))/1024)</f>
        <v/>
      </c>
      <c r="K128" s="22" t="str">
        <f ca="1">IF(ISERROR(MATCH(L$1,INDIRECT("Table!A"&amp;$AF128):INDIRECT("Table!" &amp; $AI$253 &amp; $AF128),0)),"",INDIRECT(CONCATENATE("Table!",ADDRESS(#REF!,MATCH(L$1,INDIRECT("Table!A" &amp; $AF128):INDIRECT("Table!" &amp; $AI$253 &amp; $AF128),0))))/1024)</f>
        <v/>
      </c>
      <c r="L128" s="22" t="str">
        <f ca="1">IF(ISERROR(MATCH(M$1,INDIRECT("Table!A"&amp;$AF128):INDIRECT("Table!" &amp; $AI$253 &amp; $AF128),0)),"",INDIRECT(CONCATENATE("Table!",ADDRESS(#REF!,MATCH(M$1,INDIRECT("Table!A" &amp; $AF128):INDIRECT("Table!" &amp; $AI$253 &amp; $AF128),0))))/1024)</f>
        <v/>
      </c>
      <c r="M128" s="22" t="str">
        <f ca="1">IF(ISERROR(MATCH(N$1,INDIRECT("Table!A"&amp;$AF128):INDIRECT("Table!" &amp; $AI$253 &amp; $AF128),0)),"",INDIRECT(CONCATENATE("Table!",ADDRESS(#REF!,MATCH(N$1,INDIRECT("Table!A" &amp; $AF128):INDIRECT("Table!" &amp; $AI$253 &amp; $AF128),0))))/1024)</f>
        <v/>
      </c>
      <c r="N128" s="22" t="str">
        <f ca="1">IF(ISERROR(MATCH(O$1,INDIRECT("Table!A"&amp;$AF128):INDIRECT("Table!" &amp; $AI$253 &amp; $AF128),0)),"",INDIRECT(CONCATENATE("Table!",ADDRESS(#REF!,MATCH(O$1,INDIRECT("Table!A" &amp; $AF128):INDIRECT("Table!" &amp; $AI$253 &amp; $AF128),0))))/1024)</f>
        <v/>
      </c>
      <c r="O128" s="22"/>
      <c r="P128" s="272"/>
      <c r="Q128" s="22"/>
      <c r="R128" s="188"/>
      <c r="T128" s="595"/>
      <c r="U128" s="188"/>
      <c r="AD128" s="188"/>
      <c r="AE128" s="188"/>
      <c r="AF128" s="22"/>
      <c r="AG128" s="188"/>
      <c r="AH128" s="188"/>
      <c r="AI128" s="29"/>
    </row>
    <row r="129" spans="2:35" x14ac:dyDescent="0.25">
      <c r="B129" s="22" t="str">
        <f ca="1">IF(ISERROR(MATCH(B$1,INDIRECT("Table!A"&amp;$AF129):INDIRECT("Table!" &amp; $AI$253 &amp; $AF129),0)),"",INDIRECT(CONCATENATE("Table!",ADDRESS(#REF!,MATCH(B$1,INDIRECT("Table!A" &amp; $AF129):INDIRECT("Table!" &amp; $AI$253 &amp; $AF129),0))))/1024)</f>
        <v/>
      </c>
      <c r="C129" s="22" t="str">
        <f ca="1">IF(ISERROR(MATCH(C$1,INDIRECT("Table!A"&amp;$AF129):INDIRECT("Table!" &amp; $AI$253 &amp; $AF129),0)),"",INDIRECT(CONCATENATE("Table!",ADDRESS(#REF!,MATCH(C$1,INDIRECT("Table!A" &amp; $AF129):INDIRECT("Table!" &amp; $AI$253 &amp; $AF129),0))))/1024)</f>
        <v/>
      </c>
      <c r="D129" s="22" t="str">
        <f ca="1">IF(ISERROR(MATCH(D$1,INDIRECT("Table!A"&amp;$AF129):INDIRECT("Table!" &amp; $AI$253 &amp; $AF129),0)),"",INDIRECT(CONCATENATE("Table!",ADDRESS(#REF!,MATCH(D$1,INDIRECT("Table!A" &amp; $AF129):INDIRECT("Table!" &amp; $AI$253 &amp; $AF129),0))))/1024)</f>
        <v/>
      </c>
      <c r="E129" s="22" t="str">
        <f ca="1">IF(ISERROR(MATCH(E$1,INDIRECT("Table!A"&amp;$AF129):INDIRECT("Table!" &amp; $AI$253 &amp; $AF129),0)),"",INDIRECT(CONCATENATE("Table!",ADDRESS(#REF!,MATCH(E$1,INDIRECT("Table!A" &amp; $AF129):INDIRECT("Table!" &amp; $AI$253 &amp; $AF129),0))))/1024)</f>
        <v/>
      </c>
      <c r="F129" s="22" t="str">
        <f ca="1">IF(ISERROR(MATCH(F$1,INDIRECT("Table!A"&amp;$AF129):INDIRECT("Table!" &amp; $AI$253 &amp; $AF129),0)),"",INDIRECT(CONCATENATE("Table!",ADDRESS(#REF!,MATCH(F$1,INDIRECT("Table!A" &amp; $AF129):INDIRECT("Table!" &amp; $AI$253 &amp; $AF129),0))))/1024)</f>
        <v/>
      </c>
      <c r="G129" s="22" t="str">
        <f ca="1">IF(ISERROR(MATCH(G$1,INDIRECT("Table!A"&amp;$AF129):INDIRECT("Table!" &amp; $AI$253 &amp; $AF129),0)),"",INDIRECT(CONCATENATE("Table!",ADDRESS(#REF!,MATCH(G$1,INDIRECT("Table!A" &amp; $AF129):INDIRECT("Table!" &amp; $AI$253 &amp; $AF129),0))))/1024)</f>
        <v/>
      </c>
      <c r="H129" s="22" t="str">
        <f ca="1">IF(ISERROR(MATCH(H$1,INDIRECT("Table!A"&amp;$AF129):INDIRECT("Table!" &amp; $AI$253 &amp; $AF129),0)),"",INDIRECT(CONCATENATE("Table!",ADDRESS(#REF!,MATCH(H$1,INDIRECT("Table!A" &amp; $AF129):INDIRECT("Table!" &amp; $AI$253 &amp; $AF129),0))))/1024)</f>
        <v/>
      </c>
      <c r="K129" s="22" t="str">
        <f ca="1">IF(ISERROR(MATCH(L$1,INDIRECT("Table!A"&amp;$AF129):INDIRECT("Table!" &amp; $AI$253 &amp; $AF129),0)),"",INDIRECT(CONCATENATE("Table!",ADDRESS(#REF!,MATCH(L$1,INDIRECT("Table!A" &amp; $AF129):INDIRECT("Table!" &amp; $AI$253 &amp; $AF129),0))))/1024)</f>
        <v/>
      </c>
      <c r="L129" s="22" t="str">
        <f ca="1">IF(ISERROR(MATCH(M$1,INDIRECT("Table!A"&amp;$AF129):INDIRECT("Table!" &amp; $AI$253 &amp; $AF129),0)),"",INDIRECT(CONCATENATE("Table!",ADDRESS(#REF!,MATCH(M$1,INDIRECT("Table!A" &amp; $AF129):INDIRECT("Table!" &amp; $AI$253 &amp; $AF129),0))))/1024)</f>
        <v/>
      </c>
      <c r="M129" s="22" t="str">
        <f ca="1">IF(ISERROR(MATCH(N$1,INDIRECT("Table!A"&amp;$AF129):INDIRECT("Table!" &amp; $AI$253 &amp; $AF129),0)),"",INDIRECT(CONCATENATE("Table!",ADDRESS(#REF!,MATCH(N$1,INDIRECT("Table!A" &amp; $AF129):INDIRECT("Table!" &amp; $AI$253 &amp; $AF129),0))))/1024)</f>
        <v/>
      </c>
      <c r="N129" s="22" t="str">
        <f ca="1">IF(ISERROR(MATCH(O$1,INDIRECT("Table!A"&amp;$AF129):INDIRECT("Table!" &amp; $AI$253 &amp; $AF129),0)),"",INDIRECT(CONCATENATE("Table!",ADDRESS(#REF!,MATCH(O$1,INDIRECT("Table!A" &amp; $AF129):INDIRECT("Table!" &amp; $AI$253 &amp; $AF129),0))))/1024)</f>
        <v/>
      </c>
      <c r="O129" s="22"/>
      <c r="P129" s="272"/>
      <c r="Q129" s="22"/>
      <c r="R129" s="187"/>
      <c r="T129" s="595"/>
      <c r="U129" s="187"/>
      <c r="AD129" s="187"/>
      <c r="AE129" s="187"/>
      <c r="AF129" s="22"/>
      <c r="AG129" s="187"/>
      <c r="AH129" s="187"/>
      <c r="AI129" s="29"/>
    </row>
    <row r="130" spans="2:35" x14ac:dyDescent="0.25">
      <c r="B130" s="22" t="str">
        <f ca="1">IF(ISERROR(MATCH(B$1,INDIRECT("Table!A"&amp;$AF130):INDIRECT("Table!" &amp; $AI$253 &amp; $AF130),0)),"",INDIRECT(CONCATENATE("Table!",ADDRESS(#REF!,MATCH(B$1,INDIRECT("Table!A" &amp; $AF130):INDIRECT("Table!" &amp; $AI$253 &amp; $AF130),0))))/1024)</f>
        <v/>
      </c>
      <c r="C130" s="22" t="str">
        <f ca="1">IF(ISERROR(MATCH(C$1,INDIRECT("Table!A"&amp;$AF130):INDIRECT("Table!" &amp; $AI$253 &amp; $AF130),0)),"",INDIRECT(CONCATENATE("Table!",ADDRESS(#REF!,MATCH(C$1,INDIRECT("Table!A" &amp; $AF130):INDIRECT("Table!" &amp; $AI$253 &amp; $AF130),0))))/1024)</f>
        <v/>
      </c>
      <c r="D130" s="22" t="str">
        <f ca="1">IF(ISERROR(MATCH(D$1,INDIRECT("Table!A"&amp;$AF130):INDIRECT("Table!" &amp; $AI$253 &amp; $AF130),0)),"",INDIRECT(CONCATENATE("Table!",ADDRESS(#REF!,MATCH(D$1,INDIRECT("Table!A" &amp; $AF130):INDIRECT("Table!" &amp; $AI$253 &amp; $AF130),0))))/1024)</f>
        <v/>
      </c>
      <c r="E130" s="22" t="str">
        <f ca="1">IF(ISERROR(MATCH(E$1,INDIRECT("Table!A"&amp;$AF130):INDIRECT("Table!" &amp; $AI$253 &amp; $AF130),0)),"",INDIRECT(CONCATENATE("Table!",ADDRESS(#REF!,MATCH(E$1,INDIRECT("Table!A" &amp; $AF130):INDIRECT("Table!" &amp; $AI$253 &amp; $AF130),0))))/1024)</f>
        <v/>
      </c>
      <c r="F130" s="22" t="str">
        <f ca="1">IF(ISERROR(MATCH(F$1,INDIRECT("Table!A"&amp;$AF130):INDIRECT("Table!" &amp; $AI$253 &amp; $AF130),0)),"",INDIRECT(CONCATENATE("Table!",ADDRESS(#REF!,MATCH(F$1,INDIRECT("Table!A" &amp; $AF130):INDIRECT("Table!" &amp; $AI$253 &amp; $AF130),0))))/1024)</f>
        <v/>
      </c>
      <c r="G130" s="22" t="str">
        <f ca="1">IF(ISERROR(MATCH(G$1,INDIRECT("Table!A"&amp;$AF130):INDIRECT("Table!" &amp; $AI$253 &amp; $AF130),0)),"",INDIRECT(CONCATENATE("Table!",ADDRESS(#REF!,MATCH(G$1,INDIRECT("Table!A" &amp; $AF130):INDIRECT("Table!" &amp; $AI$253 &amp; $AF130),0))))/1024)</f>
        <v/>
      </c>
      <c r="H130" s="22" t="str">
        <f ca="1">IF(ISERROR(MATCH(H$1,INDIRECT("Table!A"&amp;$AF130):INDIRECT("Table!" &amp; $AI$253 &amp; $AF130),0)),"",INDIRECT(CONCATENATE("Table!",ADDRESS(#REF!,MATCH(H$1,INDIRECT("Table!A" &amp; $AF130):INDIRECT("Table!" &amp; $AI$253 &amp; $AF130),0))))/1024)</f>
        <v/>
      </c>
      <c r="K130" s="22" t="str">
        <f ca="1">IF(ISERROR(MATCH(L$1,INDIRECT("Table!A"&amp;$AF130):INDIRECT("Table!" &amp; $AI$253 &amp; $AF130),0)),"",INDIRECT(CONCATENATE("Table!",ADDRESS(#REF!,MATCH(L$1,INDIRECT("Table!A" &amp; $AF130):INDIRECT("Table!" &amp; $AI$253 &amp; $AF130),0))))/1024)</f>
        <v/>
      </c>
      <c r="L130" s="22" t="str">
        <f ca="1">IF(ISERROR(MATCH(M$1,INDIRECT("Table!A"&amp;$AF130):INDIRECT("Table!" &amp; $AI$253 &amp; $AF130),0)),"",INDIRECT(CONCATENATE("Table!",ADDRESS(#REF!,MATCH(M$1,INDIRECT("Table!A" &amp; $AF130):INDIRECT("Table!" &amp; $AI$253 &amp; $AF130),0))))/1024)</f>
        <v/>
      </c>
      <c r="M130" s="22" t="str">
        <f ca="1">IF(ISERROR(MATCH(N$1,INDIRECT("Table!A"&amp;$AF130):INDIRECT("Table!" &amp; $AI$253 &amp; $AF130),0)),"",INDIRECT(CONCATENATE("Table!",ADDRESS(#REF!,MATCH(N$1,INDIRECT("Table!A" &amp; $AF130):INDIRECT("Table!" &amp; $AI$253 &amp; $AF130),0))))/1024)</f>
        <v/>
      </c>
      <c r="N130" s="22" t="str">
        <f ca="1">IF(ISERROR(MATCH(O$1,INDIRECT("Table!A"&amp;$AF130):INDIRECT("Table!" &amp; $AI$253 &amp; $AF130),0)),"",INDIRECT(CONCATENATE("Table!",ADDRESS(#REF!,MATCH(O$1,INDIRECT("Table!A" &amp; $AF130):INDIRECT("Table!" &amp; $AI$253 &amp; $AF130),0))))/1024)</f>
        <v/>
      </c>
      <c r="O130" s="22"/>
      <c r="P130" s="272"/>
      <c r="Q130" s="22"/>
      <c r="R130" s="187"/>
      <c r="T130" s="595"/>
      <c r="U130" s="187"/>
      <c r="AD130" s="187"/>
      <c r="AE130" s="187"/>
      <c r="AF130" s="22"/>
      <c r="AG130" s="187"/>
      <c r="AH130" s="187"/>
      <c r="AI130" s="29"/>
    </row>
    <row r="131" spans="2:35" x14ac:dyDescent="0.25">
      <c r="B131" s="22" t="str">
        <f ca="1">IF(ISERROR(MATCH(B$1,INDIRECT("Table!A"&amp;$AF131):INDIRECT("Table!" &amp; $AI$253 &amp; $AF131),0)),"",INDIRECT(CONCATENATE("Table!",ADDRESS(#REF!,MATCH(B$1,INDIRECT("Table!A" &amp; $AF131):INDIRECT("Table!" &amp; $AI$253 &amp; $AF131),0))))/1024)</f>
        <v/>
      </c>
      <c r="C131" s="22" t="str">
        <f ca="1">IF(ISERROR(MATCH(C$1,INDIRECT("Table!A"&amp;$AF131):INDIRECT("Table!" &amp; $AI$253 &amp; $AF131),0)),"",INDIRECT(CONCATENATE("Table!",ADDRESS(#REF!,MATCH(C$1,INDIRECT("Table!A" &amp; $AF131):INDIRECT("Table!" &amp; $AI$253 &amp; $AF131),0))))/1024)</f>
        <v/>
      </c>
      <c r="D131" s="22" t="str">
        <f ca="1">IF(ISERROR(MATCH(D$1,INDIRECT("Table!A"&amp;$AF131):INDIRECT("Table!" &amp; $AI$253 &amp; $AF131),0)),"",INDIRECT(CONCATENATE("Table!",ADDRESS(#REF!,MATCH(D$1,INDIRECT("Table!A" &amp; $AF131):INDIRECT("Table!" &amp; $AI$253 &amp; $AF131),0))))/1024)</f>
        <v/>
      </c>
      <c r="E131" s="22" t="str">
        <f ca="1">IF(ISERROR(MATCH(E$1,INDIRECT("Table!A"&amp;$AF131):INDIRECT("Table!" &amp; $AI$253 &amp; $AF131),0)),"",INDIRECT(CONCATENATE("Table!",ADDRESS(#REF!,MATCH(E$1,INDIRECT("Table!A" &amp; $AF131):INDIRECT("Table!" &amp; $AI$253 &amp; $AF131),0))))/1024)</f>
        <v/>
      </c>
      <c r="F131" s="22" t="str">
        <f ca="1">IF(ISERROR(MATCH(F$1,INDIRECT("Table!A"&amp;$AF131):INDIRECT("Table!" &amp; $AI$253 &amp; $AF131),0)),"",INDIRECT(CONCATENATE("Table!",ADDRESS(#REF!,MATCH(F$1,INDIRECT("Table!A" &amp; $AF131):INDIRECT("Table!" &amp; $AI$253 &amp; $AF131),0))))/1024)</f>
        <v/>
      </c>
      <c r="G131" s="22" t="str">
        <f ca="1">IF(ISERROR(MATCH(G$1,INDIRECT("Table!A"&amp;$AF131):INDIRECT("Table!" &amp; $AI$253 &amp; $AF131),0)),"",INDIRECT(CONCATENATE("Table!",ADDRESS(#REF!,MATCH(G$1,INDIRECT("Table!A" &amp; $AF131):INDIRECT("Table!" &amp; $AI$253 &amp; $AF131),0))))/1024)</f>
        <v/>
      </c>
      <c r="H131" s="22" t="str">
        <f ca="1">IF(ISERROR(MATCH(H$1,INDIRECT("Table!A"&amp;$AF131):INDIRECT("Table!" &amp; $AI$253 &amp; $AF131),0)),"",INDIRECT(CONCATENATE("Table!",ADDRESS(#REF!,MATCH(H$1,INDIRECT("Table!A" &amp; $AF131):INDIRECT("Table!" &amp; $AI$253 &amp; $AF131),0))))/1024)</f>
        <v/>
      </c>
      <c r="K131" s="22" t="str">
        <f ca="1">IF(ISERROR(MATCH(L$1,INDIRECT("Table!A"&amp;$AF131):INDIRECT("Table!" &amp; $AI$253 &amp; $AF131),0)),"",INDIRECT(CONCATENATE("Table!",ADDRESS(#REF!,MATCH(L$1,INDIRECT("Table!A" &amp; $AF131):INDIRECT("Table!" &amp; $AI$253 &amp; $AF131),0))))/1024)</f>
        <v/>
      </c>
      <c r="L131" s="22" t="str">
        <f ca="1">IF(ISERROR(MATCH(M$1,INDIRECT("Table!A"&amp;$AF131):INDIRECT("Table!" &amp; $AI$253 &amp; $AF131),0)),"",INDIRECT(CONCATENATE("Table!",ADDRESS(#REF!,MATCH(M$1,INDIRECT("Table!A" &amp; $AF131):INDIRECT("Table!" &amp; $AI$253 &amp; $AF131),0))))/1024)</f>
        <v/>
      </c>
      <c r="M131" s="22" t="str">
        <f ca="1">IF(ISERROR(MATCH(N$1,INDIRECT("Table!A"&amp;$AF131):INDIRECT("Table!" &amp; $AI$253 &amp; $AF131),0)),"",INDIRECT(CONCATENATE("Table!",ADDRESS(#REF!,MATCH(N$1,INDIRECT("Table!A" &amp; $AF131):INDIRECT("Table!" &amp; $AI$253 &amp; $AF131),0))))/1024)</f>
        <v/>
      </c>
      <c r="N131" s="22" t="str">
        <f ca="1">IF(ISERROR(MATCH(O$1,INDIRECT("Table!A"&amp;$AF131):INDIRECT("Table!" &amp; $AI$253 &amp; $AF131),0)),"",INDIRECT(CONCATENATE("Table!",ADDRESS(#REF!,MATCH(O$1,INDIRECT("Table!A" &amp; $AF131):INDIRECT("Table!" &amp; $AI$253 &amp; $AF131),0))))/1024)</f>
        <v/>
      </c>
      <c r="O131" s="22"/>
      <c r="P131" s="272"/>
      <c r="Q131" s="22"/>
      <c r="R131" s="186"/>
      <c r="T131" s="595"/>
      <c r="U131" s="186"/>
      <c r="AD131" s="186"/>
      <c r="AE131" s="186"/>
      <c r="AF131" s="22"/>
      <c r="AG131" s="186"/>
      <c r="AH131" s="186"/>
      <c r="AI131" s="29"/>
    </row>
    <row r="132" spans="2:35" x14ac:dyDescent="0.25">
      <c r="B132" s="22" t="str">
        <f ca="1">IF(ISERROR(MATCH(B$1,INDIRECT("Table!A"&amp;$AF132):INDIRECT("Table!" &amp; $AI$253 &amp; $AF132),0)),"",INDIRECT(CONCATENATE("Table!",ADDRESS(#REF!,MATCH(B$1,INDIRECT("Table!A" &amp; $AF132):INDIRECT("Table!" &amp; $AI$253 &amp; $AF132),0))))/1024)</f>
        <v/>
      </c>
      <c r="C132" s="22" t="str">
        <f ca="1">IF(ISERROR(MATCH(C$1,INDIRECT("Table!A"&amp;$AF132):INDIRECT("Table!" &amp; $AI$253 &amp; $AF132),0)),"",INDIRECT(CONCATENATE("Table!",ADDRESS(#REF!,MATCH(C$1,INDIRECT("Table!A" &amp; $AF132):INDIRECT("Table!" &amp; $AI$253 &amp; $AF132),0))))/1024)</f>
        <v/>
      </c>
      <c r="D132" s="22" t="str">
        <f ca="1">IF(ISERROR(MATCH(D$1,INDIRECT("Table!A"&amp;$AF132):INDIRECT("Table!" &amp; $AI$253 &amp; $AF132),0)),"",INDIRECT(CONCATENATE("Table!",ADDRESS(#REF!,MATCH(D$1,INDIRECT("Table!A" &amp; $AF132):INDIRECT("Table!" &amp; $AI$253 &amp; $AF132),0))))/1024)</f>
        <v/>
      </c>
      <c r="E132" s="22" t="str">
        <f ca="1">IF(ISERROR(MATCH(E$1,INDIRECT("Table!A"&amp;$AF132):INDIRECT("Table!" &amp; $AI$253 &amp; $AF132),0)),"",INDIRECT(CONCATENATE("Table!",ADDRESS(#REF!,MATCH(E$1,INDIRECT("Table!A" &amp; $AF132):INDIRECT("Table!" &amp; $AI$253 &amp; $AF132),0))))/1024)</f>
        <v/>
      </c>
      <c r="F132" s="22" t="str">
        <f ca="1">IF(ISERROR(MATCH(F$1,INDIRECT("Table!A"&amp;$AF132):INDIRECT("Table!" &amp; $AI$253 &amp; $AF132),0)),"",INDIRECT(CONCATENATE("Table!",ADDRESS(#REF!,MATCH(F$1,INDIRECT("Table!A" &amp; $AF132):INDIRECT("Table!" &amp; $AI$253 &amp; $AF132),0))))/1024)</f>
        <v/>
      </c>
      <c r="G132" s="22" t="str">
        <f ca="1">IF(ISERROR(MATCH(G$1,INDIRECT("Table!A"&amp;$AF132):INDIRECT("Table!" &amp; $AI$253 &amp; $AF132),0)),"",INDIRECT(CONCATENATE("Table!",ADDRESS(#REF!,MATCH(G$1,INDIRECT("Table!A" &amp; $AF132):INDIRECT("Table!" &amp; $AI$253 &amp; $AF132),0))))/1024)</f>
        <v/>
      </c>
      <c r="H132" s="22" t="str">
        <f ca="1">IF(ISERROR(MATCH(H$1,INDIRECT("Table!A"&amp;$AF132):INDIRECT("Table!" &amp; $AI$253 &amp; $AF132),0)),"",INDIRECT(CONCATENATE("Table!",ADDRESS(#REF!,MATCH(H$1,INDIRECT("Table!A" &amp; $AF132):INDIRECT("Table!" &amp; $AI$253 &amp; $AF132),0))))/1024)</f>
        <v/>
      </c>
      <c r="K132" s="22" t="str">
        <f ca="1">IF(ISERROR(MATCH(L$1,INDIRECT("Table!A"&amp;$AF132):INDIRECT("Table!" &amp; $AI$253 &amp; $AF132),0)),"",INDIRECT(CONCATENATE("Table!",ADDRESS(#REF!,MATCH(L$1,INDIRECT("Table!A" &amp; $AF132):INDIRECT("Table!" &amp; $AI$253 &amp; $AF132),0))))/1024)</f>
        <v/>
      </c>
      <c r="L132" s="22" t="str">
        <f ca="1">IF(ISERROR(MATCH(M$1,INDIRECT("Table!A"&amp;$AF132):INDIRECT("Table!" &amp; $AI$253 &amp; $AF132),0)),"",INDIRECT(CONCATENATE("Table!",ADDRESS(#REF!,MATCH(M$1,INDIRECT("Table!A" &amp; $AF132):INDIRECT("Table!" &amp; $AI$253 &amp; $AF132),0))))/1024)</f>
        <v/>
      </c>
      <c r="M132" s="22" t="str">
        <f ca="1">IF(ISERROR(MATCH(N$1,INDIRECT("Table!A"&amp;$AF132):INDIRECT("Table!" &amp; $AI$253 &amp; $AF132),0)),"",INDIRECT(CONCATENATE("Table!",ADDRESS(#REF!,MATCH(N$1,INDIRECT("Table!A" &amp; $AF132):INDIRECT("Table!" &amp; $AI$253 &amp; $AF132),0))))/1024)</f>
        <v/>
      </c>
      <c r="N132" s="22" t="str">
        <f ca="1">IF(ISERROR(MATCH(O$1,INDIRECT("Table!A"&amp;$AF132):INDIRECT("Table!" &amp; $AI$253 &amp; $AF132),0)),"",INDIRECT(CONCATENATE("Table!",ADDRESS(#REF!,MATCH(O$1,INDIRECT("Table!A" &amp; $AF132):INDIRECT("Table!" &amp; $AI$253 &amp; $AF132),0))))/1024)</f>
        <v/>
      </c>
      <c r="O132" s="22"/>
      <c r="P132" s="272"/>
      <c r="Q132" s="22"/>
      <c r="R132" s="185"/>
      <c r="T132" s="595"/>
      <c r="U132" s="185"/>
      <c r="AD132" s="185"/>
      <c r="AE132" s="185"/>
      <c r="AF132" s="22"/>
      <c r="AG132" s="185"/>
      <c r="AH132" s="185"/>
      <c r="AI132" s="29"/>
    </row>
    <row r="133" spans="2:35" x14ac:dyDescent="0.25">
      <c r="B133" s="22" t="str">
        <f ca="1">IF(ISERROR(MATCH(B$1,INDIRECT("Table!A"&amp;$AF133):INDIRECT("Table!" &amp; $AI$253 &amp; $AF133),0)),"",INDIRECT(CONCATENATE("Table!",ADDRESS(#REF!,MATCH(B$1,INDIRECT("Table!A" &amp; $AF133):INDIRECT("Table!" &amp; $AI$253 &amp; $AF133),0))))/1024)</f>
        <v/>
      </c>
      <c r="C133" s="22" t="str">
        <f ca="1">IF(ISERROR(MATCH(C$1,INDIRECT("Table!A"&amp;$AF133):INDIRECT("Table!" &amp; $AI$253 &amp; $AF133),0)),"",INDIRECT(CONCATENATE("Table!",ADDRESS(#REF!,MATCH(C$1,INDIRECT("Table!A" &amp; $AF133):INDIRECT("Table!" &amp; $AI$253 &amp; $AF133),0))))/1024)</f>
        <v/>
      </c>
      <c r="D133" s="22" t="str">
        <f ca="1">IF(ISERROR(MATCH(D$1,INDIRECT("Table!A"&amp;$AF133):INDIRECT("Table!" &amp; $AI$253 &amp; $AF133),0)),"",INDIRECT(CONCATENATE("Table!",ADDRESS(#REF!,MATCH(D$1,INDIRECT("Table!A" &amp; $AF133):INDIRECT("Table!" &amp; $AI$253 &amp; $AF133),0))))/1024)</f>
        <v/>
      </c>
      <c r="E133" s="22" t="str">
        <f ca="1">IF(ISERROR(MATCH(E$1,INDIRECT("Table!A"&amp;$AF133):INDIRECT("Table!" &amp; $AI$253 &amp; $AF133),0)),"",INDIRECT(CONCATENATE("Table!",ADDRESS(#REF!,MATCH(E$1,INDIRECT("Table!A" &amp; $AF133):INDIRECT("Table!" &amp; $AI$253 &amp; $AF133),0))))/1024)</f>
        <v/>
      </c>
      <c r="F133" s="22" t="str">
        <f ca="1">IF(ISERROR(MATCH(F$1,INDIRECT("Table!A"&amp;$AF133):INDIRECT("Table!" &amp; $AI$253 &amp; $AF133),0)),"",INDIRECT(CONCATENATE("Table!",ADDRESS(#REF!,MATCH(F$1,INDIRECT("Table!A" &amp; $AF133):INDIRECT("Table!" &amp; $AI$253 &amp; $AF133),0))))/1024)</f>
        <v/>
      </c>
      <c r="G133" s="22" t="str">
        <f ca="1">IF(ISERROR(MATCH(G$1,INDIRECT("Table!A"&amp;$AF133):INDIRECT("Table!" &amp; $AI$253 &amp; $AF133),0)),"",INDIRECT(CONCATENATE("Table!",ADDRESS(#REF!,MATCH(G$1,INDIRECT("Table!A" &amp; $AF133):INDIRECT("Table!" &amp; $AI$253 &amp; $AF133),0))))/1024)</f>
        <v/>
      </c>
      <c r="H133" s="22" t="str">
        <f ca="1">IF(ISERROR(MATCH(H$1,INDIRECT("Table!A"&amp;$AF133):INDIRECT("Table!" &amp; $AI$253 &amp; $AF133),0)),"",INDIRECT(CONCATENATE("Table!",ADDRESS(#REF!,MATCH(H$1,INDIRECT("Table!A" &amp; $AF133):INDIRECT("Table!" &amp; $AI$253 &amp; $AF133),0))))/1024)</f>
        <v/>
      </c>
      <c r="K133" s="22" t="str">
        <f ca="1">IF(ISERROR(MATCH(L$1,INDIRECT("Table!A"&amp;$AF133):INDIRECT("Table!" &amp; $AI$253 &amp; $AF133),0)),"",INDIRECT(CONCATENATE("Table!",ADDRESS(#REF!,MATCH(L$1,INDIRECT("Table!A" &amp; $AF133):INDIRECT("Table!" &amp; $AI$253 &amp; $AF133),0))))/1024)</f>
        <v/>
      </c>
      <c r="L133" s="22" t="str">
        <f ca="1">IF(ISERROR(MATCH(M$1,INDIRECT("Table!A"&amp;$AF133):INDIRECT("Table!" &amp; $AI$253 &amp; $AF133),0)),"",INDIRECT(CONCATENATE("Table!",ADDRESS(#REF!,MATCH(M$1,INDIRECT("Table!A" &amp; $AF133):INDIRECT("Table!" &amp; $AI$253 &amp; $AF133),0))))/1024)</f>
        <v/>
      </c>
      <c r="M133" s="22" t="str">
        <f ca="1">IF(ISERROR(MATCH(N$1,INDIRECT("Table!A"&amp;$AF133):INDIRECT("Table!" &amp; $AI$253 &amp; $AF133),0)),"",INDIRECT(CONCATENATE("Table!",ADDRESS(#REF!,MATCH(N$1,INDIRECT("Table!A" &amp; $AF133):INDIRECT("Table!" &amp; $AI$253 &amp; $AF133),0))))/1024)</f>
        <v/>
      </c>
      <c r="N133" s="22" t="str">
        <f ca="1">IF(ISERROR(MATCH(O$1,INDIRECT("Table!A"&amp;$AF133):INDIRECT("Table!" &amp; $AI$253 &amp; $AF133),0)),"",INDIRECT(CONCATENATE("Table!",ADDRESS(#REF!,MATCH(O$1,INDIRECT("Table!A" &amp; $AF133):INDIRECT("Table!" &amp; $AI$253 &amp; $AF133),0))))/1024)</f>
        <v/>
      </c>
      <c r="O133" s="22"/>
      <c r="P133" s="272"/>
      <c r="Q133" s="22"/>
      <c r="R133" s="185"/>
      <c r="T133" s="595"/>
      <c r="U133" s="185"/>
      <c r="AD133" s="185"/>
      <c r="AE133" s="185"/>
      <c r="AF133" s="22"/>
      <c r="AG133" s="185"/>
      <c r="AH133" s="185"/>
      <c r="AI133" s="29"/>
    </row>
    <row r="134" spans="2:35" x14ac:dyDescent="0.25">
      <c r="B134" s="22" t="str">
        <f ca="1">IF(ISERROR(MATCH(B$1,INDIRECT("Table!A"&amp;$AF134):INDIRECT("Table!" &amp; $AI$253 &amp; $AF134),0)),"",INDIRECT(CONCATENATE("Table!",ADDRESS(#REF!,MATCH(B$1,INDIRECT("Table!A" &amp; $AF134):INDIRECT("Table!" &amp; $AI$253 &amp; $AF134),0))))/1024)</f>
        <v/>
      </c>
      <c r="C134" s="22" t="str">
        <f ca="1">IF(ISERROR(MATCH(C$1,INDIRECT("Table!A"&amp;$AF134):INDIRECT("Table!" &amp; $AI$253 &amp; $AF134),0)),"",INDIRECT(CONCATENATE("Table!",ADDRESS(#REF!,MATCH(C$1,INDIRECT("Table!A" &amp; $AF134):INDIRECT("Table!" &amp; $AI$253 &amp; $AF134),0))))/1024)</f>
        <v/>
      </c>
      <c r="D134" s="22" t="str">
        <f ca="1">IF(ISERROR(MATCH(D$1,INDIRECT("Table!A"&amp;$AF134):INDIRECT("Table!" &amp; $AI$253 &amp; $AF134),0)),"",INDIRECT(CONCATENATE("Table!",ADDRESS(#REF!,MATCH(D$1,INDIRECT("Table!A" &amp; $AF134):INDIRECT("Table!" &amp; $AI$253 &amp; $AF134),0))))/1024)</f>
        <v/>
      </c>
      <c r="E134" s="22" t="str">
        <f ca="1">IF(ISERROR(MATCH(E$1,INDIRECT("Table!A"&amp;$AF134):INDIRECT("Table!" &amp; $AI$253 &amp; $AF134),0)),"",INDIRECT(CONCATENATE("Table!",ADDRESS(#REF!,MATCH(E$1,INDIRECT("Table!A" &amp; $AF134):INDIRECT("Table!" &amp; $AI$253 &amp; $AF134),0))))/1024)</f>
        <v/>
      </c>
      <c r="F134" s="22" t="str">
        <f ca="1">IF(ISERROR(MATCH(F$1,INDIRECT("Table!A"&amp;$AF134):INDIRECT("Table!" &amp; $AI$253 &amp; $AF134),0)),"",INDIRECT(CONCATENATE("Table!",ADDRESS(#REF!,MATCH(F$1,INDIRECT("Table!A" &amp; $AF134):INDIRECT("Table!" &amp; $AI$253 &amp; $AF134),0))))/1024)</f>
        <v/>
      </c>
      <c r="G134" s="22" t="str">
        <f ca="1">IF(ISERROR(MATCH(G$1,INDIRECT("Table!A"&amp;$AF134):INDIRECT("Table!" &amp; $AI$253 &amp; $AF134),0)),"",INDIRECT(CONCATENATE("Table!",ADDRESS(#REF!,MATCH(G$1,INDIRECT("Table!A" &amp; $AF134):INDIRECT("Table!" &amp; $AI$253 &amp; $AF134),0))))/1024)</f>
        <v/>
      </c>
      <c r="H134" s="22" t="str">
        <f ca="1">IF(ISERROR(MATCH(H$1,INDIRECT("Table!A"&amp;$AF134):INDIRECT("Table!" &amp; $AI$253 &amp; $AF134),0)),"",INDIRECT(CONCATENATE("Table!",ADDRESS(#REF!,MATCH(H$1,INDIRECT("Table!A" &amp; $AF134):INDIRECT("Table!" &amp; $AI$253 &amp; $AF134),0))))/1024)</f>
        <v/>
      </c>
      <c r="K134" s="22" t="str">
        <f ca="1">IF(ISERROR(MATCH(L$1,INDIRECT("Table!A"&amp;$AF134):INDIRECT("Table!" &amp; $AI$253 &amp; $AF134),0)),"",INDIRECT(CONCATENATE("Table!",ADDRESS(#REF!,MATCH(L$1,INDIRECT("Table!A" &amp; $AF134):INDIRECT("Table!" &amp; $AI$253 &amp; $AF134),0))))/1024)</f>
        <v/>
      </c>
      <c r="L134" s="22" t="str">
        <f ca="1">IF(ISERROR(MATCH(M$1,INDIRECT("Table!A"&amp;$AF134):INDIRECT("Table!" &amp; $AI$253 &amp; $AF134),0)),"",INDIRECT(CONCATENATE("Table!",ADDRESS(#REF!,MATCH(M$1,INDIRECT("Table!A" &amp; $AF134):INDIRECT("Table!" &amp; $AI$253 &amp; $AF134),0))))/1024)</f>
        <v/>
      </c>
      <c r="M134" s="22" t="str">
        <f ca="1">IF(ISERROR(MATCH(N$1,INDIRECT("Table!A"&amp;$AF134):INDIRECT("Table!" &amp; $AI$253 &amp; $AF134),0)),"",INDIRECT(CONCATENATE("Table!",ADDRESS(#REF!,MATCH(N$1,INDIRECT("Table!A" &amp; $AF134):INDIRECT("Table!" &amp; $AI$253 &amp; $AF134),0))))/1024)</f>
        <v/>
      </c>
      <c r="N134" s="22" t="str">
        <f ca="1">IF(ISERROR(MATCH(O$1,INDIRECT("Table!A"&amp;$AF134):INDIRECT("Table!" &amp; $AI$253 &amp; $AF134),0)),"",INDIRECT(CONCATENATE("Table!",ADDRESS(#REF!,MATCH(O$1,INDIRECT("Table!A" &amp; $AF134):INDIRECT("Table!" &amp; $AI$253 &amp; $AF134),0))))/1024)</f>
        <v/>
      </c>
      <c r="O134" s="22"/>
      <c r="P134" s="272"/>
      <c r="Q134" s="22"/>
      <c r="R134" s="184"/>
      <c r="T134" s="595"/>
      <c r="U134" s="184"/>
      <c r="AD134" s="184"/>
      <c r="AE134" s="184"/>
      <c r="AF134" s="22"/>
      <c r="AG134" s="184"/>
      <c r="AH134" s="184"/>
      <c r="AI134" s="29"/>
    </row>
    <row r="135" spans="2:35" x14ac:dyDescent="0.25">
      <c r="B135" s="22" t="str">
        <f ca="1">IF(ISERROR(MATCH(B$1,INDIRECT("Table!A"&amp;$AF135):INDIRECT("Table!" &amp; $AI$253 &amp; $AF135),0)),"",INDIRECT(CONCATENATE("Table!",ADDRESS(#REF!,MATCH(B$1,INDIRECT("Table!A" &amp; $AF135):INDIRECT("Table!" &amp; $AI$253 &amp; $AF135),0))))/1024)</f>
        <v/>
      </c>
      <c r="C135" s="22" t="str">
        <f ca="1">IF(ISERROR(MATCH(C$1,INDIRECT("Table!A"&amp;$AF135):INDIRECT("Table!" &amp; $AI$253 &amp; $AF135),0)),"",INDIRECT(CONCATENATE("Table!",ADDRESS(#REF!,MATCH(C$1,INDIRECT("Table!A" &amp; $AF135):INDIRECT("Table!" &amp; $AI$253 &amp; $AF135),0))))/1024)</f>
        <v/>
      </c>
      <c r="D135" s="22" t="str">
        <f ca="1">IF(ISERROR(MATCH(D$1,INDIRECT("Table!A"&amp;$AF135):INDIRECT("Table!" &amp; $AI$253 &amp; $AF135),0)),"",INDIRECT(CONCATENATE("Table!",ADDRESS(#REF!,MATCH(D$1,INDIRECT("Table!A" &amp; $AF135):INDIRECT("Table!" &amp; $AI$253 &amp; $AF135),0))))/1024)</f>
        <v/>
      </c>
      <c r="E135" s="22" t="str">
        <f ca="1">IF(ISERROR(MATCH(E$1,INDIRECT("Table!A"&amp;$AF135):INDIRECT("Table!" &amp; $AI$253 &amp; $AF135),0)),"",INDIRECT(CONCATENATE("Table!",ADDRESS(#REF!,MATCH(E$1,INDIRECT("Table!A" &amp; $AF135):INDIRECT("Table!" &amp; $AI$253 &amp; $AF135),0))))/1024)</f>
        <v/>
      </c>
      <c r="F135" s="22" t="str">
        <f ca="1">IF(ISERROR(MATCH(F$1,INDIRECT("Table!A"&amp;$AF135):INDIRECT("Table!" &amp; $AI$253 &amp; $AF135),0)),"",INDIRECT(CONCATENATE("Table!",ADDRESS(#REF!,MATCH(F$1,INDIRECT("Table!A" &amp; $AF135):INDIRECT("Table!" &amp; $AI$253 &amp; $AF135),0))))/1024)</f>
        <v/>
      </c>
      <c r="G135" s="22" t="str">
        <f ca="1">IF(ISERROR(MATCH(G$1,INDIRECT("Table!A"&amp;$AF135):INDIRECT("Table!" &amp; $AI$253 &amp; $AF135),0)),"",INDIRECT(CONCATENATE("Table!",ADDRESS(#REF!,MATCH(G$1,INDIRECT("Table!A" &amp; $AF135):INDIRECT("Table!" &amp; $AI$253 &amp; $AF135),0))))/1024)</f>
        <v/>
      </c>
      <c r="H135" s="22" t="str">
        <f ca="1">IF(ISERROR(MATCH(H$1,INDIRECT("Table!A"&amp;$AF135):INDIRECT("Table!" &amp; $AI$253 &amp; $AF135),0)),"",INDIRECT(CONCATENATE("Table!",ADDRESS(#REF!,MATCH(H$1,INDIRECT("Table!A" &amp; $AF135):INDIRECT("Table!" &amp; $AI$253 &amp; $AF135),0))))/1024)</f>
        <v/>
      </c>
      <c r="K135" s="22" t="str">
        <f ca="1">IF(ISERROR(MATCH(L$1,INDIRECT("Table!A"&amp;$AF135):INDIRECT("Table!" &amp; $AI$253 &amp; $AF135),0)),"",INDIRECT(CONCATENATE("Table!",ADDRESS(#REF!,MATCH(L$1,INDIRECT("Table!A" &amp; $AF135):INDIRECT("Table!" &amp; $AI$253 &amp; $AF135),0))))/1024)</f>
        <v/>
      </c>
      <c r="L135" s="22" t="str">
        <f ca="1">IF(ISERROR(MATCH(M$1,INDIRECT("Table!A"&amp;$AF135):INDIRECT("Table!" &amp; $AI$253 &amp; $AF135),0)),"",INDIRECT(CONCATENATE("Table!",ADDRESS(#REF!,MATCH(M$1,INDIRECT("Table!A" &amp; $AF135):INDIRECT("Table!" &amp; $AI$253 &amp; $AF135),0))))/1024)</f>
        <v/>
      </c>
      <c r="M135" s="22" t="str">
        <f ca="1">IF(ISERROR(MATCH(N$1,INDIRECT("Table!A"&amp;$AF135):INDIRECT("Table!" &amp; $AI$253 &amp; $AF135),0)),"",INDIRECT(CONCATENATE("Table!",ADDRESS(#REF!,MATCH(N$1,INDIRECT("Table!A" &amp; $AF135):INDIRECT("Table!" &amp; $AI$253 &amp; $AF135),0))))/1024)</f>
        <v/>
      </c>
      <c r="N135" s="22" t="str">
        <f ca="1">IF(ISERROR(MATCH(O$1,INDIRECT("Table!A"&amp;$AF135):INDIRECT("Table!" &amp; $AI$253 &amp; $AF135),0)),"",INDIRECT(CONCATENATE("Table!",ADDRESS(#REF!,MATCH(O$1,INDIRECT("Table!A" &amp; $AF135):INDIRECT("Table!" &amp; $AI$253 &amp; $AF135),0))))/1024)</f>
        <v/>
      </c>
      <c r="O135" s="22"/>
      <c r="P135" s="272"/>
      <c r="Q135" s="22"/>
      <c r="R135" s="183"/>
      <c r="T135" s="595"/>
      <c r="U135" s="183"/>
      <c r="AD135" s="183"/>
      <c r="AE135" s="183"/>
      <c r="AF135" s="22"/>
      <c r="AG135" s="183"/>
      <c r="AH135" s="183"/>
      <c r="AI135" s="29"/>
    </row>
    <row r="136" spans="2:35" x14ac:dyDescent="0.25">
      <c r="B136" s="22" t="str">
        <f ca="1">IF(ISERROR(MATCH(B$1,INDIRECT("Table!A"&amp;$AF136):INDIRECT("Table!" &amp; $AI$253 &amp; $AF136),0)),"",INDIRECT(CONCATENATE("Table!",ADDRESS(#REF!,MATCH(B$1,INDIRECT("Table!A" &amp; $AF136):INDIRECT("Table!" &amp; $AI$253 &amp; $AF136),0))))/1024)</f>
        <v/>
      </c>
      <c r="C136" s="22" t="str">
        <f ca="1">IF(ISERROR(MATCH(C$1,INDIRECT("Table!A"&amp;$AF136):INDIRECT("Table!" &amp; $AI$253 &amp; $AF136),0)),"",INDIRECT(CONCATENATE("Table!",ADDRESS(#REF!,MATCH(C$1,INDIRECT("Table!A" &amp; $AF136):INDIRECT("Table!" &amp; $AI$253 &amp; $AF136),0))))/1024)</f>
        <v/>
      </c>
      <c r="D136" s="22" t="str">
        <f ca="1">IF(ISERROR(MATCH(D$1,INDIRECT("Table!A"&amp;$AF136):INDIRECT("Table!" &amp; $AI$253 &amp; $AF136),0)),"",INDIRECT(CONCATENATE("Table!",ADDRESS(#REF!,MATCH(D$1,INDIRECT("Table!A" &amp; $AF136):INDIRECT("Table!" &amp; $AI$253 &amp; $AF136),0))))/1024)</f>
        <v/>
      </c>
      <c r="E136" s="22" t="str">
        <f ca="1">IF(ISERROR(MATCH(E$1,INDIRECT("Table!A"&amp;$AF136):INDIRECT("Table!" &amp; $AI$253 &amp; $AF136),0)),"",INDIRECT(CONCATENATE("Table!",ADDRESS(#REF!,MATCH(E$1,INDIRECT("Table!A" &amp; $AF136):INDIRECT("Table!" &amp; $AI$253 &amp; $AF136),0))))/1024)</f>
        <v/>
      </c>
      <c r="F136" s="22" t="str">
        <f ca="1">IF(ISERROR(MATCH(F$1,INDIRECT("Table!A"&amp;$AF136):INDIRECT("Table!" &amp; $AI$253 &amp; $AF136),0)),"",INDIRECT(CONCATENATE("Table!",ADDRESS(#REF!,MATCH(F$1,INDIRECT("Table!A" &amp; $AF136):INDIRECT("Table!" &amp; $AI$253 &amp; $AF136),0))))/1024)</f>
        <v/>
      </c>
      <c r="G136" s="22" t="str">
        <f ca="1">IF(ISERROR(MATCH(G$1,INDIRECT("Table!A"&amp;$AF136):INDIRECT("Table!" &amp; $AI$253 &amp; $AF136),0)),"",INDIRECT(CONCATENATE("Table!",ADDRESS(#REF!,MATCH(G$1,INDIRECT("Table!A" &amp; $AF136):INDIRECT("Table!" &amp; $AI$253 &amp; $AF136),0))))/1024)</f>
        <v/>
      </c>
      <c r="H136" s="22" t="str">
        <f ca="1">IF(ISERROR(MATCH(H$1,INDIRECT("Table!A"&amp;$AF136):INDIRECT("Table!" &amp; $AI$253 &amp; $AF136),0)),"",INDIRECT(CONCATENATE("Table!",ADDRESS(#REF!,MATCH(H$1,INDIRECT("Table!A" &amp; $AF136):INDIRECT("Table!" &amp; $AI$253 &amp; $AF136),0))))/1024)</f>
        <v/>
      </c>
      <c r="K136" s="22" t="str">
        <f ca="1">IF(ISERROR(MATCH(L$1,INDIRECT("Table!A"&amp;$AF136):INDIRECT("Table!" &amp; $AI$253 &amp; $AF136),0)),"",INDIRECT(CONCATENATE("Table!",ADDRESS(#REF!,MATCH(L$1,INDIRECT("Table!A" &amp; $AF136):INDIRECT("Table!" &amp; $AI$253 &amp; $AF136),0))))/1024)</f>
        <v/>
      </c>
      <c r="L136" s="22" t="str">
        <f ca="1">IF(ISERROR(MATCH(M$1,INDIRECT("Table!A"&amp;$AF136):INDIRECT("Table!" &amp; $AI$253 &amp; $AF136),0)),"",INDIRECT(CONCATENATE("Table!",ADDRESS(#REF!,MATCH(M$1,INDIRECT("Table!A" &amp; $AF136):INDIRECT("Table!" &amp; $AI$253 &amp; $AF136),0))))/1024)</f>
        <v/>
      </c>
      <c r="M136" s="22" t="str">
        <f ca="1">IF(ISERROR(MATCH(N$1,INDIRECT("Table!A"&amp;$AF136):INDIRECT("Table!" &amp; $AI$253 &amp; $AF136),0)),"",INDIRECT(CONCATENATE("Table!",ADDRESS(#REF!,MATCH(N$1,INDIRECT("Table!A" &amp; $AF136):INDIRECT("Table!" &amp; $AI$253 &amp; $AF136),0))))/1024)</f>
        <v/>
      </c>
      <c r="N136" s="22" t="str">
        <f ca="1">IF(ISERROR(MATCH(O$1,INDIRECT("Table!A"&amp;$AF136):INDIRECT("Table!" &amp; $AI$253 &amp; $AF136),0)),"",INDIRECT(CONCATENATE("Table!",ADDRESS(#REF!,MATCH(O$1,INDIRECT("Table!A" &amp; $AF136):INDIRECT("Table!" &amp; $AI$253 &amp; $AF136),0))))/1024)</f>
        <v/>
      </c>
      <c r="O136" s="22"/>
      <c r="P136" s="272"/>
      <c r="Q136" s="22"/>
      <c r="R136" s="182"/>
      <c r="T136" s="595"/>
      <c r="U136" s="182"/>
      <c r="AD136" s="182"/>
      <c r="AE136" s="182"/>
      <c r="AF136" s="22"/>
      <c r="AG136" s="182"/>
      <c r="AH136" s="182"/>
      <c r="AI136" s="29"/>
    </row>
    <row r="137" spans="2:35" x14ac:dyDescent="0.25">
      <c r="B137" s="22" t="str">
        <f ca="1">IF(ISERROR(MATCH(B$1,INDIRECT("Table!A"&amp;$AF137):INDIRECT("Table!" &amp; $AI$253 &amp; $AF137),0)),"",INDIRECT(CONCATENATE("Table!",ADDRESS(#REF!,MATCH(B$1,INDIRECT("Table!A" &amp; $AF137):INDIRECT("Table!" &amp; $AI$253 &amp; $AF137),0))))/1024)</f>
        <v/>
      </c>
      <c r="C137" s="22" t="str">
        <f ca="1">IF(ISERROR(MATCH(C$1,INDIRECT("Table!A"&amp;$AF137):INDIRECT("Table!" &amp; $AI$253 &amp; $AF137),0)),"",INDIRECT(CONCATENATE("Table!",ADDRESS(#REF!,MATCH(C$1,INDIRECT("Table!A" &amp; $AF137):INDIRECT("Table!" &amp; $AI$253 &amp; $AF137),0))))/1024)</f>
        <v/>
      </c>
      <c r="D137" s="22" t="str">
        <f ca="1">IF(ISERROR(MATCH(D$1,INDIRECT("Table!A"&amp;$AF137):INDIRECT("Table!" &amp; $AI$253 &amp; $AF137),0)),"",INDIRECT(CONCATENATE("Table!",ADDRESS(#REF!,MATCH(D$1,INDIRECT("Table!A" &amp; $AF137):INDIRECT("Table!" &amp; $AI$253 &amp; $AF137),0))))/1024)</f>
        <v/>
      </c>
      <c r="E137" s="22" t="str">
        <f ca="1">IF(ISERROR(MATCH(E$1,INDIRECT("Table!A"&amp;$AF137):INDIRECT("Table!" &amp; $AI$253 &amp; $AF137),0)),"",INDIRECT(CONCATENATE("Table!",ADDRESS(#REF!,MATCH(E$1,INDIRECT("Table!A" &amp; $AF137):INDIRECT("Table!" &amp; $AI$253 &amp; $AF137),0))))/1024)</f>
        <v/>
      </c>
      <c r="F137" s="22" t="str">
        <f ca="1">IF(ISERROR(MATCH(F$1,INDIRECT("Table!A"&amp;$AF137):INDIRECT("Table!" &amp; $AI$253 &amp; $AF137),0)),"",INDIRECT(CONCATENATE("Table!",ADDRESS(#REF!,MATCH(F$1,INDIRECT("Table!A" &amp; $AF137):INDIRECT("Table!" &amp; $AI$253 &amp; $AF137),0))))/1024)</f>
        <v/>
      </c>
      <c r="G137" s="22" t="str">
        <f ca="1">IF(ISERROR(MATCH(G$1,INDIRECT("Table!A"&amp;$AF137):INDIRECT("Table!" &amp; $AI$253 &amp; $AF137),0)),"",INDIRECT(CONCATENATE("Table!",ADDRESS(#REF!,MATCH(G$1,INDIRECT("Table!A" &amp; $AF137):INDIRECT("Table!" &amp; $AI$253 &amp; $AF137),0))))/1024)</f>
        <v/>
      </c>
      <c r="H137" s="22" t="str">
        <f ca="1">IF(ISERROR(MATCH(H$1,INDIRECT("Table!A"&amp;$AF137):INDIRECT("Table!" &amp; $AI$253 &amp; $AF137),0)),"",INDIRECT(CONCATENATE("Table!",ADDRESS(#REF!,MATCH(H$1,INDIRECT("Table!A" &amp; $AF137):INDIRECT("Table!" &amp; $AI$253 &amp; $AF137),0))))/1024)</f>
        <v/>
      </c>
      <c r="K137" s="22" t="str">
        <f ca="1">IF(ISERROR(MATCH(L$1,INDIRECT("Table!A"&amp;$AF137):INDIRECT("Table!" &amp; $AI$253 &amp; $AF137),0)),"",INDIRECT(CONCATENATE("Table!",ADDRESS(#REF!,MATCH(L$1,INDIRECT("Table!A" &amp; $AF137):INDIRECT("Table!" &amp; $AI$253 &amp; $AF137),0))))/1024)</f>
        <v/>
      </c>
      <c r="L137" s="22" t="str">
        <f ca="1">IF(ISERROR(MATCH(M$1,INDIRECT("Table!A"&amp;$AF137):INDIRECT("Table!" &amp; $AI$253 &amp; $AF137),0)),"",INDIRECT(CONCATENATE("Table!",ADDRESS(#REF!,MATCH(M$1,INDIRECT("Table!A" &amp; $AF137):INDIRECT("Table!" &amp; $AI$253 &amp; $AF137),0))))/1024)</f>
        <v/>
      </c>
      <c r="M137" s="22" t="str">
        <f ca="1">IF(ISERROR(MATCH(N$1,INDIRECT("Table!A"&amp;$AF137):INDIRECT("Table!" &amp; $AI$253 &amp; $AF137),0)),"",INDIRECT(CONCATENATE("Table!",ADDRESS(#REF!,MATCH(N$1,INDIRECT("Table!A" &amp; $AF137):INDIRECT("Table!" &amp; $AI$253 &amp; $AF137),0))))/1024)</f>
        <v/>
      </c>
      <c r="N137" s="22" t="str">
        <f ca="1">IF(ISERROR(MATCH(O$1,INDIRECT("Table!A"&amp;$AF137):INDIRECT("Table!" &amp; $AI$253 &amp; $AF137),0)),"",INDIRECT(CONCATENATE("Table!",ADDRESS(#REF!,MATCH(O$1,INDIRECT("Table!A" &amp; $AF137):INDIRECT("Table!" &amp; $AI$253 &amp; $AF137),0))))/1024)</f>
        <v/>
      </c>
      <c r="O137" s="22"/>
      <c r="P137" s="272"/>
      <c r="Q137" s="22"/>
      <c r="R137" s="181"/>
      <c r="T137" s="595"/>
      <c r="U137" s="181"/>
      <c r="AD137" s="181"/>
      <c r="AE137" s="181"/>
      <c r="AF137" s="22"/>
      <c r="AG137" s="181"/>
      <c r="AH137" s="181"/>
      <c r="AI137" s="29"/>
    </row>
    <row r="138" spans="2:35" x14ac:dyDescent="0.25">
      <c r="B138" s="22" t="str">
        <f ca="1">IF(ISERROR(MATCH(B$1,INDIRECT("Table!A"&amp;$AF138):INDIRECT("Table!" &amp; $AI$253 &amp; $AF138),0)),"",INDIRECT(CONCATENATE("Table!",ADDRESS(#REF!,MATCH(B$1,INDIRECT("Table!A" &amp; $AF138):INDIRECT("Table!" &amp; $AI$253 &amp; $AF138),0))))/1024)</f>
        <v/>
      </c>
      <c r="C138" s="22" t="str">
        <f ca="1">IF(ISERROR(MATCH(C$1,INDIRECT("Table!A"&amp;$AF138):INDIRECT("Table!" &amp; $AI$253 &amp; $AF138),0)),"",INDIRECT(CONCATENATE("Table!",ADDRESS(#REF!,MATCH(C$1,INDIRECT("Table!A" &amp; $AF138):INDIRECT("Table!" &amp; $AI$253 &amp; $AF138),0))))/1024)</f>
        <v/>
      </c>
      <c r="D138" s="22" t="str">
        <f ca="1">IF(ISERROR(MATCH(D$1,INDIRECT("Table!A"&amp;$AF138):INDIRECT("Table!" &amp; $AI$253 &amp; $AF138),0)),"",INDIRECT(CONCATENATE("Table!",ADDRESS(#REF!,MATCH(D$1,INDIRECT("Table!A" &amp; $AF138):INDIRECT("Table!" &amp; $AI$253 &amp; $AF138),0))))/1024)</f>
        <v/>
      </c>
      <c r="E138" s="22" t="str">
        <f ca="1">IF(ISERROR(MATCH(E$1,INDIRECT("Table!A"&amp;$AF138):INDIRECT("Table!" &amp; $AI$253 &amp; $AF138),0)),"",INDIRECT(CONCATENATE("Table!",ADDRESS(#REF!,MATCH(E$1,INDIRECT("Table!A" &amp; $AF138):INDIRECT("Table!" &amp; $AI$253 &amp; $AF138),0))))/1024)</f>
        <v/>
      </c>
      <c r="F138" s="22" t="str">
        <f ca="1">IF(ISERROR(MATCH(F$1,INDIRECT("Table!A"&amp;$AF138):INDIRECT("Table!" &amp; $AI$253 &amp; $AF138),0)),"",INDIRECT(CONCATENATE("Table!",ADDRESS(#REF!,MATCH(F$1,INDIRECT("Table!A" &amp; $AF138):INDIRECT("Table!" &amp; $AI$253 &amp; $AF138),0))))/1024)</f>
        <v/>
      </c>
      <c r="G138" s="22" t="str">
        <f ca="1">IF(ISERROR(MATCH(G$1,INDIRECT("Table!A"&amp;$AF138):INDIRECT("Table!" &amp; $AI$253 &amp; $AF138),0)),"",INDIRECT(CONCATENATE("Table!",ADDRESS(#REF!,MATCH(G$1,INDIRECT("Table!A" &amp; $AF138):INDIRECT("Table!" &amp; $AI$253 &amp; $AF138),0))))/1024)</f>
        <v/>
      </c>
      <c r="H138" s="22" t="str">
        <f ca="1">IF(ISERROR(MATCH(H$1,INDIRECT("Table!A"&amp;$AF138):INDIRECT("Table!" &amp; $AI$253 &amp; $AF138),0)),"",INDIRECT(CONCATENATE("Table!",ADDRESS(#REF!,MATCH(H$1,INDIRECT("Table!A" &amp; $AF138):INDIRECT("Table!" &amp; $AI$253 &amp; $AF138),0))))/1024)</f>
        <v/>
      </c>
      <c r="K138" s="22" t="str">
        <f ca="1">IF(ISERROR(MATCH(L$1,INDIRECT("Table!A"&amp;$AF138):INDIRECT("Table!" &amp; $AI$253 &amp; $AF138),0)),"",INDIRECT(CONCATENATE("Table!",ADDRESS(#REF!,MATCH(L$1,INDIRECT("Table!A" &amp; $AF138):INDIRECT("Table!" &amp; $AI$253 &amp; $AF138),0))))/1024)</f>
        <v/>
      </c>
      <c r="L138" s="22" t="str">
        <f ca="1">IF(ISERROR(MATCH(M$1,INDIRECT("Table!A"&amp;$AF138):INDIRECT("Table!" &amp; $AI$253 &amp; $AF138),0)),"",INDIRECT(CONCATENATE("Table!",ADDRESS(#REF!,MATCH(M$1,INDIRECT("Table!A" &amp; $AF138):INDIRECT("Table!" &amp; $AI$253 &amp; $AF138),0))))/1024)</f>
        <v/>
      </c>
      <c r="M138" s="22" t="str">
        <f ca="1">IF(ISERROR(MATCH(N$1,INDIRECT("Table!A"&amp;$AF138):INDIRECT("Table!" &amp; $AI$253 &amp; $AF138),0)),"",INDIRECT(CONCATENATE("Table!",ADDRESS(#REF!,MATCH(N$1,INDIRECT("Table!A" &amp; $AF138):INDIRECT("Table!" &amp; $AI$253 &amp; $AF138),0))))/1024)</f>
        <v/>
      </c>
      <c r="N138" s="22" t="str">
        <f ca="1">IF(ISERROR(MATCH(O$1,INDIRECT("Table!A"&amp;$AF138):INDIRECT("Table!" &amp; $AI$253 &amp; $AF138),0)),"",INDIRECT(CONCATENATE("Table!",ADDRESS(#REF!,MATCH(O$1,INDIRECT("Table!A" &amp; $AF138):INDIRECT("Table!" &amp; $AI$253 &amp; $AF138),0))))/1024)</f>
        <v/>
      </c>
      <c r="O138" s="22"/>
      <c r="P138" s="272"/>
      <c r="Q138" s="22"/>
      <c r="R138" s="180"/>
      <c r="T138" s="595"/>
      <c r="U138" s="180"/>
      <c r="AD138" s="180"/>
      <c r="AE138" s="180"/>
      <c r="AF138" s="22"/>
      <c r="AG138" s="180"/>
      <c r="AH138" s="180"/>
      <c r="AI138" s="29"/>
    </row>
    <row r="139" spans="2:35" x14ac:dyDescent="0.25">
      <c r="B139" s="22" t="str">
        <f ca="1">IF(ISERROR(MATCH(B$1,INDIRECT("Table!A"&amp;$AF139):INDIRECT("Table!" &amp; $AI$253 &amp; $AF139),0)),"",INDIRECT(CONCATENATE("Table!",ADDRESS(#REF!,MATCH(B$1,INDIRECT("Table!A" &amp; $AF139):INDIRECT("Table!" &amp; $AI$253 &amp; $AF139),0))))/1024)</f>
        <v/>
      </c>
      <c r="C139" s="22" t="str">
        <f ca="1">IF(ISERROR(MATCH(C$1,INDIRECT("Table!A"&amp;$AF139):INDIRECT("Table!" &amp; $AI$253 &amp; $AF139),0)),"",INDIRECT(CONCATENATE("Table!",ADDRESS(#REF!,MATCH(C$1,INDIRECT("Table!A" &amp; $AF139):INDIRECT("Table!" &amp; $AI$253 &amp; $AF139),0))))/1024)</f>
        <v/>
      </c>
      <c r="D139" s="22" t="str">
        <f ca="1">IF(ISERROR(MATCH(D$1,INDIRECT("Table!A"&amp;$AF139):INDIRECT("Table!" &amp; $AI$253 &amp; $AF139),0)),"",INDIRECT(CONCATENATE("Table!",ADDRESS(#REF!,MATCH(D$1,INDIRECT("Table!A" &amp; $AF139):INDIRECT("Table!" &amp; $AI$253 &amp; $AF139),0))))/1024)</f>
        <v/>
      </c>
      <c r="E139" s="22" t="str">
        <f ca="1">IF(ISERROR(MATCH(E$1,INDIRECT("Table!A"&amp;$AF139):INDIRECT("Table!" &amp; $AI$253 &amp; $AF139),0)),"",INDIRECT(CONCATENATE("Table!",ADDRESS(#REF!,MATCH(E$1,INDIRECT("Table!A" &amp; $AF139):INDIRECT("Table!" &amp; $AI$253 &amp; $AF139),0))))/1024)</f>
        <v/>
      </c>
      <c r="F139" s="22" t="str">
        <f ca="1">IF(ISERROR(MATCH(F$1,INDIRECT("Table!A"&amp;$AF139):INDIRECT("Table!" &amp; $AI$253 &amp; $AF139),0)),"",INDIRECT(CONCATENATE("Table!",ADDRESS(#REF!,MATCH(F$1,INDIRECT("Table!A" &amp; $AF139):INDIRECT("Table!" &amp; $AI$253 &amp; $AF139),0))))/1024)</f>
        <v/>
      </c>
      <c r="G139" s="22" t="str">
        <f ca="1">IF(ISERROR(MATCH(G$1,INDIRECT("Table!A"&amp;$AF139):INDIRECT("Table!" &amp; $AI$253 &amp; $AF139),0)),"",INDIRECT(CONCATENATE("Table!",ADDRESS(#REF!,MATCH(G$1,INDIRECT("Table!A" &amp; $AF139):INDIRECT("Table!" &amp; $AI$253 &amp; $AF139),0))))/1024)</f>
        <v/>
      </c>
      <c r="H139" s="22" t="str">
        <f ca="1">IF(ISERROR(MATCH(H$1,INDIRECT("Table!A"&amp;$AF139):INDIRECT("Table!" &amp; $AI$253 &amp; $AF139),0)),"",INDIRECT(CONCATENATE("Table!",ADDRESS(#REF!,MATCH(H$1,INDIRECT("Table!A" &amp; $AF139):INDIRECT("Table!" &amp; $AI$253 &amp; $AF139),0))))/1024)</f>
        <v/>
      </c>
      <c r="K139" s="22" t="str">
        <f ca="1">IF(ISERROR(MATCH(L$1,INDIRECT("Table!A"&amp;$AF139):INDIRECT("Table!" &amp; $AI$253 &amp; $AF139),0)),"",INDIRECT(CONCATENATE("Table!",ADDRESS(#REF!,MATCH(L$1,INDIRECT("Table!A" &amp; $AF139):INDIRECT("Table!" &amp; $AI$253 &amp; $AF139),0))))/1024)</f>
        <v/>
      </c>
      <c r="L139" s="22" t="str">
        <f ca="1">IF(ISERROR(MATCH(M$1,INDIRECT("Table!A"&amp;$AF139):INDIRECT("Table!" &amp; $AI$253 &amp; $AF139),0)),"",INDIRECT(CONCATENATE("Table!",ADDRESS(#REF!,MATCH(M$1,INDIRECT("Table!A" &amp; $AF139):INDIRECT("Table!" &amp; $AI$253 &amp; $AF139),0))))/1024)</f>
        <v/>
      </c>
      <c r="M139" s="22" t="str">
        <f ca="1">IF(ISERROR(MATCH(N$1,INDIRECT("Table!A"&amp;$AF139):INDIRECT("Table!" &amp; $AI$253 &amp; $AF139),0)),"",INDIRECT(CONCATENATE("Table!",ADDRESS(#REF!,MATCH(N$1,INDIRECT("Table!A" &amp; $AF139):INDIRECT("Table!" &amp; $AI$253 &amp; $AF139),0))))/1024)</f>
        <v/>
      </c>
      <c r="N139" s="22" t="str">
        <f ca="1">IF(ISERROR(MATCH(O$1,INDIRECT("Table!A"&amp;$AF139):INDIRECT("Table!" &amp; $AI$253 &amp; $AF139),0)),"",INDIRECT(CONCATENATE("Table!",ADDRESS(#REF!,MATCH(O$1,INDIRECT("Table!A" &amp; $AF139):INDIRECT("Table!" &amp; $AI$253 &amp; $AF139),0))))/1024)</f>
        <v/>
      </c>
      <c r="O139" s="22"/>
      <c r="P139" s="272"/>
      <c r="Q139" s="22"/>
      <c r="R139" s="179"/>
      <c r="T139" s="595"/>
      <c r="U139" s="179"/>
      <c r="AD139" s="179"/>
      <c r="AE139" s="179"/>
      <c r="AF139" s="22"/>
      <c r="AG139" s="179"/>
      <c r="AH139" s="179"/>
      <c r="AI139" s="29"/>
    </row>
    <row r="140" spans="2:35" x14ac:dyDescent="0.25">
      <c r="B140" s="22" t="str">
        <f ca="1">IF(ISERROR(MATCH(B$1,INDIRECT("Table!A"&amp;$AF140):INDIRECT("Table!" &amp; $AI$253 &amp; $AF140),0)),"",INDIRECT(CONCATENATE("Table!",ADDRESS(#REF!,MATCH(B$1,INDIRECT("Table!A" &amp; $AF140):INDIRECT("Table!" &amp; $AI$253 &amp; $AF140),0))))/1024)</f>
        <v/>
      </c>
      <c r="C140" s="22" t="str">
        <f ca="1">IF(ISERROR(MATCH(C$1,INDIRECT("Table!A"&amp;$AF140):INDIRECT("Table!" &amp; $AI$253 &amp; $AF140),0)),"",INDIRECT(CONCATENATE("Table!",ADDRESS(#REF!,MATCH(C$1,INDIRECT("Table!A" &amp; $AF140):INDIRECT("Table!" &amp; $AI$253 &amp; $AF140),0))))/1024)</f>
        <v/>
      </c>
      <c r="D140" s="22" t="str">
        <f ca="1">IF(ISERROR(MATCH(D$1,INDIRECT("Table!A"&amp;$AF140):INDIRECT("Table!" &amp; $AI$253 &amp; $AF140),0)),"",INDIRECT(CONCATENATE("Table!",ADDRESS(#REF!,MATCH(D$1,INDIRECT("Table!A" &amp; $AF140):INDIRECT("Table!" &amp; $AI$253 &amp; $AF140),0))))/1024)</f>
        <v/>
      </c>
      <c r="E140" s="22" t="str">
        <f ca="1">IF(ISERROR(MATCH(E$1,INDIRECT("Table!A"&amp;$AF140):INDIRECT("Table!" &amp; $AI$253 &amp; $AF140),0)),"",INDIRECT(CONCATENATE("Table!",ADDRESS(#REF!,MATCH(E$1,INDIRECT("Table!A" &amp; $AF140):INDIRECT("Table!" &amp; $AI$253 &amp; $AF140),0))))/1024)</f>
        <v/>
      </c>
      <c r="F140" s="22" t="str">
        <f ca="1">IF(ISERROR(MATCH(F$1,INDIRECT("Table!A"&amp;$AF140):INDIRECT("Table!" &amp; $AI$253 &amp; $AF140),0)),"",INDIRECT(CONCATENATE("Table!",ADDRESS(#REF!,MATCH(F$1,INDIRECT("Table!A" &amp; $AF140):INDIRECT("Table!" &amp; $AI$253 &amp; $AF140),0))))/1024)</f>
        <v/>
      </c>
      <c r="G140" s="22" t="str">
        <f ca="1">IF(ISERROR(MATCH(G$1,INDIRECT("Table!A"&amp;$AF140):INDIRECT("Table!" &amp; $AI$253 &amp; $AF140),0)),"",INDIRECT(CONCATENATE("Table!",ADDRESS(#REF!,MATCH(G$1,INDIRECT("Table!A" &amp; $AF140):INDIRECT("Table!" &amp; $AI$253 &amp; $AF140),0))))/1024)</f>
        <v/>
      </c>
      <c r="H140" s="22" t="str">
        <f ca="1">IF(ISERROR(MATCH(H$1,INDIRECT("Table!A"&amp;$AF140):INDIRECT("Table!" &amp; $AI$253 &amp; $AF140),0)),"",INDIRECT(CONCATENATE("Table!",ADDRESS(#REF!,MATCH(H$1,INDIRECT("Table!A" &amp; $AF140):INDIRECT("Table!" &amp; $AI$253 &amp; $AF140),0))))/1024)</f>
        <v/>
      </c>
      <c r="K140" s="22" t="str">
        <f ca="1">IF(ISERROR(MATCH(L$1,INDIRECT("Table!A"&amp;$AF140):INDIRECT("Table!" &amp; $AI$253 &amp; $AF140),0)),"",INDIRECT(CONCATENATE("Table!",ADDRESS(#REF!,MATCH(L$1,INDIRECT("Table!A" &amp; $AF140):INDIRECT("Table!" &amp; $AI$253 &amp; $AF140),0))))/1024)</f>
        <v/>
      </c>
      <c r="L140" s="22" t="str">
        <f ca="1">IF(ISERROR(MATCH(M$1,INDIRECT("Table!A"&amp;$AF140):INDIRECT("Table!" &amp; $AI$253 &amp; $AF140),0)),"",INDIRECT(CONCATENATE("Table!",ADDRESS(#REF!,MATCH(M$1,INDIRECT("Table!A" &amp; $AF140):INDIRECT("Table!" &amp; $AI$253 &amp; $AF140),0))))/1024)</f>
        <v/>
      </c>
      <c r="M140" s="22" t="str">
        <f ca="1">IF(ISERROR(MATCH(N$1,INDIRECT("Table!A"&amp;$AF140):INDIRECT("Table!" &amp; $AI$253 &amp; $AF140),0)),"",INDIRECT(CONCATENATE("Table!",ADDRESS(#REF!,MATCH(N$1,INDIRECT("Table!A" &amp; $AF140):INDIRECT("Table!" &amp; $AI$253 &amp; $AF140),0))))/1024)</f>
        <v/>
      </c>
      <c r="N140" s="22" t="str">
        <f ca="1">IF(ISERROR(MATCH(O$1,INDIRECT("Table!A"&amp;$AF140):INDIRECT("Table!" &amp; $AI$253 &amp; $AF140),0)),"",INDIRECT(CONCATENATE("Table!",ADDRESS(#REF!,MATCH(O$1,INDIRECT("Table!A" &amp; $AF140):INDIRECT("Table!" &amp; $AI$253 &amp; $AF140),0))))/1024)</f>
        <v/>
      </c>
      <c r="O140" s="22"/>
      <c r="P140" s="272"/>
      <c r="Q140" s="22"/>
      <c r="R140" s="179"/>
      <c r="T140" s="595"/>
      <c r="U140" s="179"/>
      <c r="AD140" s="179"/>
      <c r="AE140" s="179"/>
      <c r="AF140" s="22"/>
      <c r="AG140" s="179"/>
      <c r="AH140" s="179"/>
      <c r="AI140" s="29"/>
    </row>
    <row r="141" spans="2:35" x14ac:dyDescent="0.25">
      <c r="B141" s="22" t="str">
        <f ca="1">IF(ISERROR(MATCH(B$1,INDIRECT("Table!A"&amp;$AF141):INDIRECT("Table!" &amp; $AI$253 &amp; $AF141),0)),"",INDIRECT(CONCATENATE("Table!",ADDRESS(#REF!,MATCH(B$1,INDIRECT("Table!A" &amp; $AF141):INDIRECT("Table!" &amp; $AI$253 &amp; $AF141),0))))/1024)</f>
        <v/>
      </c>
      <c r="C141" s="22" t="str">
        <f ca="1">IF(ISERROR(MATCH(C$1,INDIRECT("Table!A"&amp;$AF141):INDIRECT("Table!" &amp; $AI$253 &amp; $AF141),0)),"",INDIRECT(CONCATENATE("Table!",ADDRESS(#REF!,MATCH(C$1,INDIRECT("Table!A" &amp; $AF141):INDIRECT("Table!" &amp; $AI$253 &amp; $AF141),0))))/1024)</f>
        <v/>
      </c>
      <c r="D141" s="22" t="str">
        <f ca="1">IF(ISERROR(MATCH(D$1,INDIRECT("Table!A"&amp;$AF141):INDIRECT("Table!" &amp; $AI$253 &amp; $AF141),0)),"",INDIRECT(CONCATENATE("Table!",ADDRESS(#REF!,MATCH(D$1,INDIRECT("Table!A" &amp; $AF141):INDIRECT("Table!" &amp; $AI$253 &amp; $AF141),0))))/1024)</f>
        <v/>
      </c>
      <c r="E141" s="22" t="str">
        <f ca="1">IF(ISERROR(MATCH(E$1,INDIRECT("Table!A"&amp;$AF141):INDIRECT("Table!" &amp; $AI$253 &amp; $AF141),0)),"",INDIRECT(CONCATENATE("Table!",ADDRESS(#REF!,MATCH(E$1,INDIRECT("Table!A" &amp; $AF141):INDIRECT("Table!" &amp; $AI$253 &amp; $AF141),0))))/1024)</f>
        <v/>
      </c>
      <c r="F141" s="22" t="str">
        <f ca="1">IF(ISERROR(MATCH(F$1,INDIRECT("Table!A"&amp;$AF141):INDIRECT("Table!" &amp; $AI$253 &amp; $AF141),0)),"",INDIRECT(CONCATENATE("Table!",ADDRESS(#REF!,MATCH(F$1,INDIRECT("Table!A" &amp; $AF141):INDIRECT("Table!" &amp; $AI$253 &amp; $AF141),0))))/1024)</f>
        <v/>
      </c>
      <c r="G141" s="22" t="str">
        <f ca="1">IF(ISERROR(MATCH(G$1,INDIRECT("Table!A"&amp;$AF141):INDIRECT("Table!" &amp; $AI$253 &amp; $AF141),0)),"",INDIRECT(CONCATENATE("Table!",ADDRESS(#REF!,MATCH(G$1,INDIRECT("Table!A" &amp; $AF141):INDIRECT("Table!" &amp; $AI$253 &amp; $AF141),0))))/1024)</f>
        <v/>
      </c>
      <c r="H141" s="22" t="str">
        <f ca="1">IF(ISERROR(MATCH(H$1,INDIRECT("Table!A"&amp;$AF141):INDIRECT("Table!" &amp; $AI$253 &amp; $AF141),0)),"",INDIRECT(CONCATENATE("Table!",ADDRESS(#REF!,MATCH(H$1,INDIRECT("Table!A" &amp; $AF141):INDIRECT("Table!" &amp; $AI$253 &amp; $AF141),0))))/1024)</f>
        <v/>
      </c>
      <c r="K141" s="22" t="str">
        <f ca="1">IF(ISERROR(MATCH(L$1,INDIRECT("Table!A"&amp;$AF141):INDIRECT("Table!" &amp; $AI$253 &amp; $AF141),0)),"",INDIRECT(CONCATENATE("Table!",ADDRESS(#REF!,MATCH(L$1,INDIRECT("Table!A" &amp; $AF141):INDIRECT("Table!" &amp; $AI$253 &amp; $AF141),0))))/1024)</f>
        <v/>
      </c>
      <c r="L141" s="22" t="str">
        <f ca="1">IF(ISERROR(MATCH(M$1,INDIRECT("Table!A"&amp;$AF141):INDIRECT("Table!" &amp; $AI$253 &amp; $AF141),0)),"",INDIRECT(CONCATENATE("Table!",ADDRESS(#REF!,MATCH(M$1,INDIRECT("Table!A" &amp; $AF141):INDIRECT("Table!" &amp; $AI$253 &amp; $AF141),0))))/1024)</f>
        <v/>
      </c>
      <c r="M141" s="22" t="str">
        <f ca="1">IF(ISERROR(MATCH(N$1,INDIRECT("Table!A"&amp;$AF141):INDIRECT("Table!" &amp; $AI$253 &amp; $AF141),0)),"",INDIRECT(CONCATENATE("Table!",ADDRESS(#REF!,MATCH(N$1,INDIRECT("Table!A" &amp; $AF141):INDIRECT("Table!" &amp; $AI$253 &amp; $AF141),0))))/1024)</f>
        <v/>
      </c>
      <c r="N141" s="22" t="str">
        <f ca="1">IF(ISERROR(MATCH(O$1,INDIRECT("Table!A"&amp;$AF141):INDIRECT("Table!" &amp; $AI$253 &amp; $AF141),0)),"",INDIRECT(CONCATENATE("Table!",ADDRESS(#REF!,MATCH(O$1,INDIRECT("Table!A" &amp; $AF141):INDIRECT("Table!" &amp; $AI$253 &amp; $AF141),0))))/1024)</f>
        <v/>
      </c>
      <c r="O141" s="22"/>
      <c r="P141" s="272"/>
      <c r="Q141" s="22"/>
      <c r="R141" s="179"/>
      <c r="T141" s="595"/>
      <c r="U141" s="179"/>
      <c r="AD141" s="179"/>
      <c r="AE141" s="179"/>
      <c r="AF141" s="22"/>
      <c r="AG141" s="179"/>
      <c r="AH141" s="179"/>
      <c r="AI141" s="29"/>
    </row>
    <row r="142" spans="2:35" x14ac:dyDescent="0.25">
      <c r="B142" s="22" t="str">
        <f ca="1">IF(ISERROR(MATCH(B$1,INDIRECT("Table!A"&amp;$AF142):INDIRECT("Table!" &amp; $AI$253 &amp; $AF142),0)),"",INDIRECT(CONCATENATE("Table!",ADDRESS(#REF!,MATCH(B$1,INDIRECT("Table!A" &amp; $AF142):INDIRECT("Table!" &amp; $AI$253 &amp; $AF142),0))))/1024)</f>
        <v/>
      </c>
      <c r="C142" s="22" t="str">
        <f ca="1">IF(ISERROR(MATCH(C$1,INDIRECT("Table!A"&amp;$AF142):INDIRECT("Table!" &amp; $AI$253 &amp; $AF142),0)),"",INDIRECT(CONCATENATE("Table!",ADDRESS(#REF!,MATCH(C$1,INDIRECT("Table!A" &amp; $AF142):INDIRECT("Table!" &amp; $AI$253 &amp; $AF142),0))))/1024)</f>
        <v/>
      </c>
      <c r="D142" s="22" t="str">
        <f ca="1">IF(ISERROR(MATCH(D$1,INDIRECT("Table!A"&amp;$AF142):INDIRECT("Table!" &amp; $AI$253 &amp; $AF142),0)),"",INDIRECT(CONCATENATE("Table!",ADDRESS(#REF!,MATCH(D$1,INDIRECT("Table!A" &amp; $AF142):INDIRECT("Table!" &amp; $AI$253 &amp; $AF142),0))))/1024)</f>
        <v/>
      </c>
      <c r="E142" s="22" t="str">
        <f ca="1">IF(ISERROR(MATCH(E$1,INDIRECT("Table!A"&amp;$AF142):INDIRECT("Table!" &amp; $AI$253 &amp; $AF142),0)),"",INDIRECT(CONCATENATE("Table!",ADDRESS(#REF!,MATCH(E$1,INDIRECT("Table!A" &amp; $AF142):INDIRECT("Table!" &amp; $AI$253 &amp; $AF142),0))))/1024)</f>
        <v/>
      </c>
      <c r="F142" s="22" t="str">
        <f ca="1">IF(ISERROR(MATCH(F$1,INDIRECT("Table!A"&amp;$AF142):INDIRECT("Table!" &amp; $AI$253 &amp; $AF142),0)),"",INDIRECT(CONCATENATE("Table!",ADDRESS(#REF!,MATCH(F$1,INDIRECT("Table!A" &amp; $AF142):INDIRECT("Table!" &amp; $AI$253 &amp; $AF142),0))))/1024)</f>
        <v/>
      </c>
      <c r="G142" s="22" t="str">
        <f ca="1">IF(ISERROR(MATCH(G$1,INDIRECT("Table!A"&amp;$AF142):INDIRECT("Table!" &amp; $AI$253 &amp; $AF142),0)),"",INDIRECT(CONCATENATE("Table!",ADDRESS(#REF!,MATCH(G$1,INDIRECT("Table!A" &amp; $AF142):INDIRECT("Table!" &amp; $AI$253 &amp; $AF142),0))))/1024)</f>
        <v/>
      </c>
      <c r="H142" s="22" t="str">
        <f ca="1">IF(ISERROR(MATCH(H$1,INDIRECT("Table!A"&amp;$AF142):INDIRECT("Table!" &amp; $AI$253 &amp; $AF142),0)),"",INDIRECT(CONCATENATE("Table!",ADDRESS(#REF!,MATCH(H$1,INDIRECT("Table!A" &amp; $AF142):INDIRECT("Table!" &amp; $AI$253 &amp; $AF142),0))))/1024)</f>
        <v/>
      </c>
      <c r="K142" s="22" t="str">
        <f ca="1">IF(ISERROR(MATCH(L$1,INDIRECT("Table!A"&amp;$AF142):INDIRECT("Table!" &amp; $AI$253 &amp; $AF142),0)),"",INDIRECT(CONCATENATE("Table!",ADDRESS(#REF!,MATCH(L$1,INDIRECT("Table!A" &amp; $AF142):INDIRECT("Table!" &amp; $AI$253 &amp; $AF142),0))))/1024)</f>
        <v/>
      </c>
      <c r="L142" s="22" t="str">
        <f ca="1">IF(ISERROR(MATCH(M$1,INDIRECT("Table!A"&amp;$AF142):INDIRECT("Table!" &amp; $AI$253 &amp; $AF142),0)),"",INDIRECT(CONCATENATE("Table!",ADDRESS(#REF!,MATCH(M$1,INDIRECT("Table!A" &amp; $AF142):INDIRECT("Table!" &amp; $AI$253 &amp; $AF142),0))))/1024)</f>
        <v/>
      </c>
      <c r="M142" s="22" t="str">
        <f ca="1">IF(ISERROR(MATCH(N$1,INDIRECT("Table!A"&amp;$AF142):INDIRECT("Table!" &amp; $AI$253 &amp; $AF142),0)),"",INDIRECT(CONCATENATE("Table!",ADDRESS(#REF!,MATCH(N$1,INDIRECT("Table!A" &amp; $AF142):INDIRECT("Table!" &amp; $AI$253 &amp; $AF142),0))))/1024)</f>
        <v/>
      </c>
      <c r="N142" s="22" t="str">
        <f ca="1">IF(ISERROR(MATCH(O$1,INDIRECT("Table!A"&amp;$AF142):INDIRECT("Table!" &amp; $AI$253 &amp; $AF142),0)),"",INDIRECT(CONCATENATE("Table!",ADDRESS(#REF!,MATCH(O$1,INDIRECT("Table!A" &amp; $AF142):INDIRECT("Table!" &amp; $AI$253 &amp; $AF142),0))))/1024)</f>
        <v/>
      </c>
      <c r="O142" s="22"/>
      <c r="P142" s="272"/>
      <c r="Q142" s="22"/>
      <c r="R142" s="178"/>
      <c r="T142" s="595"/>
      <c r="U142" s="178"/>
      <c r="AD142" s="178"/>
      <c r="AE142" s="178"/>
      <c r="AF142" s="22"/>
      <c r="AG142" s="178"/>
      <c r="AH142" s="178"/>
      <c r="AI142" s="29"/>
    </row>
    <row r="143" spans="2:35" x14ac:dyDescent="0.25">
      <c r="B143" s="22" t="str">
        <f ca="1">IF(ISERROR(MATCH(B$1,INDIRECT("Table!A"&amp;$AF143):INDIRECT("Table!" &amp; $AI$253 &amp; $AF143),0)),"",INDIRECT(CONCATENATE("Table!",ADDRESS(#REF!,MATCH(B$1,INDIRECT("Table!A" &amp; $AF143):INDIRECT("Table!" &amp; $AI$253 &amp; $AF143),0))))/1024)</f>
        <v/>
      </c>
      <c r="C143" s="22" t="str">
        <f ca="1">IF(ISERROR(MATCH(C$1,INDIRECT("Table!A"&amp;$AF143):INDIRECT("Table!" &amp; $AI$253 &amp; $AF143),0)),"",INDIRECT(CONCATENATE("Table!",ADDRESS(#REF!,MATCH(C$1,INDIRECT("Table!A" &amp; $AF143):INDIRECT("Table!" &amp; $AI$253 &amp; $AF143),0))))/1024)</f>
        <v/>
      </c>
      <c r="D143" s="22" t="str">
        <f ca="1">IF(ISERROR(MATCH(D$1,INDIRECT("Table!A"&amp;$AF143):INDIRECT("Table!" &amp; $AI$253 &amp; $AF143),0)),"",INDIRECT(CONCATENATE("Table!",ADDRESS(#REF!,MATCH(D$1,INDIRECT("Table!A" &amp; $AF143):INDIRECT("Table!" &amp; $AI$253 &amp; $AF143),0))))/1024)</f>
        <v/>
      </c>
      <c r="E143" s="22" t="str">
        <f ca="1">IF(ISERROR(MATCH(E$1,INDIRECT("Table!A"&amp;$AF143):INDIRECT("Table!" &amp; $AI$253 &amp; $AF143),0)),"",INDIRECT(CONCATENATE("Table!",ADDRESS(#REF!,MATCH(E$1,INDIRECT("Table!A" &amp; $AF143):INDIRECT("Table!" &amp; $AI$253 &amp; $AF143),0))))/1024)</f>
        <v/>
      </c>
      <c r="F143" s="22" t="str">
        <f ca="1">IF(ISERROR(MATCH(F$1,INDIRECT("Table!A"&amp;$AF143):INDIRECT("Table!" &amp; $AI$253 &amp; $AF143),0)),"",INDIRECT(CONCATENATE("Table!",ADDRESS(#REF!,MATCH(F$1,INDIRECT("Table!A" &amp; $AF143):INDIRECT("Table!" &amp; $AI$253 &amp; $AF143),0))))/1024)</f>
        <v/>
      </c>
      <c r="G143" s="22" t="str">
        <f ca="1">IF(ISERROR(MATCH(G$1,INDIRECT("Table!A"&amp;$AF143):INDIRECT("Table!" &amp; $AI$253 &amp; $AF143),0)),"",INDIRECT(CONCATENATE("Table!",ADDRESS(#REF!,MATCH(G$1,INDIRECT("Table!A" &amp; $AF143):INDIRECT("Table!" &amp; $AI$253 &amp; $AF143),0))))/1024)</f>
        <v/>
      </c>
      <c r="H143" s="22" t="str">
        <f ca="1">IF(ISERROR(MATCH(H$1,INDIRECT("Table!A"&amp;$AF143):INDIRECT("Table!" &amp; $AI$253 &amp; $AF143),0)),"",INDIRECT(CONCATENATE("Table!",ADDRESS(#REF!,MATCH(H$1,INDIRECT("Table!A" &amp; $AF143):INDIRECT("Table!" &amp; $AI$253 &amp; $AF143),0))))/1024)</f>
        <v/>
      </c>
      <c r="K143" s="22" t="str">
        <f ca="1">IF(ISERROR(MATCH(L$1,INDIRECT("Table!A"&amp;$AF143):INDIRECT("Table!" &amp; $AI$253 &amp; $AF143),0)),"",INDIRECT(CONCATENATE("Table!",ADDRESS(#REF!,MATCH(L$1,INDIRECT("Table!A" &amp; $AF143):INDIRECT("Table!" &amp; $AI$253 &amp; $AF143),0))))/1024)</f>
        <v/>
      </c>
      <c r="L143" s="22" t="str">
        <f ca="1">IF(ISERROR(MATCH(M$1,INDIRECT("Table!A"&amp;$AF143):INDIRECT("Table!" &amp; $AI$253 &amp; $AF143),0)),"",INDIRECT(CONCATENATE("Table!",ADDRESS(#REF!,MATCH(M$1,INDIRECT("Table!A" &amp; $AF143):INDIRECT("Table!" &amp; $AI$253 &amp; $AF143),0))))/1024)</f>
        <v/>
      </c>
      <c r="M143" s="22" t="str">
        <f ca="1">IF(ISERROR(MATCH(N$1,INDIRECT("Table!A"&amp;$AF143):INDIRECT("Table!" &amp; $AI$253 &amp; $AF143),0)),"",INDIRECT(CONCATENATE("Table!",ADDRESS(#REF!,MATCH(N$1,INDIRECT("Table!A" &amp; $AF143):INDIRECT("Table!" &amp; $AI$253 &amp; $AF143),0))))/1024)</f>
        <v/>
      </c>
      <c r="N143" s="22" t="str">
        <f ca="1">IF(ISERROR(MATCH(O$1,INDIRECT("Table!A"&amp;$AF143):INDIRECT("Table!" &amp; $AI$253 &amp; $AF143),0)),"",INDIRECT(CONCATENATE("Table!",ADDRESS(#REF!,MATCH(O$1,INDIRECT("Table!A" &amp; $AF143):INDIRECT("Table!" &amp; $AI$253 &amp; $AF143),0))))/1024)</f>
        <v/>
      </c>
      <c r="O143" s="22"/>
      <c r="P143" s="272"/>
      <c r="Q143" s="22"/>
      <c r="R143" s="177"/>
      <c r="T143" s="595"/>
      <c r="U143" s="177"/>
      <c r="AD143" s="177"/>
      <c r="AE143" s="177"/>
      <c r="AF143" s="22"/>
      <c r="AG143" s="177"/>
      <c r="AH143" s="177"/>
      <c r="AI143" s="29"/>
    </row>
    <row r="144" spans="2:35" x14ac:dyDescent="0.25">
      <c r="B144" s="22" t="str">
        <f ca="1">IF(ISERROR(MATCH(B$1,INDIRECT("Table!A"&amp;$AF144):INDIRECT("Table!" &amp; $AI$253 &amp; $AF144),0)),"",INDIRECT(CONCATENATE("Table!",ADDRESS(#REF!,MATCH(B$1,INDIRECT("Table!A" &amp; $AF144):INDIRECT("Table!" &amp; $AI$253 &amp; $AF144),0))))/1024)</f>
        <v/>
      </c>
      <c r="C144" s="22" t="str">
        <f ca="1">IF(ISERROR(MATCH(C$1,INDIRECT("Table!A"&amp;$AF144):INDIRECT("Table!" &amp; $AI$253 &amp; $AF144),0)),"",INDIRECT(CONCATENATE("Table!",ADDRESS(#REF!,MATCH(C$1,INDIRECT("Table!A" &amp; $AF144):INDIRECT("Table!" &amp; $AI$253 &amp; $AF144),0))))/1024)</f>
        <v/>
      </c>
      <c r="D144" s="22" t="str">
        <f ca="1">IF(ISERROR(MATCH(D$1,INDIRECT("Table!A"&amp;$AF144):INDIRECT("Table!" &amp; $AI$253 &amp; $AF144),0)),"",INDIRECT(CONCATENATE("Table!",ADDRESS(#REF!,MATCH(D$1,INDIRECT("Table!A" &amp; $AF144):INDIRECT("Table!" &amp; $AI$253 &amp; $AF144),0))))/1024)</f>
        <v/>
      </c>
      <c r="E144" s="22" t="str">
        <f ca="1">IF(ISERROR(MATCH(E$1,INDIRECT("Table!A"&amp;$AF144):INDIRECT("Table!" &amp; $AI$253 &amp; $AF144),0)),"",INDIRECT(CONCATENATE("Table!",ADDRESS(#REF!,MATCH(E$1,INDIRECT("Table!A" &amp; $AF144):INDIRECT("Table!" &amp; $AI$253 &amp; $AF144),0))))/1024)</f>
        <v/>
      </c>
      <c r="F144" s="22" t="str">
        <f ca="1">IF(ISERROR(MATCH(F$1,INDIRECT("Table!A"&amp;$AF144):INDIRECT("Table!" &amp; $AI$253 &amp; $AF144),0)),"",INDIRECT(CONCATENATE("Table!",ADDRESS(#REF!,MATCH(F$1,INDIRECT("Table!A" &amp; $AF144):INDIRECT("Table!" &amp; $AI$253 &amp; $AF144),0))))/1024)</f>
        <v/>
      </c>
      <c r="G144" s="22" t="str">
        <f ca="1">IF(ISERROR(MATCH(G$1,INDIRECT("Table!A"&amp;$AF144):INDIRECT("Table!" &amp; $AI$253 &amp; $AF144),0)),"",INDIRECT(CONCATENATE("Table!",ADDRESS(#REF!,MATCH(G$1,INDIRECT("Table!A" &amp; $AF144):INDIRECT("Table!" &amp; $AI$253 &amp; $AF144),0))))/1024)</f>
        <v/>
      </c>
      <c r="H144" s="22" t="str">
        <f ca="1">IF(ISERROR(MATCH(H$1,INDIRECT("Table!A"&amp;$AF144):INDIRECT("Table!" &amp; $AI$253 &amp; $AF144),0)),"",INDIRECT(CONCATENATE("Table!",ADDRESS(#REF!,MATCH(H$1,INDIRECT("Table!A" &amp; $AF144):INDIRECT("Table!" &amp; $AI$253 &amp; $AF144),0))))/1024)</f>
        <v/>
      </c>
      <c r="K144" s="22" t="str">
        <f ca="1">IF(ISERROR(MATCH(L$1,INDIRECT("Table!A"&amp;$AF144):INDIRECT("Table!" &amp; $AI$253 &amp; $AF144),0)),"",INDIRECT(CONCATENATE("Table!",ADDRESS(#REF!,MATCH(L$1,INDIRECT("Table!A" &amp; $AF144):INDIRECT("Table!" &amp; $AI$253 &amp; $AF144),0))))/1024)</f>
        <v/>
      </c>
      <c r="L144" s="22" t="str">
        <f ca="1">IF(ISERROR(MATCH(M$1,INDIRECT("Table!A"&amp;$AF144):INDIRECT("Table!" &amp; $AI$253 &amp; $AF144),0)),"",INDIRECT(CONCATENATE("Table!",ADDRESS(#REF!,MATCH(M$1,INDIRECT("Table!A" &amp; $AF144):INDIRECT("Table!" &amp; $AI$253 &amp; $AF144),0))))/1024)</f>
        <v/>
      </c>
      <c r="M144" s="22" t="str">
        <f ca="1">IF(ISERROR(MATCH(N$1,INDIRECT("Table!A"&amp;$AF144):INDIRECT("Table!" &amp; $AI$253 &amp; $AF144),0)),"",INDIRECT(CONCATENATE("Table!",ADDRESS(#REF!,MATCH(N$1,INDIRECT("Table!A" &amp; $AF144):INDIRECT("Table!" &amp; $AI$253 &amp; $AF144),0))))/1024)</f>
        <v/>
      </c>
      <c r="N144" s="22" t="str">
        <f ca="1">IF(ISERROR(MATCH(O$1,INDIRECT("Table!A"&amp;$AF144):INDIRECT("Table!" &amp; $AI$253 &amp; $AF144),0)),"",INDIRECT(CONCATENATE("Table!",ADDRESS(#REF!,MATCH(O$1,INDIRECT("Table!A" &amp; $AF144):INDIRECT("Table!" &amp; $AI$253 &amp; $AF144),0))))/1024)</f>
        <v/>
      </c>
      <c r="O144" s="22"/>
      <c r="P144" s="272"/>
      <c r="Q144" s="22"/>
      <c r="R144" s="176"/>
      <c r="T144" s="595"/>
      <c r="U144" s="176"/>
      <c r="AD144" s="176"/>
      <c r="AE144" s="176"/>
      <c r="AF144" s="22"/>
      <c r="AG144" s="176"/>
      <c r="AH144" s="176"/>
      <c r="AI144" s="29"/>
    </row>
    <row r="145" spans="2:35" x14ac:dyDescent="0.25">
      <c r="B145" s="22" t="str">
        <f ca="1">IF(ISERROR(MATCH(B$1,INDIRECT("Table!A"&amp;$AF145):INDIRECT("Table!" &amp; $AI$253 &amp; $AF145),0)),"",INDIRECT(CONCATENATE("Table!",ADDRESS(#REF!,MATCH(B$1,INDIRECT("Table!A" &amp; $AF145):INDIRECT("Table!" &amp; $AI$253 &amp; $AF145),0))))/1024)</f>
        <v/>
      </c>
      <c r="C145" s="22" t="str">
        <f ca="1">IF(ISERROR(MATCH(C$1,INDIRECT("Table!A"&amp;$AF145):INDIRECT("Table!" &amp; $AI$253 &amp; $AF145),0)),"",INDIRECT(CONCATENATE("Table!",ADDRESS(#REF!,MATCH(C$1,INDIRECT("Table!A" &amp; $AF145):INDIRECT("Table!" &amp; $AI$253 &amp; $AF145),0))))/1024)</f>
        <v/>
      </c>
      <c r="D145" s="22" t="str">
        <f ca="1">IF(ISERROR(MATCH(D$1,INDIRECT("Table!A"&amp;$AF145):INDIRECT("Table!" &amp; $AI$253 &amp; $AF145),0)),"",INDIRECT(CONCATENATE("Table!",ADDRESS(#REF!,MATCH(D$1,INDIRECT("Table!A" &amp; $AF145):INDIRECT("Table!" &amp; $AI$253 &amp; $AF145),0))))/1024)</f>
        <v/>
      </c>
      <c r="E145" s="22" t="str">
        <f ca="1">IF(ISERROR(MATCH(E$1,INDIRECT("Table!A"&amp;$AF145):INDIRECT("Table!" &amp; $AI$253 &amp; $AF145),0)),"",INDIRECT(CONCATENATE("Table!",ADDRESS(#REF!,MATCH(E$1,INDIRECT("Table!A" &amp; $AF145):INDIRECT("Table!" &amp; $AI$253 &amp; $AF145),0))))/1024)</f>
        <v/>
      </c>
      <c r="F145" s="22" t="str">
        <f ca="1">IF(ISERROR(MATCH(F$1,INDIRECT("Table!A"&amp;$AF145):INDIRECT("Table!" &amp; $AI$253 &amp; $AF145),0)),"",INDIRECT(CONCATENATE("Table!",ADDRESS(#REF!,MATCH(F$1,INDIRECT("Table!A" &amp; $AF145):INDIRECT("Table!" &amp; $AI$253 &amp; $AF145),0))))/1024)</f>
        <v/>
      </c>
      <c r="G145" s="22" t="str">
        <f ca="1">IF(ISERROR(MATCH(G$1,INDIRECT("Table!A"&amp;$AF145):INDIRECT("Table!" &amp; $AI$253 &amp; $AF145),0)),"",INDIRECT(CONCATENATE("Table!",ADDRESS(#REF!,MATCH(G$1,INDIRECT("Table!A" &amp; $AF145):INDIRECT("Table!" &amp; $AI$253 &amp; $AF145),0))))/1024)</f>
        <v/>
      </c>
      <c r="H145" s="22" t="str">
        <f ca="1">IF(ISERROR(MATCH(H$1,INDIRECT("Table!A"&amp;$AF145):INDIRECT("Table!" &amp; $AI$253 &amp; $AF145),0)),"",INDIRECT(CONCATENATE("Table!",ADDRESS(#REF!,MATCH(H$1,INDIRECT("Table!A" &amp; $AF145):INDIRECT("Table!" &amp; $AI$253 &amp; $AF145),0))))/1024)</f>
        <v/>
      </c>
      <c r="K145" s="22" t="str">
        <f ca="1">IF(ISERROR(MATCH(L$1,INDIRECT("Table!A"&amp;$AF145):INDIRECT("Table!" &amp; $AI$253 &amp; $AF145),0)),"",INDIRECT(CONCATENATE("Table!",ADDRESS(#REF!,MATCH(L$1,INDIRECT("Table!A" &amp; $AF145):INDIRECT("Table!" &amp; $AI$253 &amp; $AF145),0))))/1024)</f>
        <v/>
      </c>
      <c r="L145" s="22" t="str">
        <f ca="1">IF(ISERROR(MATCH(M$1,INDIRECT("Table!A"&amp;$AF145):INDIRECT("Table!" &amp; $AI$253 &amp; $AF145),0)),"",INDIRECT(CONCATENATE("Table!",ADDRESS(#REF!,MATCH(M$1,INDIRECT("Table!A" &amp; $AF145):INDIRECT("Table!" &amp; $AI$253 &amp; $AF145),0))))/1024)</f>
        <v/>
      </c>
      <c r="M145" s="22" t="str">
        <f ca="1">IF(ISERROR(MATCH(N$1,INDIRECT("Table!A"&amp;$AF145):INDIRECT("Table!" &amp; $AI$253 &amp; $AF145),0)),"",INDIRECT(CONCATENATE("Table!",ADDRESS(#REF!,MATCH(N$1,INDIRECT("Table!A" &amp; $AF145):INDIRECT("Table!" &amp; $AI$253 &amp; $AF145),0))))/1024)</f>
        <v/>
      </c>
      <c r="N145" s="22" t="str">
        <f ca="1">IF(ISERROR(MATCH(O$1,INDIRECT("Table!A"&amp;$AF145):INDIRECT("Table!" &amp; $AI$253 &amp; $AF145),0)),"",INDIRECT(CONCATENATE("Table!",ADDRESS(#REF!,MATCH(O$1,INDIRECT("Table!A" &amp; $AF145):INDIRECT("Table!" &amp; $AI$253 &amp; $AF145),0))))/1024)</f>
        <v/>
      </c>
      <c r="O145" s="22"/>
      <c r="P145" s="272"/>
      <c r="Q145" s="22"/>
      <c r="R145" s="175"/>
      <c r="T145" s="595"/>
      <c r="U145" s="175"/>
      <c r="AD145" s="175"/>
      <c r="AE145" s="175"/>
      <c r="AF145" s="22"/>
      <c r="AG145" s="175"/>
      <c r="AH145" s="175"/>
      <c r="AI145" s="29"/>
    </row>
    <row r="146" spans="2:35" x14ac:dyDescent="0.25">
      <c r="B146" s="22" t="str">
        <f ca="1">IF(ISERROR(MATCH(B$1,INDIRECT("Table!A"&amp;$AF146):INDIRECT("Table!" &amp; $AI$253 &amp; $AF146),0)),"",INDIRECT(CONCATENATE("Table!",ADDRESS(#REF!,MATCH(B$1,INDIRECT("Table!A" &amp; $AF146):INDIRECT("Table!" &amp; $AI$253 &amp; $AF146),0))))/1024)</f>
        <v/>
      </c>
      <c r="C146" s="22" t="str">
        <f ca="1">IF(ISERROR(MATCH(C$1,INDIRECT("Table!A"&amp;$AF146):INDIRECT("Table!" &amp; $AI$253 &amp; $AF146),0)),"",INDIRECT(CONCATENATE("Table!",ADDRESS(#REF!,MATCH(C$1,INDIRECT("Table!A" &amp; $AF146):INDIRECT("Table!" &amp; $AI$253 &amp; $AF146),0))))/1024)</f>
        <v/>
      </c>
      <c r="D146" s="22" t="str">
        <f ca="1">IF(ISERROR(MATCH(D$1,INDIRECT("Table!A"&amp;$AF146):INDIRECT("Table!" &amp; $AI$253 &amp; $AF146),0)),"",INDIRECT(CONCATENATE("Table!",ADDRESS(#REF!,MATCH(D$1,INDIRECT("Table!A" &amp; $AF146):INDIRECT("Table!" &amp; $AI$253 &amp; $AF146),0))))/1024)</f>
        <v/>
      </c>
      <c r="E146" s="22" t="str">
        <f ca="1">IF(ISERROR(MATCH(E$1,INDIRECT("Table!A"&amp;$AF146):INDIRECT("Table!" &amp; $AI$253 &amp; $AF146),0)),"",INDIRECT(CONCATENATE("Table!",ADDRESS(#REF!,MATCH(E$1,INDIRECT("Table!A" &amp; $AF146):INDIRECT("Table!" &amp; $AI$253 &amp; $AF146),0))))/1024)</f>
        <v/>
      </c>
      <c r="F146" s="22" t="str">
        <f ca="1">IF(ISERROR(MATCH(F$1,INDIRECT("Table!A"&amp;$AF146):INDIRECT("Table!" &amp; $AI$253 &amp; $AF146),0)),"",INDIRECT(CONCATENATE("Table!",ADDRESS(#REF!,MATCH(F$1,INDIRECT("Table!A" &amp; $AF146):INDIRECT("Table!" &amp; $AI$253 &amp; $AF146),0))))/1024)</f>
        <v/>
      </c>
      <c r="G146" s="22" t="str">
        <f ca="1">IF(ISERROR(MATCH(G$1,INDIRECT("Table!A"&amp;$AF146):INDIRECT("Table!" &amp; $AI$253 &amp; $AF146),0)),"",INDIRECT(CONCATENATE("Table!",ADDRESS(#REF!,MATCH(G$1,INDIRECT("Table!A" &amp; $AF146):INDIRECT("Table!" &amp; $AI$253 &amp; $AF146),0))))/1024)</f>
        <v/>
      </c>
      <c r="H146" s="22" t="str">
        <f ca="1">IF(ISERROR(MATCH(H$1,INDIRECT("Table!A"&amp;$AF146):INDIRECT("Table!" &amp; $AI$253 &amp; $AF146),0)),"",INDIRECT(CONCATENATE("Table!",ADDRESS(#REF!,MATCH(H$1,INDIRECT("Table!A" &amp; $AF146):INDIRECT("Table!" &amp; $AI$253 &amp; $AF146),0))))/1024)</f>
        <v/>
      </c>
      <c r="K146" s="22" t="str">
        <f ca="1">IF(ISERROR(MATCH(L$1,INDIRECT("Table!A"&amp;$AF146):INDIRECT("Table!" &amp; $AI$253 &amp; $AF146),0)),"",INDIRECT(CONCATENATE("Table!",ADDRESS(#REF!,MATCH(L$1,INDIRECT("Table!A" &amp; $AF146):INDIRECT("Table!" &amp; $AI$253 &amp; $AF146),0))))/1024)</f>
        <v/>
      </c>
      <c r="L146" s="22" t="str">
        <f ca="1">IF(ISERROR(MATCH(M$1,INDIRECT("Table!A"&amp;$AF146):INDIRECT("Table!" &amp; $AI$253 &amp; $AF146),0)),"",INDIRECT(CONCATENATE("Table!",ADDRESS(#REF!,MATCH(M$1,INDIRECT("Table!A" &amp; $AF146):INDIRECT("Table!" &amp; $AI$253 &amp; $AF146),0))))/1024)</f>
        <v/>
      </c>
      <c r="M146" s="22" t="str">
        <f ca="1">IF(ISERROR(MATCH(N$1,INDIRECT("Table!A"&amp;$AF146):INDIRECT("Table!" &amp; $AI$253 &amp; $AF146),0)),"",INDIRECT(CONCATENATE("Table!",ADDRESS(#REF!,MATCH(N$1,INDIRECT("Table!A" &amp; $AF146):INDIRECT("Table!" &amp; $AI$253 &amp; $AF146),0))))/1024)</f>
        <v/>
      </c>
      <c r="N146" s="22" t="str">
        <f ca="1">IF(ISERROR(MATCH(O$1,INDIRECT("Table!A"&amp;$AF146):INDIRECT("Table!" &amp; $AI$253 &amp; $AF146),0)),"",INDIRECT(CONCATENATE("Table!",ADDRESS(#REF!,MATCH(O$1,INDIRECT("Table!A" &amp; $AF146):INDIRECT("Table!" &amp; $AI$253 &amp; $AF146),0))))/1024)</f>
        <v/>
      </c>
      <c r="O146" s="22"/>
      <c r="P146" s="272"/>
      <c r="Q146" s="22"/>
      <c r="R146" s="174"/>
      <c r="T146" s="595"/>
      <c r="U146" s="174"/>
      <c r="AD146" s="174"/>
      <c r="AE146" s="174"/>
      <c r="AF146" s="22"/>
      <c r="AG146" s="174"/>
      <c r="AH146" s="174"/>
      <c r="AI146" s="29"/>
    </row>
    <row r="147" spans="2:35" x14ac:dyDescent="0.25">
      <c r="B147" s="22" t="str">
        <f ca="1">IF(ISERROR(MATCH(B$1,INDIRECT("Table!A"&amp;$AF147):INDIRECT("Table!" &amp; $AI$253 &amp; $AF147),0)),"",INDIRECT(CONCATENATE("Table!",ADDRESS(#REF!,MATCH(B$1,INDIRECT("Table!A" &amp; $AF147):INDIRECT("Table!" &amp; $AI$253 &amp; $AF147),0))))/1024)</f>
        <v/>
      </c>
      <c r="C147" s="22" t="str">
        <f ca="1">IF(ISERROR(MATCH(C$1,INDIRECT("Table!A"&amp;$AF147):INDIRECT("Table!" &amp; $AI$253 &amp; $AF147),0)),"",INDIRECT(CONCATENATE("Table!",ADDRESS(#REF!,MATCH(C$1,INDIRECT("Table!A" &amp; $AF147):INDIRECT("Table!" &amp; $AI$253 &amp; $AF147),0))))/1024)</f>
        <v/>
      </c>
      <c r="D147" s="22" t="str">
        <f ca="1">IF(ISERROR(MATCH(D$1,INDIRECT("Table!A"&amp;$AF147):INDIRECT("Table!" &amp; $AI$253 &amp; $AF147),0)),"",INDIRECT(CONCATENATE("Table!",ADDRESS(#REF!,MATCH(D$1,INDIRECT("Table!A" &amp; $AF147):INDIRECT("Table!" &amp; $AI$253 &amp; $AF147),0))))/1024)</f>
        <v/>
      </c>
      <c r="E147" s="22" t="str">
        <f ca="1">IF(ISERROR(MATCH(E$1,INDIRECT("Table!A"&amp;$AF147):INDIRECT("Table!" &amp; $AI$253 &amp; $AF147),0)),"",INDIRECT(CONCATENATE("Table!",ADDRESS(#REF!,MATCH(E$1,INDIRECT("Table!A" &amp; $AF147):INDIRECT("Table!" &amp; $AI$253 &amp; $AF147),0))))/1024)</f>
        <v/>
      </c>
      <c r="F147" s="22" t="str">
        <f ca="1">IF(ISERROR(MATCH(F$1,INDIRECT("Table!A"&amp;$AF147):INDIRECT("Table!" &amp; $AI$253 &amp; $AF147),0)),"",INDIRECT(CONCATENATE("Table!",ADDRESS(#REF!,MATCH(F$1,INDIRECT("Table!A" &amp; $AF147):INDIRECT("Table!" &amp; $AI$253 &amp; $AF147),0))))/1024)</f>
        <v/>
      </c>
      <c r="G147" s="22" t="str">
        <f ca="1">IF(ISERROR(MATCH(G$1,INDIRECT("Table!A"&amp;$AF147):INDIRECT("Table!" &amp; $AI$253 &amp; $AF147),0)),"",INDIRECT(CONCATENATE("Table!",ADDRESS(#REF!,MATCH(G$1,INDIRECT("Table!A" &amp; $AF147):INDIRECT("Table!" &amp; $AI$253 &amp; $AF147),0))))/1024)</f>
        <v/>
      </c>
      <c r="H147" s="22" t="str">
        <f ca="1">IF(ISERROR(MATCH(H$1,INDIRECT("Table!A"&amp;$AF147):INDIRECT("Table!" &amp; $AI$253 &amp; $AF147),0)),"",INDIRECT(CONCATENATE("Table!",ADDRESS(#REF!,MATCH(H$1,INDIRECT("Table!A" &amp; $AF147):INDIRECT("Table!" &amp; $AI$253 &amp; $AF147),0))))/1024)</f>
        <v/>
      </c>
      <c r="K147" s="22" t="str">
        <f ca="1">IF(ISERROR(MATCH(L$1,INDIRECT("Table!A"&amp;$AF147):INDIRECT("Table!" &amp; $AI$253 &amp; $AF147),0)),"",INDIRECT(CONCATENATE("Table!",ADDRESS(#REF!,MATCH(L$1,INDIRECT("Table!A" &amp; $AF147):INDIRECT("Table!" &amp; $AI$253 &amp; $AF147),0))))/1024)</f>
        <v/>
      </c>
      <c r="L147" s="22" t="str">
        <f ca="1">IF(ISERROR(MATCH(M$1,INDIRECT("Table!A"&amp;$AF147):INDIRECT("Table!" &amp; $AI$253 &amp; $AF147),0)),"",INDIRECT(CONCATENATE("Table!",ADDRESS(#REF!,MATCH(M$1,INDIRECT("Table!A" &amp; $AF147):INDIRECT("Table!" &amp; $AI$253 &amp; $AF147),0))))/1024)</f>
        <v/>
      </c>
      <c r="M147" s="22" t="str">
        <f ca="1">IF(ISERROR(MATCH(N$1,INDIRECT("Table!A"&amp;$AF147):INDIRECT("Table!" &amp; $AI$253 &amp; $AF147),0)),"",INDIRECT(CONCATENATE("Table!",ADDRESS(#REF!,MATCH(N$1,INDIRECT("Table!A" &amp; $AF147):INDIRECT("Table!" &amp; $AI$253 &amp; $AF147),0))))/1024)</f>
        <v/>
      </c>
      <c r="N147" s="22" t="str">
        <f ca="1">IF(ISERROR(MATCH(O$1,INDIRECT("Table!A"&amp;$AF147):INDIRECT("Table!" &amp; $AI$253 &amp; $AF147),0)),"",INDIRECT(CONCATENATE("Table!",ADDRESS(#REF!,MATCH(O$1,INDIRECT("Table!A" &amp; $AF147):INDIRECT("Table!" &amp; $AI$253 &amp; $AF147),0))))/1024)</f>
        <v/>
      </c>
      <c r="O147" s="22"/>
      <c r="P147" s="272"/>
      <c r="Q147" s="22"/>
      <c r="R147" s="174"/>
      <c r="T147" s="595"/>
      <c r="U147" s="174"/>
      <c r="AD147" s="174"/>
      <c r="AE147" s="174"/>
      <c r="AF147" s="22"/>
      <c r="AG147" s="174"/>
      <c r="AH147" s="174"/>
      <c r="AI147" s="29"/>
    </row>
    <row r="148" spans="2:35" x14ac:dyDescent="0.25">
      <c r="B148" s="22" t="str">
        <f ca="1">IF(ISERROR(MATCH(B$1,INDIRECT("Table!A"&amp;$AF148):INDIRECT("Table!" &amp; $AI$253 &amp; $AF148),0)),"",INDIRECT(CONCATENATE("Table!",ADDRESS(#REF!,MATCH(B$1,INDIRECT("Table!A" &amp; $AF148):INDIRECT("Table!" &amp; $AI$253 &amp; $AF148),0))))/1024)</f>
        <v/>
      </c>
      <c r="C148" s="22" t="str">
        <f ca="1">IF(ISERROR(MATCH(C$1,INDIRECT("Table!A"&amp;$AF148):INDIRECT("Table!" &amp; $AI$253 &amp; $AF148),0)),"",INDIRECT(CONCATENATE("Table!",ADDRESS(#REF!,MATCH(C$1,INDIRECT("Table!A" &amp; $AF148):INDIRECT("Table!" &amp; $AI$253 &amp; $AF148),0))))/1024)</f>
        <v/>
      </c>
      <c r="D148" s="22" t="str">
        <f ca="1">IF(ISERROR(MATCH(D$1,INDIRECT("Table!A"&amp;$AF148):INDIRECT("Table!" &amp; $AI$253 &amp; $AF148),0)),"",INDIRECT(CONCATENATE("Table!",ADDRESS(#REF!,MATCH(D$1,INDIRECT("Table!A" &amp; $AF148):INDIRECT("Table!" &amp; $AI$253 &amp; $AF148),0))))/1024)</f>
        <v/>
      </c>
      <c r="E148" s="22" t="str">
        <f ca="1">IF(ISERROR(MATCH(E$1,INDIRECT("Table!A"&amp;$AF148):INDIRECT("Table!" &amp; $AI$253 &amp; $AF148),0)),"",INDIRECT(CONCATENATE("Table!",ADDRESS(#REF!,MATCH(E$1,INDIRECT("Table!A" &amp; $AF148):INDIRECT("Table!" &amp; $AI$253 &amp; $AF148),0))))/1024)</f>
        <v/>
      </c>
      <c r="F148" s="22" t="str">
        <f ca="1">IF(ISERROR(MATCH(F$1,INDIRECT("Table!A"&amp;$AF148):INDIRECT("Table!" &amp; $AI$253 &amp; $AF148),0)),"",INDIRECT(CONCATENATE("Table!",ADDRESS(#REF!,MATCH(F$1,INDIRECT("Table!A" &amp; $AF148):INDIRECT("Table!" &amp; $AI$253 &amp; $AF148),0))))/1024)</f>
        <v/>
      </c>
      <c r="G148" s="22" t="str">
        <f ca="1">IF(ISERROR(MATCH(G$1,INDIRECT("Table!A"&amp;$AF148):INDIRECT("Table!" &amp; $AI$253 &amp; $AF148),0)),"",INDIRECT(CONCATENATE("Table!",ADDRESS(#REF!,MATCH(G$1,INDIRECT("Table!A" &amp; $AF148):INDIRECT("Table!" &amp; $AI$253 &amp; $AF148),0))))/1024)</f>
        <v/>
      </c>
      <c r="H148" s="22" t="str">
        <f ca="1">IF(ISERROR(MATCH(H$1,INDIRECT("Table!A"&amp;$AF148):INDIRECT("Table!" &amp; $AI$253 &amp; $AF148),0)),"",INDIRECT(CONCATENATE("Table!",ADDRESS(#REF!,MATCH(H$1,INDIRECT("Table!A" &amp; $AF148):INDIRECT("Table!" &amp; $AI$253 &amp; $AF148),0))))/1024)</f>
        <v/>
      </c>
      <c r="K148" s="22" t="str">
        <f ca="1">IF(ISERROR(MATCH(L$1,INDIRECT("Table!A"&amp;$AF148):INDIRECT("Table!" &amp; $AI$253 &amp; $AF148),0)),"",INDIRECT(CONCATENATE("Table!",ADDRESS(#REF!,MATCH(L$1,INDIRECT("Table!A" &amp; $AF148):INDIRECT("Table!" &amp; $AI$253 &amp; $AF148),0))))/1024)</f>
        <v/>
      </c>
      <c r="L148" s="22" t="str">
        <f ca="1">IF(ISERROR(MATCH(M$1,INDIRECT("Table!A"&amp;$AF148):INDIRECT("Table!" &amp; $AI$253 &amp; $AF148),0)),"",INDIRECT(CONCATENATE("Table!",ADDRESS(#REF!,MATCH(M$1,INDIRECT("Table!A" &amp; $AF148):INDIRECT("Table!" &amp; $AI$253 &amp; $AF148),0))))/1024)</f>
        <v/>
      </c>
      <c r="M148" s="22" t="str">
        <f ca="1">IF(ISERROR(MATCH(N$1,INDIRECT("Table!A"&amp;$AF148):INDIRECT("Table!" &amp; $AI$253 &amp; $AF148),0)),"",INDIRECT(CONCATENATE("Table!",ADDRESS(#REF!,MATCH(N$1,INDIRECT("Table!A" &amp; $AF148):INDIRECT("Table!" &amp; $AI$253 &amp; $AF148),0))))/1024)</f>
        <v/>
      </c>
      <c r="N148" s="22" t="str">
        <f ca="1">IF(ISERROR(MATCH(O$1,INDIRECT("Table!A"&amp;$AF148):INDIRECT("Table!" &amp; $AI$253 &amp; $AF148),0)),"",INDIRECT(CONCATENATE("Table!",ADDRESS(#REF!,MATCH(O$1,INDIRECT("Table!A" &amp; $AF148):INDIRECT("Table!" &amp; $AI$253 &amp; $AF148),0))))/1024)</f>
        <v/>
      </c>
      <c r="O148" s="22"/>
      <c r="P148" s="272"/>
      <c r="Q148" s="22"/>
      <c r="R148" s="173"/>
      <c r="T148" s="595"/>
      <c r="U148" s="173"/>
      <c r="AD148" s="173"/>
      <c r="AE148" s="173"/>
      <c r="AF148" s="22"/>
      <c r="AG148" s="173"/>
      <c r="AH148" s="173"/>
      <c r="AI148" s="29"/>
    </row>
    <row r="149" spans="2:35" x14ac:dyDescent="0.25">
      <c r="B149" s="22" t="str">
        <f ca="1">IF(ISERROR(MATCH(B$1,INDIRECT("Table!A"&amp;$AF149):INDIRECT("Table!" &amp; $AI$253 &amp; $AF149),0)),"",INDIRECT(CONCATENATE("Table!",ADDRESS(#REF!,MATCH(B$1,INDIRECT("Table!A" &amp; $AF149):INDIRECT("Table!" &amp; $AI$253 &amp; $AF149),0))))/1024)</f>
        <v/>
      </c>
      <c r="C149" s="22" t="str">
        <f ca="1">IF(ISERROR(MATCH(C$1,INDIRECT("Table!A"&amp;$AF149):INDIRECT("Table!" &amp; $AI$253 &amp; $AF149),0)),"",INDIRECT(CONCATENATE("Table!",ADDRESS(#REF!,MATCH(C$1,INDIRECT("Table!A" &amp; $AF149):INDIRECT("Table!" &amp; $AI$253 &amp; $AF149),0))))/1024)</f>
        <v/>
      </c>
      <c r="D149" s="22" t="str">
        <f ca="1">IF(ISERROR(MATCH(D$1,INDIRECT("Table!A"&amp;$AF149):INDIRECT("Table!" &amp; $AI$253 &amp; $AF149),0)),"",INDIRECT(CONCATENATE("Table!",ADDRESS(#REF!,MATCH(D$1,INDIRECT("Table!A" &amp; $AF149):INDIRECT("Table!" &amp; $AI$253 &amp; $AF149),0))))/1024)</f>
        <v/>
      </c>
      <c r="E149" s="22" t="str">
        <f ca="1">IF(ISERROR(MATCH(E$1,INDIRECT("Table!A"&amp;$AF149):INDIRECT("Table!" &amp; $AI$253 &amp; $AF149),0)),"",INDIRECT(CONCATENATE("Table!",ADDRESS(#REF!,MATCH(E$1,INDIRECT("Table!A" &amp; $AF149):INDIRECT("Table!" &amp; $AI$253 &amp; $AF149),0))))/1024)</f>
        <v/>
      </c>
      <c r="F149" s="22" t="str">
        <f ca="1">IF(ISERROR(MATCH(F$1,INDIRECT("Table!A"&amp;$AF149):INDIRECT("Table!" &amp; $AI$253 &amp; $AF149),0)),"",INDIRECT(CONCATENATE("Table!",ADDRESS(#REF!,MATCH(F$1,INDIRECT("Table!A" &amp; $AF149):INDIRECT("Table!" &amp; $AI$253 &amp; $AF149),0))))/1024)</f>
        <v/>
      </c>
      <c r="G149" s="22" t="str">
        <f ca="1">IF(ISERROR(MATCH(G$1,INDIRECT("Table!A"&amp;$AF149):INDIRECT("Table!" &amp; $AI$253 &amp; $AF149),0)),"",INDIRECT(CONCATENATE("Table!",ADDRESS(#REF!,MATCH(G$1,INDIRECT("Table!A" &amp; $AF149):INDIRECT("Table!" &amp; $AI$253 &amp; $AF149),0))))/1024)</f>
        <v/>
      </c>
      <c r="H149" s="22" t="str">
        <f ca="1">IF(ISERROR(MATCH(H$1,INDIRECT("Table!A"&amp;$AF149):INDIRECT("Table!" &amp; $AI$253 &amp; $AF149),0)),"",INDIRECT(CONCATENATE("Table!",ADDRESS(#REF!,MATCH(H$1,INDIRECT("Table!A" &amp; $AF149):INDIRECT("Table!" &amp; $AI$253 &amp; $AF149),0))))/1024)</f>
        <v/>
      </c>
      <c r="K149" s="22" t="str">
        <f ca="1">IF(ISERROR(MATCH(L$1,INDIRECT("Table!A"&amp;$AF149):INDIRECT("Table!" &amp; $AI$253 &amp; $AF149),0)),"",INDIRECT(CONCATENATE("Table!",ADDRESS(#REF!,MATCH(L$1,INDIRECT("Table!A" &amp; $AF149):INDIRECT("Table!" &amp; $AI$253 &amp; $AF149),0))))/1024)</f>
        <v/>
      </c>
      <c r="L149" s="22" t="str">
        <f ca="1">IF(ISERROR(MATCH(M$1,INDIRECT("Table!A"&amp;$AF149):INDIRECT("Table!" &amp; $AI$253 &amp; $AF149),0)),"",INDIRECT(CONCATENATE("Table!",ADDRESS(#REF!,MATCH(M$1,INDIRECT("Table!A" &amp; $AF149):INDIRECT("Table!" &amp; $AI$253 &amp; $AF149),0))))/1024)</f>
        <v/>
      </c>
      <c r="M149" s="22" t="str">
        <f ca="1">IF(ISERROR(MATCH(N$1,INDIRECT("Table!A"&amp;$AF149):INDIRECT("Table!" &amp; $AI$253 &amp; $AF149),0)),"",INDIRECT(CONCATENATE("Table!",ADDRESS(#REF!,MATCH(N$1,INDIRECT("Table!A" &amp; $AF149):INDIRECT("Table!" &amp; $AI$253 &amp; $AF149),0))))/1024)</f>
        <v/>
      </c>
      <c r="N149" s="22" t="str">
        <f ca="1">IF(ISERROR(MATCH(O$1,INDIRECT("Table!A"&amp;$AF149):INDIRECT("Table!" &amp; $AI$253 &amp; $AF149),0)),"",INDIRECT(CONCATENATE("Table!",ADDRESS(#REF!,MATCH(O$1,INDIRECT("Table!A" &amp; $AF149):INDIRECT("Table!" &amp; $AI$253 &amp; $AF149),0))))/1024)</f>
        <v/>
      </c>
      <c r="O149" s="22"/>
      <c r="P149" s="272"/>
      <c r="Q149" s="22"/>
      <c r="R149" s="172"/>
      <c r="T149" s="595"/>
      <c r="U149" s="172"/>
      <c r="AD149" s="172"/>
      <c r="AE149" s="172"/>
      <c r="AF149" s="22"/>
      <c r="AG149" s="172"/>
      <c r="AH149" s="172"/>
      <c r="AI149" s="29"/>
    </row>
    <row r="150" spans="2:35" x14ac:dyDescent="0.25">
      <c r="B150" s="22" t="str">
        <f ca="1">IF(ISERROR(MATCH(B$1,INDIRECT("Table!A"&amp;$AF150):INDIRECT("Table!" &amp; $AI$253 &amp; $AF150),0)),"",INDIRECT(CONCATENATE("Table!",ADDRESS(#REF!,MATCH(B$1,INDIRECT("Table!A" &amp; $AF150):INDIRECT("Table!" &amp; $AI$253 &amp; $AF150),0))))/1024)</f>
        <v/>
      </c>
      <c r="C150" s="22" t="str">
        <f ca="1">IF(ISERROR(MATCH(C$1,INDIRECT("Table!A"&amp;$AF150):INDIRECT("Table!" &amp; $AI$253 &amp; $AF150),0)),"",INDIRECT(CONCATENATE("Table!",ADDRESS(#REF!,MATCH(C$1,INDIRECT("Table!A" &amp; $AF150):INDIRECT("Table!" &amp; $AI$253 &amp; $AF150),0))))/1024)</f>
        <v/>
      </c>
      <c r="D150" s="22" t="str">
        <f ca="1">IF(ISERROR(MATCH(D$1,INDIRECT("Table!A"&amp;$AF150):INDIRECT("Table!" &amp; $AI$253 &amp; $AF150),0)),"",INDIRECT(CONCATENATE("Table!",ADDRESS(#REF!,MATCH(D$1,INDIRECT("Table!A" &amp; $AF150):INDIRECT("Table!" &amp; $AI$253 &amp; $AF150),0))))/1024)</f>
        <v/>
      </c>
      <c r="E150" s="22" t="str">
        <f ca="1">IF(ISERROR(MATCH(E$1,INDIRECT("Table!A"&amp;$AF150):INDIRECT("Table!" &amp; $AI$253 &amp; $AF150),0)),"",INDIRECT(CONCATENATE("Table!",ADDRESS(#REF!,MATCH(E$1,INDIRECT("Table!A" &amp; $AF150):INDIRECT("Table!" &amp; $AI$253 &amp; $AF150),0))))/1024)</f>
        <v/>
      </c>
      <c r="F150" s="22" t="str">
        <f ca="1">IF(ISERROR(MATCH(F$1,INDIRECT("Table!A"&amp;$AF150):INDIRECT("Table!" &amp; $AI$253 &amp; $AF150),0)),"",INDIRECT(CONCATENATE("Table!",ADDRESS(#REF!,MATCH(F$1,INDIRECT("Table!A" &amp; $AF150):INDIRECT("Table!" &amp; $AI$253 &amp; $AF150),0))))/1024)</f>
        <v/>
      </c>
      <c r="G150" s="22" t="str">
        <f ca="1">IF(ISERROR(MATCH(G$1,INDIRECT("Table!A"&amp;$AF150):INDIRECT("Table!" &amp; $AI$253 &amp; $AF150),0)),"",INDIRECT(CONCATENATE("Table!",ADDRESS(#REF!,MATCH(G$1,INDIRECT("Table!A" &amp; $AF150):INDIRECT("Table!" &amp; $AI$253 &amp; $AF150),0))))/1024)</f>
        <v/>
      </c>
      <c r="H150" s="22" t="str">
        <f ca="1">IF(ISERROR(MATCH(H$1,INDIRECT("Table!A"&amp;$AF150):INDIRECT("Table!" &amp; $AI$253 &amp; $AF150),0)),"",INDIRECT(CONCATENATE("Table!",ADDRESS(#REF!,MATCH(H$1,INDIRECT("Table!A" &amp; $AF150):INDIRECT("Table!" &amp; $AI$253 &amp; $AF150),0))))/1024)</f>
        <v/>
      </c>
      <c r="K150" s="22" t="str">
        <f ca="1">IF(ISERROR(MATCH(L$1,INDIRECT("Table!A"&amp;$AF150):INDIRECT("Table!" &amp; $AI$253 &amp; $AF150),0)),"",INDIRECT(CONCATENATE("Table!",ADDRESS(#REF!,MATCH(L$1,INDIRECT("Table!A" &amp; $AF150):INDIRECT("Table!" &amp; $AI$253 &amp; $AF150),0))))/1024)</f>
        <v/>
      </c>
      <c r="L150" s="22" t="str">
        <f ca="1">IF(ISERROR(MATCH(M$1,INDIRECT("Table!A"&amp;$AF150):INDIRECT("Table!" &amp; $AI$253 &amp; $AF150),0)),"",INDIRECT(CONCATENATE("Table!",ADDRESS(#REF!,MATCH(M$1,INDIRECT("Table!A" &amp; $AF150):INDIRECT("Table!" &amp; $AI$253 &amp; $AF150),0))))/1024)</f>
        <v/>
      </c>
      <c r="M150" s="22" t="str">
        <f ca="1">IF(ISERROR(MATCH(N$1,INDIRECT("Table!A"&amp;$AF150):INDIRECT("Table!" &amp; $AI$253 &amp; $AF150),0)),"",INDIRECT(CONCATENATE("Table!",ADDRESS(#REF!,MATCH(N$1,INDIRECT("Table!A" &amp; $AF150):INDIRECT("Table!" &amp; $AI$253 &amp; $AF150),0))))/1024)</f>
        <v/>
      </c>
      <c r="N150" s="22" t="str">
        <f ca="1">IF(ISERROR(MATCH(O$1,INDIRECT("Table!A"&amp;$AF150):INDIRECT("Table!" &amp; $AI$253 &amp; $AF150),0)),"",INDIRECT(CONCATENATE("Table!",ADDRESS(#REF!,MATCH(O$1,INDIRECT("Table!A" &amp; $AF150):INDIRECT("Table!" &amp; $AI$253 &amp; $AF150),0))))/1024)</f>
        <v/>
      </c>
      <c r="O150" s="22"/>
      <c r="P150" s="272"/>
      <c r="Q150" s="22"/>
      <c r="R150" s="172"/>
      <c r="T150" s="595"/>
      <c r="U150" s="172"/>
      <c r="AD150" s="172"/>
      <c r="AE150" s="172"/>
      <c r="AF150" s="22"/>
      <c r="AG150" s="172"/>
      <c r="AH150" s="172"/>
      <c r="AI150" s="29"/>
    </row>
    <row r="151" spans="2:35" x14ac:dyDescent="0.25">
      <c r="B151" s="22" t="str">
        <f ca="1">IF(ISERROR(MATCH(B$1,INDIRECT("Table!A"&amp;$AF151):INDIRECT("Table!" &amp; $AI$253 &amp; $AF151),0)),"",INDIRECT(CONCATENATE("Table!",ADDRESS(#REF!,MATCH(B$1,INDIRECT("Table!A" &amp; $AF151):INDIRECT("Table!" &amp; $AI$253 &amp; $AF151),0))))/1024)</f>
        <v/>
      </c>
      <c r="C151" s="22" t="str">
        <f ca="1">IF(ISERROR(MATCH(C$1,INDIRECT("Table!A"&amp;$AF151):INDIRECT("Table!" &amp; $AI$253 &amp; $AF151),0)),"",INDIRECT(CONCATENATE("Table!",ADDRESS(#REF!,MATCH(C$1,INDIRECT("Table!A" &amp; $AF151):INDIRECT("Table!" &amp; $AI$253 &amp; $AF151),0))))/1024)</f>
        <v/>
      </c>
      <c r="D151" s="22" t="str">
        <f ca="1">IF(ISERROR(MATCH(D$1,INDIRECT("Table!A"&amp;$AF151):INDIRECT("Table!" &amp; $AI$253 &amp; $AF151),0)),"",INDIRECT(CONCATENATE("Table!",ADDRESS(#REF!,MATCH(D$1,INDIRECT("Table!A" &amp; $AF151):INDIRECT("Table!" &amp; $AI$253 &amp; $AF151),0))))/1024)</f>
        <v/>
      </c>
      <c r="E151" s="22" t="str">
        <f ca="1">IF(ISERROR(MATCH(E$1,INDIRECT("Table!A"&amp;$AF151):INDIRECT("Table!" &amp; $AI$253 &amp; $AF151),0)),"",INDIRECT(CONCATENATE("Table!",ADDRESS(#REF!,MATCH(E$1,INDIRECT("Table!A" &amp; $AF151):INDIRECT("Table!" &amp; $AI$253 &amp; $AF151),0))))/1024)</f>
        <v/>
      </c>
      <c r="F151" s="22" t="str">
        <f ca="1">IF(ISERROR(MATCH(F$1,INDIRECT("Table!A"&amp;$AF151):INDIRECT("Table!" &amp; $AI$253 &amp; $AF151),0)),"",INDIRECT(CONCATENATE("Table!",ADDRESS(#REF!,MATCH(F$1,INDIRECT("Table!A" &amp; $AF151):INDIRECT("Table!" &amp; $AI$253 &amp; $AF151),0))))/1024)</f>
        <v/>
      </c>
      <c r="G151" s="22" t="str">
        <f ca="1">IF(ISERROR(MATCH(G$1,INDIRECT("Table!A"&amp;$AF151):INDIRECT("Table!" &amp; $AI$253 &amp; $AF151),0)),"",INDIRECT(CONCATENATE("Table!",ADDRESS(#REF!,MATCH(G$1,INDIRECT("Table!A" &amp; $AF151):INDIRECT("Table!" &amp; $AI$253 &amp; $AF151),0))))/1024)</f>
        <v/>
      </c>
      <c r="H151" s="22" t="str">
        <f ca="1">IF(ISERROR(MATCH(H$1,INDIRECT("Table!A"&amp;$AF151):INDIRECT("Table!" &amp; $AI$253 &amp; $AF151),0)),"",INDIRECT(CONCATENATE("Table!",ADDRESS(#REF!,MATCH(H$1,INDIRECT("Table!A" &amp; $AF151):INDIRECT("Table!" &amp; $AI$253 &amp; $AF151),0))))/1024)</f>
        <v/>
      </c>
      <c r="K151" s="22" t="str">
        <f ca="1">IF(ISERROR(MATCH(L$1,INDIRECT("Table!A"&amp;$AF151):INDIRECT("Table!" &amp; $AI$253 &amp; $AF151),0)),"",INDIRECT(CONCATENATE("Table!",ADDRESS(#REF!,MATCH(L$1,INDIRECT("Table!A" &amp; $AF151):INDIRECT("Table!" &amp; $AI$253 &amp; $AF151),0))))/1024)</f>
        <v/>
      </c>
      <c r="L151" s="22" t="str">
        <f ca="1">IF(ISERROR(MATCH(M$1,INDIRECT("Table!A"&amp;$AF151):INDIRECT("Table!" &amp; $AI$253 &amp; $AF151),0)),"",INDIRECT(CONCATENATE("Table!",ADDRESS(#REF!,MATCH(M$1,INDIRECT("Table!A" &amp; $AF151):INDIRECT("Table!" &amp; $AI$253 &amp; $AF151),0))))/1024)</f>
        <v/>
      </c>
      <c r="M151" s="22" t="str">
        <f ca="1">IF(ISERROR(MATCH(N$1,INDIRECT("Table!A"&amp;$AF151):INDIRECT("Table!" &amp; $AI$253 &amp; $AF151),0)),"",INDIRECT(CONCATENATE("Table!",ADDRESS(#REF!,MATCH(N$1,INDIRECT("Table!A" &amp; $AF151):INDIRECT("Table!" &amp; $AI$253 &amp; $AF151),0))))/1024)</f>
        <v/>
      </c>
      <c r="N151" s="22" t="str">
        <f ca="1">IF(ISERROR(MATCH(O$1,INDIRECT("Table!A"&amp;$AF151):INDIRECT("Table!" &amp; $AI$253 &amp; $AF151),0)),"",INDIRECT(CONCATENATE("Table!",ADDRESS(#REF!,MATCH(O$1,INDIRECT("Table!A" &amp; $AF151):INDIRECT("Table!" &amp; $AI$253 &amp; $AF151),0))))/1024)</f>
        <v/>
      </c>
      <c r="O151" s="22"/>
      <c r="P151" s="272"/>
      <c r="Q151" s="22"/>
      <c r="R151" s="171"/>
      <c r="T151" s="595"/>
      <c r="U151" s="171"/>
      <c r="AD151" s="171"/>
      <c r="AE151" s="171"/>
      <c r="AF151" s="22"/>
      <c r="AG151" s="171"/>
      <c r="AH151" s="171"/>
      <c r="AI151" s="29"/>
    </row>
    <row r="152" spans="2:35" x14ac:dyDescent="0.25">
      <c r="B152" s="22" t="str">
        <f ca="1">IF(ISERROR(MATCH(B$1,INDIRECT("Table!A"&amp;$AF152):INDIRECT("Table!" &amp; $AI$253 &amp; $AF152),0)),"",INDIRECT(CONCATENATE("Table!",ADDRESS(#REF!,MATCH(B$1,INDIRECT("Table!A" &amp; $AF152):INDIRECT("Table!" &amp; $AI$253 &amp; $AF152),0))))/1024)</f>
        <v/>
      </c>
      <c r="C152" s="22" t="str">
        <f ca="1">IF(ISERROR(MATCH(C$1,INDIRECT("Table!A"&amp;$AF152):INDIRECT("Table!" &amp; $AI$253 &amp; $AF152),0)),"",INDIRECT(CONCATENATE("Table!",ADDRESS(#REF!,MATCH(C$1,INDIRECT("Table!A" &amp; $AF152):INDIRECT("Table!" &amp; $AI$253 &amp; $AF152),0))))/1024)</f>
        <v/>
      </c>
      <c r="D152" s="22" t="str">
        <f ca="1">IF(ISERROR(MATCH(D$1,INDIRECT("Table!A"&amp;$AF152):INDIRECT("Table!" &amp; $AI$253 &amp; $AF152),0)),"",INDIRECT(CONCATENATE("Table!",ADDRESS(#REF!,MATCH(D$1,INDIRECT("Table!A" &amp; $AF152):INDIRECT("Table!" &amp; $AI$253 &amp; $AF152),0))))/1024)</f>
        <v/>
      </c>
      <c r="E152" s="22" t="str">
        <f ca="1">IF(ISERROR(MATCH(E$1,INDIRECT("Table!A"&amp;$AF152):INDIRECT("Table!" &amp; $AI$253 &amp; $AF152),0)),"",INDIRECT(CONCATENATE("Table!",ADDRESS(#REF!,MATCH(E$1,INDIRECT("Table!A" &amp; $AF152):INDIRECT("Table!" &amp; $AI$253 &amp; $AF152),0))))/1024)</f>
        <v/>
      </c>
      <c r="F152" s="22" t="str">
        <f ca="1">IF(ISERROR(MATCH(F$1,INDIRECT("Table!A"&amp;$AF152):INDIRECT("Table!" &amp; $AI$253 &amp; $AF152),0)),"",INDIRECT(CONCATENATE("Table!",ADDRESS(#REF!,MATCH(F$1,INDIRECT("Table!A" &amp; $AF152):INDIRECT("Table!" &amp; $AI$253 &amp; $AF152),0))))/1024)</f>
        <v/>
      </c>
      <c r="G152" s="22" t="str">
        <f ca="1">IF(ISERROR(MATCH(G$1,INDIRECT("Table!A"&amp;$AF152):INDIRECT("Table!" &amp; $AI$253 &amp; $AF152),0)),"",INDIRECT(CONCATENATE("Table!",ADDRESS(#REF!,MATCH(G$1,INDIRECT("Table!A" &amp; $AF152):INDIRECT("Table!" &amp; $AI$253 &amp; $AF152),0))))/1024)</f>
        <v/>
      </c>
      <c r="H152" s="22" t="str">
        <f ca="1">IF(ISERROR(MATCH(H$1,INDIRECT("Table!A"&amp;$AF152):INDIRECT("Table!" &amp; $AI$253 &amp; $AF152),0)),"",INDIRECT(CONCATENATE("Table!",ADDRESS(#REF!,MATCH(H$1,INDIRECT("Table!A" &amp; $AF152):INDIRECT("Table!" &amp; $AI$253 &amp; $AF152),0))))/1024)</f>
        <v/>
      </c>
      <c r="K152" s="22" t="str">
        <f ca="1">IF(ISERROR(MATCH(L$1,INDIRECT("Table!A"&amp;$AF152):INDIRECT("Table!" &amp; $AI$253 &amp; $AF152),0)),"",INDIRECT(CONCATENATE("Table!",ADDRESS(#REF!,MATCH(L$1,INDIRECT("Table!A" &amp; $AF152):INDIRECT("Table!" &amp; $AI$253 &amp; $AF152),0))))/1024)</f>
        <v/>
      </c>
      <c r="L152" s="22" t="str">
        <f ca="1">IF(ISERROR(MATCH(M$1,INDIRECT("Table!A"&amp;$AF152):INDIRECT("Table!" &amp; $AI$253 &amp; $AF152),0)),"",INDIRECT(CONCATENATE("Table!",ADDRESS(#REF!,MATCH(M$1,INDIRECT("Table!A" &amp; $AF152):INDIRECT("Table!" &amp; $AI$253 &amp; $AF152),0))))/1024)</f>
        <v/>
      </c>
      <c r="M152" s="22" t="str">
        <f ca="1">IF(ISERROR(MATCH(N$1,INDIRECT("Table!A"&amp;$AF152):INDIRECT("Table!" &amp; $AI$253 &amp; $AF152),0)),"",INDIRECT(CONCATENATE("Table!",ADDRESS(#REF!,MATCH(N$1,INDIRECT("Table!A" &amp; $AF152):INDIRECT("Table!" &amp; $AI$253 &amp; $AF152),0))))/1024)</f>
        <v/>
      </c>
      <c r="N152" s="22" t="str">
        <f ca="1">IF(ISERROR(MATCH(O$1,INDIRECT("Table!A"&amp;$AF152):INDIRECT("Table!" &amp; $AI$253 &amp; $AF152),0)),"",INDIRECT(CONCATENATE("Table!",ADDRESS(#REF!,MATCH(O$1,INDIRECT("Table!A" &amp; $AF152):INDIRECT("Table!" &amp; $AI$253 &amp; $AF152),0))))/1024)</f>
        <v/>
      </c>
      <c r="O152" s="22"/>
      <c r="P152" s="272"/>
      <c r="Q152" s="22"/>
      <c r="R152" s="170"/>
      <c r="T152" s="595"/>
      <c r="U152" s="170"/>
      <c r="AD152" s="170"/>
      <c r="AE152" s="170"/>
      <c r="AF152" s="22"/>
      <c r="AG152" s="170"/>
      <c r="AH152" s="170"/>
      <c r="AI152" s="29"/>
    </row>
    <row r="153" spans="2:35" x14ac:dyDescent="0.25">
      <c r="B153" s="22" t="str">
        <f ca="1">IF(ISERROR(MATCH(B$1,INDIRECT("Table!A"&amp;$AF153):INDIRECT("Table!" &amp; $AI$253 &amp; $AF153),0)),"",INDIRECT(CONCATENATE("Table!",ADDRESS(#REF!,MATCH(B$1,INDIRECT("Table!A" &amp; $AF153):INDIRECT("Table!" &amp; $AI$253 &amp; $AF153),0))))/1024)</f>
        <v/>
      </c>
      <c r="C153" s="22" t="str">
        <f ca="1">IF(ISERROR(MATCH(C$1,INDIRECT("Table!A"&amp;$AF153):INDIRECT("Table!" &amp; $AI$253 &amp; $AF153),0)),"",INDIRECT(CONCATENATE("Table!",ADDRESS(#REF!,MATCH(C$1,INDIRECT("Table!A" &amp; $AF153):INDIRECT("Table!" &amp; $AI$253 &amp; $AF153),0))))/1024)</f>
        <v/>
      </c>
      <c r="D153" s="22" t="str">
        <f ca="1">IF(ISERROR(MATCH(D$1,INDIRECT("Table!A"&amp;$AF153):INDIRECT("Table!" &amp; $AI$253 &amp; $AF153),0)),"",INDIRECT(CONCATENATE("Table!",ADDRESS(#REF!,MATCH(D$1,INDIRECT("Table!A" &amp; $AF153):INDIRECT("Table!" &amp; $AI$253 &amp; $AF153),0))))/1024)</f>
        <v/>
      </c>
      <c r="E153" s="22" t="str">
        <f ca="1">IF(ISERROR(MATCH(E$1,INDIRECT("Table!A"&amp;$AF153):INDIRECT("Table!" &amp; $AI$253 &amp; $AF153),0)),"",INDIRECT(CONCATENATE("Table!",ADDRESS(#REF!,MATCH(E$1,INDIRECT("Table!A" &amp; $AF153):INDIRECT("Table!" &amp; $AI$253 &amp; $AF153),0))))/1024)</f>
        <v/>
      </c>
      <c r="F153" s="22" t="str">
        <f ca="1">IF(ISERROR(MATCH(F$1,INDIRECT("Table!A"&amp;$AF153):INDIRECT("Table!" &amp; $AI$253 &amp; $AF153),0)),"",INDIRECT(CONCATENATE("Table!",ADDRESS(#REF!,MATCH(F$1,INDIRECT("Table!A" &amp; $AF153):INDIRECT("Table!" &amp; $AI$253 &amp; $AF153),0))))/1024)</f>
        <v/>
      </c>
      <c r="G153" s="22" t="str">
        <f ca="1">IF(ISERROR(MATCH(G$1,INDIRECT("Table!A"&amp;$AF153):INDIRECT("Table!" &amp; $AI$253 &amp; $AF153),0)),"",INDIRECT(CONCATENATE("Table!",ADDRESS(#REF!,MATCH(G$1,INDIRECT("Table!A" &amp; $AF153):INDIRECT("Table!" &amp; $AI$253 &amp; $AF153),0))))/1024)</f>
        <v/>
      </c>
      <c r="H153" s="22" t="str">
        <f ca="1">IF(ISERROR(MATCH(H$1,INDIRECT("Table!A"&amp;$AF153):INDIRECT("Table!" &amp; $AI$253 &amp; $AF153),0)),"",INDIRECT(CONCATENATE("Table!",ADDRESS(#REF!,MATCH(H$1,INDIRECT("Table!A" &amp; $AF153):INDIRECT("Table!" &amp; $AI$253 &amp; $AF153),0))))/1024)</f>
        <v/>
      </c>
      <c r="K153" s="22" t="str">
        <f ca="1">IF(ISERROR(MATCH(L$1,INDIRECT("Table!A"&amp;$AF153):INDIRECT("Table!" &amp; $AI$253 &amp; $AF153),0)),"",INDIRECT(CONCATENATE("Table!",ADDRESS(#REF!,MATCH(L$1,INDIRECT("Table!A" &amp; $AF153):INDIRECT("Table!" &amp; $AI$253 &amp; $AF153),0))))/1024)</f>
        <v/>
      </c>
      <c r="L153" s="22" t="str">
        <f ca="1">IF(ISERROR(MATCH(M$1,INDIRECT("Table!A"&amp;$AF153):INDIRECT("Table!" &amp; $AI$253 &amp; $AF153),0)),"",INDIRECT(CONCATENATE("Table!",ADDRESS(#REF!,MATCH(M$1,INDIRECT("Table!A" &amp; $AF153):INDIRECT("Table!" &amp; $AI$253 &amp; $AF153),0))))/1024)</f>
        <v/>
      </c>
      <c r="M153" s="22" t="str">
        <f ca="1">IF(ISERROR(MATCH(N$1,INDIRECT("Table!A"&amp;$AF153):INDIRECT("Table!" &amp; $AI$253 &amp; $AF153),0)),"",INDIRECT(CONCATENATE("Table!",ADDRESS(#REF!,MATCH(N$1,INDIRECT("Table!A" &amp; $AF153):INDIRECT("Table!" &amp; $AI$253 &amp; $AF153),0))))/1024)</f>
        <v/>
      </c>
      <c r="N153" s="22" t="str">
        <f ca="1">IF(ISERROR(MATCH(O$1,INDIRECT("Table!A"&amp;$AF153):INDIRECT("Table!" &amp; $AI$253 &amp; $AF153),0)),"",INDIRECT(CONCATENATE("Table!",ADDRESS(#REF!,MATCH(O$1,INDIRECT("Table!A" &amp; $AF153):INDIRECT("Table!" &amp; $AI$253 &amp; $AF153),0))))/1024)</f>
        <v/>
      </c>
      <c r="O153" s="22"/>
      <c r="P153" s="272"/>
      <c r="Q153" s="22"/>
      <c r="R153" s="169"/>
      <c r="T153" s="595"/>
      <c r="U153" s="169"/>
      <c r="AD153" s="169"/>
      <c r="AE153" s="169"/>
      <c r="AF153" s="22"/>
      <c r="AG153" s="169"/>
      <c r="AH153" s="169"/>
      <c r="AI153" s="29"/>
    </row>
    <row r="154" spans="2:35" x14ac:dyDescent="0.25">
      <c r="B154" s="22" t="str">
        <f ca="1">IF(ISERROR(MATCH(B$1,INDIRECT("Table!A"&amp;$AF154):INDIRECT("Table!" &amp; $AI$253 &amp; $AF154),0)),"",INDIRECT(CONCATENATE("Table!",ADDRESS(#REF!,MATCH(B$1,INDIRECT("Table!A" &amp; $AF154):INDIRECT("Table!" &amp; $AI$253 &amp; $AF154),0))))/1024)</f>
        <v/>
      </c>
      <c r="C154" s="22" t="str">
        <f ca="1">IF(ISERROR(MATCH(C$1,INDIRECT("Table!A"&amp;$AF154):INDIRECT("Table!" &amp; $AI$253 &amp; $AF154),0)),"",INDIRECT(CONCATENATE("Table!",ADDRESS(#REF!,MATCH(C$1,INDIRECT("Table!A" &amp; $AF154):INDIRECT("Table!" &amp; $AI$253 &amp; $AF154),0))))/1024)</f>
        <v/>
      </c>
      <c r="D154" s="22" t="str">
        <f ca="1">IF(ISERROR(MATCH(D$1,INDIRECT("Table!A"&amp;$AF154):INDIRECT("Table!" &amp; $AI$253 &amp; $AF154),0)),"",INDIRECT(CONCATENATE("Table!",ADDRESS(#REF!,MATCH(D$1,INDIRECT("Table!A" &amp; $AF154):INDIRECT("Table!" &amp; $AI$253 &amp; $AF154),0))))/1024)</f>
        <v/>
      </c>
      <c r="E154" s="22" t="str">
        <f ca="1">IF(ISERROR(MATCH(E$1,INDIRECT("Table!A"&amp;$AF154):INDIRECT("Table!" &amp; $AI$253 &amp; $AF154),0)),"",INDIRECT(CONCATENATE("Table!",ADDRESS(#REF!,MATCH(E$1,INDIRECT("Table!A" &amp; $AF154):INDIRECT("Table!" &amp; $AI$253 &amp; $AF154),0))))/1024)</f>
        <v/>
      </c>
      <c r="F154" s="22" t="str">
        <f ca="1">IF(ISERROR(MATCH(F$1,INDIRECT("Table!A"&amp;$AF154):INDIRECT("Table!" &amp; $AI$253 &amp; $AF154),0)),"",INDIRECT(CONCATENATE("Table!",ADDRESS(#REF!,MATCH(F$1,INDIRECT("Table!A" &amp; $AF154):INDIRECT("Table!" &amp; $AI$253 &amp; $AF154),0))))/1024)</f>
        <v/>
      </c>
      <c r="G154" s="22" t="str">
        <f ca="1">IF(ISERROR(MATCH(G$1,INDIRECT("Table!A"&amp;$AF154):INDIRECT("Table!" &amp; $AI$253 &amp; $AF154),0)),"",INDIRECT(CONCATENATE("Table!",ADDRESS(#REF!,MATCH(G$1,INDIRECT("Table!A" &amp; $AF154):INDIRECT("Table!" &amp; $AI$253 &amp; $AF154),0))))/1024)</f>
        <v/>
      </c>
      <c r="H154" s="22" t="str">
        <f ca="1">IF(ISERROR(MATCH(H$1,INDIRECT("Table!A"&amp;$AF154):INDIRECT("Table!" &amp; $AI$253 &amp; $AF154),0)),"",INDIRECT(CONCATENATE("Table!",ADDRESS(#REF!,MATCH(H$1,INDIRECT("Table!A" &amp; $AF154):INDIRECT("Table!" &amp; $AI$253 &amp; $AF154),0))))/1024)</f>
        <v/>
      </c>
      <c r="K154" s="22" t="str">
        <f ca="1">IF(ISERROR(MATCH(L$1,INDIRECT("Table!A"&amp;$AF154):INDIRECT("Table!" &amp; $AI$253 &amp; $AF154),0)),"",INDIRECT(CONCATENATE("Table!",ADDRESS(#REF!,MATCH(L$1,INDIRECT("Table!A" &amp; $AF154):INDIRECT("Table!" &amp; $AI$253 &amp; $AF154),0))))/1024)</f>
        <v/>
      </c>
      <c r="L154" s="22" t="str">
        <f ca="1">IF(ISERROR(MATCH(M$1,INDIRECT("Table!A"&amp;$AF154):INDIRECT("Table!" &amp; $AI$253 &amp; $AF154),0)),"",INDIRECT(CONCATENATE("Table!",ADDRESS(#REF!,MATCH(M$1,INDIRECT("Table!A" &amp; $AF154):INDIRECT("Table!" &amp; $AI$253 &amp; $AF154),0))))/1024)</f>
        <v/>
      </c>
      <c r="M154" s="22" t="str">
        <f ca="1">IF(ISERROR(MATCH(N$1,INDIRECT("Table!A"&amp;$AF154):INDIRECT("Table!" &amp; $AI$253 &amp; $AF154),0)),"",INDIRECT(CONCATENATE("Table!",ADDRESS(#REF!,MATCH(N$1,INDIRECT("Table!A" &amp; $AF154):INDIRECT("Table!" &amp; $AI$253 &amp; $AF154),0))))/1024)</f>
        <v/>
      </c>
      <c r="N154" s="22" t="str">
        <f ca="1">IF(ISERROR(MATCH(O$1,INDIRECT("Table!A"&amp;$AF154):INDIRECT("Table!" &amp; $AI$253 &amp; $AF154),0)),"",INDIRECT(CONCATENATE("Table!",ADDRESS(#REF!,MATCH(O$1,INDIRECT("Table!A" &amp; $AF154):INDIRECT("Table!" &amp; $AI$253 &amp; $AF154),0))))/1024)</f>
        <v/>
      </c>
      <c r="O154" s="22"/>
      <c r="P154" s="272"/>
      <c r="Q154" s="22"/>
      <c r="R154" s="168"/>
      <c r="T154" s="595"/>
      <c r="U154" s="168"/>
      <c r="AD154" s="168"/>
      <c r="AE154" s="168"/>
      <c r="AF154" s="22"/>
      <c r="AG154" s="168"/>
      <c r="AH154" s="168"/>
      <c r="AI154" s="29"/>
    </row>
    <row r="155" spans="2:35" x14ac:dyDescent="0.25">
      <c r="B155" s="22" t="str">
        <f ca="1">IF(ISERROR(MATCH(B$1,INDIRECT("Table!A"&amp;$AF155):INDIRECT("Table!" &amp; $AI$253 &amp; $AF155),0)),"",INDIRECT(CONCATENATE("Table!",ADDRESS(#REF!,MATCH(B$1,INDIRECT("Table!A" &amp; $AF155):INDIRECT("Table!" &amp; $AI$253 &amp; $AF155),0))))/1024)</f>
        <v/>
      </c>
      <c r="C155" s="22" t="str">
        <f ca="1">IF(ISERROR(MATCH(C$1,INDIRECT("Table!A"&amp;$AF155):INDIRECT("Table!" &amp; $AI$253 &amp; $AF155),0)),"",INDIRECT(CONCATENATE("Table!",ADDRESS(#REF!,MATCH(C$1,INDIRECT("Table!A" &amp; $AF155):INDIRECT("Table!" &amp; $AI$253 &amp; $AF155),0))))/1024)</f>
        <v/>
      </c>
      <c r="D155" s="22" t="str">
        <f ca="1">IF(ISERROR(MATCH(D$1,INDIRECT("Table!A"&amp;$AF155):INDIRECT("Table!" &amp; $AI$253 &amp; $AF155),0)),"",INDIRECT(CONCATENATE("Table!",ADDRESS(#REF!,MATCH(D$1,INDIRECT("Table!A" &amp; $AF155):INDIRECT("Table!" &amp; $AI$253 &amp; $AF155),0))))/1024)</f>
        <v/>
      </c>
      <c r="E155" s="22" t="str">
        <f ca="1">IF(ISERROR(MATCH(E$1,INDIRECT("Table!A"&amp;$AF155):INDIRECT("Table!" &amp; $AI$253 &amp; $AF155),0)),"",INDIRECT(CONCATENATE("Table!",ADDRESS(#REF!,MATCH(E$1,INDIRECT("Table!A" &amp; $AF155):INDIRECT("Table!" &amp; $AI$253 &amp; $AF155),0))))/1024)</f>
        <v/>
      </c>
      <c r="F155" s="22" t="str">
        <f ca="1">IF(ISERROR(MATCH(F$1,INDIRECT("Table!A"&amp;$AF155):INDIRECT("Table!" &amp; $AI$253 &amp; $AF155),0)),"",INDIRECT(CONCATENATE("Table!",ADDRESS(#REF!,MATCH(F$1,INDIRECT("Table!A" &amp; $AF155):INDIRECT("Table!" &amp; $AI$253 &amp; $AF155),0))))/1024)</f>
        <v/>
      </c>
      <c r="G155" s="22" t="str">
        <f ca="1">IF(ISERROR(MATCH(G$1,INDIRECT("Table!A"&amp;$AF155):INDIRECT("Table!" &amp; $AI$253 &amp; $AF155),0)),"",INDIRECT(CONCATENATE("Table!",ADDRESS(#REF!,MATCH(G$1,INDIRECT("Table!A" &amp; $AF155):INDIRECT("Table!" &amp; $AI$253 &amp; $AF155),0))))/1024)</f>
        <v/>
      </c>
      <c r="H155" s="22" t="str">
        <f ca="1">IF(ISERROR(MATCH(H$1,INDIRECT("Table!A"&amp;$AF155):INDIRECT("Table!" &amp; $AI$253 &amp; $AF155),0)),"",INDIRECT(CONCATENATE("Table!",ADDRESS(#REF!,MATCH(H$1,INDIRECT("Table!A" &amp; $AF155):INDIRECT("Table!" &amp; $AI$253 &amp; $AF155),0))))/1024)</f>
        <v/>
      </c>
      <c r="K155" s="22" t="str">
        <f ca="1">IF(ISERROR(MATCH(L$1,INDIRECT("Table!A"&amp;$AF155):INDIRECT("Table!" &amp; $AI$253 &amp; $AF155),0)),"",INDIRECT(CONCATENATE("Table!",ADDRESS(#REF!,MATCH(L$1,INDIRECT("Table!A" &amp; $AF155):INDIRECT("Table!" &amp; $AI$253 &amp; $AF155),0))))/1024)</f>
        <v/>
      </c>
      <c r="L155" s="22" t="str">
        <f ca="1">IF(ISERROR(MATCH(M$1,INDIRECT("Table!A"&amp;$AF155):INDIRECT("Table!" &amp; $AI$253 &amp; $AF155),0)),"",INDIRECT(CONCATENATE("Table!",ADDRESS(#REF!,MATCH(M$1,INDIRECT("Table!A" &amp; $AF155):INDIRECT("Table!" &amp; $AI$253 &amp; $AF155),0))))/1024)</f>
        <v/>
      </c>
      <c r="M155" s="22" t="str">
        <f ca="1">IF(ISERROR(MATCH(N$1,INDIRECT("Table!A"&amp;$AF155):INDIRECT("Table!" &amp; $AI$253 &amp; $AF155),0)),"",INDIRECT(CONCATENATE("Table!",ADDRESS(#REF!,MATCH(N$1,INDIRECT("Table!A" &amp; $AF155):INDIRECT("Table!" &amp; $AI$253 &amp; $AF155),0))))/1024)</f>
        <v/>
      </c>
      <c r="N155" s="22" t="str">
        <f ca="1">IF(ISERROR(MATCH(O$1,INDIRECT("Table!A"&amp;$AF155):INDIRECT("Table!" &amp; $AI$253 &amp; $AF155),0)),"",INDIRECT(CONCATENATE("Table!",ADDRESS(#REF!,MATCH(O$1,INDIRECT("Table!A" &amp; $AF155):INDIRECT("Table!" &amp; $AI$253 &amp; $AF155),0))))/1024)</f>
        <v/>
      </c>
      <c r="O155" s="22"/>
      <c r="P155" s="272"/>
      <c r="Q155" s="22"/>
      <c r="R155" s="167"/>
      <c r="T155" s="595"/>
      <c r="U155" s="167"/>
      <c r="AD155" s="167"/>
      <c r="AE155" s="167"/>
      <c r="AF155" s="22"/>
      <c r="AG155" s="167"/>
      <c r="AH155" s="167"/>
      <c r="AI155" s="29"/>
    </row>
    <row r="156" spans="2:35" x14ac:dyDescent="0.25">
      <c r="B156" s="22" t="str">
        <f ca="1">IF(ISERROR(MATCH(B$1,INDIRECT("Table!A"&amp;$AF156):INDIRECT("Table!" &amp; $AI$253 &amp; $AF156),0)),"",INDIRECT(CONCATENATE("Table!",ADDRESS(#REF!,MATCH(B$1,INDIRECT("Table!A" &amp; $AF156):INDIRECT("Table!" &amp; $AI$253 &amp; $AF156),0))))/1024)</f>
        <v/>
      </c>
      <c r="C156" s="22" t="str">
        <f ca="1">IF(ISERROR(MATCH(C$1,INDIRECT("Table!A"&amp;$AF156):INDIRECT("Table!" &amp; $AI$253 &amp; $AF156),0)),"",INDIRECT(CONCATENATE("Table!",ADDRESS(#REF!,MATCH(C$1,INDIRECT("Table!A" &amp; $AF156):INDIRECT("Table!" &amp; $AI$253 &amp; $AF156),0))))/1024)</f>
        <v/>
      </c>
      <c r="D156" s="22" t="str">
        <f ca="1">IF(ISERROR(MATCH(D$1,INDIRECT("Table!A"&amp;$AF156):INDIRECT("Table!" &amp; $AI$253 &amp; $AF156),0)),"",INDIRECT(CONCATENATE("Table!",ADDRESS(#REF!,MATCH(D$1,INDIRECT("Table!A" &amp; $AF156):INDIRECT("Table!" &amp; $AI$253 &amp; $AF156),0))))/1024)</f>
        <v/>
      </c>
      <c r="E156" s="22" t="str">
        <f ca="1">IF(ISERROR(MATCH(E$1,INDIRECT("Table!A"&amp;$AF156):INDIRECT("Table!" &amp; $AI$253 &amp; $AF156),0)),"",INDIRECT(CONCATENATE("Table!",ADDRESS(#REF!,MATCH(E$1,INDIRECT("Table!A" &amp; $AF156):INDIRECT("Table!" &amp; $AI$253 &amp; $AF156),0))))/1024)</f>
        <v/>
      </c>
      <c r="F156" s="22" t="str">
        <f ca="1">IF(ISERROR(MATCH(F$1,INDIRECT("Table!A"&amp;$AF156):INDIRECT("Table!" &amp; $AI$253 &amp; $AF156),0)),"",INDIRECT(CONCATENATE("Table!",ADDRESS(#REF!,MATCH(F$1,INDIRECT("Table!A" &amp; $AF156):INDIRECT("Table!" &amp; $AI$253 &amp; $AF156),0))))/1024)</f>
        <v/>
      </c>
      <c r="G156" s="22" t="str">
        <f ca="1">IF(ISERROR(MATCH(G$1,INDIRECT("Table!A"&amp;$AF156):INDIRECT("Table!" &amp; $AI$253 &amp; $AF156),0)),"",INDIRECT(CONCATENATE("Table!",ADDRESS(#REF!,MATCH(G$1,INDIRECT("Table!A" &amp; $AF156):INDIRECT("Table!" &amp; $AI$253 &amp; $AF156),0))))/1024)</f>
        <v/>
      </c>
      <c r="H156" s="22" t="str">
        <f ca="1">IF(ISERROR(MATCH(H$1,INDIRECT("Table!A"&amp;$AF156):INDIRECT("Table!" &amp; $AI$253 &amp; $AF156),0)),"",INDIRECT(CONCATENATE("Table!",ADDRESS(#REF!,MATCH(H$1,INDIRECT("Table!A" &amp; $AF156):INDIRECT("Table!" &amp; $AI$253 &amp; $AF156),0))))/1024)</f>
        <v/>
      </c>
      <c r="K156" s="22" t="str">
        <f ca="1">IF(ISERROR(MATCH(L$1,INDIRECT("Table!A"&amp;$AF156):INDIRECT("Table!" &amp; $AI$253 &amp; $AF156),0)),"",INDIRECT(CONCATENATE("Table!",ADDRESS(#REF!,MATCH(L$1,INDIRECT("Table!A" &amp; $AF156):INDIRECT("Table!" &amp; $AI$253 &amp; $AF156),0))))/1024)</f>
        <v/>
      </c>
      <c r="L156" s="22" t="str">
        <f ca="1">IF(ISERROR(MATCH(M$1,INDIRECT("Table!A"&amp;$AF156):INDIRECT("Table!" &amp; $AI$253 &amp; $AF156),0)),"",INDIRECT(CONCATENATE("Table!",ADDRESS(#REF!,MATCH(M$1,INDIRECT("Table!A" &amp; $AF156):INDIRECT("Table!" &amp; $AI$253 &amp; $AF156),0))))/1024)</f>
        <v/>
      </c>
      <c r="M156" s="22" t="str">
        <f ca="1">IF(ISERROR(MATCH(N$1,INDIRECT("Table!A"&amp;$AF156):INDIRECT("Table!" &amp; $AI$253 &amp; $AF156),0)),"",INDIRECT(CONCATENATE("Table!",ADDRESS(#REF!,MATCH(N$1,INDIRECT("Table!A" &amp; $AF156):INDIRECT("Table!" &amp; $AI$253 &amp; $AF156),0))))/1024)</f>
        <v/>
      </c>
      <c r="N156" s="22" t="str">
        <f ca="1">IF(ISERROR(MATCH(O$1,INDIRECT("Table!A"&amp;$AF156):INDIRECT("Table!" &amp; $AI$253 &amp; $AF156),0)),"",INDIRECT(CONCATENATE("Table!",ADDRESS(#REF!,MATCH(O$1,INDIRECT("Table!A" &amp; $AF156):INDIRECT("Table!" &amp; $AI$253 &amp; $AF156),0))))/1024)</f>
        <v/>
      </c>
      <c r="O156" s="22"/>
      <c r="P156" s="272"/>
      <c r="Q156" s="22"/>
      <c r="R156" s="166"/>
      <c r="T156" s="595"/>
      <c r="U156" s="166"/>
      <c r="AD156" s="166"/>
      <c r="AE156" s="166"/>
      <c r="AF156" s="22"/>
      <c r="AG156" s="166"/>
      <c r="AH156" s="166"/>
      <c r="AI156" s="29"/>
    </row>
    <row r="157" spans="2:35" x14ac:dyDescent="0.25">
      <c r="B157" s="22" t="str">
        <f ca="1">IF(ISERROR(MATCH(B$1,INDIRECT("Table!A"&amp;$AF157):INDIRECT("Table!" &amp; $AI$253 &amp; $AF157),0)),"",INDIRECT(CONCATENATE("Table!",ADDRESS(#REF!,MATCH(B$1,INDIRECT("Table!A" &amp; $AF157):INDIRECT("Table!" &amp; $AI$253 &amp; $AF157),0))))/1024)</f>
        <v/>
      </c>
      <c r="C157" s="22" t="str">
        <f ca="1">IF(ISERROR(MATCH(C$1,INDIRECT("Table!A"&amp;$AF157):INDIRECT("Table!" &amp; $AI$253 &amp; $AF157),0)),"",INDIRECT(CONCATENATE("Table!",ADDRESS(#REF!,MATCH(C$1,INDIRECT("Table!A" &amp; $AF157):INDIRECT("Table!" &amp; $AI$253 &amp; $AF157),0))))/1024)</f>
        <v/>
      </c>
      <c r="D157" s="22" t="str">
        <f ca="1">IF(ISERROR(MATCH(D$1,INDIRECT("Table!A"&amp;$AF157):INDIRECT("Table!" &amp; $AI$253 &amp; $AF157),0)),"",INDIRECT(CONCATENATE("Table!",ADDRESS(#REF!,MATCH(D$1,INDIRECT("Table!A" &amp; $AF157):INDIRECT("Table!" &amp; $AI$253 &amp; $AF157),0))))/1024)</f>
        <v/>
      </c>
      <c r="E157" s="22" t="str">
        <f ca="1">IF(ISERROR(MATCH(E$1,INDIRECT("Table!A"&amp;$AF157):INDIRECT("Table!" &amp; $AI$253 &amp; $AF157),0)),"",INDIRECT(CONCATENATE("Table!",ADDRESS(#REF!,MATCH(E$1,INDIRECT("Table!A" &amp; $AF157):INDIRECT("Table!" &amp; $AI$253 &amp; $AF157),0))))/1024)</f>
        <v/>
      </c>
      <c r="F157" s="22" t="str">
        <f ca="1">IF(ISERROR(MATCH(F$1,INDIRECT("Table!A"&amp;$AF157):INDIRECT("Table!" &amp; $AI$253 &amp; $AF157),0)),"",INDIRECT(CONCATENATE("Table!",ADDRESS(#REF!,MATCH(F$1,INDIRECT("Table!A" &amp; $AF157):INDIRECT("Table!" &amp; $AI$253 &amp; $AF157),0))))/1024)</f>
        <v/>
      </c>
      <c r="G157" s="22" t="str">
        <f ca="1">IF(ISERROR(MATCH(G$1,INDIRECT("Table!A"&amp;$AF157):INDIRECT("Table!" &amp; $AI$253 &amp; $AF157),0)),"",INDIRECT(CONCATENATE("Table!",ADDRESS(#REF!,MATCH(G$1,INDIRECT("Table!A" &amp; $AF157):INDIRECT("Table!" &amp; $AI$253 &amp; $AF157),0))))/1024)</f>
        <v/>
      </c>
      <c r="H157" s="22" t="str">
        <f ca="1">IF(ISERROR(MATCH(H$1,INDIRECT("Table!A"&amp;$AF157):INDIRECT("Table!" &amp; $AI$253 &amp; $AF157),0)),"",INDIRECT(CONCATENATE("Table!",ADDRESS(#REF!,MATCH(H$1,INDIRECT("Table!A" &amp; $AF157):INDIRECT("Table!" &amp; $AI$253 &amp; $AF157),0))))/1024)</f>
        <v/>
      </c>
      <c r="K157" s="22" t="str">
        <f ca="1">IF(ISERROR(MATCH(L$1,INDIRECT("Table!A"&amp;$AF157):INDIRECT("Table!" &amp; $AI$253 &amp; $AF157),0)),"",INDIRECT(CONCATENATE("Table!",ADDRESS(#REF!,MATCH(L$1,INDIRECT("Table!A" &amp; $AF157):INDIRECT("Table!" &amp; $AI$253 &amp; $AF157),0))))/1024)</f>
        <v/>
      </c>
      <c r="L157" s="22" t="str">
        <f ca="1">IF(ISERROR(MATCH(M$1,INDIRECT("Table!A"&amp;$AF157):INDIRECT("Table!" &amp; $AI$253 &amp; $AF157),0)),"",INDIRECT(CONCATENATE("Table!",ADDRESS(#REF!,MATCH(M$1,INDIRECT("Table!A" &amp; $AF157):INDIRECT("Table!" &amp; $AI$253 &amp; $AF157),0))))/1024)</f>
        <v/>
      </c>
      <c r="M157" s="22" t="str">
        <f ca="1">IF(ISERROR(MATCH(N$1,INDIRECT("Table!A"&amp;$AF157):INDIRECT("Table!" &amp; $AI$253 &amp; $AF157),0)),"",INDIRECT(CONCATENATE("Table!",ADDRESS(#REF!,MATCH(N$1,INDIRECT("Table!A" &amp; $AF157):INDIRECT("Table!" &amp; $AI$253 &amp; $AF157),0))))/1024)</f>
        <v/>
      </c>
      <c r="N157" s="22" t="str">
        <f ca="1">IF(ISERROR(MATCH(O$1,INDIRECT("Table!A"&amp;$AF157):INDIRECT("Table!" &amp; $AI$253 &amp; $AF157),0)),"",INDIRECT(CONCATENATE("Table!",ADDRESS(#REF!,MATCH(O$1,INDIRECT("Table!A" &amp; $AF157):INDIRECT("Table!" &amp; $AI$253 &amp; $AF157),0))))/1024)</f>
        <v/>
      </c>
      <c r="O157" s="22"/>
      <c r="P157" s="272"/>
      <c r="Q157" s="22"/>
      <c r="R157" s="165"/>
      <c r="T157" s="595"/>
      <c r="U157" s="165"/>
      <c r="AD157" s="165"/>
      <c r="AE157" s="165"/>
      <c r="AF157" s="22"/>
      <c r="AG157" s="165"/>
      <c r="AH157" s="165"/>
      <c r="AI157" s="29"/>
    </row>
    <row r="158" spans="2:35" x14ac:dyDescent="0.25">
      <c r="B158" s="22" t="str">
        <f ca="1">IF(ISERROR(MATCH(B$1,INDIRECT("Table!A"&amp;$AF158):INDIRECT("Table!" &amp; $AI$253 &amp; $AF158),0)),"",INDIRECT(CONCATENATE("Table!",ADDRESS(#REF!,MATCH(B$1,INDIRECT("Table!A" &amp; $AF158):INDIRECT("Table!" &amp; $AI$253 &amp; $AF158),0))))/1024)</f>
        <v/>
      </c>
      <c r="C158" s="22" t="str">
        <f ca="1">IF(ISERROR(MATCH(C$1,INDIRECT("Table!A"&amp;$AF158):INDIRECT("Table!" &amp; $AI$253 &amp; $AF158),0)),"",INDIRECT(CONCATENATE("Table!",ADDRESS(#REF!,MATCH(C$1,INDIRECT("Table!A" &amp; $AF158):INDIRECT("Table!" &amp; $AI$253 &amp; $AF158),0))))/1024)</f>
        <v/>
      </c>
      <c r="D158" s="22" t="str">
        <f ca="1">IF(ISERROR(MATCH(D$1,INDIRECT("Table!A"&amp;$AF158):INDIRECT("Table!" &amp; $AI$253 &amp; $AF158),0)),"",INDIRECT(CONCATENATE("Table!",ADDRESS(#REF!,MATCH(D$1,INDIRECT("Table!A" &amp; $AF158):INDIRECT("Table!" &amp; $AI$253 &amp; $AF158),0))))/1024)</f>
        <v/>
      </c>
      <c r="E158" s="22" t="str">
        <f ca="1">IF(ISERROR(MATCH(E$1,INDIRECT("Table!A"&amp;$AF158):INDIRECT("Table!" &amp; $AI$253 &amp; $AF158),0)),"",INDIRECT(CONCATENATE("Table!",ADDRESS(#REF!,MATCH(E$1,INDIRECT("Table!A" &amp; $AF158):INDIRECT("Table!" &amp; $AI$253 &amp; $AF158),0))))/1024)</f>
        <v/>
      </c>
      <c r="F158" s="22" t="str">
        <f ca="1">IF(ISERROR(MATCH(F$1,INDIRECT("Table!A"&amp;$AF158):INDIRECT("Table!" &amp; $AI$253 &amp; $AF158),0)),"",INDIRECT(CONCATENATE("Table!",ADDRESS(#REF!,MATCH(F$1,INDIRECT("Table!A" &amp; $AF158):INDIRECT("Table!" &amp; $AI$253 &amp; $AF158),0))))/1024)</f>
        <v/>
      </c>
      <c r="G158" s="22" t="str">
        <f ca="1">IF(ISERROR(MATCH(G$1,INDIRECT("Table!A"&amp;$AF158):INDIRECT("Table!" &amp; $AI$253 &amp; $AF158),0)),"",INDIRECT(CONCATENATE("Table!",ADDRESS(#REF!,MATCH(G$1,INDIRECT("Table!A" &amp; $AF158):INDIRECT("Table!" &amp; $AI$253 &amp; $AF158),0))))/1024)</f>
        <v/>
      </c>
      <c r="H158" s="22" t="str">
        <f ca="1">IF(ISERROR(MATCH(H$1,INDIRECT("Table!A"&amp;$AF158):INDIRECT("Table!" &amp; $AI$253 &amp; $AF158),0)),"",INDIRECT(CONCATENATE("Table!",ADDRESS(#REF!,MATCH(H$1,INDIRECT("Table!A" &amp; $AF158):INDIRECT("Table!" &amp; $AI$253 &amp; $AF158),0))))/1024)</f>
        <v/>
      </c>
      <c r="K158" s="22" t="str">
        <f ca="1">IF(ISERROR(MATCH(L$1,INDIRECT("Table!A"&amp;$AF158):INDIRECT("Table!" &amp; $AI$253 &amp; $AF158),0)),"",INDIRECT(CONCATENATE("Table!",ADDRESS(#REF!,MATCH(L$1,INDIRECT("Table!A" &amp; $AF158):INDIRECT("Table!" &amp; $AI$253 &amp; $AF158),0))))/1024)</f>
        <v/>
      </c>
      <c r="L158" s="22" t="str">
        <f ca="1">IF(ISERROR(MATCH(M$1,INDIRECT("Table!A"&amp;$AF158):INDIRECT("Table!" &amp; $AI$253 &amp; $AF158),0)),"",INDIRECT(CONCATENATE("Table!",ADDRESS(#REF!,MATCH(M$1,INDIRECT("Table!A" &amp; $AF158):INDIRECT("Table!" &amp; $AI$253 &amp; $AF158),0))))/1024)</f>
        <v/>
      </c>
      <c r="M158" s="22" t="str">
        <f ca="1">IF(ISERROR(MATCH(N$1,INDIRECT("Table!A"&amp;$AF158):INDIRECT("Table!" &amp; $AI$253 &amp; $AF158),0)),"",INDIRECT(CONCATENATE("Table!",ADDRESS(#REF!,MATCH(N$1,INDIRECT("Table!A" &amp; $AF158):INDIRECT("Table!" &amp; $AI$253 &amp; $AF158),0))))/1024)</f>
        <v/>
      </c>
      <c r="N158" s="22" t="str">
        <f ca="1">IF(ISERROR(MATCH(O$1,INDIRECT("Table!A"&amp;$AF158):INDIRECT("Table!" &amp; $AI$253 &amp; $AF158),0)),"",INDIRECT(CONCATENATE("Table!",ADDRESS(#REF!,MATCH(O$1,INDIRECT("Table!A" &amp; $AF158):INDIRECT("Table!" &amp; $AI$253 &amp; $AF158),0))))/1024)</f>
        <v/>
      </c>
      <c r="O158" s="22"/>
      <c r="P158" s="272"/>
      <c r="Q158" s="22"/>
      <c r="R158" s="163"/>
      <c r="T158" s="595"/>
      <c r="U158" s="163"/>
      <c r="AD158" s="163"/>
      <c r="AE158" s="163"/>
      <c r="AF158" s="22"/>
      <c r="AG158" s="163"/>
      <c r="AH158" s="163"/>
      <c r="AI158" s="29"/>
    </row>
    <row r="159" spans="2:35" x14ac:dyDescent="0.25">
      <c r="B159" s="22" t="str">
        <f ca="1">IF(ISERROR(MATCH(B$1,INDIRECT("Table!A"&amp;$AF159):INDIRECT("Table!" &amp; $AI$253 &amp; $AF159),0)),"",INDIRECT(CONCATENATE("Table!",ADDRESS(#REF!,MATCH(B$1,INDIRECT("Table!A" &amp; $AF159):INDIRECT("Table!" &amp; $AI$253 &amp; $AF159),0))))/1024)</f>
        <v/>
      </c>
      <c r="C159" s="22" t="str">
        <f ca="1">IF(ISERROR(MATCH(C$1,INDIRECT("Table!A"&amp;$AF159):INDIRECT("Table!" &amp; $AI$253 &amp; $AF159),0)),"",INDIRECT(CONCATENATE("Table!",ADDRESS(#REF!,MATCH(C$1,INDIRECT("Table!A" &amp; $AF159):INDIRECT("Table!" &amp; $AI$253 &amp; $AF159),0))))/1024)</f>
        <v/>
      </c>
      <c r="D159" s="22" t="str">
        <f ca="1">IF(ISERROR(MATCH(D$1,INDIRECT("Table!A"&amp;$AF159):INDIRECT("Table!" &amp; $AI$253 &amp; $AF159),0)),"",INDIRECT(CONCATENATE("Table!",ADDRESS(#REF!,MATCH(D$1,INDIRECT("Table!A" &amp; $AF159):INDIRECT("Table!" &amp; $AI$253 &amp; $AF159),0))))/1024)</f>
        <v/>
      </c>
      <c r="E159" s="22" t="str">
        <f ca="1">IF(ISERROR(MATCH(E$1,INDIRECT("Table!A"&amp;$AF159):INDIRECT("Table!" &amp; $AI$253 &amp; $AF159),0)),"",INDIRECT(CONCATENATE("Table!",ADDRESS(#REF!,MATCH(E$1,INDIRECT("Table!A" &amp; $AF159):INDIRECT("Table!" &amp; $AI$253 &amp; $AF159),0))))/1024)</f>
        <v/>
      </c>
      <c r="F159" s="22" t="str">
        <f ca="1">IF(ISERROR(MATCH(F$1,INDIRECT("Table!A"&amp;$AF159):INDIRECT("Table!" &amp; $AI$253 &amp; $AF159),0)),"",INDIRECT(CONCATENATE("Table!",ADDRESS(#REF!,MATCH(F$1,INDIRECT("Table!A" &amp; $AF159):INDIRECT("Table!" &amp; $AI$253 &amp; $AF159),0))))/1024)</f>
        <v/>
      </c>
      <c r="G159" s="22" t="str">
        <f ca="1">IF(ISERROR(MATCH(G$1,INDIRECT("Table!A"&amp;$AF159):INDIRECT("Table!" &amp; $AI$253 &amp; $AF159),0)),"",INDIRECT(CONCATENATE("Table!",ADDRESS(#REF!,MATCH(G$1,INDIRECT("Table!A" &amp; $AF159):INDIRECT("Table!" &amp; $AI$253 &amp; $AF159),0))))/1024)</f>
        <v/>
      </c>
      <c r="H159" s="22" t="str">
        <f ca="1">IF(ISERROR(MATCH(H$1,INDIRECT("Table!A"&amp;$AF159):INDIRECT("Table!" &amp; $AI$253 &amp; $AF159),0)),"",INDIRECT(CONCATENATE("Table!",ADDRESS(#REF!,MATCH(H$1,INDIRECT("Table!A" &amp; $AF159):INDIRECT("Table!" &amp; $AI$253 &amp; $AF159),0))))/1024)</f>
        <v/>
      </c>
      <c r="K159" s="22" t="str">
        <f ca="1">IF(ISERROR(MATCH(L$1,INDIRECT("Table!A"&amp;$AF159):INDIRECT("Table!" &amp; $AI$253 &amp; $AF159),0)),"",INDIRECT(CONCATENATE("Table!",ADDRESS(#REF!,MATCH(L$1,INDIRECT("Table!A" &amp; $AF159):INDIRECT("Table!" &amp; $AI$253 &amp; $AF159),0))))/1024)</f>
        <v/>
      </c>
      <c r="L159" s="22" t="str">
        <f ca="1">IF(ISERROR(MATCH(M$1,INDIRECT("Table!A"&amp;$AF159):INDIRECT("Table!" &amp; $AI$253 &amp; $AF159),0)),"",INDIRECT(CONCATENATE("Table!",ADDRESS(#REF!,MATCH(M$1,INDIRECT("Table!A" &amp; $AF159):INDIRECT("Table!" &amp; $AI$253 &amp; $AF159),0))))/1024)</f>
        <v/>
      </c>
      <c r="M159" s="22" t="str">
        <f ca="1">IF(ISERROR(MATCH(N$1,INDIRECT("Table!A"&amp;$AF159):INDIRECT("Table!" &amp; $AI$253 &amp; $AF159),0)),"",INDIRECT(CONCATENATE("Table!",ADDRESS(#REF!,MATCH(N$1,INDIRECT("Table!A" &amp; $AF159):INDIRECT("Table!" &amp; $AI$253 &amp; $AF159),0))))/1024)</f>
        <v/>
      </c>
      <c r="N159" s="22" t="str">
        <f ca="1">IF(ISERROR(MATCH(O$1,INDIRECT("Table!A"&amp;$AF159):INDIRECT("Table!" &amp; $AI$253 &amp; $AF159),0)),"",INDIRECT(CONCATENATE("Table!",ADDRESS(#REF!,MATCH(O$1,INDIRECT("Table!A" &amp; $AF159):INDIRECT("Table!" &amp; $AI$253 &amp; $AF159),0))))/1024)</f>
        <v/>
      </c>
      <c r="O159" s="22"/>
      <c r="P159" s="272"/>
      <c r="Q159" s="22"/>
      <c r="R159" s="124"/>
      <c r="T159" s="595"/>
      <c r="U159" s="124"/>
      <c r="AD159" s="124"/>
      <c r="AE159" s="124"/>
      <c r="AF159" s="22"/>
      <c r="AG159" s="124"/>
      <c r="AH159" s="124"/>
      <c r="AI159" s="29"/>
    </row>
    <row r="160" spans="2:35" x14ac:dyDescent="0.25">
      <c r="B160" s="22" t="str">
        <f ca="1">IF(ISERROR(MATCH(B$1,INDIRECT("Table!A"&amp;$AF160):INDIRECT("Table!" &amp; $AI$253 &amp; $AF160),0)),"",INDIRECT(CONCATENATE("Table!",ADDRESS(#REF!,MATCH(B$1,INDIRECT("Table!A" &amp; $AF160):INDIRECT("Table!" &amp; $AI$253 &amp; $AF160),0))))/1024)</f>
        <v/>
      </c>
      <c r="C160" s="22" t="str">
        <f ca="1">IF(ISERROR(MATCH(C$1,INDIRECT("Table!A"&amp;$AF160):INDIRECT("Table!" &amp; $AI$253 &amp; $AF160),0)),"",INDIRECT(CONCATENATE("Table!",ADDRESS(#REF!,MATCH(C$1,INDIRECT("Table!A" &amp; $AF160):INDIRECT("Table!" &amp; $AI$253 &amp; $AF160),0))))/1024)</f>
        <v/>
      </c>
      <c r="D160" s="22" t="str">
        <f ca="1">IF(ISERROR(MATCH(D$1,INDIRECT("Table!A"&amp;$AF160):INDIRECT("Table!" &amp; $AI$253 &amp; $AF160),0)),"",INDIRECT(CONCATENATE("Table!",ADDRESS(#REF!,MATCH(D$1,INDIRECT("Table!A" &amp; $AF160):INDIRECT("Table!" &amp; $AI$253 &amp; $AF160),0))))/1024)</f>
        <v/>
      </c>
      <c r="E160" s="22" t="str">
        <f ca="1">IF(ISERROR(MATCH(E$1,INDIRECT("Table!A"&amp;$AF160):INDIRECT("Table!" &amp; $AI$253 &amp; $AF160),0)),"",INDIRECT(CONCATENATE("Table!",ADDRESS(#REF!,MATCH(E$1,INDIRECT("Table!A" &amp; $AF160):INDIRECT("Table!" &amp; $AI$253 &amp; $AF160),0))))/1024)</f>
        <v/>
      </c>
      <c r="F160" s="22" t="str">
        <f ca="1">IF(ISERROR(MATCH(F$1,INDIRECT("Table!A"&amp;$AF160):INDIRECT("Table!" &amp; $AI$253 &amp; $AF160),0)),"",INDIRECT(CONCATENATE("Table!",ADDRESS(#REF!,MATCH(F$1,INDIRECT("Table!A" &amp; $AF160):INDIRECT("Table!" &amp; $AI$253 &amp; $AF160),0))))/1024)</f>
        <v/>
      </c>
      <c r="G160" s="22" t="str">
        <f ca="1">IF(ISERROR(MATCH(G$1,INDIRECT("Table!A"&amp;$AF160):INDIRECT("Table!" &amp; $AI$253 &amp; $AF160),0)),"",INDIRECT(CONCATENATE("Table!",ADDRESS(#REF!,MATCH(G$1,INDIRECT("Table!A" &amp; $AF160):INDIRECT("Table!" &amp; $AI$253 &amp; $AF160),0))))/1024)</f>
        <v/>
      </c>
      <c r="H160" s="22" t="str">
        <f ca="1">IF(ISERROR(MATCH(H$1,INDIRECT("Table!A"&amp;$AF160):INDIRECT("Table!" &amp; $AI$253 &amp; $AF160),0)),"",INDIRECT(CONCATENATE("Table!",ADDRESS(#REF!,MATCH(H$1,INDIRECT("Table!A" &amp; $AF160):INDIRECT("Table!" &amp; $AI$253 &amp; $AF160),0))))/1024)</f>
        <v/>
      </c>
      <c r="K160" s="22" t="str">
        <f ca="1">IF(ISERROR(MATCH(L$1,INDIRECT("Table!A"&amp;$AF160):INDIRECT("Table!" &amp; $AI$253 &amp; $AF160),0)),"",INDIRECT(CONCATENATE("Table!",ADDRESS(#REF!,MATCH(L$1,INDIRECT("Table!A" &amp; $AF160):INDIRECT("Table!" &amp; $AI$253 &amp; $AF160),0))))/1024)</f>
        <v/>
      </c>
      <c r="L160" s="22" t="str">
        <f ca="1">IF(ISERROR(MATCH(M$1,INDIRECT("Table!A"&amp;$AF160):INDIRECT("Table!" &amp; $AI$253 &amp; $AF160),0)),"",INDIRECT(CONCATENATE("Table!",ADDRESS(#REF!,MATCH(M$1,INDIRECT("Table!A" &amp; $AF160):INDIRECT("Table!" &amp; $AI$253 &amp; $AF160),0))))/1024)</f>
        <v/>
      </c>
      <c r="M160" s="22" t="str">
        <f ca="1">IF(ISERROR(MATCH(N$1,INDIRECT("Table!A"&amp;$AF160):INDIRECT("Table!" &amp; $AI$253 &amp; $AF160),0)),"",INDIRECT(CONCATENATE("Table!",ADDRESS(#REF!,MATCH(N$1,INDIRECT("Table!A" &amp; $AF160):INDIRECT("Table!" &amp; $AI$253 &amp; $AF160),0))))/1024)</f>
        <v/>
      </c>
      <c r="N160" s="22" t="str">
        <f ca="1">IF(ISERROR(MATCH(O$1,INDIRECT("Table!A"&amp;$AF160):INDIRECT("Table!" &amp; $AI$253 &amp; $AF160),0)),"",INDIRECT(CONCATENATE("Table!",ADDRESS(#REF!,MATCH(O$1,INDIRECT("Table!A" &amp; $AF160):INDIRECT("Table!" &amp; $AI$253 &amp; $AF160),0))))/1024)</f>
        <v/>
      </c>
      <c r="O160" s="22"/>
      <c r="P160" s="272"/>
      <c r="Q160" s="22"/>
      <c r="R160" s="162"/>
      <c r="T160" s="595"/>
      <c r="U160" s="162"/>
      <c r="AD160" s="162"/>
      <c r="AE160" s="162"/>
      <c r="AF160" s="22"/>
      <c r="AG160" s="162"/>
      <c r="AH160" s="162"/>
      <c r="AI160" s="29"/>
    </row>
    <row r="161" spans="2:35" x14ac:dyDescent="0.25">
      <c r="B161" s="22" t="str">
        <f ca="1">IF(ISERROR(MATCH(B$1,INDIRECT("Table!A"&amp;$AF161):INDIRECT("Table!" &amp; $AI$253 &amp; $AF161),0)),"",INDIRECT(CONCATENATE("Table!",ADDRESS(#REF!,MATCH(B$1,INDIRECT("Table!A" &amp; $AF161):INDIRECT("Table!" &amp; $AI$253 &amp; $AF161),0))))/1024)</f>
        <v/>
      </c>
      <c r="C161" s="22" t="str">
        <f ca="1">IF(ISERROR(MATCH(C$1,INDIRECT("Table!A"&amp;$AF161):INDIRECT("Table!" &amp; $AI$253 &amp; $AF161),0)),"",INDIRECT(CONCATENATE("Table!",ADDRESS(#REF!,MATCH(C$1,INDIRECT("Table!A" &amp; $AF161):INDIRECT("Table!" &amp; $AI$253 &amp; $AF161),0))))/1024)</f>
        <v/>
      </c>
      <c r="D161" s="22" t="str">
        <f ca="1">IF(ISERROR(MATCH(D$1,INDIRECT("Table!A"&amp;$AF161):INDIRECT("Table!" &amp; $AI$253 &amp; $AF161),0)),"",INDIRECT(CONCATENATE("Table!",ADDRESS(#REF!,MATCH(D$1,INDIRECT("Table!A" &amp; $AF161):INDIRECT("Table!" &amp; $AI$253 &amp; $AF161),0))))/1024)</f>
        <v/>
      </c>
      <c r="E161" s="22" t="str">
        <f ca="1">IF(ISERROR(MATCH(E$1,INDIRECT("Table!A"&amp;$AF161):INDIRECT("Table!" &amp; $AI$253 &amp; $AF161),0)),"",INDIRECT(CONCATENATE("Table!",ADDRESS(#REF!,MATCH(E$1,INDIRECT("Table!A" &amp; $AF161):INDIRECT("Table!" &amp; $AI$253 &amp; $AF161),0))))/1024)</f>
        <v/>
      </c>
      <c r="F161" s="22" t="str">
        <f ca="1">IF(ISERROR(MATCH(F$1,INDIRECT("Table!A"&amp;$AF161):INDIRECT("Table!" &amp; $AI$253 &amp; $AF161),0)),"",INDIRECT(CONCATENATE("Table!",ADDRESS(#REF!,MATCH(F$1,INDIRECT("Table!A" &amp; $AF161):INDIRECT("Table!" &amp; $AI$253 &amp; $AF161),0))))/1024)</f>
        <v/>
      </c>
      <c r="G161" s="22" t="str">
        <f ca="1">IF(ISERROR(MATCH(G$1,INDIRECT("Table!A"&amp;$AF161):INDIRECT("Table!" &amp; $AI$253 &amp; $AF161),0)),"",INDIRECT(CONCATENATE("Table!",ADDRESS(#REF!,MATCH(G$1,INDIRECT("Table!A" &amp; $AF161):INDIRECT("Table!" &amp; $AI$253 &amp; $AF161),0))))/1024)</f>
        <v/>
      </c>
      <c r="H161" s="22" t="str">
        <f ca="1">IF(ISERROR(MATCH(H$1,INDIRECT("Table!A"&amp;$AF161):INDIRECT("Table!" &amp; $AI$253 &amp; $AF161),0)),"",INDIRECT(CONCATENATE("Table!",ADDRESS(#REF!,MATCH(H$1,INDIRECT("Table!A" &amp; $AF161):INDIRECT("Table!" &amp; $AI$253 &amp; $AF161),0))))/1024)</f>
        <v/>
      </c>
      <c r="K161" s="22" t="str">
        <f ca="1">IF(ISERROR(MATCH(L$1,INDIRECT("Table!A"&amp;$AF161):INDIRECT("Table!" &amp; $AI$253 &amp; $AF161),0)),"",INDIRECT(CONCATENATE("Table!",ADDRESS(#REF!,MATCH(L$1,INDIRECT("Table!A" &amp; $AF161):INDIRECT("Table!" &amp; $AI$253 &amp; $AF161),0))))/1024)</f>
        <v/>
      </c>
      <c r="L161" s="22" t="str">
        <f ca="1">IF(ISERROR(MATCH(M$1,INDIRECT("Table!A"&amp;$AF161):INDIRECT("Table!" &amp; $AI$253 &amp; $AF161),0)),"",INDIRECT(CONCATENATE("Table!",ADDRESS(#REF!,MATCH(M$1,INDIRECT("Table!A" &amp; $AF161):INDIRECT("Table!" &amp; $AI$253 &amp; $AF161),0))))/1024)</f>
        <v/>
      </c>
      <c r="M161" s="22" t="str">
        <f ca="1">IF(ISERROR(MATCH(N$1,INDIRECT("Table!A"&amp;$AF161):INDIRECT("Table!" &amp; $AI$253 &amp; $AF161),0)),"",INDIRECT(CONCATENATE("Table!",ADDRESS(#REF!,MATCH(N$1,INDIRECT("Table!A" &amp; $AF161):INDIRECT("Table!" &amp; $AI$253 &amp; $AF161),0))))/1024)</f>
        <v/>
      </c>
      <c r="N161" s="22" t="str">
        <f ca="1">IF(ISERROR(MATCH(O$1,INDIRECT("Table!A"&amp;$AF161):INDIRECT("Table!" &amp; $AI$253 &amp; $AF161),0)),"",INDIRECT(CONCATENATE("Table!",ADDRESS(#REF!,MATCH(O$1,INDIRECT("Table!A" &amp; $AF161):INDIRECT("Table!" &amp; $AI$253 &amp; $AF161),0))))/1024)</f>
        <v/>
      </c>
      <c r="O161" s="22"/>
      <c r="P161" s="272"/>
      <c r="Q161" s="22"/>
      <c r="R161" s="161"/>
      <c r="T161" s="595"/>
      <c r="U161" s="161"/>
      <c r="AD161" s="161"/>
      <c r="AE161" s="161"/>
      <c r="AF161" s="22"/>
      <c r="AG161" s="161"/>
      <c r="AH161" s="161"/>
      <c r="AI161" s="29"/>
    </row>
    <row r="162" spans="2:35" x14ac:dyDescent="0.25">
      <c r="B162" s="22" t="str">
        <f ca="1">IF(ISERROR(MATCH(B$1,INDIRECT("Table!A"&amp;$AF162):INDIRECT("Table!" &amp; $AI$253 &amp; $AF162),0)),"",INDIRECT(CONCATENATE("Table!",ADDRESS(#REF!,MATCH(B$1,INDIRECT("Table!A" &amp; $AF162):INDIRECT("Table!" &amp; $AI$253 &amp; $AF162),0))))/1024)</f>
        <v/>
      </c>
      <c r="C162" s="22" t="str">
        <f ca="1">IF(ISERROR(MATCH(C$1,INDIRECT("Table!A"&amp;$AF162):INDIRECT("Table!" &amp; $AI$253 &amp; $AF162),0)),"",INDIRECT(CONCATENATE("Table!",ADDRESS(#REF!,MATCH(C$1,INDIRECT("Table!A" &amp; $AF162):INDIRECT("Table!" &amp; $AI$253 &amp; $AF162),0))))/1024)</f>
        <v/>
      </c>
      <c r="D162" s="22" t="str">
        <f ca="1">IF(ISERROR(MATCH(D$1,INDIRECT("Table!A"&amp;$AF162):INDIRECT("Table!" &amp; $AI$253 &amp; $AF162),0)),"",INDIRECT(CONCATENATE("Table!",ADDRESS(#REF!,MATCH(D$1,INDIRECT("Table!A" &amp; $AF162):INDIRECT("Table!" &amp; $AI$253 &amp; $AF162),0))))/1024)</f>
        <v/>
      </c>
      <c r="E162" s="22" t="str">
        <f ca="1">IF(ISERROR(MATCH(E$1,INDIRECT("Table!A"&amp;$AF162):INDIRECT("Table!" &amp; $AI$253 &amp; $AF162),0)),"",INDIRECT(CONCATENATE("Table!",ADDRESS(#REF!,MATCH(E$1,INDIRECT("Table!A" &amp; $AF162):INDIRECT("Table!" &amp; $AI$253 &amp; $AF162),0))))/1024)</f>
        <v/>
      </c>
      <c r="F162" s="22" t="str">
        <f ca="1">IF(ISERROR(MATCH(F$1,INDIRECT("Table!A"&amp;$AF162):INDIRECT("Table!" &amp; $AI$253 &amp; $AF162),0)),"",INDIRECT(CONCATENATE("Table!",ADDRESS(#REF!,MATCH(F$1,INDIRECT("Table!A" &amp; $AF162):INDIRECT("Table!" &amp; $AI$253 &amp; $AF162),0))))/1024)</f>
        <v/>
      </c>
      <c r="G162" s="22" t="str">
        <f ca="1">IF(ISERROR(MATCH(G$1,INDIRECT("Table!A"&amp;$AF162):INDIRECT("Table!" &amp; $AI$253 &amp; $AF162),0)),"",INDIRECT(CONCATENATE("Table!",ADDRESS(#REF!,MATCH(G$1,INDIRECT("Table!A" &amp; $AF162):INDIRECT("Table!" &amp; $AI$253 &amp; $AF162),0))))/1024)</f>
        <v/>
      </c>
      <c r="H162" s="22" t="str">
        <f ca="1">IF(ISERROR(MATCH(H$1,INDIRECT("Table!A"&amp;$AF162):INDIRECT("Table!" &amp; $AI$253 &amp; $AF162),0)),"",INDIRECT(CONCATENATE("Table!",ADDRESS(#REF!,MATCH(H$1,INDIRECT("Table!A" &amp; $AF162):INDIRECT("Table!" &amp; $AI$253 &amp; $AF162),0))))/1024)</f>
        <v/>
      </c>
      <c r="K162" s="22" t="str">
        <f ca="1">IF(ISERROR(MATCH(L$1,INDIRECT("Table!A"&amp;$AF162):INDIRECT("Table!" &amp; $AI$253 &amp; $AF162),0)),"",INDIRECT(CONCATENATE("Table!",ADDRESS(#REF!,MATCH(L$1,INDIRECT("Table!A" &amp; $AF162):INDIRECT("Table!" &amp; $AI$253 &amp; $AF162),0))))/1024)</f>
        <v/>
      </c>
      <c r="L162" s="22" t="str">
        <f ca="1">IF(ISERROR(MATCH(M$1,INDIRECT("Table!A"&amp;$AF162):INDIRECT("Table!" &amp; $AI$253 &amp; $AF162),0)),"",INDIRECT(CONCATENATE("Table!",ADDRESS(#REF!,MATCH(M$1,INDIRECT("Table!A" &amp; $AF162):INDIRECT("Table!" &amp; $AI$253 &amp; $AF162),0))))/1024)</f>
        <v/>
      </c>
      <c r="M162" s="22" t="str">
        <f ca="1">IF(ISERROR(MATCH(N$1,INDIRECT("Table!A"&amp;$AF162):INDIRECT("Table!" &amp; $AI$253 &amp; $AF162),0)),"",INDIRECT(CONCATENATE("Table!",ADDRESS(#REF!,MATCH(N$1,INDIRECT("Table!A" &amp; $AF162):INDIRECT("Table!" &amp; $AI$253 &amp; $AF162),0))))/1024)</f>
        <v/>
      </c>
      <c r="N162" s="22" t="str">
        <f ca="1">IF(ISERROR(MATCH(O$1,INDIRECT("Table!A"&amp;$AF162):INDIRECT("Table!" &amp; $AI$253 &amp; $AF162),0)),"",INDIRECT(CONCATENATE("Table!",ADDRESS(#REF!,MATCH(O$1,INDIRECT("Table!A" &amp; $AF162):INDIRECT("Table!" &amp; $AI$253 &amp; $AF162),0))))/1024)</f>
        <v/>
      </c>
      <c r="O162" s="22"/>
      <c r="P162" s="272"/>
      <c r="Q162" s="22"/>
      <c r="R162" s="160"/>
      <c r="T162" s="595"/>
      <c r="U162" s="160"/>
      <c r="AD162" s="160"/>
      <c r="AE162" s="160"/>
      <c r="AF162" s="22"/>
      <c r="AG162" s="160"/>
      <c r="AH162" s="160"/>
      <c r="AI162" s="29"/>
    </row>
    <row r="163" spans="2:35" x14ac:dyDescent="0.25">
      <c r="B163" s="22" t="str">
        <f ca="1">IF(ISERROR(MATCH(B$1,INDIRECT("Table!A"&amp;$AF163):INDIRECT("Table!" &amp; $AI$253 &amp; $AF163),0)),"",INDIRECT(CONCATENATE("Table!",ADDRESS(#REF!,MATCH(B$1,INDIRECT("Table!A" &amp; $AF163):INDIRECT("Table!" &amp; $AI$253 &amp; $AF163),0))))/1024)</f>
        <v/>
      </c>
      <c r="C163" s="22" t="str">
        <f ca="1">IF(ISERROR(MATCH(C$1,INDIRECT("Table!A"&amp;$AF163):INDIRECT("Table!" &amp; $AI$253 &amp; $AF163),0)),"",INDIRECT(CONCATENATE("Table!",ADDRESS(#REF!,MATCH(C$1,INDIRECT("Table!A" &amp; $AF163):INDIRECT("Table!" &amp; $AI$253 &amp; $AF163),0))))/1024)</f>
        <v/>
      </c>
      <c r="D163" s="22" t="str">
        <f ca="1">IF(ISERROR(MATCH(D$1,INDIRECT("Table!A"&amp;$AF163):INDIRECT("Table!" &amp; $AI$253 &amp; $AF163),0)),"",INDIRECT(CONCATENATE("Table!",ADDRESS(#REF!,MATCH(D$1,INDIRECT("Table!A" &amp; $AF163):INDIRECT("Table!" &amp; $AI$253 &amp; $AF163),0))))/1024)</f>
        <v/>
      </c>
      <c r="E163" s="22" t="str">
        <f ca="1">IF(ISERROR(MATCH(E$1,INDIRECT("Table!A"&amp;$AF163):INDIRECT("Table!" &amp; $AI$253 &amp; $AF163),0)),"",INDIRECT(CONCATENATE("Table!",ADDRESS(#REF!,MATCH(E$1,INDIRECT("Table!A" &amp; $AF163):INDIRECT("Table!" &amp; $AI$253 &amp; $AF163),0))))/1024)</f>
        <v/>
      </c>
      <c r="F163" s="22" t="str">
        <f ca="1">IF(ISERROR(MATCH(F$1,INDIRECT("Table!A"&amp;$AF163):INDIRECT("Table!" &amp; $AI$253 &amp; $AF163),0)),"",INDIRECT(CONCATENATE("Table!",ADDRESS(#REF!,MATCH(F$1,INDIRECT("Table!A" &amp; $AF163):INDIRECT("Table!" &amp; $AI$253 &amp; $AF163),0))))/1024)</f>
        <v/>
      </c>
      <c r="G163" s="22" t="str">
        <f ca="1">IF(ISERROR(MATCH(G$1,INDIRECT("Table!A"&amp;$AF163):INDIRECT("Table!" &amp; $AI$253 &amp; $AF163),0)),"",INDIRECT(CONCATENATE("Table!",ADDRESS(#REF!,MATCH(G$1,INDIRECT("Table!A" &amp; $AF163):INDIRECT("Table!" &amp; $AI$253 &amp; $AF163),0))))/1024)</f>
        <v/>
      </c>
      <c r="H163" s="22" t="str">
        <f ca="1">IF(ISERROR(MATCH(H$1,INDIRECT("Table!A"&amp;$AF163):INDIRECT("Table!" &amp; $AI$253 &amp; $AF163),0)),"",INDIRECT(CONCATENATE("Table!",ADDRESS(#REF!,MATCH(H$1,INDIRECT("Table!A" &amp; $AF163):INDIRECT("Table!" &amp; $AI$253 &amp; $AF163),0))))/1024)</f>
        <v/>
      </c>
      <c r="K163" s="22" t="str">
        <f ca="1">IF(ISERROR(MATCH(L$1,INDIRECT("Table!A"&amp;$AF163):INDIRECT("Table!" &amp; $AI$253 &amp; $AF163),0)),"",INDIRECT(CONCATENATE("Table!",ADDRESS(#REF!,MATCH(L$1,INDIRECT("Table!A" &amp; $AF163):INDIRECT("Table!" &amp; $AI$253 &amp; $AF163),0))))/1024)</f>
        <v/>
      </c>
      <c r="L163" s="22" t="str">
        <f ca="1">IF(ISERROR(MATCH(M$1,INDIRECT("Table!A"&amp;$AF163):INDIRECT("Table!" &amp; $AI$253 &amp; $AF163),0)),"",INDIRECT(CONCATENATE("Table!",ADDRESS(#REF!,MATCH(M$1,INDIRECT("Table!A" &amp; $AF163):INDIRECT("Table!" &amp; $AI$253 &amp; $AF163),0))))/1024)</f>
        <v/>
      </c>
      <c r="M163" s="22" t="str">
        <f ca="1">IF(ISERROR(MATCH(N$1,INDIRECT("Table!A"&amp;$AF163):INDIRECT("Table!" &amp; $AI$253 &amp; $AF163),0)),"",INDIRECT(CONCATENATE("Table!",ADDRESS(#REF!,MATCH(N$1,INDIRECT("Table!A" &amp; $AF163):INDIRECT("Table!" &amp; $AI$253 &amp; $AF163),0))))/1024)</f>
        <v/>
      </c>
      <c r="N163" s="22" t="str">
        <f ca="1">IF(ISERROR(MATCH(O$1,INDIRECT("Table!A"&amp;$AF163):INDIRECT("Table!" &amp; $AI$253 &amp; $AF163),0)),"",INDIRECT(CONCATENATE("Table!",ADDRESS(#REF!,MATCH(O$1,INDIRECT("Table!A" &amp; $AF163):INDIRECT("Table!" &amp; $AI$253 &amp; $AF163),0))))/1024)</f>
        <v/>
      </c>
      <c r="O163" s="22"/>
      <c r="P163" s="272"/>
      <c r="Q163" s="22"/>
      <c r="R163" s="159"/>
      <c r="T163" s="595"/>
      <c r="U163" s="159"/>
      <c r="AD163" s="159"/>
      <c r="AE163" s="159"/>
      <c r="AF163" s="22"/>
      <c r="AG163" s="159"/>
      <c r="AH163" s="159"/>
      <c r="AI163" s="29"/>
    </row>
    <row r="164" spans="2:35" x14ac:dyDescent="0.25">
      <c r="B164" s="22" t="str">
        <f ca="1">IF(ISERROR(MATCH(B$1,INDIRECT("Table!A"&amp;$AF164):INDIRECT("Table!" &amp; $AI$253 &amp; $AF164),0)),"",INDIRECT(CONCATENATE("Table!",ADDRESS(#REF!,MATCH(B$1,INDIRECT("Table!A" &amp; $AF164):INDIRECT("Table!" &amp; $AI$253 &amp; $AF164),0))))/1024)</f>
        <v/>
      </c>
      <c r="C164" s="22" t="str">
        <f ca="1">IF(ISERROR(MATCH(C$1,INDIRECT("Table!A"&amp;$AF164):INDIRECT("Table!" &amp; $AI$253 &amp; $AF164),0)),"",INDIRECT(CONCATENATE("Table!",ADDRESS(#REF!,MATCH(C$1,INDIRECT("Table!A" &amp; $AF164):INDIRECT("Table!" &amp; $AI$253 &amp; $AF164),0))))/1024)</f>
        <v/>
      </c>
      <c r="D164" s="22" t="str">
        <f ca="1">IF(ISERROR(MATCH(D$1,INDIRECT("Table!A"&amp;$AF164):INDIRECT("Table!" &amp; $AI$253 &amp; $AF164),0)),"",INDIRECT(CONCATENATE("Table!",ADDRESS(#REF!,MATCH(D$1,INDIRECT("Table!A" &amp; $AF164):INDIRECT("Table!" &amp; $AI$253 &amp; $AF164),0))))/1024)</f>
        <v/>
      </c>
      <c r="E164" s="22" t="str">
        <f ca="1">IF(ISERROR(MATCH(E$1,INDIRECT("Table!A"&amp;$AF164):INDIRECT("Table!" &amp; $AI$253 &amp; $AF164),0)),"",INDIRECT(CONCATENATE("Table!",ADDRESS(#REF!,MATCH(E$1,INDIRECT("Table!A" &amp; $AF164):INDIRECT("Table!" &amp; $AI$253 &amp; $AF164),0))))/1024)</f>
        <v/>
      </c>
      <c r="F164" s="22" t="str">
        <f ca="1">IF(ISERROR(MATCH(F$1,INDIRECT("Table!A"&amp;$AF164):INDIRECT("Table!" &amp; $AI$253 &amp; $AF164),0)),"",INDIRECT(CONCATENATE("Table!",ADDRESS(#REF!,MATCH(F$1,INDIRECT("Table!A" &amp; $AF164):INDIRECT("Table!" &amp; $AI$253 &amp; $AF164),0))))/1024)</f>
        <v/>
      </c>
      <c r="G164" s="22" t="str">
        <f ca="1">IF(ISERROR(MATCH(G$1,INDIRECT("Table!A"&amp;$AF164):INDIRECT("Table!" &amp; $AI$253 &amp; $AF164),0)),"",INDIRECT(CONCATENATE("Table!",ADDRESS(#REF!,MATCH(G$1,INDIRECT("Table!A" &amp; $AF164):INDIRECT("Table!" &amp; $AI$253 &amp; $AF164),0))))/1024)</f>
        <v/>
      </c>
      <c r="H164" s="22" t="str">
        <f ca="1">IF(ISERROR(MATCH(H$1,INDIRECT("Table!A"&amp;$AF164):INDIRECT("Table!" &amp; $AI$253 &amp; $AF164),0)),"",INDIRECT(CONCATENATE("Table!",ADDRESS(#REF!,MATCH(H$1,INDIRECT("Table!A" &amp; $AF164):INDIRECT("Table!" &amp; $AI$253 &amp; $AF164),0))))/1024)</f>
        <v/>
      </c>
      <c r="K164" s="22" t="str">
        <f ca="1">IF(ISERROR(MATCH(L$1,INDIRECT("Table!A"&amp;$AF164):INDIRECT("Table!" &amp; $AI$253 &amp; $AF164),0)),"",INDIRECT(CONCATENATE("Table!",ADDRESS(#REF!,MATCH(L$1,INDIRECT("Table!A" &amp; $AF164):INDIRECT("Table!" &amp; $AI$253 &amp; $AF164),0))))/1024)</f>
        <v/>
      </c>
      <c r="L164" s="22" t="str">
        <f ca="1">IF(ISERROR(MATCH(M$1,INDIRECT("Table!A"&amp;$AF164):INDIRECT("Table!" &amp; $AI$253 &amp; $AF164),0)),"",INDIRECT(CONCATENATE("Table!",ADDRESS(#REF!,MATCH(M$1,INDIRECT("Table!A" &amp; $AF164):INDIRECT("Table!" &amp; $AI$253 &amp; $AF164),0))))/1024)</f>
        <v/>
      </c>
      <c r="M164" s="22" t="str">
        <f ca="1">IF(ISERROR(MATCH(N$1,INDIRECT("Table!A"&amp;$AF164):INDIRECT("Table!" &amp; $AI$253 &amp; $AF164),0)),"",INDIRECT(CONCATENATE("Table!",ADDRESS(#REF!,MATCH(N$1,INDIRECT("Table!A" &amp; $AF164):INDIRECT("Table!" &amp; $AI$253 &amp; $AF164),0))))/1024)</f>
        <v/>
      </c>
      <c r="N164" s="22" t="str">
        <f ca="1">IF(ISERROR(MATCH(O$1,INDIRECT("Table!A"&amp;$AF164):INDIRECT("Table!" &amp; $AI$253 &amp; $AF164),0)),"",INDIRECT(CONCATENATE("Table!",ADDRESS(#REF!,MATCH(O$1,INDIRECT("Table!A" &amp; $AF164):INDIRECT("Table!" &amp; $AI$253 &amp; $AF164),0))))/1024)</f>
        <v/>
      </c>
      <c r="O164" s="22"/>
      <c r="P164" s="272"/>
      <c r="Q164" s="22"/>
      <c r="R164" s="158"/>
      <c r="T164" s="595"/>
      <c r="U164" s="158"/>
      <c r="AD164" s="158"/>
      <c r="AE164" s="158"/>
      <c r="AF164" s="22"/>
      <c r="AG164" s="158"/>
      <c r="AH164" s="158"/>
      <c r="AI164" s="29"/>
    </row>
    <row r="165" spans="2:35" x14ac:dyDescent="0.25">
      <c r="B165" s="22" t="str">
        <f ca="1">IF(ISERROR(MATCH(B$1,INDIRECT("Table!A"&amp;$AF165):INDIRECT("Table!" &amp; $AI$253 &amp; $AF165),0)),"",INDIRECT(CONCATENATE("Table!",ADDRESS(#REF!,MATCH(B$1,INDIRECT("Table!A" &amp; $AF165):INDIRECT("Table!" &amp; $AI$253 &amp; $AF165),0))))/1024)</f>
        <v/>
      </c>
      <c r="C165" s="22" t="str">
        <f ca="1">IF(ISERROR(MATCH(C$1,INDIRECT("Table!A"&amp;$AF165):INDIRECT("Table!" &amp; $AI$253 &amp; $AF165),0)),"",INDIRECT(CONCATENATE("Table!",ADDRESS(#REF!,MATCH(C$1,INDIRECT("Table!A" &amp; $AF165):INDIRECT("Table!" &amp; $AI$253 &amp; $AF165),0))))/1024)</f>
        <v/>
      </c>
      <c r="D165" s="22" t="str">
        <f ca="1">IF(ISERROR(MATCH(D$1,INDIRECT("Table!A"&amp;$AF165):INDIRECT("Table!" &amp; $AI$253 &amp; $AF165),0)),"",INDIRECT(CONCATENATE("Table!",ADDRESS(#REF!,MATCH(D$1,INDIRECT("Table!A" &amp; $AF165):INDIRECT("Table!" &amp; $AI$253 &amp; $AF165),0))))/1024)</f>
        <v/>
      </c>
      <c r="E165" s="22" t="str">
        <f ca="1">IF(ISERROR(MATCH(E$1,INDIRECT("Table!A"&amp;$AF165):INDIRECT("Table!" &amp; $AI$253 &amp; $AF165),0)),"",INDIRECT(CONCATENATE("Table!",ADDRESS(#REF!,MATCH(E$1,INDIRECT("Table!A" &amp; $AF165):INDIRECT("Table!" &amp; $AI$253 &amp; $AF165),0))))/1024)</f>
        <v/>
      </c>
      <c r="F165" s="22" t="str">
        <f ca="1">IF(ISERROR(MATCH(F$1,INDIRECT("Table!A"&amp;$AF165):INDIRECT("Table!" &amp; $AI$253 &amp; $AF165),0)),"",INDIRECT(CONCATENATE("Table!",ADDRESS(#REF!,MATCH(F$1,INDIRECT("Table!A" &amp; $AF165):INDIRECT("Table!" &amp; $AI$253 &amp; $AF165),0))))/1024)</f>
        <v/>
      </c>
      <c r="G165" s="22" t="str">
        <f ca="1">IF(ISERROR(MATCH(G$1,INDIRECT("Table!A"&amp;$AF165):INDIRECT("Table!" &amp; $AI$253 &amp; $AF165),0)),"",INDIRECT(CONCATENATE("Table!",ADDRESS(#REF!,MATCH(G$1,INDIRECT("Table!A" &amp; $AF165):INDIRECT("Table!" &amp; $AI$253 &amp; $AF165),0))))/1024)</f>
        <v/>
      </c>
      <c r="H165" s="22" t="str">
        <f ca="1">IF(ISERROR(MATCH(H$1,INDIRECT("Table!A"&amp;$AF165):INDIRECT("Table!" &amp; $AI$253 &amp; $AF165),0)),"",INDIRECT(CONCATENATE("Table!",ADDRESS(#REF!,MATCH(H$1,INDIRECT("Table!A" &amp; $AF165):INDIRECT("Table!" &amp; $AI$253 &amp; $AF165),0))))/1024)</f>
        <v/>
      </c>
      <c r="K165" s="22" t="str">
        <f ca="1">IF(ISERROR(MATCH(L$1,INDIRECT("Table!A"&amp;$AF165):INDIRECT("Table!" &amp; $AI$253 &amp; $AF165),0)),"",INDIRECT(CONCATENATE("Table!",ADDRESS(#REF!,MATCH(L$1,INDIRECT("Table!A" &amp; $AF165):INDIRECT("Table!" &amp; $AI$253 &amp; $AF165),0))))/1024)</f>
        <v/>
      </c>
      <c r="L165" s="22" t="str">
        <f ca="1">IF(ISERROR(MATCH(M$1,INDIRECT("Table!A"&amp;$AF165):INDIRECT("Table!" &amp; $AI$253 &amp; $AF165),0)),"",INDIRECT(CONCATENATE("Table!",ADDRESS(#REF!,MATCH(M$1,INDIRECT("Table!A" &amp; $AF165):INDIRECT("Table!" &amp; $AI$253 &amp; $AF165),0))))/1024)</f>
        <v/>
      </c>
      <c r="M165" s="22" t="str">
        <f ca="1">IF(ISERROR(MATCH(N$1,INDIRECT("Table!A"&amp;$AF165):INDIRECT("Table!" &amp; $AI$253 &amp; $AF165),0)),"",INDIRECT(CONCATENATE("Table!",ADDRESS(#REF!,MATCH(N$1,INDIRECT("Table!A" &amp; $AF165):INDIRECT("Table!" &amp; $AI$253 &amp; $AF165),0))))/1024)</f>
        <v/>
      </c>
      <c r="N165" s="22" t="str">
        <f ca="1">IF(ISERROR(MATCH(O$1,INDIRECT("Table!A"&amp;$AF165):INDIRECT("Table!" &amp; $AI$253 &amp; $AF165),0)),"",INDIRECT(CONCATENATE("Table!",ADDRESS(#REF!,MATCH(O$1,INDIRECT("Table!A" &amp; $AF165):INDIRECT("Table!" &amp; $AI$253 &amp; $AF165),0))))/1024)</f>
        <v/>
      </c>
      <c r="O165" s="22"/>
      <c r="P165" s="272"/>
      <c r="Q165" s="22"/>
      <c r="R165" s="157"/>
      <c r="T165" s="595"/>
      <c r="U165" s="157"/>
      <c r="AD165" s="157"/>
      <c r="AE165" s="157"/>
      <c r="AF165" s="22"/>
      <c r="AG165" s="157"/>
      <c r="AH165" s="157"/>
      <c r="AI165" s="29"/>
    </row>
    <row r="166" spans="2:35" x14ac:dyDescent="0.25">
      <c r="B166" s="22" t="str">
        <f ca="1">IF(ISERROR(MATCH(B$1,INDIRECT("Table!A"&amp;$AF166):INDIRECT("Table!" &amp; $AI$253 &amp; $AF166),0)),"",INDIRECT(CONCATENATE("Table!",ADDRESS(#REF!,MATCH(B$1,INDIRECT("Table!A" &amp; $AF166):INDIRECT("Table!" &amp; $AI$253 &amp; $AF166),0))))/1024)</f>
        <v/>
      </c>
      <c r="C166" s="22" t="str">
        <f ca="1">IF(ISERROR(MATCH(C$1,INDIRECT("Table!A"&amp;$AF166):INDIRECT("Table!" &amp; $AI$253 &amp; $AF166),0)),"",INDIRECT(CONCATENATE("Table!",ADDRESS(#REF!,MATCH(C$1,INDIRECT("Table!A" &amp; $AF166):INDIRECT("Table!" &amp; $AI$253 &amp; $AF166),0))))/1024)</f>
        <v/>
      </c>
      <c r="D166" s="22" t="str">
        <f ca="1">IF(ISERROR(MATCH(D$1,INDIRECT("Table!A"&amp;$AF166):INDIRECT("Table!" &amp; $AI$253 &amp; $AF166),0)),"",INDIRECT(CONCATENATE("Table!",ADDRESS(#REF!,MATCH(D$1,INDIRECT("Table!A" &amp; $AF166):INDIRECT("Table!" &amp; $AI$253 &amp; $AF166),0))))/1024)</f>
        <v/>
      </c>
      <c r="E166" s="22" t="str">
        <f ca="1">IF(ISERROR(MATCH(E$1,INDIRECT("Table!A"&amp;$AF166):INDIRECT("Table!" &amp; $AI$253 &amp; $AF166),0)),"",INDIRECT(CONCATENATE("Table!",ADDRESS(#REF!,MATCH(E$1,INDIRECT("Table!A" &amp; $AF166):INDIRECT("Table!" &amp; $AI$253 &amp; $AF166),0))))/1024)</f>
        <v/>
      </c>
      <c r="F166" s="22" t="str">
        <f ca="1">IF(ISERROR(MATCH(F$1,INDIRECT("Table!A"&amp;$AF166):INDIRECT("Table!" &amp; $AI$253 &amp; $AF166),0)),"",INDIRECT(CONCATENATE("Table!",ADDRESS(#REF!,MATCH(F$1,INDIRECT("Table!A" &amp; $AF166):INDIRECT("Table!" &amp; $AI$253 &amp; $AF166),0))))/1024)</f>
        <v/>
      </c>
      <c r="G166" s="22" t="str">
        <f ca="1">IF(ISERROR(MATCH(G$1,INDIRECT("Table!A"&amp;$AF166):INDIRECT("Table!" &amp; $AI$253 &amp; $AF166),0)),"",INDIRECT(CONCATENATE("Table!",ADDRESS(#REF!,MATCH(G$1,INDIRECT("Table!A" &amp; $AF166):INDIRECT("Table!" &amp; $AI$253 &amp; $AF166),0))))/1024)</f>
        <v/>
      </c>
      <c r="H166" s="22" t="str">
        <f ca="1">IF(ISERROR(MATCH(H$1,INDIRECT("Table!A"&amp;$AF166):INDIRECT("Table!" &amp; $AI$253 &amp; $AF166),0)),"",INDIRECT(CONCATENATE("Table!",ADDRESS(#REF!,MATCH(H$1,INDIRECT("Table!A" &amp; $AF166):INDIRECT("Table!" &amp; $AI$253 &amp; $AF166),0))))/1024)</f>
        <v/>
      </c>
      <c r="K166" s="22" t="str">
        <f ca="1">IF(ISERROR(MATCH(L$1,INDIRECT("Table!A"&amp;$AF166):INDIRECT("Table!" &amp; $AI$253 &amp; $AF166),0)),"",INDIRECT(CONCATENATE("Table!",ADDRESS(#REF!,MATCH(L$1,INDIRECT("Table!A" &amp; $AF166):INDIRECT("Table!" &amp; $AI$253 &amp; $AF166),0))))/1024)</f>
        <v/>
      </c>
      <c r="L166" s="22" t="str">
        <f ca="1">IF(ISERROR(MATCH(M$1,INDIRECT("Table!A"&amp;$AF166):INDIRECT("Table!" &amp; $AI$253 &amp; $AF166),0)),"",INDIRECT(CONCATENATE("Table!",ADDRESS(#REF!,MATCH(M$1,INDIRECT("Table!A" &amp; $AF166):INDIRECT("Table!" &amp; $AI$253 &amp; $AF166),0))))/1024)</f>
        <v/>
      </c>
      <c r="M166" s="22" t="str">
        <f ca="1">IF(ISERROR(MATCH(N$1,INDIRECT("Table!A"&amp;$AF166):INDIRECT("Table!" &amp; $AI$253 &amp; $AF166),0)),"",INDIRECT(CONCATENATE("Table!",ADDRESS(#REF!,MATCH(N$1,INDIRECT("Table!A" &amp; $AF166):INDIRECT("Table!" &amp; $AI$253 &amp; $AF166),0))))/1024)</f>
        <v/>
      </c>
      <c r="N166" s="22" t="str">
        <f ca="1">IF(ISERROR(MATCH(O$1,INDIRECT("Table!A"&amp;$AF166):INDIRECT("Table!" &amp; $AI$253 &amp; $AF166),0)),"",INDIRECT(CONCATENATE("Table!",ADDRESS(#REF!,MATCH(O$1,INDIRECT("Table!A" &amp; $AF166):INDIRECT("Table!" &amp; $AI$253 &amp; $AF166),0))))/1024)</f>
        <v/>
      </c>
      <c r="O166" s="22"/>
      <c r="P166" s="272"/>
      <c r="Q166" s="22"/>
      <c r="R166" s="156"/>
      <c r="T166" s="595"/>
      <c r="U166" s="156"/>
      <c r="AD166" s="156"/>
      <c r="AE166" s="156"/>
      <c r="AF166" s="22"/>
      <c r="AG166" s="156"/>
      <c r="AH166" s="156"/>
      <c r="AI166" s="29"/>
    </row>
    <row r="167" spans="2:35" x14ac:dyDescent="0.25">
      <c r="B167" s="22" t="str">
        <f ca="1">IF(ISERROR(MATCH(B$1,INDIRECT("Table!A"&amp;$AF167):INDIRECT("Table!" &amp; $AI$253 &amp; $AF167),0)),"",INDIRECT(CONCATENATE("Table!",ADDRESS(#REF!,MATCH(B$1,INDIRECT("Table!A" &amp; $AF167):INDIRECT("Table!" &amp; $AI$253 &amp; $AF167),0))))/1024)</f>
        <v/>
      </c>
      <c r="C167" s="22" t="str">
        <f ca="1">IF(ISERROR(MATCH(C$1,INDIRECT("Table!A"&amp;$AF167):INDIRECT("Table!" &amp; $AI$253 &amp; $AF167),0)),"",INDIRECT(CONCATENATE("Table!",ADDRESS(#REF!,MATCH(C$1,INDIRECT("Table!A" &amp; $AF167):INDIRECT("Table!" &amp; $AI$253 &amp; $AF167),0))))/1024)</f>
        <v/>
      </c>
      <c r="D167" s="22" t="str">
        <f ca="1">IF(ISERROR(MATCH(D$1,INDIRECT("Table!A"&amp;$AF167):INDIRECT("Table!" &amp; $AI$253 &amp; $AF167),0)),"",INDIRECT(CONCATENATE("Table!",ADDRESS(#REF!,MATCH(D$1,INDIRECT("Table!A" &amp; $AF167):INDIRECT("Table!" &amp; $AI$253 &amp; $AF167),0))))/1024)</f>
        <v/>
      </c>
      <c r="E167" s="22" t="str">
        <f ca="1">IF(ISERROR(MATCH(E$1,INDIRECT("Table!A"&amp;$AF167):INDIRECT("Table!" &amp; $AI$253 &amp; $AF167),0)),"",INDIRECT(CONCATENATE("Table!",ADDRESS(#REF!,MATCH(E$1,INDIRECT("Table!A" &amp; $AF167):INDIRECT("Table!" &amp; $AI$253 &amp; $AF167),0))))/1024)</f>
        <v/>
      </c>
      <c r="F167" s="22" t="str">
        <f ca="1">IF(ISERROR(MATCH(F$1,INDIRECT("Table!A"&amp;$AF167):INDIRECT("Table!" &amp; $AI$253 &amp; $AF167),0)),"",INDIRECT(CONCATENATE("Table!",ADDRESS(#REF!,MATCH(F$1,INDIRECT("Table!A" &amp; $AF167):INDIRECT("Table!" &amp; $AI$253 &amp; $AF167),0))))/1024)</f>
        <v/>
      </c>
      <c r="G167" s="22" t="str">
        <f ca="1">IF(ISERROR(MATCH(G$1,INDIRECT("Table!A"&amp;$AF167):INDIRECT("Table!" &amp; $AI$253 &amp; $AF167),0)),"",INDIRECT(CONCATENATE("Table!",ADDRESS(#REF!,MATCH(G$1,INDIRECT("Table!A" &amp; $AF167):INDIRECT("Table!" &amp; $AI$253 &amp; $AF167),0))))/1024)</f>
        <v/>
      </c>
      <c r="H167" s="22" t="str">
        <f ca="1">IF(ISERROR(MATCH(H$1,INDIRECT("Table!A"&amp;$AF167):INDIRECT("Table!" &amp; $AI$253 &amp; $AF167),0)),"",INDIRECT(CONCATENATE("Table!",ADDRESS(#REF!,MATCH(H$1,INDIRECT("Table!A" &amp; $AF167):INDIRECT("Table!" &amp; $AI$253 &amp; $AF167),0))))/1024)</f>
        <v/>
      </c>
      <c r="K167" s="22" t="str">
        <f ca="1">IF(ISERROR(MATCH(L$1,INDIRECT("Table!A"&amp;$AF167):INDIRECT("Table!" &amp; $AI$253 &amp; $AF167),0)),"",INDIRECT(CONCATENATE("Table!",ADDRESS(#REF!,MATCH(L$1,INDIRECT("Table!A" &amp; $AF167):INDIRECT("Table!" &amp; $AI$253 &amp; $AF167),0))))/1024)</f>
        <v/>
      </c>
      <c r="L167" s="22" t="str">
        <f ca="1">IF(ISERROR(MATCH(M$1,INDIRECT("Table!A"&amp;$AF167):INDIRECT("Table!" &amp; $AI$253 &amp; $AF167),0)),"",INDIRECT(CONCATENATE("Table!",ADDRESS(#REF!,MATCH(M$1,INDIRECT("Table!A" &amp; $AF167):INDIRECT("Table!" &amp; $AI$253 &amp; $AF167),0))))/1024)</f>
        <v/>
      </c>
      <c r="M167" s="22" t="str">
        <f ca="1">IF(ISERROR(MATCH(N$1,INDIRECT("Table!A"&amp;$AF167):INDIRECT("Table!" &amp; $AI$253 &amp; $AF167),0)),"",INDIRECT(CONCATENATE("Table!",ADDRESS(#REF!,MATCH(N$1,INDIRECT("Table!A" &amp; $AF167):INDIRECT("Table!" &amp; $AI$253 &amp; $AF167),0))))/1024)</f>
        <v/>
      </c>
      <c r="N167" s="22" t="str">
        <f ca="1">IF(ISERROR(MATCH(O$1,INDIRECT("Table!A"&amp;$AF167):INDIRECT("Table!" &amp; $AI$253 &amp; $AF167),0)),"",INDIRECT(CONCATENATE("Table!",ADDRESS(#REF!,MATCH(O$1,INDIRECT("Table!A" &amp; $AF167):INDIRECT("Table!" &amp; $AI$253 &amp; $AF167),0))))/1024)</f>
        <v/>
      </c>
      <c r="O167" s="22"/>
      <c r="P167" s="272"/>
      <c r="Q167" s="22"/>
      <c r="R167" s="155"/>
      <c r="T167" s="595"/>
      <c r="U167" s="155"/>
      <c r="AD167" s="155"/>
      <c r="AE167" s="155"/>
      <c r="AF167" s="22"/>
      <c r="AG167" s="155"/>
      <c r="AH167" s="155"/>
      <c r="AI167" s="29"/>
    </row>
    <row r="168" spans="2:35" x14ac:dyDescent="0.25">
      <c r="B168" s="22" t="str">
        <f ca="1">IF(ISERROR(MATCH(B$1,INDIRECT("Table!A"&amp;$AF168):INDIRECT("Table!" &amp; $AI$253 &amp; $AF168),0)),"",INDIRECT(CONCATENATE("Table!",ADDRESS(#REF!,MATCH(B$1,INDIRECT("Table!A" &amp; $AF168):INDIRECT("Table!" &amp; $AI$253 &amp; $AF168),0))))/1024)</f>
        <v/>
      </c>
      <c r="C168" s="22" t="str">
        <f ca="1">IF(ISERROR(MATCH(C$1,INDIRECT("Table!A"&amp;$AF168):INDIRECT("Table!" &amp; $AI$253 &amp; $AF168),0)),"",INDIRECT(CONCATENATE("Table!",ADDRESS(#REF!,MATCH(C$1,INDIRECT("Table!A" &amp; $AF168):INDIRECT("Table!" &amp; $AI$253 &amp; $AF168),0))))/1024)</f>
        <v/>
      </c>
      <c r="D168" s="22" t="str">
        <f ca="1">IF(ISERROR(MATCH(D$1,INDIRECT("Table!A"&amp;$AF168):INDIRECT("Table!" &amp; $AI$253 &amp; $AF168),0)),"",INDIRECT(CONCATENATE("Table!",ADDRESS(#REF!,MATCH(D$1,INDIRECT("Table!A" &amp; $AF168):INDIRECT("Table!" &amp; $AI$253 &amp; $AF168),0))))/1024)</f>
        <v/>
      </c>
      <c r="E168" s="22" t="str">
        <f ca="1">IF(ISERROR(MATCH(E$1,INDIRECT("Table!A"&amp;$AF168):INDIRECT("Table!" &amp; $AI$253 &amp; $AF168),0)),"",INDIRECT(CONCATENATE("Table!",ADDRESS(#REF!,MATCH(E$1,INDIRECT("Table!A" &amp; $AF168):INDIRECT("Table!" &amp; $AI$253 &amp; $AF168),0))))/1024)</f>
        <v/>
      </c>
      <c r="F168" s="22" t="str">
        <f ca="1">IF(ISERROR(MATCH(F$1,INDIRECT("Table!A"&amp;$AF168):INDIRECT("Table!" &amp; $AI$253 &amp; $AF168),0)),"",INDIRECT(CONCATENATE("Table!",ADDRESS(#REF!,MATCH(F$1,INDIRECT("Table!A" &amp; $AF168):INDIRECT("Table!" &amp; $AI$253 &amp; $AF168),0))))/1024)</f>
        <v/>
      </c>
      <c r="G168" s="22" t="str">
        <f ca="1">IF(ISERROR(MATCH(G$1,INDIRECT("Table!A"&amp;$AF168):INDIRECT("Table!" &amp; $AI$253 &amp; $AF168),0)),"",INDIRECT(CONCATENATE("Table!",ADDRESS(#REF!,MATCH(G$1,INDIRECT("Table!A" &amp; $AF168):INDIRECT("Table!" &amp; $AI$253 &amp; $AF168),0))))/1024)</f>
        <v/>
      </c>
      <c r="H168" s="22" t="str">
        <f ca="1">IF(ISERROR(MATCH(H$1,INDIRECT("Table!A"&amp;$AF168):INDIRECT("Table!" &amp; $AI$253 &amp; $AF168),0)),"",INDIRECT(CONCATENATE("Table!",ADDRESS(#REF!,MATCH(H$1,INDIRECT("Table!A" &amp; $AF168):INDIRECT("Table!" &amp; $AI$253 &amp; $AF168),0))))/1024)</f>
        <v/>
      </c>
      <c r="K168" s="22" t="str">
        <f ca="1">IF(ISERROR(MATCH(L$1,INDIRECT("Table!A"&amp;$AF168):INDIRECT("Table!" &amp; $AI$253 &amp; $AF168),0)),"",INDIRECT(CONCATENATE("Table!",ADDRESS(#REF!,MATCH(L$1,INDIRECT("Table!A" &amp; $AF168):INDIRECT("Table!" &amp; $AI$253 &amp; $AF168),0))))/1024)</f>
        <v/>
      </c>
      <c r="L168" s="22" t="str">
        <f ca="1">IF(ISERROR(MATCH(M$1,INDIRECT("Table!A"&amp;$AF168):INDIRECT("Table!" &amp; $AI$253 &amp; $AF168),0)),"",INDIRECT(CONCATENATE("Table!",ADDRESS(#REF!,MATCH(M$1,INDIRECT("Table!A" &amp; $AF168):INDIRECT("Table!" &amp; $AI$253 &amp; $AF168),0))))/1024)</f>
        <v/>
      </c>
      <c r="M168" s="22" t="str">
        <f ca="1">IF(ISERROR(MATCH(N$1,INDIRECT("Table!A"&amp;$AF168):INDIRECT("Table!" &amp; $AI$253 &amp; $AF168),0)),"",INDIRECT(CONCATENATE("Table!",ADDRESS(#REF!,MATCH(N$1,INDIRECT("Table!A" &amp; $AF168):INDIRECT("Table!" &amp; $AI$253 &amp; $AF168),0))))/1024)</f>
        <v/>
      </c>
      <c r="N168" s="22" t="str">
        <f ca="1">IF(ISERROR(MATCH(O$1,INDIRECT("Table!A"&amp;$AF168):INDIRECT("Table!" &amp; $AI$253 &amp; $AF168),0)),"",INDIRECT(CONCATENATE("Table!",ADDRESS(#REF!,MATCH(O$1,INDIRECT("Table!A" &amp; $AF168):INDIRECT("Table!" &amp; $AI$253 &amp; $AF168),0))))/1024)</f>
        <v/>
      </c>
      <c r="O168" s="22"/>
      <c r="P168" s="272"/>
      <c r="Q168" s="22"/>
      <c r="R168" s="154"/>
      <c r="T168" s="595"/>
      <c r="U168" s="154"/>
      <c r="AD168" s="154"/>
      <c r="AE168" s="154"/>
      <c r="AF168" s="22"/>
      <c r="AG168" s="154"/>
      <c r="AH168" s="154"/>
      <c r="AI168" s="29"/>
    </row>
    <row r="169" spans="2:35" x14ac:dyDescent="0.25">
      <c r="B169" s="22" t="str">
        <f ca="1">IF(ISERROR(MATCH(B$1,INDIRECT("Table!A"&amp;$AF169):INDIRECT("Table!" &amp; $AI$253 &amp; $AF169),0)),"",INDIRECT(CONCATENATE("Table!",ADDRESS(#REF!,MATCH(B$1,INDIRECT("Table!A" &amp; $AF169):INDIRECT("Table!" &amp; $AI$253 &amp; $AF169),0))))/1024)</f>
        <v/>
      </c>
      <c r="C169" s="22" t="str">
        <f ca="1">IF(ISERROR(MATCH(C$1,INDIRECT("Table!A"&amp;$AF169):INDIRECT("Table!" &amp; $AI$253 &amp; $AF169),0)),"",INDIRECT(CONCATENATE("Table!",ADDRESS(#REF!,MATCH(C$1,INDIRECT("Table!A" &amp; $AF169):INDIRECT("Table!" &amp; $AI$253 &amp; $AF169),0))))/1024)</f>
        <v/>
      </c>
      <c r="D169" s="22" t="str">
        <f ca="1">IF(ISERROR(MATCH(D$1,INDIRECT("Table!A"&amp;$AF169):INDIRECT("Table!" &amp; $AI$253 &amp; $AF169),0)),"",INDIRECT(CONCATENATE("Table!",ADDRESS(#REF!,MATCH(D$1,INDIRECT("Table!A" &amp; $AF169):INDIRECT("Table!" &amp; $AI$253 &amp; $AF169),0))))/1024)</f>
        <v/>
      </c>
      <c r="E169" s="22" t="str">
        <f ca="1">IF(ISERROR(MATCH(E$1,INDIRECT("Table!A"&amp;$AF169):INDIRECT("Table!" &amp; $AI$253 &amp; $AF169),0)),"",INDIRECT(CONCATENATE("Table!",ADDRESS(#REF!,MATCH(E$1,INDIRECT("Table!A" &amp; $AF169):INDIRECT("Table!" &amp; $AI$253 &amp; $AF169),0))))/1024)</f>
        <v/>
      </c>
      <c r="F169" s="22" t="str">
        <f ca="1">IF(ISERROR(MATCH(F$1,INDIRECT("Table!A"&amp;$AF169):INDIRECT("Table!" &amp; $AI$253 &amp; $AF169),0)),"",INDIRECT(CONCATENATE("Table!",ADDRESS(#REF!,MATCH(F$1,INDIRECT("Table!A" &amp; $AF169):INDIRECT("Table!" &amp; $AI$253 &amp; $AF169),0))))/1024)</f>
        <v/>
      </c>
      <c r="G169" s="22" t="str">
        <f ca="1">IF(ISERROR(MATCH(G$1,INDIRECT("Table!A"&amp;$AF169):INDIRECT("Table!" &amp; $AI$253 &amp; $AF169),0)),"",INDIRECT(CONCATENATE("Table!",ADDRESS(#REF!,MATCH(G$1,INDIRECT("Table!A" &amp; $AF169):INDIRECT("Table!" &amp; $AI$253 &amp; $AF169),0))))/1024)</f>
        <v/>
      </c>
      <c r="H169" s="22" t="str">
        <f ca="1">IF(ISERROR(MATCH(H$1,INDIRECT("Table!A"&amp;$AF169):INDIRECT("Table!" &amp; $AI$253 &amp; $AF169),0)),"",INDIRECT(CONCATENATE("Table!",ADDRESS(#REF!,MATCH(H$1,INDIRECT("Table!A" &amp; $AF169):INDIRECT("Table!" &amp; $AI$253 &amp; $AF169),0))))/1024)</f>
        <v/>
      </c>
      <c r="K169" s="22" t="str">
        <f ca="1">IF(ISERROR(MATCH(L$1,INDIRECT("Table!A"&amp;$AF169):INDIRECT("Table!" &amp; $AI$253 &amp; $AF169),0)),"",INDIRECT(CONCATENATE("Table!",ADDRESS(#REF!,MATCH(L$1,INDIRECT("Table!A" &amp; $AF169):INDIRECT("Table!" &amp; $AI$253 &amp; $AF169),0))))/1024)</f>
        <v/>
      </c>
      <c r="L169" s="22" t="str">
        <f ca="1">IF(ISERROR(MATCH(M$1,INDIRECT("Table!A"&amp;$AF169):INDIRECT("Table!" &amp; $AI$253 &amp; $AF169),0)),"",INDIRECT(CONCATENATE("Table!",ADDRESS(#REF!,MATCH(M$1,INDIRECT("Table!A" &amp; $AF169):INDIRECT("Table!" &amp; $AI$253 &amp; $AF169),0))))/1024)</f>
        <v/>
      </c>
      <c r="M169" s="22" t="str">
        <f ca="1">IF(ISERROR(MATCH(N$1,INDIRECT("Table!A"&amp;$AF169):INDIRECT("Table!" &amp; $AI$253 &amp; $AF169),0)),"",INDIRECT(CONCATENATE("Table!",ADDRESS(#REF!,MATCH(N$1,INDIRECT("Table!A" &amp; $AF169):INDIRECT("Table!" &amp; $AI$253 &amp; $AF169),0))))/1024)</f>
        <v/>
      </c>
      <c r="N169" s="22" t="str">
        <f ca="1">IF(ISERROR(MATCH(O$1,INDIRECT("Table!A"&amp;$AF169):INDIRECT("Table!" &amp; $AI$253 &amp; $AF169),0)),"",INDIRECT(CONCATENATE("Table!",ADDRESS(#REF!,MATCH(O$1,INDIRECT("Table!A" &amp; $AF169):INDIRECT("Table!" &amp; $AI$253 &amp; $AF169),0))))/1024)</f>
        <v/>
      </c>
      <c r="O169" s="22"/>
      <c r="P169" s="272"/>
      <c r="Q169" s="22"/>
      <c r="R169" s="153"/>
      <c r="T169" s="595"/>
      <c r="U169" s="153"/>
      <c r="AD169" s="153"/>
      <c r="AE169" s="153"/>
      <c r="AF169" s="22"/>
      <c r="AG169" s="153"/>
      <c r="AH169" s="153"/>
      <c r="AI169" s="29"/>
    </row>
    <row r="170" spans="2:35" x14ac:dyDescent="0.25">
      <c r="B170" s="22" t="str">
        <f ca="1">IF(ISERROR(MATCH(B$1,INDIRECT("Table!A"&amp;$AF170):INDIRECT("Table!" &amp; $AI$253 &amp; $AF170),0)),"",INDIRECT(CONCATENATE("Table!",ADDRESS(#REF!,MATCH(B$1,INDIRECT("Table!A" &amp; $AF170):INDIRECT("Table!" &amp; $AI$253 &amp; $AF170),0))))/1024)</f>
        <v/>
      </c>
      <c r="C170" s="22" t="str">
        <f ca="1">IF(ISERROR(MATCH(C$1,INDIRECT("Table!A"&amp;$AF170):INDIRECT("Table!" &amp; $AI$253 &amp; $AF170),0)),"",INDIRECT(CONCATENATE("Table!",ADDRESS(#REF!,MATCH(C$1,INDIRECT("Table!A" &amp; $AF170):INDIRECT("Table!" &amp; $AI$253 &amp; $AF170),0))))/1024)</f>
        <v/>
      </c>
      <c r="D170" s="22" t="str">
        <f ca="1">IF(ISERROR(MATCH(D$1,INDIRECT("Table!A"&amp;$AF170):INDIRECT("Table!" &amp; $AI$253 &amp; $AF170),0)),"",INDIRECT(CONCATENATE("Table!",ADDRESS(#REF!,MATCH(D$1,INDIRECT("Table!A" &amp; $AF170):INDIRECT("Table!" &amp; $AI$253 &amp; $AF170),0))))/1024)</f>
        <v/>
      </c>
      <c r="E170" s="22" t="str">
        <f ca="1">IF(ISERROR(MATCH(E$1,INDIRECT("Table!A"&amp;$AF170):INDIRECT("Table!" &amp; $AI$253 &amp; $AF170),0)),"",INDIRECT(CONCATENATE("Table!",ADDRESS(#REF!,MATCH(E$1,INDIRECT("Table!A" &amp; $AF170):INDIRECT("Table!" &amp; $AI$253 &amp; $AF170),0))))/1024)</f>
        <v/>
      </c>
      <c r="F170" s="22" t="str">
        <f ca="1">IF(ISERROR(MATCH(F$1,INDIRECT("Table!A"&amp;$AF170):INDIRECT("Table!" &amp; $AI$253 &amp; $AF170),0)),"",INDIRECT(CONCATENATE("Table!",ADDRESS(#REF!,MATCH(F$1,INDIRECT("Table!A" &amp; $AF170):INDIRECT("Table!" &amp; $AI$253 &amp; $AF170),0))))/1024)</f>
        <v/>
      </c>
      <c r="G170" s="22" t="str">
        <f ca="1">IF(ISERROR(MATCH(G$1,INDIRECT("Table!A"&amp;$AF170):INDIRECT("Table!" &amp; $AI$253 &amp; $AF170),0)),"",INDIRECT(CONCATENATE("Table!",ADDRESS(#REF!,MATCH(G$1,INDIRECT("Table!A" &amp; $AF170):INDIRECT("Table!" &amp; $AI$253 &amp; $AF170),0))))/1024)</f>
        <v/>
      </c>
      <c r="H170" s="22" t="str">
        <f ca="1">IF(ISERROR(MATCH(H$1,INDIRECT("Table!A"&amp;$AF170):INDIRECT("Table!" &amp; $AI$253 &amp; $AF170),0)),"",INDIRECT(CONCATENATE("Table!",ADDRESS(#REF!,MATCH(H$1,INDIRECT("Table!A" &amp; $AF170):INDIRECT("Table!" &amp; $AI$253 &amp; $AF170),0))))/1024)</f>
        <v/>
      </c>
      <c r="K170" s="22" t="str">
        <f ca="1">IF(ISERROR(MATCH(L$1,INDIRECT("Table!A"&amp;$AF170):INDIRECT("Table!" &amp; $AI$253 &amp; $AF170),0)),"",INDIRECT(CONCATENATE("Table!",ADDRESS(#REF!,MATCH(L$1,INDIRECT("Table!A" &amp; $AF170):INDIRECT("Table!" &amp; $AI$253 &amp; $AF170),0))))/1024)</f>
        <v/>
      </c>
      <c r="L170" s="22" t="str">
        <f ca="1">IF(ISERROR(MATCH(M$1,INDIRECT("Table!A"&amp;$AF170):INDIRECT("Table!" &amp; $AI$253 &amp; $AF170),0)),"",INDIRECT(CONCATENATE("Table!",ADDRESS(#REF!,MATCH(M$1,INDIRECT("Table!A" &amp; $AF170):INDIRECT("Table!" &amp; $AI$253 &amp; $AF170),0))))/1024)</f>
        <v/>
      </c>
      <c r="M170" s="22" t="str">
        <f ca="1">IF(ISERROR(MATCH(N$1,INDIRECT("Table!A"&amp;$AF170):INDIRECT("Table!" &amp; $AI$253 &amp; $AF170),0)),"",INDIRECT(CONCATENATE("Table!",ADDRESS(#REF!,MATCH(N$1,INDIRECT("Table!A" &amp; $AF170):INDIRECT("Table!" &amp; $AI$253 &amp; $AF170),0))))/1024)</f>
        <v/>
      </c>
      <c r="N170" s="22" t="str">
        <f ca="1">IF(ISERROR(MATCH(O$1,INDIRECT("Table!A"&amp;$AF170):INDIRECT("Table!" &amp; $AI$253 &amp; $AF170),0)),"",INDIRECT(CONCATENATE("Table!",ADDRESS(#REF!,MATCH(O$1,INDIRECT("Table!A" &amp; $AF170):INDIRECT("Table!" &amp; $AI$253 &amp; $AF170),0))))/1024)</f>
        <v/>
      </c>
      <c r="O170" s="22"/>
      <c r="P170" s="272"/>
      <c r="Q170" s="22"/>
      <c r="R170" s="152"/>
      <c r="T170" s="595"/>
      <c r="U170" s="152"/>
      <c r="AD170" s="152"/>
      <c r="AE170" s="152"/>
      <c r="AF170" s="22"/>
      <c r="AG170" s="152"/>
      <c r="AH170" s="152"/>
      <c r="AI170" s="152"/>
    </row>
    <row r="171" spans="2:35" x14ac:dyDescent="0.25">
      <c r="B171" s="22" t="str">
        <f ca="1">IF(ISERROR(MATCH(B$1,INDIRECT("Table!A"&amp;$AF171):INDIRECT("Table!" &amp; $AI$253 &amp; $AF171),0)),"",INDIRECT(CONCATENATE("Table!",ADDRESS(#REF!,MATCH(B$1,INDIRECT("Table!A" &amp; $AF171):INDIRECT("Table!" &amp; $AI$253 &amp; $AF171),0))))/1024)</f>
        <v/>
      </c>
      <c r="C171" s="22" t="str">
        <f ca="1">IF(ISERROR(MATCH(C$1,INDIRECT("Table!A"&amp;$AF171):INDIRECT("Table!" &amp; $AI$253 &amp; $AF171),0)),"",INDIRECT(CONCATENATE("Table!",ADDRESS(#REF!,MATCH(C$1,INDIRECT("Table!A" &amp; $AF171):INDIRECT("Table!" &amp; $AI$253 &amp; $AF171),0))))/1024)</f>
        <v/>
      </c>
      <c r="D171" s="22" t="str">
        <f ca="1">IF(ISERROR(MATCH(D$1,INDIRECT("Table!A"&amp;$AF171):INDIRECT("Table!" &amp; $AI$253 &amp; $AF171),0)),"",INDIRECT(CONCATENATE("Table!",ADDRESS(#REF!,MATCH(D$1,INDIRECT("Table!A" &amp; $AF171):INDIRECT("Table!" &amp; $AI$253 &amp; $AF171),0))))/1024)</f>
        <v/>
      </c>
      <c r="E171" s="22" t="str">
        <f ca="1">IF(ISERROR(MATCH(E$1,INDIRECT("Table!A"&amp;$AF171):INDIRECT("Table!" &amp; $AI$253 &amp; $AF171),0)),"",INDIRECT(CONCATENATE("Table!",ADDRESS(#REF!,MATCH(E$1,INDIRECT("Table!A" &amp; $AF171):INDIRECT("Table!" &amp; $AI$253 &amp; $AF171),0))))/1024)</f>
        <v/>
      </c>
      <c r="F171" s="22" t="str">
        <f ca="1">IF(ISERROR(MATCH(F$1,INDIRECT("Table!A"&amp;$AF171):INDIRECT("Table!" &amp; $AI$253 &amp; $AF171),0)),"",INDIRECT(CONCATENATE("Table!",ADDRESS(#REF!,MATCH(F$1,INDIRECT("Table!A" &amp; $AF171):INDIRECT("Table!" &amp; $AI$253 &amp; $AF171),0))))/1024)</f>
        <v/>
      </c>
      <c r="G171" s="22" t="str">
        <f ca="1">IF(ISERROR(MATCH(G$1,INDIRECT("Table!A"&amp;$AF171):INDIRECT("Table!" &amp; $AI$253 &amp; $AF171),0)),"",INDIRECT(CONCATENATE("Table!",ADDRESS(#REF!,MATCH(G$1,INDIRECT("Table!A" &amp; $AF171):INDIRECT("Table!" &amp; $AI$253 &amp; $AF171),0))))/1024)</f>
        <v/>
      </c>
      <c r="H171" s="22" t="str">
        <f ca="1">IF(ISERROR(MATCH(H$1,INDIRECT("Table!A"&amp;$AF171):INDIRECT("Table!" &amp; $AI$253 &amp; $AF171),0)),"",INDIRECT(CONCATENATE("Table!",ADDRESS(#REF!,MATCH(H$1,INDIRECT("Table!A" &amp; $AF171):INDIRECT("Table!" &amp; $AI$253 &amp; $AF171),0))))/1024)</f>
        <v/>
      </c>
      <c r="K171" s="22" t="str">
        <f ca="1">IF(ISERROR(MATCH(L$1,INDIRECT("Table!A"&amp;$AF171):INDIRECT("Table!" &amp; $AI$253 &amp; $AF171),0)),"",INDIRECT(CONCATENATE("Table!",ADDRESS(#REF!,MATCH(L$1,INDIRECT("Table!A" &amp; $AF171):INDIRECT("Table!" &amp; $AI$253 &amp; $AF171),0))))/1024)</f>
        <v/>
      </c>
      <c r="L171" s="22" t="str">
        <f ca="1">IF(ISERROR(MATCH(M$1,INDIRECT("Table!A"&amp;$AF171):INDIRECT("Table!" &amp; $AI$253 &amp; $AF171),0)),"",INDIRECT(CONCATENATE("Table!",ADDRESS(#REF!,MATCH(M$1,INDIRECT("Table!A" &amp; $AF171):INDIRECT("Table!" &amp; $AI$253 &amp; $AF171),0))))/1024)</f>
        <v/>
      </c>
      <c r="M171" s="22" t="str">
        <f ca="1">IF(ISERROR(MATCH(N$1,INDIRECT("Table!A"&amp;$AF171):INDIRECT("Table!" &amp; $AI$253 &amp; $AF171),0)),"",INDIRECT(CONCATENATE("Table!",ADDRESS(#REF!,MATCH(N$1,INDIRECT("Table!A" &amp; $AF171):INDIRECT("Table!" &amp; $AI$253 &amp; $AF171),0))))/1024)</f>
        <v/>
      </c>
      <c r="N171" s="22" t="str">
        <f ca="1">IF(ISERROR(MATCH(O$1,INDIRECT("Table!A"&amp;$AF171):INDIRECT("Table!" &amp; $AI$253 &amp; $AF171),0)),"",INDIRECT(CONCATENATE("Table!",ADDRESS(#REF!,MATCH(O$1,INDIRECT("Table!A" &amp; $AF171):INDIRECT("Table!" &amp; $AI$253 &amp; $AF171),0))))/1024)</f>
        <v/>
      </c>
      <c r="O171" s="22"/>
      <c r="P171" s="272"/>
      <c r="Q171" s="22"/>
      <c r="R171" s="151"/>
      <c r="T171" s="595"/>
      <c r="U171" s="151"/>
      <c r="AD171" s="151"/>
      <c r="AE171" s="151"/>
      <c r="AF171" s="22"/>
      <c r="AG171" s="151"/>
      <c r="AH171" s="151"/>
      <c r="AI171" s="151"/>
    </row>
    <row r="172" spans="2:35" x14ac:dyDescent="0.25">
      <c r="B172" s="22" t="str">
        <f ca="1">IF(ISERROR(MATCH(B$1,INDIRECT("Table!A"&amp;$AF172):INDIRECT("Table!" &amp; $AI$253 &amp; $AF172),0)),"",INDIRECT(CONCATENATE("Table!",ADDRESS(#REF!,MATCH(B$1,INDIRECT("Table!A" &amp; $AF172):INDIRECT("Table!" &amp; $AI$253 &amp; $AF172),0))))/1024)</f>
        <v/>
      </c>
      <c r="C172" s="22" t="str">
        <f ca="1">IF(ISERROR(MATCH(C$1,INDIRECT("Table!A"&amp;$AF172):INDIRECT("Table!" &amp; $AI$253 &amp; $AF172),0)),"",INDIRECT(CONCATENATE("Table!",ADDRESS(#REF!,MATCH(C$1,INDIRECT("Table!A" &amp; $AF172):INDIRECT("Table!" &amp; $AI$253 &amp; $AF172),0))))/1024)</f>
        <v/>
      </c>
      <c r="D172" s="22" t="str">
        <f ca="1">IF(ISERROR(MATCH(D$1,INDIRECT("Table!A"&amp;$AF172):INDIRECT("Table!" &amp; $AI$253 &amp; $AF172),0)),"",INDIRECT(CONCATENATE("Table!",ADDRESS(#REF!,MATCH(D$1,INDIRECT("Table!A" &amp; $AF172):INDIRECT("Table!" &amp; $AI$253 &amp; $AF172),0))))/1024)</f>
        <v/>
      </c>
      <c r="E172" s="22" t="str">
        <f ca="1">IF(ISERROR(MATCH(E$1,INDIRECT("Table!A"&amp;$AF172):INDIRECT("Table!" &amp; $AI$253 &amp; $AF172),0)),"",INDIRECT(CONCATENATE("Table!",ADDRESS(#REF!,MATCH(E$1,INDIRECT("Table!A" &amp; $AF172):INDIRECT("Table!" &amp; $AI$253 &amp; $AF172),0))))/1024)</f>
        <v/>
      </c>
      <c r="F172" s="22" t="str">
        <f ca="1">IF(ISERROR(MATCH(F$1,INDIRECT("Table!A"&amp;$AF172):INDIRECT("Table!" &amp; $AI$253 &amp; $AF172),0)),"",INDIRECT(CONCATENATE("Table!",ADDRESS(#REF!,MATCH(F$1,INDIRECT("Table!A" &amp; $AF172):INDIRECT("Table!" &amp; $AI$253 &amp; $AF172),0))))/1024)</f>
        <v/>
      </c>
      <c r="G172" s="22" t="str">
        <f ca="1">IF(ISERROR(MATCH(G$1,INDIRECT("Table!A"&amp;$AF172):INDIRECT("Table!" &amp; $AI$253 &amp; $AF172),0)),"",INDIRECT(CONCATENATE("Table!",ADDRESS(#REF!,MATCH(G$1,INDIRECT("Table!A" &amp; $AF172):INDIRECT("Table!" &amp; $AI$253 &amp; $AF172),0))))/1024)</f>
        <v/>
      </c>
      <c r="H172" s="22" t="str">
        <f ca="1">IF(ISERROR(MATCH(H$1,INDIRECT("Table!A"&amp;$AF172):INDIRECT("Table!" &amp; $AI$253 &amp; $AF172),0)),"",INDIRECT(CONCATENATE("Table!",ADDRESS(#REF!,MATCH(H$1,INDIRECT("Table!A" &amp; $AF172):INDIRECT("Table!" &amp; $AI$253 &amp; $AF172),0))))/1024)</f>
        <v/>
      </c>
      <c r="K172" s="22" t="str">
        <f ca="1">IF(ISERROR(MATCH(L$1,INDIRECT("Table!A"&amp;$AF172):INDIRECT("Table!" &amp; $AI$253 &amp; $AF172),0)),"",INDIRECT(CONCATENATE("Table!",ADDRESS(#REF!,MATCH(L$1,INDIRECT("Table!A" &amp; $AF172):INDIRECT("Table!" &amp; $AI$253 &amp; $AF172),0))))/1024)</f>
        <v/>
      </c>
      <c r="L172" s="22" t="str">
        <f ca="1">IF(ISERROR(MATCH(M$1,INDIRECT("Table!A"&amp;$AF172):INDIRECT("Table!" &amp; $AI$253 &amp; $AF172),0)),"",INDIRECT(CONCATENATE("Table!",ADDRESS(#REF!,MATCH(M$1,INDIRECT("Table!A" &amp; $AF172):INDIRECT("Table!" &amp; $AI$253 &amp; $AF172),0))))/1024)</f>
        <v/>
      </c>
      <c r="M172" s="22" t="str">
        <f ca="1">IF(ISERROR(MATCH(N$1,INDIRECT("Table!A"&amp;$AF172):INDIRECT("Table!" &amp; $AI$253 &amp; $AF172),0)),"",INDIRECT(CONCATENATE("Table!",ADDRESS(#REF!,MATCH(N$1,INDIRECT("Table!A" &amp; $AF172):INDIRECT("Table!" &amp; $AI$253 &amp; $AF172),0))))/1024)</f>
        <v/>
      </c>
      <c r="N172" s="22" t="str">
        <f ca="1">IF(ISERROR(MATCH(O$1,INDIRECT("Table!A"&amp;$AF172):INDIRECT("Table!" &amp; $AI$253 &amp; $AF172),0)),"",INDIRECT(CONCATENATE("Table!",ADDRESS(#REF!,MATCH(O$1,INDIRECT("Table!A" &amp; $AF172):INDIRECT("Table!" &amp; $AI$253 &amp; $AF172),0))))/1024)</f>
        <v/>
      </c>
      <c r="O172" s="22"/>
      <c r="P172" s="272"/>
      <c r="Q172" s="22"/>
      <c r="R172" s="151"/>
      <c r="T172" s="595"/>
      <c r="U172" s="151"/>
      <c r="AD172" s="151"/>
      <c r="AE172" s="151"/>
      <c r="AF172" s="22"/>
      <c r="AG172" s="151"/>
      <c r="AH172" s="151"/>
      <c r="AI172" s="151"/>
    </row>
    <row r="173" spans="2:35" x14ac:dyDescent="0.25">
      <c r="B173" s="22" t="str">
        <f ca="1">IF(ISERROR(MATCH(B$1,INDIRECT("Table!A"&amp;$AF173):INDIRECT("Table!" &amp; $AI$253 &amp; $AF173),0)),"",INDIRECT(CONCATENATE("Table!",ADDRESS(#REF!,MATCH(B$1,INDIRECT("Table!A" &amp; $AF173):INDIRECT("Table!" &amp; $AI$253 &amp; $AF173),0))))/1024)</f>
        <v/>
      </c>
      <c r="C173" s="22" t="str">
        <f ca="1">IF(ISERROR(MATCH(C$1,INDIRECT("Table!A"&amp;$AF173):INDIRECT("Table!" &amp; $AI$253 &amp; $AF173),0)),"",INDIRECT(CONCATENATE("Table!",ADDRESS(#REF!,MATCH(C$1,INDIRECT("Table!A" &amp; $AF173):INDIRECT("Table!" &amp; $AI$253 &amp; $AF173),0))))/1024)</f>
        <v/>
      </c>
      <c r="D173" s="22" t="str">
        <f ca="1">IF(ISERROR(MATCH(D$1,INDIRECT("Table!A"&amp;$AF173):INDIRECT("Table!" &amp; $AI$253 &amp; $AF173),0)),"",INDIRECT(CONCATENATE("Table!",ADDRESS(#REF!,MATCH(D$1,INDIRECT("Table!A" &amp; $AF173):INDIRECT("Table!" &amp; $AI$253 &amp; $AF173),0))))/1024)</f>
        <v/>
      </c>
      <c r="E173" s="22" t="str">
        <f ca="1">IF(ISERROR(MATCH(E$1,INDIRECT("Table!A"&amp;$AF173):INDIRECT("Table!" &amp; $AI$253 &amp; $AF173),0)),"",INDIRECT(CONCATENATE("Table!",ADDRESS(#REF!,MATCH(E$1,INDIRECT("Table!A" &amp; $AF173):INDIRECT("Table!" &amp; $AI$253 &amp; $AF173),0))))/1024)</f>
        <v/>
      </c>
      <c r="F173" s="22" t="str">
        <f ca="1">IF(ISERROR(MATCH(F$1,INDIRECT("Table!A"&amp;$AF173):INDIRECT("Table!" &amp; $AI$253 &amp; $AF173),0)),"",INDIRECT(CONCATENATE("Table!",ADDRESS(#REF!,MATCH(F$1,INDIRECT("Table!A" &amp; $AF173):INDIRECT("Table!" &amp; $AI$253 &amp; $AF173),0))))/1024)</f>
        <v/>
      </c>
      <c r="G173" s="22" t="str">
        <f ca="1">IF(ISERROR(MATCH(G$1,INDIRECT("Table!A"&amp;$AF173):INDIRECT("Table!" &amp; $AI$253 &amp; $AF173),0)),"",INDIRECT(CONCATENATE("Table!",ADDRESS(#REF!,MATCH(G$1,INDIRECT("Table!A" &amp; $AF173):INDIRECT("Table!" &amp; $AI$253 &amp; $AF173),0))))/1024)</f>
        <v/>
      </c>
      <c r="H173" s="22" t="str">
        <f ca="1">IF(ISERROR(MATCH(H$1,INDIRECT("Table!A"&amp;$AF173):INDIRECT("Table!" &amp; $AI$253 &amp; $AF173),0)),"",INDIRECT(CONCATENATE("Table!",ADDRESS(#REF!,MATCH(H$1,INDIRECT("Table!A" &amp; $AF173):INDIRECT("Table!" &amp; $AI$253 &amp; $AF173),0))))/1024)</f>
        <v/>
      </c>
      <c r="K173" s="22" t="str">
        <f ca="1">IF(ISERROR(MATCH(L$1,INDIRECT("Table!A"&amp;$AF173):INDIRECT("Table!" &amp; $AI$253 &amp; $AF173),0)),"",INDIRECT(CONCATENATE("Table!",ADDRESS(#REF!,MATCH(L$1,INDIRECT("Table!A" &amp; $AF173):INDIRECT("Table!" &amp; $AI$253 &amp; $AF173),0))))/1024)</f>
        <v/>
      </c>
      <c r="L173" s="22" t="str">
        <f ca="1">IF(ISERROR(MATCH(M$1,INDIRECT("Table!A"&amp;$AF173):INDIRECT("Table!" &amp; $AI$253 &amp; $AF173),0)),"",INDIRECT(CONCATENATE("Table!",ADDRESS(#REF!,MATCH(M$1,INDIRECT("Table!A" &amp; $AF173):INDIRECT("Table!" &amp; $AI$253 &amp; $AF173),0))))/1024)</f>
        <v/>
      </c>
      <c r="M173" s="22" t="str">
        <f ca="1">IF(ISERROR(MATCH(N$1,INDIRECT("Table!A"&amp;$AF173):INDIRECT("Table!" &amp; $AI$253 &amp; $AF173),0)),"",INDIRECT(CONCATENATE("Table!",ADDRESS(#REF!,MATCH(N$1,INDIRECT("Table!A" &amp; $AF173):INDIRECT("Table!" &amp; $AI$253 &amp; $AF173),0))))/1024)</f>
        <v/>
      </c>
      <c r="N173" s="22" t="str">
        <f ca="1">IF(ISERROR(MATCH(O$1,INDIRECT("Table!A"&amp;$AF173):INDIRECT("Table!" &amp; $AI$253 &amp; $AF173),0)),"",INDIRECT(CONCATENATE("Table!",ADDRESS(#REF!,MATCH(O$1,INDIRECT("Table!A" &amp; $AF173):INDIRECT("Table!" &amp; $AI$253 &amp; $AF173),0))))/1024)</f>
        <v/>
      </c>
      <c r="O173" s="22"/>
      <c r="P173" s="272"/>
      <c r="Q173" s="22"/>
      <c r="R173" s="150"/>
      <c r="T173" s="595"/>
      <c r="U173" s="150"/>
      <c r="AD173" s="150"/>
      <c r="AE173" s="150"/>
      <c r="AF173" s="22"/>
      <c r="AG173" s="150"/>
      <c r="AH173" s="150"/>
      <c r="AI173" s="150"/>
    </row>
    <row r="174" spans="2:35" x14ac:dyDescent="0.25">
      <c r="B174" s="22" t="str">
        <f ca="1">IF(ISERROR(MATCH(B$1,INDIRECT("Table!A"&amp;$AF174):INDIRECT("Table!" &amp; $AI$253 &amp; $AF174),0)),"",INDIRECT(CONCATENATE("Table!",ADDRESS(#REF!,MATCH(B$1,INDIRECT("Table!A" &amp; $AF174):INDIRECT("Table!" &amp; $AI$253 &amp; $AF174),0))))/1024)</f>
        <v/>
      </c>
      <c r="C174" s="22" t="str">
        <f ca="1">IF(ISERROR(MATCH(C$1,INDIRECT("Table!A"&amp;$AF174):INDIRECT("Table!" &amp; $AI$253 &amp; $AF174),0)),"",INDIRECT(CONCATENATE("Table!",ADDRESS(#REF!,MATCH(C$1,INDIRECT("Table!A" &amp; $AF174):INDIRECT("Table!" &amp; $AI$253 &amp; $AF174),0))))/1024)</f>
        <v/>
      </c>
      <c r="D174" s="22" t="str">
        <f ca="1">IF(ISERROR(MATCH(D$1,INDIRECT("Table!A"&amp;$AF174):INDIRECT("Table!" &amp; $AI$253 &amp; $AF174),0)),"",INDIRECT(CONCATENATE("Table!",ADDRESS(#REF!,MATCH(D$1,INDIRECT("Table!A" &amp; $AF174):INDIRECT("Table!" &amp; $AI$253 &amp; $AF174),0))))/1024)</f>
        <v/>
      </c>
      <c r="E174" s="22" t="str">
        <f ca="1">IF(ISERROR(MATCH(E$1,INDIRECT("Table!A"&amp;$AF174):INDIRECT("Table!" &amp; $AI$253 &amp; $AF174),0)),"",INDIRECT(CONCATENATE("Table!",ADDRESS(#REF!,MATCH(E$1,INDIRECT("Table!A" &amp; $AF174):INDIRECT("Table!" &amp; $AI$253 &amp; $AF174),0))))/1024)</f>
        <v/>
      </c>
      <c r="F174" s="22" t="str">
        <f ca="1">IF(ISERROR(MATCH(F$1,INDIRECT("Table!A"&amp;$AF174):INDIRECT("Table!" &amp; $AI$253 &amp; $AF174),0)),"",INDIRECT(CONCATENATE("Table!",ADDRESS(#REF!,MATCH(F$1,INDIRECT("Table!A" &amp; $AF174):INDIRECT("Table!" &amp; $AI$253 &amp; $AF174),0))))/1024)</f>
        <v/>
      </c>
      <c r="G174" s="22" t="str">
        <f ca="1">IF(ISERROR(MATCH(G$1,INDIRECT("Table!A"&amp;$AF174):INDIRECT("Table!" &amp; $AI$253 &amp; $AF174),0)),"",INDIRECT(CONCATENATE("Table!",ADDRESS(#REF!,MATCH(G$1,INDIRECT("Table!A" &amp; $AF174):INDIRECT("Table!" &amp; $AI$253 &amp; $AF174),0))))/1024)</f>
        <v/>
      </c>
      <c r="H174" s="22" t="str">
        <f ca="1">IF(ISERROR(MATCH(H$1,INDIRECT("Table!A"&amp;$AF174):INDIRECT("Table!" &amp; $AI$253 &amp; $AF174),0)),"",INDIRECT(CONCATENATE("Table!",ADDRESS(#REF!,MATCH(H$1,INDIRECT("Table!A" &amp; $AF174):INDIRECT("Table!" &amp; $AI$253 &amp; $AF174),0))))/1024)</f>
        <v/>
      </c>
      <c r="K174" s="22" t="str">
        <f ca="1">IF(ISERROR(MATCH(L$1,INDIRECT("Table!A"&amp;$AF174):INDIRECT("Table!" &amp; $AI$253 &amp; $AF174),0)),"",INDIRECT(CONCATENATE("Table!",ADDRESS(#REF!,MATCH(L$1,INDIRECT("Table!A" &amp; $AF174):INDIRECT("Table!" &amp; $AI$253 &amp; $AF174),0))))/1024)</f>
        <v/>
      </c>
      <c r="L174" s="22" t="str">
        <f ca="1">IF(ISERROR(MATCH(M$1,INDIRECT("Table!A"&amp;$AF174):INDIRECT("Table!" &amp; $AI$253 &amp; $AF174),0)),"",INDIRECT(CONCATENATE("Table!",ADDRESS(#REF!,MATCH(M$1,INDIRECT("Table!A" &amp; $AF174):INDIRECT("Table!" &amp; $AI$253 &amp; $AF174),0))))/1024)</f>
        <v/>
      </c>
      <c r="M174" s="22" t="str">
        <f ca="1">IF(ISERROR(MATCH(N$1,INDIRECT("Table!A"&amp;$AF174):INDIRECT("Table!" &amp; $AI$253 &amp; $AF174),0)),"",INDIRECT(CONCATENATE("Table!",ADDRESS(#REF!,MATCH(N$1,INDIRECT("Table!A" &amp; $AF174):INDIRECT("Table!" &amp; $AI$253 &amp; $AF174),0))))/1024)</f>
        <v/>
      </c>
      <c r="N174" s="22" t="str">
        <f ca="1">IF(ISERROR(MATCH(O$1,INDIRECT("Table!A"&amp;$AF174):INDIRECT("Table!" &amp; $AI$253 &amp; $AF174),0)),"",INDIRECT(CONCATENATE("Table!",ADDRESS(#REF!,MATCH(O$1,INDIRECT("Table!A" &amp; $AF174):INDIRECT("Table!" &amp; $AI$253 &amp; $AF174),0))))/1024)</f>
        <v/>
      </c>
      <c r="O174" s="22"/>
      <c r="P174" s="272"/>
      <c r="Q174" s="22"/>
      <c r="R174" s="149"/>
      <c r="T174" s="595"/>
      <c r="U174" s="149"/>
      <c r="AD174" s="149"/>
      <c r="AE174" s="149"/>
      <c r="AF174" s="22"/>
      <c r="AG174" s="149"/>
      <c r="AH174" s="149"/>
      <c r="AI174" s="149"/>
    </row>
    <row r="175" spans="2:35" x14ac:dyDescent="0.25">
      <c r="B175" s="22" t="str">
        <f ca="1">IF(ISERROR(MATCH(B$1,INDIRECT("Table!A"&amp;$AF175):INDIRECT("Table!" &amp; $AI$253 &amp; $AF175),0)),"",INDIRECT(CONCATENATE("Table!",ADDRESS(#REF!,MATCH(B$1,INDIRECT("Table!A" &amp; $AF175):INDIRECT("Table!" &amp; $AI$253 &amp; $AF175),0))))/1024)</f>
        <v/>
      </c>
      <c r="C175" s="22" t="str">
        <f ca="1">IF(ISERROR(MATCH(C$1,INDIRECT("Table!A"&amp;$AF175):INDIRECT("Table!" &amp; $AI$253 &amp; $AF175),0)),"",INDIRECT(CONCATENATE("Table!",ADDRESS(#REF!,MATCH(C$1,INDIRECT("Table!A" &amp; $AF175):INDIRECT("Table!" &amp; $AI$253 &amp; $AF175),0))))/1024)</f>
        <v/>
      </c>
      <c r="D175" s="22" t="str">
        <f ca="1">IF(ISERROR(MATCH(D$1,INDIRECT("Table!A"&amp;$AF175):INDIRECT("Table!" &amp; $AI$253 &amp; $AF175),0)),"",INDIRECT(CONCATENATE("Table!",ADDRESS(#REF!,MATCH(D$1,INDIRECT("Table!A" &amp; $AF175):INDIRECT("Table!" &amp; $AI$253 &amp; $AF175),0))))/1024)</f>
        <v/>
      </c>
      <c r="E175" s="22" t="str">
        <f ca="1">IF(ISERROR(MATCH(E$1,INDIRECT("Table!A"&amp;$AF175):INDIRECT("Table!" &amp; $AI$253 &amp; $AF175),0)),"",INDIRECT(CONCATENATE("Table!",ADDRESS(#REF!,MATCH(E$1,INDIRECT("Table!A" &amp; $AF175):INDIRECT("Table!" &amp; $AI$253 &amp; $AF175),0))))/1024)</f>
        <v/>
      </c>
      <c r="F175" s="22" t="str">
        <f ca="1">IF(ISERROR(MATCH(F$1,INDIRECT("Table!A"&amp;$AF175):INDIRECT("Table!" &amp; $AI$253 &amp; $AF175),0)),"",INDIRECT(CONCATENATE("Table!",ADDRESS(#REF!,MATCH(F$1,INDIRECT("Table!A" &amp; $AF175):INDIRECT("Table!" &amp; $AI$253 &amp; $AF175),0))))/1024)</f>
        <v/>
      </c>
      <c r="G175" s="22" t="str">
        <f ca="1">IF(ISERROR(MATCH(G$1,INDIRECT("Table!A"&amp;$AF175):INDIRECT("Table!" &amp; $AI$253 &amp; $AF175),0)),"",INDIRECT(CONCATENATE("Table!",ADDRESS(#REF!,MATCH(G$1,INDIRECT("Table!A" &amp; $AF175):INDIRECT("Table!" &amp; $AI$253 &amp; $AF175),0))))/1024)</f>
        <v/>
      </c>
      <c r="H175" s="22" t="str">
        <f ca="1">IF(ISERROR(MATCH(H$1,INDIRECT("Table!A"&amp;$AF175):INDIRECT("Table!" &amp; $AI$253 &amp; $AF175),0)),"",INDIRECT(CONCATENATE("Table!",ADDRESS(#REF!,MATCH(H$1,INDIRECT("Table!A" &amp; $AF175):INDIRECT("Table!" &amp; $AI$253 &amp; $AF175),0))))/1024)</f>
        <v/>
      </c>
      <c r="K175" s="22" t="str">
        <f ca="1">IF(ISERROR(MATCH(L$1,INDIRECT("Table!A"&amp;$AF175):INDIRECT("Table!" &amp; $AI$253 &amp; $AF175),0)),"",INDIRECT(CONCATENATE("Table!",ADDRESS(#REF!,MATCH(L$1,INDIRECT("Table!A" &amp; $AF175):INDIRECT("Table!" &amp; $AI$253 &amp; $AF175),0))))/1024)</f>
        <v/>
      </c>
      <c r="L175" s="22" t="str">
        <f ca="1">IF(ISERROR(MATCH(M$1,INDIRECT("Table!A"&amp;$AF175):INDIRECT("Table!" &amp; $AI$253 &amp; $AF175),0)),"",INDIRECT(CONCATENATE("Table!",ADDRESS(#REF!,MATCH(M$1,INDIRECT("Table!A" &amp; $AF175):INDIRECT("Table!" &amp; $AI$253 &amp; $AF175),0))))/1024)</f>
        <v/>
      </c>
      <c r="M175" s="22" t="str">
        <f ca="1">IF(ISERROR(MATCH(N$1,INDIRECT("Table!A"&amp;$AF175):INDIRECT("Table!" &amp; $AI$253 &amp; $AF175),0)),"",INDIRECT(CONCATENATE("Table!",ADDRESS(#REF!,MATCH(N$1,INDIRECT("Table!A" &amp; $AF175):INDIRECT("Table!" &amp; $AI$253 &amp; $AF175),0))))/1024)</f>
        <v/>
      </c>
      <c r="N175" s="22" t="str">
        <f ca="1">IF(ISERROR(MATCH(O$1,INDIRECT("Table!A"&amp;$AF175):INDIRECT("Table!" &amp; $AI$253 &amp; $AF175),0)),"",INDIRECT(CONCATENATE("Table!",ADDRESS(#REF!,MATCH(O$1,INDIRECT("Table!A" &amp; $AF175):INDIRECT("Table!" &amp; $AI$253 &amp; $AF175),0))))/1024)</f>
        <v/>
      </c>
      <c r="O175" s="22"/>
      <c r="P175" s="272"/>
      <c r="Q175" s="22"/>
      <c r="R175" s="148"/>
      <c r="T175" s="595"/>
      <c r="U175" s="148"/>
      <c r="AD175" s="148"/>
      <c r="AE175" s="148"/>
      <c r="AF175" s="22"/>
      <c r="AG175" s="148"/>
      <c r="AH175" s="148"/>
      <c r="AI175" s="148"/>
    </row>
    <row r="176" spans="2:35" x14ac:dyDescent="0.25">
      <c r="B176" s="22" t="str">
        <f ca="1">IF(ISERROR(MATCH(B$1,INDIRECT("Table!A"&amp;$AF176):INDIRECT("Table!" &amp; $AI$253 &amp; $AF176),0)),"",INDIRECT(CONCATENATE("Table!",ADDRESS(#REF!,MATCH(B$1,INDIRECT("Table!A" &amp; $AF176):INDIRECT("Table!" &amp; $AI$253 &amp; $AF176),0))))/1024)</f>
        <v/>
      </c>
      <c r="C176" s="22" t="str">
        <f ca="1">IF(ISERROR(MATCH(C$1,INDIRECT("Table!A"&amp;$AF176):INDIRECT("Table!" &amp; $AI$253 &amp; $AF176),0)),"",INDIRECT(CONCATENATE("Table!",ADDRESS(#REF!,MATCH(C$1,INDIRECT("Table!A" &amp; $AF176):INDIRECT("Table!" &amp; $AI$253 &amp; $AF176),0))))/1024)</f>
        <v/>
      </c>
      <c r="D176" s="22" t="str">
        <f ca="1">IF(ISERROR(MATCH(D$1,INDIRECT("Table!A"&amp;$AF176):INDIRECT("Table!" &amp; $AI$253 &amp; $AF176),0)),"",INDIRECT(CONCATENATE("Table!",ADDRESS(#REF!,MATCH(D$1,INDIRECT("Table!A" &amp; $AF176):INDIRECT("Table!" &amp; $AI$253 &amp; $AF176),0))))/1024)</f>
        <v/>
      </c>
      <c r="E176" s="22" t="str">
        <f ca="1">IF(ISERROR(MATCH(E$1,INDIRECT("Table!A"&amp;$AF176):INDIRECT("Table!" &amp; $AI$253 &amp; $AF176),0)),"",INDIRECT(CONCATENATE("Table!",ADDRESS(#REF!,MATCH(E$1,INDIRECT("Table!A" &amp; $AF176):INDIRECT("Table!" &amp; $AI$253 &amp; $AF176),0))))/1024)</f>
        <v/>
      </c>
      <c r="F176" s="22" t="str">
        <f ca="1">IF(ISERROR(MATCH(F$1,INDIRECT("Table!A"&amp;$AF176):INDIRECT("Table!" &amp; $AI$253 &amp; $AF176),0)),"",INDIRECT(CONCATENATE("Table!",ADDRESS(#REF!,MATCH(F$1,INDIRECT("Table!A" &amp; $AF176):INDIRECT("Table!" &amp; $AI$253 &amp; $AF176),0))))/1024)</f>
        <v/>
      </c>
      <c r="G176" s="22" t="str">
        <f ca="1">IF(ISERROR(MATCH(G$1,INDIRECT("Table!A"&amp;$AF176):INDIRECT("Table!" &amp; $AI$253 &amp; $AF176),0)),"",INDIRECT(CONCATENATE("Table!",ADDRESS(#REF!,MATCH(G$1,INDIRECT("Table!A" &amp; $AF176):INDIRECT("Table!" &amp; $AI$253 &amp; $AF176),0))))/1024)</f>
        <v/>
      </c>
      <c r="H176" s="22" t="str">
        <f ca="1">IF(ISERROR(MATCH(H$1,INDIRECT("Table!A"&amp;$AF176):INDIRECT("Table!" &amp; $AI$253 &amp; $AF176),0)),"",INDIRECT(CONCATENATE("Table!",ADDRESS(#REF!,MATCH(H$1,INDIRECT("Table!A" &amp; $AF176):INDIRECT("Table!" &amp; $AI$253 &amp; $AF176),0))))/1024)</f>
        <v/>
      </c>
      <c r="K176" s="22" t="str">
        <f ca="1">IF(ISERROR(MATCH(L$1,INDIRECT("Table!A"&amp;$AF176):INDIRECT("Table!" &amp; $AI$253 &amp; $AF176),0)),"",INDIRECT(CONCATENATE("Table!",ADDRESS(#REF!,MATCH(L$1,INDIRECT("Table!A" &amp; $AF176):INDIRECT("Table!" &amp; $AI$253 &amp; $AF176),0))))/1024)</f>
        <v/>
      </c>
      <c r="L176" s="22" t="str">
        <f ca="1">IF(ISERROR(MATCH(M$1,INDIRECT("Table!A"&amp;$AF176):INDIRECT("Table!" &amp; $AI$253 &amp; $AF176),0)),"",INDIRECT(CONCATENATE("Table!",ADDRESS(#REF!,MATCH(M$1,INDIRECT("Table!A" &amp; $AF176):INDIRECT("Table!" &amp; $AI$253 &amp; $AF176),0))))/1024)</f>
        <v/>
      </c>
      <c r="M176" s="22" t="str">
        <f ca="1">IF(ISERROR(MATCH(N$1,INDIRECT("Table!A"&amp;$AF176):INDIRECT("Table!" &amp; $AI$253 &amp; $AF176),0)),"",INDIRECT(CONCATENATE("Table!",ADDRESS(#REF!,MATCH(N$1,INDIRECT("Table!A" &amp; $AF176):INDIRECT("Table!" &amp; $AI$253 &amp; $AF176),0))))/1024)</f>
        <v/>
      </c>
      <c r="N176" s="22" t="str">
        <f ca="1">IF(ISERROR(MATCH(O$1,INDIRECT("Table!A"&amp;$AF176):INDIRECT("Table!" &amp; $AI$253 &amp; $AF176),0)),"",INDIRECT(CONCATENATE("Table!",ADDRESS(#REF!,MATCH(O$1,INDIRECT("Table!A" &amp; $AF176):INDIRECT("Table!" &amp; $AI$253 &amp; $AF176),0))))/1024)</f>
        <v/>
      </c>
      <c r="O176" s="22"/>
      <c r="P176" s="272"/>
      <c r="Q176" s="22"/>
      <c r="R176" s="147"/>
      <c r="T176" s="595"/>
      <c r="U176" s="147"/>
      <c r="AD176" s="147"/>
      <c r="AE176" s="147"/>
      <c r="AF176" s="22"/>
      <c r="AG176" s="147"/>
      <c r="AH176" s="147"/>
      <c r="AI176" s="147"/>
    </row>
    <row r="177" spans="2:35" x14ac:dyDescent="0.25">
      <c r="B177" s="22" t="str">
        <f ca="1">IF(ISERROR(MATCH(B$1,INDIRECT("Table!A"&amp;$AF177):INDIRECT("Table!" &amp; $AI$253 &amp; $AF177),0)),"",INDIRECT(CONCATENATE("Table!",ADDRESS(#REF!,MATCH(B$1,INDIRECT("Table!A" &amp; $AF177):INDIRECT("Table!" &amp; $AI$253 &amp; $AF177),0))))/1024)</f>
        <v/>
      </c>
      <c r="C177" s="22" t="str">
        <f ca="1">IF(ISERROR(MATCH(C$1,INDIRECT("Table!A"&amp;$AF177):INDIRECT("Table!" &amp; $AI$253 &amp; $AF177),0)),"",INDIRECT(CONCATENATE("Table!",ADDRESS(#REF!,MATCH(C$1,INDIRECT("Table!A" &amp; $AF177):INDIRECT("Table!" &amp; $AI$253 &amp; $AF177),0))))/1024)</f>
        <v/>
      </c>
      <c r="D177" s="22" t="str">
        <f ca="1">IF(ISERROR(MATCH(D$1,INDIRECT("Table!A"&amp;$AF177):INDIRECT("Table!" &amp; $AI$253 &amp; $AF177),0)),"",INDIRECT(CONCATENATE("Table!",ADDRESS(#REF!,MATCH(D$1,INDIRECT("Table!A" &amp; $AF177):INDIRECT("Table!" &amp; $AI$253 &amp; $AF177),0))))/1024)</f>
        <v/>
      </c>
      <c r="E177" s="22" t="str">
        <f ca="1">IF(ISERROR(MATCH(E$1,INDIRECT("Table!A"&amp;$AF177):INDIRECT("Table!" &amp; $AI$253 &amp; $AF177),0)),"",INDIRECT(CONCATENATE("Table!",ADDRESS(#REF!,MATCH(E$1,INDIRECT("Table!A" &amp; $AF177):INDIRECT("Table!" &amp; $AI$253 &amp; $AF177),0))))/1024)</f>
        <v/>
      </c>
      <c r="F177" s="22" t="str">
        <f ca="1">IF(ISERROR(MATCH(F$1,INDIRECT("Table!A"&amp;$AF177):INDIRECT("Table!" &amp; $AI$253 &amp; $AF177),0)),"",INDIRECT(CONCATENATE("Table!",ADDRESS(#REF!,MATCH(F$1,INDIRECT("Table!A" &amp; $AF177):INDIRECT("Table!" &amp; $AI$253 &amp; $AF177),0))))/1024)</f>
        <v/>
      </c>
      <c r="G177" s="22" t="str">
        <f ca="1">IF(ISERROR(MATCH(G$1,INDIRECT("Table!A"&amp;$AF177):INDIRECT("Table!" &amp; $AI$253 &amp; $AF177),0)),"",INDIRECT(CONCATENATE("Table!",ADDRESS(#REF!,MATCH(G$1,INDIRECT("Table!A" &amp; $AF177):INDIRECT("Table!" &amp; $AI$253 &amp; $AF177),0))))/1024)</f>
        <v/>
      </c>
      <c r="H177" s="22" t="str">
        <f ca="1">IF(ISERROR(MATCH(H$1,INDIRECT("Table!A"&amp;$AF177):INDIRECT("Table!" &amp; $AI$253 &amp; $AF177),0)),"",INDIRECT(CONCATENATE("Table!",ADDRESS(#REF!,MATCH(H$1,INDIRECT("Table!A" &amp; $AF177):INDIRECT("Table!" &amp; $AI$253 &amp; $AF177),0))))/1024)</f>
        <v/>
      </c>
      <c r="K177" s="22" t="str">
        <f ca="1">IF(ISERROR(MATCH(L$1,INDIRECT("Table!A"&amp;$AF177):INDIRECT("Table!" &amp; $AI$253 &amp; $AF177),0)),"",INDIRECT(CONCATENATE("Table!",ADDRESS(#REF!,MATCH(L$1,INDIRECT("Table!A" &amp; $AF177):INDIRECT("Table!" &amp; $AI$253 &amp; $AF177),0))))/1024)</f>
        <v/>
      </c>
      <c r="L177" s="22" t="str">
        <f ca="1">IF(ISERROR(MATCH(M$1,INDIRECT("Table!A"&amp;$AF177):INDIRECT("Table!" &amp; $AI$253 &amp; $AF177),0)),"",INDIRECT(CONCATENATE("Table!",ADDRESS(#REF!,MATCH(M$1,INDIRECT("Table!A" &amp; $AF177):INDIRECT("Table!" &amp; $AI$253 &amp; $AF177),0))))/1024)</f>
        <v/>
      </c>
      <c r="M177" s="22" t="str">
        <f ca="1">IF(ISERROR(MATCH(N$1,INDIRECT("Table!A"&amp;$AF177):INDIRECT("Table!" &amp; $AI$253 &amp; $AF177),0)),"",INDIRECT(CONCATENATE("Table!",ADDRESS(#REF!,MATCH(N$1,INDIRECT("Table!A" &amp; $AF177):INDIRECT("Table!" &amp; $AI$253 &amp; $AF177),0))))/1024)</f>
        <v/>
      </c>
      <c r="N177" s="22" t="str">
        <f ca="1">IF(ISERROR(MATCH(O$1,INDIRECT("Table!A"&amp;$AF177):INDIRECT("Table!" &amp; $AI$253 &amp; $AF177),0)),"",INDIRECT(CONCATENATE("Table!",ADDRESS(#REF!,MATCH(O$1,INDIRECT("Table!A" &amp; $AF177):INDIRECT("Table!" &amp; $AI$253 &amp; $AF177),0))))/1024)</f>
        <v/>
      </c>
      <c r="O177" s="22"/>
      <c r="P177" s="272"/>
      <c r="Q177" s="22"/>
      <c r="R177" s="146"/>
      <c r="T177" s="595"/>
      <c r="U177" s="146"/>
      <c r="AD177" s="146"/>
      <c r="AE177" s="146"/>
      <c r="AF177" s="22"/>
      <c r="AG177" s="146"/>
      <c r="AH177" s="146"/>
      <c r="AI177" s="146"/>
    </row>
    <row r="178" spans="2:35" x14ac:dyDescent="0.25">
      <c r="B178" s="22" t="str">
        <f ca="1">IF(ISERROR(MATCH(B$1,INDIRECT("Table!A"&amp;$AF178):INDIRECT("Table!" &amp; $AI$253 &amp; $AF178),0)),"",INDIRECT(CONCATENATE("Table!",ADDRESS(#REF!,MATCH(B$1,INDIRECT("Table!A" &amp; $AF178):INDIRECT("Table!" &amp; $AI$253 &amp; $AF178),0))))/1024)</f>
        <v/>
      </c>
      <c r="C178" s="22" t="str">
        <f ca="1">IF(ISERROR(MATCH(C$1,INDIRECT("Table!A"&amp;$AF178):INDIRECT("Table!" &amp; $AI$253 &amp; $AF178),0)),"",INDIRECT(CONCATENATE("Table!",ADDRESS(#REF!,MATCH(C$1,INDIRECT("Table!A" &amp; $AF178):INDIRECT("Table!" &amp; $AI$253 &amp; $AF178),0))))/1024)</f>
        <v/>
      </c>
      <c r="D178" s="22" t="str">
        <f ca="1">IF(ISERROR(MATCH(D$1,INDIRECT("Table!A"&amp;$AF178):INDIRECT("Table!" &amp; $AI$253 &amp; $AF178),0)),"",INDIRECT(CONCATENATE("Table!",ADDRESS(#REF!,MATCH(D$1,INDIRECT("Table!A" &amp; $AF178):INDIRECT("Table!" &amp; $AI$253 &amp; $AF178),0))))/1024)</f>
        <v/>
      </c>
      <c r="E178" s="22" t="str">
        <f ca="1">IF(ISERROR(MATCH(E$1,INDIRECT("Table!A"&amp;$AF178):INDIRECT("Table!" &amp; $AI$253 &amp; $AF178),0)),"",INDIRECT(CONCATENATE("Table!",ADDRESS(#REF!,MATCH(E$1,INDIRECT("Table!A" &amp; $AF178):INDIRECT("Table!" &amp; $AI$253 &amp; $AF178),0))))/1024)</f>
        <v/>
      </c>
      <c r="F178" s="22" t="str">
        <f ca="1">IF(ISERROR(MATCH(F$1,INDIRECT("Table!A"&amp;$AF178):INDIRECT("Table!" &amp; $AI$253 &amp; $AF178),0)),"",INDIRECT(CONCATENATE("Table!",ADDRESS(#REF!,MATCH(F$1,INDIRECT("Table!A" &amp; $AF178):INDIRECT("Table!" &amp; $AI$253 &amp; $AF178),0))))/1024)</f>
        <v/>
      </c>
      <c r="G178" s="22" t="str">
        <f ca="1">IF(ISERROR(MATCH(G$1,INDIRECT("Table!A"&amp;$AF178):INDIRECT("Table!" &amp; $AI$253 &amp; $AF178),0)),"",INDIRECT(CONCATENATE("Table!",ADDRESS(#REF!,MATCH(G$1,INDIRECT("Table!A" &amp; $AF178):INDIRECT("Table!" &amp; $AI$253 &amp; $AF178),0))))/1024)</f>
        <v/>
      </c>
      <c r="H178" s="22" t="str">
        <f ca="1">IF(ISERROR(MATCH(H$1,INDIRECT("Table!A"&amp;$AF178):INDIRECT("Table!" &amp; $AI$253 &amp; $AF178),0)),"",INDIRECT(CONCATENATE("Table!",ADDRESS(#REF!,MATCH(H$1,INDIRECT("Table!A" &amp; $AF178):INDIRECT("Table!" &amp; $AI$253 &amp; $AF178),0))))/1024)</f>
        <v/>
      </c>
      <c r="K178" s="22" t="str">
        <f ca="1">IF(ISERROR(MATCH(L$1,INDIRECT("Table!A"&amp;$AF178):INDIRECT("Table!" &amp; $AI$253 &amp; $AF178),0)),"",INDIRECT(CONCATENATE("Table!",ADDRESS(#REF!,MATCH(L$1,INDIRECT("Table!A" &amp; $AF178):INDIRECT("Table!" &amp; $AI$253 &amp; $AF178),0))))/1024)</f>
        <v/>
      </c>
      <c r="L178" s="22" t="str">
        <f ca="1">IF(ISERROR(MATCH(M$1,INDIRECT("Table!A"&amp;$AF178):INDIRECT("Table!" &amp; $AI$253 &amp; $AF178),0)),"",INDIRECT(CONCATENATE("Table!",ADDRESS(#REF!,MATCH(M$1,INDIRECT("Table!A" &amp; $AF178):INDIRECT("Table!" &amp; $AI$253 &amp; $AF178),0))))/1024)</f>
        <v/>
      </c>
      <c r="M178" s="22" t="str">
        <f ca="1">IF(ISERROR(MATCH(N$1,INDIRECT("Table!A"&amp;$AF178):INDIRECT("Table!" &amp; $AI$253 &amp; $AF178),0)),"",INDIRECT(CONCATENATE("Table!",ADDRESS(#REF!,MATCH(N$1,INDIRECT("Table!A" &amp; $AF178):INDIRECT("Table!" &amp; $AI$253 &amp; $AF178),0))))/1024)</f>
        <v/>
      </c>
      <c r="N178" s="22" t="str">
        <f ca="1">IF(ISERROR(MATCH(O$1,INDIRECT("Table!A"&amp;$AF178):INDIRECT("Table!" &amp; $AI$253 &amp; $AF178),0)),"",INDIRECT(CONCATENATE("Table!",ADDRESS(#REF!,MATCH(O$1,INDIRECT("Table!A" &amp; $AF178):INDIRECT("Table!" &amp; $AI$253 &amp; $AF178),0))))/1024)</f>
        <v/>
      </c>
      <c r="O178" s="22"/>
      <c r="P178" s="272"/>
      <c r="Q178" s="22"/>
      <c r="R178" s="145"/>
      <c r="T178" s="595"/>
      <c r="U178" s="145"/>
      <c r="AD178" s="145"/>
      <c r="AE178" s="145"/>
      <c r="AF178" s="22"/>
      <c r="AG178" s="145"/>
      <c r="AH178" s="145"/>
      <c r="AI178" s="145"/>
    </row>
    <row r="179" spans="2:35" x14ac:dyDescent="0.25">
      <c r="B179" s="22" t="str">
        <f ca="1">IF(ISERROR(MATCH(B$1,INDIRECT("Table!A"&amp;$AF179):INDIRECT("Table!" &amp; $AI$253 &amp; $AF179),0)),"",INDIRECT(CONCATENATE("Table!",ADDRESS(#REF!,MATCH(B$1,INDIRECT("Table!A" &amp; $AF179):INDIRECT("Table!" &amp; $AI$253 &amp; $AF179),0))))/1024)</f>
        <v/>
      </c>
      <c r="C179" s="22" t="str">
        <f ca="1">IF(ISERROR(MATCH(C$1,INDIRECT("Table!A"&amp;$AF179):INDIRECT("Table!" &amp; $AI$253 &amp; $AF179),0)),"",INDIRECT(CONCATENATE("Table!",ADDRESS(#REF!,MATCH(C$1,INDIRECT("Table!A" &amp; $AF179):INDIRECT("Table!" &amp; $AI$253 &amp; $AF179),0))))/1024)</f>
        <v/>
      </c>
      <c r="D179" s="22" t="str">
        <f ca="1">IF(ISERROR(MATCH(D$1,INDIRECT("Table!A"&amp;$AF179):INDIRECT("Table!" &amp; $AI$253 &amp; $AF179),0)),"",INDIRECT(CONCATENATE("Table!",ADDRESS(#REF!,MATCH(D$1,INDIRECT("Table!A" &amp; $AF179):INDIRECT("Table!" &amp; $AI$253 &amp; $AF179),0))))/1024)</f>
        <v/>
      </c>
      <c r="E179" s="22" t="str">
        <f ca="1">IF(ISERROR(MATCH(E$1,INDIRECT("Table!A"&amp;$AF179):INDIRECT("Table!" &amp; $AI$253 &amp; $AF179),0)),"",INDIRECT(CONCATENATE("Table!",ADDRESS(#REF!,MATCH(E$1,INDIRECT("Table!A" &amp; $AF179):INDIRECT("Table!" &amp; $AI$253 &amp; $AF179),0))))/1024)</f>
        <v/>
      </c>
      <c r="F179" s="22" t="str">
        <f ca="1">IF(ISERROR(MATCH(F$1,INDIRECT("Table!A"&amp;$AF179):INDIRECT("Table!" &amp; $AI$253 &amp; $AF179),0)),"",INDIRECT(CONCATENATE("Table!",ADDRESS(#REF!,MATCH(F$1,INDIRECT("Table!A" &amp; $AF179):INDIRECT("Table!" &amp; $AI$253 &amp; $AF179),0))))/1024)</f>
        <v/>
      </c>
      <c r="G179" s="22" t="str">
        <f ca="1">IF(ISERROR(MATCH(G$1,INDIRECT("Table!A"&amp;$AF179):INDIRECT("Table!" &amp; $AI$253 &amp; $AF179),0)),"",INDIRECT(CONCATENATE("Table!",ADDRESS(#REF!,MATCH(G$1,INDIRECT("Table!A" &amp; $AF179):INDIRECT("Table!" &amp; $AI$253 &amp; $AF179),0))))/1024)</f>
        <v/>
      </c>
      <c r="H179" s="22" t="str">
        <f ca="1">IF(ISERROR(MATCH(H$1,INDIRECT("Table!A"&amp;$AF179):INDIRECT("Table!" &amp; $AI$253 &amp; $AF179),0)),"",INDIRECT(CONCATENATE("Table!",ADDRESS(#REF!,MATCH(H$1,INDIRECT("Table!A" &amp; $AF179):INDIRECT("Table!" &amp; $AI$253 &amp; $AF179),0))))/1024)</f>
        <v/>
      </c>
      <c r="K179" s="22" t="str">
        <f ca="1">IF(ISERROR(MATCH(L$1,INDIRECT("Table!A"&amp;$AF179):INDIRECT("Table!" &amp; $AI$253 &amp; $AF179),0)),"",INDIRECT(CONCATENATE("Table!",ADDRESS(#REF!,MATCH(L$1,INDIRECT("Table!A" &amp; $AF179):INDIRECT("Table!" &amp; $AI$253 &amp; $AF179),0))))/1024)</f>
        <v/>
      </c>
      <c r="L179" s="22" t="str">
        <f ca="1">IF(ISERROR(MATCH(M$1,INDIRECT("Table!A"&amp;$AF179):INDIRECT("Table!" &amp; $AI$253 &amp; $AF179),0)),"",INDIRECT(CONCATENATE("Table!",ADDRESS(#REF!,MATCH(M$1,INDIRECT("Table!A" &amp; $AF179):INDIRECT("Table!" &amp; $AI$253 &amp; $AF179),0))))/1024)</f>
        <v/>
      </c>
      <c r="M179" s="22" t="str">
        <f ca="1">IF(ISERROR(MATCH(N$1,INDIRECT("Table!A"&amp;$AF179):INDIRECT("Table!" &amp; $AI$253 &amp; $AF179),0)),"",INDIRECT(CONCATENATE("Table!",ADDRESS(#REF!,MATCH(N$1,INDIRECT("Table!A" &amp; $AF179):INDIRECT("Table!" &amp; $AI$253 &amp; $AF179),0))))/1024)</f>
        <v/>
      </c>
      <c r="N179" s="22" t="str">
        <f ca="1">IF(ISERROR(MATCH(O$1,INDIRECT("Table!A"&amp;$AF179):INDIRECT("Table!" &amp; $AI$253 &amp; $AF179),0)),"",INDIRECT(CONCATENATE("Table!",ADDRESS(#REF!,MATCH(O$1,INDIRECT("Table!A" &amp; $AF179):INDIRECT("Table!" &amp; $AI$253 &amp; $AF179),0))))/1024)</f>
        <v/>
      </c>
      <c r="O179" s="22"/>
      <c r="P179" s="272"/>
      <c r="Q179" s="22"/>
      <c r="R179" s="144"/>
      <c r="T179" s="595"/>
      <c r="U179" s="144"/>
      <c r="AD179" s="144"/>
      <c r="AE179" s="144"/>
      <c r="AF179" s="22"/>
      <c r="AG179" s="144"/>
      <c r="AH179" s="144"/>
      <c r="AI179" s="144"/>
    </row>
    <row r="180" spans="2:35" x14ac:dyDescent="0.25">
      <c r="B180" s="22" t="str">
        <f ca="1">IF(ISERROR(MATCH(B$1,INDIRECT("Table!A"&amp;$AF180):INDIRECT("Table!" &amp; $AI$253 &amp; $AF180),0)),"",INDIRECT(CONCATENATE("Table!",ADDRESS(#REF!,MATCH(B$1,INDIRECT("Table!A" &amp; $AF180):INDIRECT("Table!" &amp; $AI$253 &amp; $AF180),0))))/1024)</f>
        <v/>
      </c>
      <c r="C180" s="22" t="str">
        <f ca="1">IF(ISERROR(MATCH(C$1,INDIRECT("Table!A"&amp;$AF180):INDIRECT("Table!" &amp; $AI$253 &amp; $AF180),0)),"",INDIRECT(CONCATENATE("Table!",ADDRESS(#REF!,MATCH(C$1,INDIRECT("Table!A" &amp; $AF180):INDIRECT("Table!" &amp; $AI$253 &amp; $AF180),0))))/1024)</f>
        <v/>
      </c>
      <c r="D180" s="22" t="str">
        <f ca="1">IF(ISERROR(MATCH(D$1,INDIRECT("Table!A"&amp;$AF180):INDIRECT("Table!" &amp; $AI$253 &amp; $AF180),0)),"",INDIRECT(CONCATENATE("Table!",ADDRESS(#REF!,MATCH(D$1,INDIRECT("Table!A" &amp; $AF180):INDIRECT("Table!" &amp; $AI$253 &amp; $AF180),0))))/1024)</f>
        <v/>
      </c>
      <c r="E180" s="22" t="str">
        <f ca="1">IF(ISERROR(MATCH(E$1,INDIRECT("Table!A"&amp;$AF180):INDIRECT("Table!" &amp; $AI$253 &amp; $AF180),0)),"",INDIRECT(CONCATENATE("Table!",ADDRESS(#REF!,MATCH(E$1,INDIRECT("Table!A" &amp; $AF180):INDIRECT("Table!" &amp; $AI$253 &amp; $AF180),0))))/1024)</f>
        <v/>
      </c>
      <c r="F180" s="22" t="str">
        <f ca="1">IF(ISERROR(MATCH(F$1,INDIRECT("Table!A"&amp;$AF180):INDIRECT("Table!" &amp; $AI$253 &amp; $AF180),0)),"",INDIRECT(CONCATENATE("Table!",ADDRESS(#REF!,MATCH(F$1,INDIRECT("Table!A" &amp; $AF180):INDIRECT("Table!" &amp; $AI$253 &amp; $AF180),0))))/1024)</f>
        <v/>
      </c>
      <c r="G180" s="22" t="str">
        <f ca="1">IF(ISERROR(MATCH(G$1,INDIRECT("Table!A"&amp;$AF180):INDIRECT("Table!" &amp; $AI$253 &amp; $AF180),0)),"",INDIRECT(CONCATENATE("Table!",ADDRESS(#REF!,MATCH(G$1,INDIRECT("Table!A" &amp; $AF180):INDIRECT("Table!" &amp; $AI$253 &amp; $AF180),0))))/1024)</f>
        <v/>
      </c>
      <c r="H180" s="22" t="str">
        <f ca="1">IF(ISERROR(MATCH(H$1,INDIRECT("Table!A"&amp;$AF180):INDIRECT("Table!" &amp; $AI$253 &amp; $AF180),0)),"",INDIRECT(CONCATENATE("Table!",ADDRESS(#REF!,MATCH(H$1,INDIRECT("Table!A" &amp; $AF180):INDIRECT("Table!" &amp; $AI$253 &amp; $AF180),0))))/1024)</f>
        <v/>
      </c>
      <c r="K180" s="22" t="str">
        <f ca="1">IF(ISERROR(MATCH(L$1,INDIRECT("Table!A"&amp;$AF180):INDIRECT("Table!" &amp; $AI$253 &amp; $AF180),0)),"",INDIRECT(CONCATENATE("Table!",ADDRESS(#REF!,MATCH(L$1,INDIRECT("Table!A" &amp; $AF180):INDIRECT("Table!" &amp; $AI$253 &amp; $AF180),0))))/1024)</f>
        <v/>
      </c>
      <c r="L180" s="22" t="str">
        <f ca="1">IF(ISERROR(MATCH(M$1,INDIRECT("Table!A"&amp;$AF180):INDIRECT("Table!" &amp; $AI$253 &amp; $AF180),0)),"",INDIRECT(CONCATENATE("Table!",ADDRESS(#REF!,MATCH(M$1,INDIRECT("Table!A" &amp; $AF180):INDIRECT("Table!" &amp; $AI$253 &amp; $AF180),0))))/1024)</f>
        <v/>
      </c>
      <c r="M180" s="22" t="str">
        <f ca="1">IF(ISERROR(MATCH(N$1,INDIRECT("Table!A"&amp;$AF180):INDIRECT("Table!" &amp; $AI$253 &amp; $AF180),0)),"",INDIRECT(CONCATENATE("Table!",ADDRESS(#REF!,MATCH(N$1,INDIRECT("Table!A" &amp; $AF180):INDIRECT("Table!" &amp; $AI$253 &amp; $AF180),0))))/1024)</f>
        <v/>
      </c>
      <c r="N180" s="22" t="str">
        <f ca="1">IF(ISERROR(MATCH(O$1,INDIRECT("Table!A"&amp;$AF180):INDIRECT("Table!" &amp; $AI$253 &amp; $AF180),0)),"",INDIRECT(CONCATENATE("Table!",ADDRESS(#REF!,MATCH(O$1,INDIRECT("Table!A" &amp; $AF180):INDIRECT("Table!" &amp; $AI$253 &amp; $AF180),0))))/1024)</f>
        <v/>
      </c>
      <c r="O180" s="22"/>
      <c r="P180" s="272"/>
      <c r="Q180" s="22"/>
      <c r="R180" s="143"/>
      <c r="T180" s="595"/>
      <c r="U180" s="143"/>
      <c r="AD180" s="143"/>
      <c r="AE180" s="143"/>
      <c r="AF180" s="22"/>
      <c r="AG180" s="143"/>
      <c r="AH180" s="143"/>
      <c r="AI180" s="143"/>
    </row>
    <row r="181" spans="2:35" x14ac:dyDescent="0.25">
      <c r="B181" s="22" t="str">
        <f ca="1">IF(ISERROR(MATCH(B$1,INDIRECT("Table!A"&amp;$AF181):INDIRECT("Table!" &amp; $AI$253 &amp; $AF181),0)),"",INDIRECT(CONCATENATE("Table!",ADDRESS(#REF!,MATCH(B$1,INDIRECT("Table!A" &amp; $AF181):INDIRECT("Table!" &amp; $AI$253 &amp; $AF181),0))))/1024)</f>
        <v/>
      </c>
      <c r="C181" s="22" t="str">
        <f ca="1">IF(ISERROR(MATCH(C$1,INDIRECT("Table!A"&amp;$AF181):INDIRECT("Table!" &amp; $AI$253 &amp; $AF181),0)),"",INDIRECT(CONCATENATE("Table!",ADDRESS(#REF!,MATCH(C$1,INDIRECT("Table!A" &amp; $AF181):INDIRECT("Table!" &amp; $AI$253 &amp; $AF181),0))))/1024)</f>
        <v/>
      </c>
      <c r="D181" s="22" t="str">
        <f ca="1">IF(ISERROR(MATCH(D$1,INDIRECT("Table!A"&amp;$AF181):INDIRECT("Table!" &amp; $AI$253 &amp; $AF181),0)),"",INDIRECT(CONCATENATE("Table!",ADDRESS(#REF!,MATCH(D$1,INDIRECT("Table!A" &amp; $AF181):INDIRECT("Table!" &amp; $AI$253 &amp; $AF181),0))))/1024)</f>
        <v/>
      </c>
      <c r="E181" s="22" t="str">
        <f ca="1">IF(ISERROR(MATCH(E$1,INDIRECT("Table!A"&amp;$AF181):INDIRECT("Table!" &amp; $AI$253 &amp; $AF181),0)),"",INDIRECT(CONCATENATE("Table!",ADDRESS(#REF!,MATCH(E$1,INDIRECT("Table!A" &amp; $AF181):INDIRECT("Table!" &amp; $AI$253 &amp; $AF181),0))))/1024)</f>
        <v/>
      </c>
      <c r="F181" s="22" t="str">
        <f ca="1">IF(ISERROR(MATCH(F$1,INDIRECT("Table!A"&amp;$AF181):INDIRECT("Table!" &amp; $AI$253 &amp; $AF181),0)),"",INDIRECT(CONCATENATE("Table!",ADDRESS(#REF!,MATCH(F$1,INDIRECT("Table!A" &amp; $AF181):INDIRECT("Table!" &amp; $AI$253 &amp; $AF181),0))))/1024)</f>
        <v/>
      </c>
      <c r="G181" s="22" t="str">
        <f ca="1">IF(ISERROR(MATCH(G$1,INDIRECT("Table!A"&amp;$AF181):INDIRECT("Table!" &amp; $AI$253 &amp; $AF181),0)),"",INDIRECT(CONCATENATE("Table!",ADDRESS(#REF!,MATCH(G$1,INDIRECT("Table!A" &amp; $AF181):INDIRECT("Table!" &amp; $AI$253 &amp; $AF181),0))))/1024)</f>
        <v/>
      </c>
      <c r="H181" s="22" t="str">
        <f ca="1">IF(ISERROR(MATCH(H$1,INDIRECT("Table!A"&amp;$AF181):INDIRECT("Table!" &amp; $AI$253 &amp; $AF181),0)),"",INDIRECT(CONCATENATE("Table!",ADDRESS(#REF!,MATCH(H$1,INDIRECT("Table!A" &amp; $AF181):INDIRECT("Table!" &amp; $AI$253 &amp; $AF181),0))))/1024)</f>
        <v/>
      </c>
      <c r="K181" s="22" t="str">
        <f ca="1">IF(ISERROR(MATCH(L$1,INDIRECT("Table!A"&amp;$AF181):INDIRECT("Table!" &amp; $AI$253 &amp; $AF181),0)),"",INDIRECT(CONCATENATE("Table!",ADDRESS(#REF!,MATCH(L$1,INDIRECT("Table!A" &amp; $AF181):INDIRECT("Table!" &amp; $AI$253 &amp; $AF181),0))))/1024)</f>
        <v/>
      </c>
      <c r="L181" s="22" t="str">
        <f ca="1">IF(ISERROR(MATCH(M$1,INDIRECT("Table!A"&amp;$AF181):INDIRECT("Table!" &amp; $AI$253 &amp; $AF181),0)),"",INDIRECT(CONCATENATE("Table!",ADDRESS(#REF!,MATCH(M$1,INDIRECT("Table!A" &amp; $AF181):INDIRECT("Table!" &amp; $AI$253 &amp; $AF181),0))))/1024)</f>
        <v/>
      </c>
      <c r="M181" s="22" t="str">
        <f ca="1">IF(ISERROR(MATCH(N$1,INDIRECT("Table!A"&amp;$AF181):INDIRECT("Table!" &amp; $AI$253 &amp; $AF181),0)),"",INDIRECT(CONCATENATE("Table!",ADDRESS(#REF!,MATCH(N$1,INDIRECT("Table!A" &amp; $AF181):INDIRECT("Table!" &amp; $AI$253 &amp; $AF181),0))))/1024)</f>
        <v/>
      </c>
      <c r="N181" s="22" t="str">
        <f ca="1">IF(ISERROR(MATCH(O$1,INDIRECT("Table!A"&amp;$AF181):INDIRECT("Table!" &amp; $AI$253 &amp; $AF181),0)),"",INDIRECT(CONCATENATE("Table!",ADDRESS(#REF!,MATCH(O$1,INDIRECT("Table!A" &amp; $AF181):INDIRECT("Table!" &amp; $AI$253 &amp; $AF181),0))))/1024)</f>
        <v/>
      </c>
      <c r="O181" s="22"/>
      <c r="P181" s="272"/>
      <c r="Q181" s="22"/>
      <c r="R181" s="142"/>
      <c r="T181" s="595"/>
      <c r="U181" s="142"/>
      <c r="AD181" s="142"/>
      <c r="AE181" s="142"/>
      <c r="AF181" s="22"/>
      <c r="AG181" s="142"/>
      <c r="AH181" s="142"/>
      <c r="AI181" s="142"/>
    </row>
    <row r="182" spans="2:35" x14ac:dyDescent="0.25">
      <c r="B182" s="22" t="str">
        <f ca="1">IF(ISERROR(MATCH(B$1,INDIRECT("Table!A"&amp;$AF182):INDIRECT("Table!" &amp; $AI$253 &amp; $AF182),0)),"",INDIRECT(CONCATENATE("Table!",ADDRESS(#REF!,MATCH(B$1,INDIRECT("Table!A" &amp; $AF182):INDIRECT("Table!" &amp; $AI$253 &amp; $AF182),0))))/1024)</f>
        <v/>
      </c>
      <c r="C182" s="22" t="str">
        <f ca="1">IF(ISERROR(MATCH(C$1,INDIRECT("Table!A"&amp;$AF182):INDIRECT("Table!" &amp; $AI$253 &amp; $AF182),0)),"",INDIRECT(CONCATENATE("Table!",ADDRESS(#REF!,MATCH(C$1,INDIRECT("Table!A" &amp; $AF182):INDIRECT("Table!" &amp; $AI$253 &amp; $AF182),0))))/1024)</f>
        <v/>
      </c>
      <c r="D182" s="22" t="str">
        <f ca="1">IF(ISERROR(MATCH(D$1,INDIRECT("Table!A"&amp;$AF182):INDIRECT("Table!" &amp; $AI$253 &amp; $AF182),0)),"",INDIRECT(CONCATENATE("Table!",ADDRESS(#REF!,MATCH(D$1,INDIRECT("Table!A" &amp; $AF182):INDIRECT("Table!" &amp; $AI$253 &amp; $AF182),0))))/1024)</f>
        <v/>
      </c>
      <c r="E182" s="22" t="str">
        <f ca="1">IF(ISERROR(MATCH(E$1,INDIRECT("Table!A"&amp;$AF182):INDIRECT("Table!" &amp; $AI$253 &amp; $AF182),0)),"",INDIRECT(CONCATENATE("Table!",ADDRESS(#REF!,MATCH(E$1,INDIRECT("Table!A" &amp; $AF182):INDIRECT("Table!" &amp; $AI$253 &amp; $AF182),0))))/1024)</f>
        <v/>
      </c>
      <c r="F182" s="22" t="str">
        <f ca="1">IF(ISERROR(MATCH(F$1,INDIRECT("Table!A"&amp;$AF182):INDIRECT("Table!" &amp; $AI$253 &amp; $AF182),0)),"",INDIRECT(CONCATENATE("Table!",ADDRESS(#REF!,MATCH(F$1,INDIRECT("Table!A" &amp; $AF182):INDIRECT("Table!" &amp; $AI$253 &amp; $AF182),0))))/1024)</f>
        <v/>
      </c>
      <c r="G182" s="22" t="str">
        <f ca="1">IF(ISERROR(MATCH(G$1,INDIRECT("Table!A"&amp;$AF182):INDIRECT("Table!" &amp; $AI$253 &amp; $AF182),0)),"",INDIRECT(CONCATENATE("Table!",ADDRESS(#REF!,MATCH(G$1,INDIRECT("Table!A" &amp; $AF182):INDIRECT("Table!" &amp; $AI$253 &amp; $AF182),0))))/1024)</f>
        <v/>
      </c>
      <c r="H182" s="22" t="str">
        <f ca="1">IF(ISERROR(MATCH(H$1,INDIRECT("Table!A"&amp;$AF182):INDIRECT("Table!" &amp; $AI$253 &amp; $AF182),0)),"",INDIRECT(CONCATENATE("Table!",ADDRESS(#REF!,MATCH(H$1,INDIRECT("Table!A" &amp; $AF182):INDIRECT("Table!" &amp; $AI$253 &amp; $AF182),0))))/1024)</f>
        <v/>
      </c>
      <c r="K182" s="22" t="str">
        <f ca="1">IF(ISERROR(MATCH(L$1,INDIRECT("Table!A"&amp;$AF182):INDIRECT("Table!" &amp; $AI$253 &amp; $AF182),0)),"",INDIRECT(CONCATENATE("Table!",ADDRESS(#REF!,MATCH(L$1,INDIRECT("Table!A" &amp; $AF182):INDIRECT("Table!" &amp; $AI$253 &amp; $AF182),0))))/1024)</f>
        <v/>
      </c>
      <c r="L182" s="22" t="str">
        <f ca="1">IF(ISERROR(MATCH(M$1,INDIRECT("Table!A"&amp;$AF182):INDIRECT("Table!" &amp; $AI$253 &amp; $AF182),0)),"",INDIRECT(CONCATENATE("Table!",ADDRESS(#REF!,MATCH(M$1,INDIRECT("Table!A" &amp; $AF182):INDIRECT("Table!" &amp; $AI$253 &amp; $AF182),0))))/1024)</f>
        <v/>
      </c>
      <c r="M182" s="22" t="str">
        <f ca="1">IF(ISERROR(MATCH(N$1,INDIRECT("Table!A"&amp;$AF182):INDIRECT("Table!" &amp; $AI$253 &amp; $AF182),0)),"",INDIRECT(CONCATENATE("Table!",ADDRESS(#REF!,MATCH(N$1,INDIRECT("Table!A" &amp; $AF182):INDIRECT("Table!" &amp; $AI$253 &amp; $AF182),0))))/1024)</f>
        <v/>
      </c>
      <c r="N182" s="22" t="str">
        <f ca="1">IF(ISERROR(MATCH(O$1,INDIRECT("Table!A"&amp;$AF182):INDIRECT("Table!" &amp; $AI$253 &amp; $AF182),0)),"",INDIRECT(CONCATENATE("Table!",ADDRESS(#REF!,MATCH(O$1,INDIRECT("Table!A" &amp; $AF182):INDIRECT("Table!" &amp; $AI$253 &amp; $AF182),0))))/1024)</f>
        <v/>
      </c>
      <c r="O182" s="22"/>
      <c r="P182" s="272"/>
      <c r="Q182" s="22"/>
      <c r="R182" s="141"/>
      <c r="T182" s="595"/>
      <c r="U182" s="141"/>
      <c r="AD182" s="141"/>
      <c r="AE182" s="141"/>
      <c r="AF182" s="22"/>
      <c r="AG182" s="141"/>
      <c r="AH182" s="141"/>
      <c r="AI182" s="141"/>
    </row>
    <row r="183" spans="2:35" x14ac:dyDescent="0.25">
      <c r="B183" s="22" t="str">
        <f ca="1">IF(ISERROR(MATCH(B$1,INDIRECT("Table!A"&amp;$AF183):INDIRECT("Table!" &amp; $AI$253 &amp; $AF183),0)),"",INDIRECT(CONCATENATE("Table!",ADDRESS(#REF!,MATCH(B$1,INDIRECT("Table!A" &amp; $AF183):INDIRECT("Table!" &amp; $AI$253 &amp; $AF183),0))))/1024)</f>
        <v/>
      </c>
      <c r="C183" s="22" t="str">
        <f ca="1">IF(ISERROR(MATCH(C$1,INDIRECT("Table!A"&amp;$AF183):INDIRECT("Table!" &amp; $AI$253 &amp; $AF183),0)),"",INDIRECT(CONCATENATE("Table!",ADDRESS(#REF!,MATCH(C$1,INDIRECT("Table!A" &amp; $AF183):INDIRECT("Table!" &amp; $AI$253 &amp; $AF183),0))))/1024)</f>
        <v/>
      </c>
      <c r="D183" s="22" t="str">
        <f ca="1">IF(ISERROR(MATCH(D$1,INDIRECT("Table!A"&amp;$AF183):INDIRECT("Table!" &amp; $AI$253 &amp; $AF183),0)),"",INDIRECT(CONCATENATE("Table!",ADDRESS(#REF!,MATCH(D$1,INDIRECT("Table!A" &amp; $AF183):INDIRECT("Table!" &amp; $AI$253 &amp; $AF183),0))))/1024)</f>
        <v/>
      </c>
      <c r="E183" s="22" t="str">
        <f ca="1">IF(ISERROR(MATCH(E$1,INDIRECT("Table!A"&amp;$AF183):INDIRECT("Table!" &amp; $AI$253 &amp; $AF183),0)),"",INDIRECT(CONCATENATE("Table!",ADDRESS(#REF!,MATCH(E$1,INDIRECT("Table!A" &amp; $AF183):INDIRECT("Table!" &amp; $AI$253 &amp; $AF183),0))))/1024)</f>
        <v/>
      </c>
      <c r="F183" s="22" t="str">
        <f ca="1">IF(ISERROR(MATCH(F$1,INDIRECT("Table!A"&amp;$AF183):INDIRECT("Table!" &amp; $AI$253 &amp; $AF183),0)),"",INDIRECT(CONCATENATE("Table!",ADDRESS(#REF!,MATCH(F$1,INDIRECT("Table!A" &amp; $AF183):INDIRECT("Table!" &amp; $AI$253 &amp; $AF183),0))))/1024)</f>
        <v/>
      </c>
      <c r="G183" s="22" t="str">
        <f ca="1">IF(ISERROR(MATCH(G$1,INDIRECT("Table!A"&amp;$AF183):INDIRECT("Table!" &amp; $AI$253 &amp; $AF183),0)),"",INDIRECT(CONCATENATE("Table!",ADDRESS(#REF!,MATCH(G$1,INDIRECT("Table!A" &amp; $AF183):INDIRECT("Table!" &amp; $AI$253 &amp; $AF183),0))))/1024)</f>
        <v/>
      </c>
      <c r="H183" s="22" t="str">
        <f ca="1">IF(ISERROR(MATCH(H$1,INDIRECT("Table!A"&amp;$AF183):INDIRECT("Table!" &amp; $AI$253 &amp; $AF183),0)),"",INDIRECT(CONCATENATE("Table!",ADDRESS(#REF!,MATCH(H$1,INDIRECT("Table!A" &amp; $AF183):INDIRECT("Table!" &amp; $AI$253 &amp; $AF183),0))))/1024)</f>
        <v/>
      </c>
      <c r="K183" s="22" t="str">
        <f ca="1">IF(ISERROR(MATCH(L$1,INDIRECT("Table!A"&amp;$AF183):INDIRECT("Table!" &amp; $AI$253 &amp; $AF183),0)),"",INDIRECT(CONCATENATE("Table!",ADDRESS(#REF!,MATCH(L$1,INDIRECT("Table!A" &amp; $AF183):INDIRECT("Table!" &amp; $AI$253 &amp; $AF183),0))))/1024)</f>
        <v/>
      </c>
      <c r="L183" s="22" t="str">
        <f ca="1">IF(ISERROR(MATCH(M$1,INDIRECT("Table!A"&amp;$AF183):INDIRECT("Table!" &amp; $AI$253 &amp; $AF183),0)),"",INDIRECT(CONCATENATE("Table!",ADDRESS(#REF!,MATCH(M$1,INDIRECT("Table!A" &amp; $AF183):INDIRECT("Table!" &amp; $AI$253 &amp; $AF183),0))))/1024)</f>
        <v/>
      </c>
      <c r="M183" s="22" t="str">
        <f ca="1">IF(ISERROR(MATCH(N$1,INDIRECT("Table!A"&amp;$AF183):INDIRECT("Table!" &amp; $AI$253 &amp; $AF183),0)),"",INDIRECT(CONCATENATE("Table!",ADDRESS(#REF!,MATCH(N$1,INDIRECT("Table!A" &amp; $AF183):INDIRECT("Table!" &amp; $AI$253 &amp; $AF183),0))))/1024)</f>
        <v/>
      </c>
      <c r="N183" s="22" t="str">
        <f ca="1">IF(ISERROR(MATCH(O$1,INDIRECT("Table!A"&amp;$AF183):INDIRECT("Table!" &amp; $AI$253 &amp; $AF183),0)),"",INDIRECT(CONCATENATE("Table!",ADDRESS(#REF!,MATCH(O$1,INDIRECT("Table!A" &amp; $AF183):INDIRECT("Table!" &amp; $AI$253 &amp; $AF183),0))))/1024)</f>
        <v/>
      </c>
      <c r="O183" s="22"/>
      <c r="P183" s="272"/>
      <c r="Q183" s="22"/>
      <c r="R183" s="140"/>
      <c r="T183" s="595"/>
      <c r="U183" s="140"/>
      <c r="AD183" s="140"/>
      <c r="AE183" s="140"/>
      <c r="AF183" s="22"/>
      <c r="AG183" s="140"/>
      <c r="AH183" s="140"/>
      <c r="AI183" s="140"/>
    </row>
    <row r="184" spans="2:35" x14ac:dyDescent="0.25">
      <c r="B184" s="22" t="str">
        <f ca="1">IF(ISERROR(MATCH(B$1,INDIRECT("Table!A"&amp;$AF184):INDIRECT("Table!" &amp; $AI$253 &amp; $AF184),0)),"",INDIRECT(CONCATENATE("Table!",ADDRESS(#REF!,MATCH(B$1,INDIRECT("Table!A" &amp; $AF184):INDIRECT("Table!" &amp; $AI$253 &amp; $AF184),0))))/1024)</f>
        <v/>
      </c>
      <c r="C184" s="22" t="str">
        <f ca="1">IF(ISERROR(MATCH(C$1,INDIRECT("Table!A"&amp;$AF184):INDIRECT("Table!" &amp; $AI$253 &amp; $AF184),0)),"",INDIRECT(CONCATENATE("Table!",ADDRESS(#REF!,MATCH(C$1,INDIRECT("Table!A" &amp; $AF184):INDIRECT("Table!" &amp; $AI$253 &amp; $AF184),0))))/1024)</f>
        <v/>
      </c>
      <c r="D184" s="22" t="str">
        <f ca="1">IF(ISERROR(MATCH(D$1,INDIRECT("Table!A"&amp;$AF184):INDIRECT("Table!" &amp; $AI$253 &amp; $AF184),0)),"",INDIRECT(CONCATENATE("Table!",ADDRESS(#REF!,MATCH(D$1,INDIRECT("Table!A" &amp; $AF184):INDIRECT("Table!" &amp; $AI$253 &amp; $AF184),0))))/1024)</f>
        <v/>
      </c>
      <c r="E184" s="22" t="str">
        <f ca="1">IF(ISERROR(MATCH(E$1,INDIRECT("Table!A"&amp;$AF184):INDIRECT("Table!" &amp; $AI$253 &amp; $AF184),0)),"",INDIRECT(CONCATENATE("Table!",ADDRESS(#REF!,MATCH(E$1,INDIRECT("Table!A" &amp; $AF184):INDIRECT("Table!" &amp; $AI$253 &amp; $AF184),0))))/1024)</f>
        <v/>
      </c>
      <c r="F184" s="22" t="str">
        <f ca="1">IF(ISERROR(MATCH(F$1,INDIRECT("Table!A"&amp;$AF184):INDIRECT("Table!" &amp; $AI$253 &amp; $AF184),0)),"",INDIRECT(CONCATENATE("Table!",ADDRESS(#REF!,MATCH(F$1,INDIRECT("Table!A" &amp; $AF184):INDIRECT("Table!" &amp; $AI$253 &amp; $AF184),0))))/1024)</f>
        <v/>
      </c>
      <c r="G184" s="22" t="str">
        <f ca="1">IF(ISERROR(MATCH(G$1,INDIRECT("Table!A"&amp;$AF184):INDIRECT("Table!" &amp; $AI$253 &amp; $AF184),0)),"",INDIRECT(CONCATENATE("Table!",ADDRESS(#REF!,MATCH(G$1,INDIRECT("Table!A" &amp; $AF184):INDIRECT("Table!" &amp; $AI$253 &amp; $AF184),0))))/1024)</f>
        <v/>
      </c>
      <c r="H184" s="22" t="str">
        <f ca="1">IF(ISERROR(MATCH(H$1,INDIRECT("Table!A"&amp;$AF184):INDIRECT("Table!" &amp; $AI$253 &amp; $AF184),0)),"",INDIRECT(CONCATENATE("Table!",ADDRESS(#REF!,MATCH(H$1,INDIRECT("Table!A" &amp; $AF184):INDIRECT("Table!" &amp; $AI$253 &amp; $AF184),0))))/1024)</f>
        <v/>
      </c>
      <c r="K184" s="22" t="str">
        <f ca="1">IF(ISERROR(MATCH(L$1,INDIRECT("Table!A"&amp;$AF184):INDIRECT("Table!" &amp; $AI$253 &amp; $AF184),0)),"",INDIRECT(CONCATENATE("Table!",ADDRESS(#REF!,MATCH(L$1,INDIRECT("Table!A" &amp; $AF184):INDIRECT("Table!" &amp; $AI$253 &amp; $AF184),0))))/1024)</f>
        <v/>
      </c>
      <c r="L184" s="22" t="str">
        <f ca="1">IF(ISERROR(MATCH(M$1,INDIRECT("Table!A"&amp;$AF184):INDIRECT("Table!" &amp; $AI$253 &amp; $AF184),0)),"",INDIRECT(CONCATENATE("Table!",ADDRESS(#REF!,MATCH(M$1,INDIRECT("Table!A" &amp; $AF184):INDIRECT("Table!" &amp; $AI$253 &amp; $AF184),0))))/1024)</f>
        <v/>
      </c>
      <c r="M184" s="22" t="str">
        <f ca="1">IF(ISERROR(MATCH(N$1,INDIRECT("Table!A"&amp;$AF184):INDIRECT("Table!" &amp; $AI$253 &amp; $AF184),0)),"",INDIRECT(CONCATENATE("Table!",ADDRESS(#REF!,MATCH(N$1,INDIRECT("Table!A" &amp; $AF184):INDIRECT("Table!" &amp; $AI$253 &amp; $AF184),0))))/1024)</f>
        <v/>
      </c>
      <c r="N184" s="22" t="str">
        <f ca="1">IF(ISERROR(MATCH(O$1,INDIRECT("Table!A"&amp;$AF184):INDIRECT("Table!" &amp; $AI$253 &amp; $AF184),0)),"",INDIRECT(CONCATENATE("Table!",ADDRESS(#REF!,MATCH(O$1,INDIRECT("Table!A" &amp; $AF184):INDIRECT("Table!" &amp; $AI$253 &amp; $AF184),0))))/1024)</f>
        <v/>
      </c>
      <c r="O184" s="22"/>
      <c r="P184" s="272"/>
      <c r="Q184" s="22"/>
      <c r="R184" s="139"/>
      <c r="T184" s="595"/>
      <c r="U184" s="139"/>
      <c r="AD184" s="139"/>
      <c r="AE184" s="139"/>
      <c r="AF184" s="22"/>
      <c r="AG184" s="139"/>
      <c r="AH184" s="139"/>
      <c r="AI184" s="139"/>
    </row>
    <row r="185" spans="2:35" x14ac:dyDescent="0.25">
      <c r="B185" s="22" t="str">
        <f ca="1">IF(ISERROR(MATCH(B$1,INDIRECT("Table!A"&amp;$AF185):INDIRECT("Table!" &amp; $AI$253 &amp; $AF185),0)),"",INDIRECT(CONCATENATE("Table!",ADDRESS(#REF!,MATCH(B$1,INDIRECT("Table!A" &amp; $AF185):INDIRECT("Table!" &amp; $AI$253 &amp; $AF185),0))))/1024)</f>
        <v/>
      </c>
      <c r="C185" s="22" t="str">
        <f ca="1">IF(ISERROR(MATCH(C$1,INDIRECT("Table!A"&amp;$AF185):INDIRECT("Table!" &amp; $AI$253 &amp; $AF185),0)),"",INDIRECT(CONCATENATE("Table!",ADDRESS(#REF!,MATCH(C$1,INDIRECT("Table!A" &amp; $AF185):INDIRECT("Table!" &amp; $AI$253 &amp; $AF185),0))))/1024)</f>
        <v/>
      </c>
      <c r="D185" s="22" t="str">
        <f ca="1">IF(ISERROR(MATCH(D$1,INDIRECT("Table!A"&amp;$AF185):INDIRECT("Table!" &amp; $AI$253 &amp; $AF185),0)),"",INDIRECT(CONCATENATE("Table!",ADDRESS(#REF!,MATCH(D$1,INDIRECT("Table!A" &amp; $AF185):INDIRECT("Table!" &amp; $AI$253 &amp; $AF185),0))))/1024)</f>
        <v/>
      </c>
      <c r="E185" s="22" t="str">
        <f ca="1">IF(ISERROR(MATCH(E$1,INDIRECT("Table!A"&amp;$AF185):INDIRECT("Table!" &amp; $AI$253 &amp; $AF185),0)),"",INDIRECT(CONCATENATE("Table!",ADDRESS(#REF!,MATCH(E$1,INDIRECT("Table!A" &amp; $AF185):INDIRECT("Table!" &amp; $AI$253 &amp; $AF185),0))))/1024)</f>
        <v/>
      </c>
      <c r="F185" s="22" t="str">
        <f ca="1">IF(ISERROR(MATCH(F$1,INDIRECT("Table!A"&amp;$AF185):INDIRECT("Table!" &amp; $AI$253 &amp; $AF185),0)),"",INDIRECT(CONCATENATE("Table!",ADDRESS(#REF!,MATCH(F$1,INDIRECT("Table!A" &amp; $AF185):INDIRECT("Table!" &amp; $AI$253 &amp; $AF185),0))))/1024)</f>
        <v/>
      </c>
      <c r="G185" s="22" t="str">
        <f ca="1">IF(ISERROR(MATCH(G$1,INDIRECT("Table!A"&amp;$AF185):INDIRECT("Table!" &amp; $AI$253 &amp; $AF185),0)),"",INDIRECT(CONCATENATE("Table!",ADDRESS(#REF!,MATCH(G$1,INDIRECT("Table!A" &amp; $AF185):INDIRECT("Table!" &amp; $AI$253 &amp; $AF185),0))))/1024)</f>
        <v/>
      </c>
      <c r="H185" s="22" t="str">
        <f ca="1">IF(ISERROR(MATCH(H$1,INDIRECT("Table!A"&amp;$AF185):INDIRECT("Table!" &amp; $AI$253 &amp; $AF185),0)),"",INDIRECT(CONCATENATE("Table!",ADDRESS(#REF!,MATCH(H$1,INDIRECT("Table!A" &amp; $AF185):INDIRECT("Table!" &amp; $AI$253 &amp; $AF185),0))))/1024)</f>
        <v/>
      </c>
      <c r="K185" s="22" t="str">
        <f ca="1">IF(ISERROR(MATCH(L$1,INDIRECT("Table!A"&amp;$AF185):INDIRECT("Table!" &amp; $AI$253 &amp; $AF185),0)),"",INDIRECT(CONCATENATE("Table!",ADDRESS(#REF!,MATCH(L$1,INDIRECT("Table!A" &amp; $AF185):INDIRECT("Table!" &amp; $AI$253 &amp; $AF185),0))))/1024)</f>
        <v/>
      </c>
      <c r="L185" s="22" t="str">
        <f ca="1">IF(ISERROR(MATCH(M$1,INDIRECT("Table!A"&amp;$AF185):INDIRECT("Table!" &amp; $AI$253 &amp; $AF185),0)),"",INDIRECT(CONCATENATE("Table!",ADDRESS(#REF!,MATCH(M$1,INDIRECT("Table!A" &amp; $AF185):INDIRECT("Table!" &amp; $AI$253 &amp; $AF185),0))))/1024)</f>
        <v/>
      </c>
      <c r="M185" s="22" t="str">
        <f ca="1">IF(ISERROR(MATCH(N$1,INDIRECT("Table!A"&amp;$AF185):INDIRECT("Table!" &amp; $AI$253 &amp; $AF185),0)),"",INDIRECT(CONCATENATE("Table!",ADDRESS(#REF!,MATCH(N$1,INDIRECT("Table!A" &amp; $AF185):INDIRECT("Table!" &amp; $AI$253 &amp; $AF185),0))))/1024)</f>
        <v/>
      </c>
      <c r="N185" s="22" t="str">
        <f ca="1">IF(ISERROR(MATCH(O$1,INDIRECT("Table!A"&amp;$AF185):INDIRECT("Table!" &amp; $AI$253 &amp; $AF185),0)),"",INDIRECT(CONCATENATE("Table!",ADDRESS(#REF!,MATCH(O$1,INDIRECT("Table!A" &amp; $AF185):INDIRECT("Table!" &amp; $AI$253 &amp; $AF185),0))))/1024)</f>
        <v/>
      </c>
      <c r="O185" s="22"/>
      <c r="P185" s="272"/>
      <c r="Q185" s="22"/>
      <c r="R185" s="138"/>
      <c r="T185" s="595"/>
      <c r="U185" s="138"/>
      <c r="AD185" s="138"/>
      <c r="AE185" s="138"/>
      <c r="AF185" s="22"/>
      <c r="AG185" s="138"/>
      <c r="AH185" s="138"/>
      <c r="AI185" s="138"/>
    </row>
    <row r="186" spans="2:35" x14ac:dyDescent="0.25">
      <c r="B186" s="22" t="str">
        <f ca="1">IF(ISERROR(MATCH(B$1,INDIRECT("Table!A"&amp;$AF186):INDIRECT("Table!" &amp; $AI$253 &amp; $AF186),0)),"",INDIRECT(CONCATENATE("Table!",ADDRESS(#REF!,MATCH(B$1,INDIRECT("Table!A" &amp; $AF186):INDIRECT("Table!" &amp; $AI$253 &amp; $AF186),0))))/1024)</f>
        <v/>
      </c>
      <c r="C186" s="22" t="str">
        <f ca="1">IF(ISERROR(MATCH(C$1,INDIRECT("Table!A"&amp;$AF186):INDIRECT("Table!" &amp; $AI$253 &amp; $AF186),0)),"",INDIRECT(CONCATENATE("Table!",ADDRESS(#REF!,MATCH(C$1,INDIRECT("Table!A" &amp; $AF186):INDIRECT("Table!" &amp; $AI$253 &amp; $AF186),0))))/1024)</f>
        <v/>
      </c>
      <c r="D186" s="22" t="str">
        <f ca="1">IF(ISERROR(MATCH(D$1,INDIRECT("Table!A"&amp;$AF186):INDIRECT("Table!" &amp; $AI$253 &amp; $AF186),0)),"",INDIRECT(CONCATENATE("Table!",ADDRESS(#REF!,MATCH(D$1,INDIRECT("Table!A" &amp; $AF186):INDIRECT("Table!" &amp; $AI$253 &amp; $AF186),0))))/1024)</f>
        <v/>
      </c>
      <c r="E186" s="22" t="str">
        <f ca="1">IF(ISERROR(MATCH(E$1,INDIRECT("Table!A"&amp;$AF186):INDIRECT("Table!" &amp; $AI$253 &amp; $AF186),0)),"",INDIRECT(CONCATENATE("Table!",ADDRESS(#REF!,MATCH(E$1,INDIRECT("Table!A" &amp; $AF186):INDIRECT("Table!" &amp; $AI$253 &amp; $AF186),0))))/1024)</f>
        <v/>
      </c>
      <c r="F186" s="22" t="str">
        <f ca="1">IF(ISERROR(MATCH(F$1,INDIRECT("Table!A"&amp;$AF186):INDIRECT("Table!" &amp; $AI$253 &amp; $AF186),0)),"",INDIRECT(CONCATENATE("Table!",ADDRESS(#REF!,MATCH(F$1,INDIRECT("Table!A" &amp; $AF186):INDIRECT("Table!" &amp; $AI$253 &amp; $AF186),0))))/1024)</f>
        <v/>
      </c>
      <c r="G186" s="22" t="str">
        <f ca="1">IF(ISERROR(MATCH(G$1,INDIRECT("Table!A"&amp;$AF186):INDIRECT("Table!" &amp; $AI$253 &amp; $AF186),0)),"",INDIRECT(CONCATENATE("Table!",ADDRESS(#REF!,MATCH(G$1,INDIRECT("Table!A" &amp; $AF186):INDIRECT("Table!" &amp; $AI$253 &amp; $AF186),0))))/1024)</f>
        <v/>
      </c>
      <c r="H186" s="22" t="str">
        <f ca="1">IF(ISERROR(MATCH(H$1,INDIRECT("Table!A"&amp;$AF186):INDIRECT("Table!" &amp; $AI$253 &amp; $AF186),0)),"",INDIRECT(CONCATENATE("Table!",ADDRESS(#REF!,MATCH(H$1,INDIRECT("Table!A" &amp; $AF186):INDIRECT("Table!" &amp; $AI$253 &amp; $AF186),0))))/1024)</f>
        <v/>
      </c>
      <c r="K186" s="22" t="str">
        <f ca="1">IF(ISERROR(MATCH(L$1,INDIRECT("Table!A"&amp;$AF186):INDIRECT("Table!" &amp; $AI$253 &amp; $AF186),0)),"",INDIRECT(CONCATENATE("Table!",ADDRESS(#REF!,MATCH(L$1,INDIRECT("Table!A" &amp; $AF186):INDIRECT("Table!" &amp; $AI$253 &amp; $AF186),0))))/1024)</f>
        <v/>
      </c>
      <c r="L186" s="22" t="str">
        <f ca="1">IF(ISERROR(MATCH(M$1,INDIRECT("Table!A"&amp;$AF186):INDIRECT("Table!" &amp; $AI$253 &amp; $AF186),0)),"",INDIRECT(CONCATENATE("Table!",ADDRESS(#REF!,MATCH(M$1,INDIRECT("Table!A" &amp; $AF186):INDIRECT("Table!" &amp; $AI$253 &amp; $AF186),0))))/1024)</f>
        <v/>
      </c>
      <c r="M186" s="22" t="str">
        <f ca="1">IF(ISERROR(MATCH(N$1,INDIRECT("Table!A"&amp;$AF186):INDIRECT("Table!" &amp; $AI$253 &amp; $AF186),0)),"",INDIRECT(CONCATENATE("Table!",ADDRESS(#REF!,MATCH(N$1,INDIRECT("Table!A" &amp; $AF186):INDIRECT("Table!" &amp; $AI$253 &amp; $AF186),0))))/1024)</f>
        <v/>
      </c>
      <c r="N186" s="22" t="str">
        <f ca="1">IF(ISERROR(MATCH(O$1,INDIRECT("Table!A"&amp;$AF186):INDIRECT("Table!" &amp; $AI$253 &amp; $AF186),0)),"",INDIRECT(CONCATENATE("Table!",ADDRESS(#REF!,MATCH(O$1,INDIRECT("Table!A" &amp; $AF186):INDIRECT("Table!" &amp; $AI$253 &amp; $AF186),0))))/1024)</f>
        <v/>
      </c>
      <c r="O186" s="22"/>
      <c r="P186" s="272"/>
      <c r="Q186" s="22"/>
      <c r="R186" s="137"/>
      <c r="T186" s="595"/>
      <c r="U186" s="137"/>
      <c r="AD186" s="137"/>
      <c r="AE186" s="137"/>
      <c r="AF186" s="22"/>
      <c r="AG186" s="137"/>
      <c r="AH186" s="137"/>
      <c r="AI186" s="137"/>
    </row>
    <row r="187" spans="2:35" x14ac:dyDescent="0.25">
      <c r="B187" s="22" t="str">
        <f ca="1">IF(ISERROR(MATCH(B$1,INDIRECT("Table!A"&amp;$AF187):INDIRECT("Table!" &amp; $AI$253 &amp; $AF187),0)),"",INDIRECT(CONCATENATE("Table!",ADDRESS(#REF!,MATCH(B$1,INDIRECT("Table!A" &amp; $AF187):INDIRECT("Table!" &amp; $AI$253 &amp; $AF187),0))))/1024)</f>
        <v/>
      </c>
      <c r="C187" s="22" t="str">
        <f ca="1">IF(ISERROR(MATCH(C$1,INDIRECT("Table!A"&amp;$AF187):INDIRECT("Table!" &amp; $AI$253 &amp; $AF187),0)),"",INDIRECT(CONCATENATE("Table!",ADDRESS(#REF!,MATCH(C$1,INDIRECT("Table!A" &amp; $AF187):INDIRECT("Table!" &amp; $AI$253 &amp; $AF187),0))))/1024)</f>
        <v/>
      </c>
      <c r="D187" s="22" t="str">
        <f ca="1">IF(ISERROR(MATCH(D$1,INDIRECT("Table!A"&amp;$AF187):INDIRECT("Table!" &amp; $AI$253 &amp; $AF187),0)),"",INDIRECT(CONCATENATE("Table!",ADDRESS(#REF!,MATCH(D$1,INDIRECT("Table!A" &amp; $AF187):INDIRECT("Table!" &amp; $AI$253 &amp; $AF187),0))))/1024)</f>
        <v/>
      </c>
      <c r="E187" s="22" t="str">
        <f ca="1">IF(ISERROR(MATCH(E$1,INDIRECT("Table!A"&amp;$AF187):INDIRECT("Table!" &amp; $AI$253 &amp; $AF187),0)),"",INDIRECT(CONCATENATE("Table!",ADDRESS(#REF!,MATCH(E$1,INDIRECT("Table!A" &amp; $AF187):INDIRECT("Table!" &amp; $AI$253 &amp; $AF187),0))))/1024)</f>
        <v/>
      </c>
      <c r="F187" s="22" t="str">
        <f ca="1">IF(ISERROR(MATCH(F$1,INDIRECT("Table!A"&amp;$AF187):INDIRECT("Table!" &amp; $AI$253 &amp; $AF187),0)),"",INDIRECT(CONCATENATE("Table!",ADDRESS(#REF!,MATCH(F$1,INDIRECT("Table!A" &amp; $AF187):INDIRECT("Table!" &amp; $AI$253 &amp; $AF187),0))))/1024)</f>
        <v/>
      </c>
      <c r="G187" s="22" t="str">
        <f ca="1">IF(ISERROR(MATCH(G$1,INDIRECT("Table!A"&amp;$AF187):INDIRECT("Table!" &amp; $AI$253 &amp; $AF187),0)),"",INDIRECT(CONCATENATE("Table!",ADDRESS(#REF!,MATCH(G$1,INDIRECT("Table!A" &amp; $AF187):INDIRECT("Table!" &amp; $AI$253 &amp; $AF187),0))))/1024)</f>
        <v/>
      </c>
      <c r="H187" s="22" t="str">
        <f ca="1">IF(ISERROR(MATCH(H$1,INDIRECT("Table!A"&amp;$AF187):INDIRECT("Table!" &amp; $AI$253 &amp; $AF187),0)),"",INDIRECT(CONCATENATE("Table!",ADDRESS(#REF!,MATCH(H$1,INDIRECT("Table!A" &amp; $AF187):INDIRECT("Table!" &amp; $AI$253 &amp; $AF187),0))))/1024)</f>
        <v/>
      </c>
      <c r="K187" s="22" t="str">
        <f ca="1">IF(ISERROR(MATCH(L$1,INDIRECT("Table!A"&amp;$AF187):INDIRECT("Table!" &amp; $AI$253 &amp; $AF187),0)),"",INDIRECT(CONCATENATE("Table!",ADDRESS(#REF!,MATCH(L$1,INDIRECT("Table!A" &amp; $AF187):INDIRECT("Table!" &amp; $AI$253 &amp; $AF187),0))))/1024)</f>
        <v/>
      </c>
      <c r="L187" s="22" t="str">
        <f ca="1">IF(ISERROR(MATCH(M$1,INDIRECT("Table!A"&amp;$AF187):INDIRECT("Table!" &amp; $AI$253 &amp; $AF187),0)),"",INDIRECT(CONCATENATE("Table!",ADDRESS(#REF!,MATCH(M$1,INDIRECT("Table!A" &amp; $AF187):INDIRECT("Table!" &amp; $AI$253 &amp; $AF187),0))))/1024)</f>
        <v/>
      </c>
      <c r="M187" s="22" t="str">
        <f ca="1">IF(ISERROR(MATCH(N$1,INDIRECT("Table!A"&amp;$AF187):INDIRECT("Table!" &amp; $AI$253 &amp; $AF187),0)),"",INDIRECT(CONCATENATE("Table!",ADDRESS(#REF!,MATCH(N$1,INDIRECT("Table!A" &amp; $AF187):INDIRECT("Table!" &amp; $AI$253 &amp; $AF187),0))))/1024)</f>
        <v/>
      </c>
      <c r="N187" s="22" t="str">
        <f ca="1">IF(ISERROR(MATCH(O$1,INDIRECT("Table!A"&amp;$AF187):INDIRECT("Table!" &amp; $AI$253 &amp; $AF187),0)),"",INDIRECT(CONCATENATE("Table!",ADDRESS(#REF!,MATCH(O$1,INDIRECT("Table!A" &amp; $AF187):INDIRECT("Table!" &amp; $AI$253 &amp; $AF187),0))))/1024)</f>
        <v/>
      </c>
      <c r="O187" s="22"/>
      <c r="P187" s="272"/>
      <c r="Q187" s="22"/>
      <c r="R187" s="136"/>
      <c r="T187" s="595"/>
      <c r="U187" s="136"/>
      <c r="AD187" s="136"/>
      <c r="AE187" s="136"/>
      <c r="AF187" s="22"/>
      <c r="AG187" s="136"/>
      <c r="AH187" s="136"/>
      <c r="AI187" s="136"/>
    </row>
    <row r="188" spans="2:35" x14ac:dyDescent="0.25">
      <c r="B188" s="22" t="str">
        <f ca="1">IF(ISERROR(MATCH(B$1,INDIRECT("Table!A"&amp;$AF188):INDIRECT("Table!" &amp; $AI$253 &amp; $AF188),0)),"",INDIRECT(CONCATENATE("Table!",ADDRESS(#REF!,MATCH(B$1,INDIRECT("Table!A" &amp; $AF188):INDIRECT("Table!" &amp; $AI$253 &amp; $AF188),0))))/1024)</f>
        <v/>
      </c>
      <c r="C188" s="22" t="str">
        <f ca="1">IF(ISERROR(MATCH(C$1,INDIRECT("Table!A"&amp;$AF188):INDIRECT("Table!" &amp; $AI$253 &amp; $AF188),0)),"",INDIRECT(CONCATENATE("Table!",ADDRESS(#REF!,MATCH(C$1,INDIRECT("Table!A" &amp; $AF188):INDIRECT("Table!" &amp; $AI$253 &amp; $AF188),0))))/1024)</f>
        <v/>
      </c>
      <c r="D188" s="22" t="str">
        <f ca="1">IF(ISERROR(MATCH(D$1,INDIRECT("Table!A"&amp;$AF188):INDIRECT("Table!" &amp; $AI$253 &amp; $AF188),0)),"",INDIRECT(CONCATENATE("Table!",ADDRESS(#REF!,MATCH(D$1,INDIRECT("Table!A" &amp; $AF188):INDIRECT("Table!" &amp; $AI$253 &amp; $AF188),0))))/1024)</f>
        <v/>
      </c>
      <c r="E188" s="22" t="str">
        <f ca="1">IF(ISERROR(MATCH(E$1,INDIRECT("Table!A"&amp;$AF188):INDIRECT("Table!" &amp; $AI$253 &amp; $AF188),0)),"",INDIRECT(CONCATENATE("Table!",ADDRESS(#REF!,MATCH(E$1,INDIRECT("Table!A" &amp; $AF188):INDIRECT("Table!" &amp; $AI$253 &amp; $AF188),0))))/1024)</f>
        <v/>
      </c>
      <c r="F188" s="22" t="str">
        <f ca="1">IF(ISERROR(MATCH(F$1,INDIRECT("Table!A"&amp;$AF188):INDIRECT("Table!" &amp; $AI$253 &amp; $AF188),0)),"",INDIRECT(CONCATENATE("Table!",ADDRESS(#REF!,MATCH(F$1,INDIRECT("Table!A" &amp; $AF188):INDIRECT("Table!" &amp; $AI$253 &amp; $AF188),0))))/1024)</f>
        <v/>
      </c>
      <c r="G188" s="22" t="str">
        <f ca="1">IF(ISERROR(MATCH(G$1,INDIRECT("Table!A"&amp;$AF188):INDIRECT("Table!" &amp; $AI$253 &amp; $AF188),0)),"",INDIRECT(CONCATENATE("Table!",ADDRESS(#REF!,MATCH(G$1,INDIRECT("Table!A" &amp; $AF188):INDIRECT("Table!" &amp; $AI$253 &amp; $AF188),0))))/1024)</f>
        <v/>
      </c>
      <c r="H188" s="22" t="str">
        <f ca="1">IF(ISERROR(MATCH(H$1,INDIRECT("Table!A"&amp;$AF188):INDIRECT("Table!" &amp; $AI$253 &amp; $AF188),0)),"",INDIRECT(CONCATENATE("Table!",ADDRESS(#REF!,MATCH(H$1,INDIRECT("Table!A" &amp; $AF188):INDIRECT("Table!" &amp; $AI$253 &amp; $AF188),0))))/1024)</f>
        <v/>
      </c>
      <c r="K188" s="22" t="str">
        <f ca="1">IF(ISERROR(MATCH(L$1,INDIRECT("Table!A"&amp;$AF188):INDIRECT("Table!" &amp; $AI$253 &amp; $AF188),0)),"",INDIRECT(CONCATENATE("Table!",ADDRESS(#REF!,MATCH(L$1,INDIRECT("Table!A" &amp; $AF188):INDIRECT("Table!" &amp; $AI$253 &amp; $AF188),0))))/1024)</f>
        <v/>
      </c>
      <c r="L188" s="22" t="str">
        <f ca="1">IF(ISERROR(MATCH(M$1,INDIRECT("Table!A"&amp;$AF188):INDIRECT("Table!" &amp; $AI$253 &amp; $AF188),0)),"",INDIRECT(CONCATENATE("Table!",ADDRESS(#REF!,MATCH(M$1,INDIRECT("Table!A" &amp; $AF188):INDIRECT("Table!" &amp; $AI$253 &amp; $AF188),0))))/1024)</f>
        <v/>
      </c>
      <c r="M188" s="22" t="str">
        <f ca="1">IF(ISERROR(MATCH(N$1,INDIRECT("Table!A"&amp;$AF188):INDIRECT("Table!" &amp; $AI$253 &amp; $AF188),0)),"",INDIRECT(CONCATENATE("Table!",ADDRESS(#REF!,MATCH(N$1,INDIRECT("Table!A" &amp; $AF188):INDIRECT("Table!" &amp; $AI$253 &amp; $AF188),0))))/1024)</f>
        <v/>
      </c>
      <c r="N188" s="22" t="str">
        <f ca="1">IF(ISERROR(MATCH(O$1,INDIRECT("Table!A"&amp;$AF188):INDIRECT("Table!" &amp; $AI$253 &amp; $AF188),0)),"",INDIRECT(CONCATENATE("Table!",ADDRESS(#REF!,MATCH(O$1,INDIRECT("Table!A" &amp; $AF188):INDIRECT("Table!" &amp; $AI$253 &amp; $AF188),0))))/1024)</f>
        <v/>
      </c>
      <c r="O188" s="22"/>
      <c r="P188" s="272"/>
      <c r="Q188" s="22"/>
      <c r="R188" s="135"/>
      <c r="T188" s="595"/>
      <c r="U188" s="135"/>
      <c r="AD188" s="135"/>
      <c r="AE188" s="135"/>
      <c r="AF188" s="22"/>
      <c r="AG188" s="135"/>
      <c r="AH188" s="135"/>
      <c r="AI188" s="135"/>
    </row>
    <row r="189" spans="2:35" x14ac:dyDescent="0.25">
      <c r="B189" s="22" t="str">
        <f ca="1">IF(ISERROR(MATCH(B$1,INDIRECT("Table!A"&amp;$AF189):INDIRECT("Table!" &amp; $AI$253 &amp; $AF189),0)),"",INDIRECT(CONCATENATE("Table!",ADDRESS(#REF!,MATCH(B$1,INDIRECT("Table!A" &amp; $AF189):INDIRECT("Table!" &amp; $AI$253 &amp; $AF189),0))))/1024)</f>
        <v/>
      </c>
      <c r="C189" s="22" t="str">
        <f ca="1">IF(ISERROR(MATCH(C$1,INDIRECT("Table!A"&amp;$AF189):INDIRECT("Table!" &amp; $AI$253 &amp; $AF189),0)),"",INDIRECT(CONCATENATE("Table!",ADDRESS(#REF!,MATCH(C$1,INDIRECT("Table!A" &amp; $AF189):INDIRECT("Table!" &amp; $AI$253 &amp; $AF189),0))))/1024)</f>
        <v/>
      </c>
      <c r="D189" s="22" t="str">
        <f ca="1">IF(ISERROR(MATCH(D$1,INDIRECT("Table!A"&amp;$AF189):INDIRECT("Table!" &amp; $AI$253 &amp; $AF189),0)),"",INDIRECT(CONCATENATE("Table!",ADDRESS(#REF!,MATCH(D$1,INDIRECT("Table!A" &amp; $AF189):INDIRECT("Table!" &amp; $AI$253 &amp; $AF189),0))))/1024)</f>
        <v/>
      </c>
      <c r="E189" s="22" t="str">
        <f ca="1">IF(ISERROR(MATCH(E$1,INDIRECT("Table!A"&amp;$AF189):INDIRECT("Table!" &amp; $AI$253 &amp; $AF189),0)),"",INDIRECT(CONCATENATE("Table!",ADDRESS(#REF!,MATCH(E$1,INDIRECT("Table!A" &amp; $AF189):INDIRECT("Table!" &amp; $AI$253 &amp; $AF189),0))))/1024)</f>
        <v/>
      </c>
      <c r="F189" s="22" t="str">
        <f ca="1">IF(ISERROR(MATCH(F$1,INDIRECT("Table!A"&amp;$AF189):INDIRECT("Table!" &amp; $AI$253 &amp; $AF189),0)),"",INDIRECT(CONCATENATE("Table!",ADDRESS(#REF!,MATCH(F$1,INDIRECT("Table!A" &amp; $AF189):INDIRECT("Table!" &amp; $AI$253 &amp; $AF189),0))))/1024)</f>
        <v/>
      </c>
      <c r="G189" s="22" t="str">
        <f ca="1">IF(ISERROR(MATCH(G$1,INDIRECT("Table!A"&amp;$AF189):INDIRECT("Table!" &amp; $AI$253 &amp; $AF189),0)),"",INDIRECT(CONCATENATE("Table!",ADDRESS(#REF!,MATCH(G$1,INDIRECT("Table!A" &amp; $AF189):INDIRECT("Table!" &amp; $AI$253 &amp; $AF189),0))))/1024)</f>
        <v/>
      </c>
      <c r="H189" s="22" t="str">
        <f ca="1">IF(ISERROR(MATCH(H$1,INDIRECT("Table!A"&amp;$AF189):INDIRECT("Table!" &amp; $AI$253 &amp; $AF189),0)),"",INDIRECT(CONCATENATE("Table!",ADDRESS(#REF!,MATCH(H$1,INDIRECT("Table!A" &amp; $AF189):INDIRECT("Table!" &amp; $AI$253 &amp; $AF189),0))))/1024)</f>
        <v/>
      </c>
      <c r="K189" s="22" t="str">
        <f ca="1">IF(ISERROR(MATCH(L$1,INDIRECT("Table!A"&amp;$AF189):INDIRECT("Table!" &amp; $AI$253 &amp; $AF189),0)),"",INDIRECT(CONCATENATE("Table!",ADDRESS(#REF!,MATCH(L$1,INDIRECT("Table!A" &amp; $AF189):INDIRECT("Table!" &amp; $AI$253 &amp; $AF189),0))))/1024)</f>
        <v/>
      </c>
      <c r="L189" s="22" t="str">
        <f ca="1">IF(ISERROR(MATCH(M$1,INDIRECT("Table!A"&amp;$AF189):INDIRECT("Table!" &amp; $AI$253 &amp; $AF189),0)),"",INDIRECT(CONCATENATE("Table!",ADDRESS(#REF!,MATCH(M$1,INDIRECT("Table!A" &amp; $AF189):INDIRECT("Table!" &amp; $AI$253 &amp; $AF189),0))))/1024)</f>
        <v/>
      </c>
      <c r="M189" s="22" t="str">
        <f ca="1">IF(ISERROR(MATCH(N$1,INDIRECT("Table!A"&amp;$AF189):INDIRECT("Table!" &amp; $AI$253 &amp; $AF189),0)),"",INDIRECT(CONCATENATE("Table!",ADDRESS(#REF!,MATCH(N$1,INDIRECT("Table!A" &amp; $AF189):INDIRECT("Table!" &amp; $AI$253 &amp; $AF189),0))))/1024)</f>
        <v/>
      </c>
      <c r="N189" s="22" t="str">
        <f ca="1">IF(ISERROR(MATCH(O$1,INDIRECT("Table!A"&amp;$AF189):INDIRECT("Table!" &amp; $AI$253 &amp; $AF189),0)),"",INDIRECT(CONCATENATE("Table!",ADDRESS(#REF!,MATCH(O$1,INDIRECT("Table!A" &amp; $AF189):INDIRECT("Table!" &amp; $AI$253 &amp; $AF189),0))))/1024)</f>
        <v/>
      </c>
      <c r="O189" s="22"/>
      <c r="P189" s="272"/>
      <c r="Q189" s="22"/>
      <c r="R189" s="134"/>
      <c r="T189" s="595"/>
      <c r="U189" s="134"/>
      <c r="AD189" s="134"/>
      <c r="AE189" s="134"/>
      <c r="AF189" s="22"/>
      <c r="AG189" s="134"/>
      <c r="AH189" s="134"/>
      <c r="AI189" s="134"/>
    </row>
    <row r="190" spans="2:35" x14ac:dyDescent="0.25">
      <c r="B190" s="22" t="str">
        <f ca="1">IF(ISERROR(MATCH(B$1,INDIRECT("Table!A"&amp;$AF190):INDIRECT("Table!" &amp; $AI$253 &amp; $AF190),0)),"",INDIRECT(CONCATENATE("Table!",ADDRESS(#REF!,MATCH(B$1,INDIRECT("Table!A" &amp; $AF190):INDIRECT("Table!" &amp; $AI$253 &amp; $AF190),0))))/1024)</f>
        <v/>
      </c>
      <c r="C190" s="22" t="str">
        <f ca="1">IF(ISERROR(MATCH(C$1,INDIRECT("Table!A"&amp;$AF190):INDIRECT("Table!" &amp; $AI$253 &amp; $AF190),0)),"",INDIRECT(CONCATENATE("Table!",ADDRESS(#REF!,MATCH(C$1,INDIRECT("Table!A" &amp; $AF190):INDIRECT("Table!" &amp; $AI$253 &amp; $AF190),0))))/1024)</f>
        <v/>
      </c>
      <c r="D190" s="22" t="str">
        <f ca="1">IF(ISERROR(MATCH(D$1,INDIRECT("Table!A"&amp;$AF190):INDIRECT("Table!" &amp; $AI$253 &amp; $AF190),0)),"",INDIRECT(CONCATENATE("Table!",ADDRESS(#REF!,MATCH(D$1,INDIRECT("Table!A" &amp; $AF190):INDIRECT("Table!" &amp; $AI$253 &amp; $AF190),0))))/1024)</f>
        <v/>
      </c>
      <c r="E190" s="22" t="str">
        <f ca="1">IF(ISERROR(MATCH(E$1,INDIRECT("Table!A"&amp;$AF190):INDIRECT("Table!" &amp; $AI$253 &amp; $AF190),0)),"",INDIRECT(CONCATENATE("Table!",ADDRESS(#REF!,MATCH(E$1,INDIRECT("Table!A" &amp; $AF190):INDIRECT("Table!" &amp; $AI$253 &amp; $AF190),0))))/1024)</f>
        <v/>
      </c>
      <c r="F190" s="22" t="str">
        <f ca="1">IF(ISERROR(MATCH(F$1,INDIRECT("Table!A"&amp;$AF190):INDIRECT("Table!" &amp; $AI$253 &amp; $AF190),0)),"",INDIRECT(CONCATENATE("Table!",ADDRESS(#REF!,MATCH(F$1,INDIRECT("Table!A" &amp; $AF190):INDIRECT("Table!" &amp; $AI$253 &amp; $AF190),0))))/1024)</f>
        <v/>
      </c>
      <c r="G190" s="22" t="str">
        <f ca="1">IF(ISERROR(MATCH(G$1,INDIRECT("Table!A"&amp;$AF190):INDIRECT("Table!" &amp; $AI$253 &amp; $AF190),0)),"",INDIRECT(CONCATENATE("Table!",ADDRESS(#REF!,MATCH(G$1,INDIRECT("Table!A" &amp; $AF190):INDIRECT("Table!" &amp; $AI$253 &amp; $AF190),0))))/1024)</f>
        <v/>
      </c>
      <c r="H190" s="22" t="str">
        <f ca="1">IF(ISERROR(MATCH(H$1,INDIRECT("Table!A"&amp;$AF190):INDIRECT("Table!" &amp; $AI$253 &amp; $AF190),0)),"",INDIRECT(CONCATENATE("Table!",ADDRESS(#REF!,MATCH(H$1,INDIRECT("Table!A" &amp; $AF190):INDIRECT("Table!" &amp; $AI$253 &amp; $AF190),0))))/1024)</f>
        <v/>
      </c>
      <c r="K190" s="22" t="str">
        <f ca="1">IF(ISERROR(MATCH(L$1,INDIRECT("Table!A"&amp;$AF190):INDIRECT("Table!" &amp; $AI$253 &amp; $AF190),0)),"",INDIRECT(CONCATENATE("Table!",ADDRESS(#REF!,MATCH(L$1,INDIRECT("Table!A" &amp; $AF190):INDIRECT("Table!" &amp; $AI$253 &amp; $AF190),0))))/1024)</f>
        <v/>
      </c>
      <c r="L190" s="22" t="str">
        <f ca="1">IF(ISERROR(MATCH(M$1,INDIRECT("Table!A"&amp;$AF190):INDIRECT("Table!" &amp; $AI$253 &amp; $AF190),0)),"",INDIRECT(CONCATENATE("Table!",ADDRESS(#REF!,MATCH(M$1,INDIRECT("Table!A" &amp; $AF190):INDIRECT("Table!" &amp; $AI$253 &amp; $AF190),0))))/1024)</f>
        <v/>
      </c>
      <c r="M190" s="22" t="str">
        <f ca="1">IF(ISERROR(MATCH(N$1,INDIRECT("Table!A"&amp;$AF190):INDIRECT("Table!" &amp; $AI$253 &amp; $AF190),0)),"",INDIRECT(CONCATENATE("Table!",ADDRESS(#REF!,MATCH(N$1,INDIRECT("Table!A" &amp; $AF190):INDIRECT("Table!" &amp; $AI$253 &amp; $AF190),0))))/1024)</f>
        <v/>
      </c>
      <c r="N190" s="22" t="str">
        <f ca="1">IF(ISERROR(MATCH(O$1,INDIRECT("Table!A"&amp;$AF190):INDIRECT("Table!" &amp; $AI$253 &amp; $AF190),0)),"",INDIRECT(CONCATENATE("Table!",ADDRESS(#REF!,MATCH(O$1,INDIRECT("Table!A" &amp; $AF190):INDIRECT("Table!" &amp; $AI$253 &amp; $AF190),0))))/1024)</f>
        <v/>
      </c>
      <c r="O190" s="22"/>
      <c r="P190" s="272"/>
      <c r="Q190" s="22"/>
      <c r="R190" s="133"/>
      <c r="T190" s="595"/>
      <c r="U190" s="133"/>
      <c r="AD190" s="133"/>
      <c r="AE190" s="133"/>
      <c r="AF190" s="22"/>
      <c r="AG190" s="133"/>
      <c r="AH190" s="133"/>
      <c r="AI190" s="133"/>
    </row>
    <row r="191" spans="2:35" x14ac:dyDescent="0.25">
      <c r="B191" s="22" t="str">
        <f ca="1">IF(ISERROR(MATCH(B$1,INDIRECT("Table!A"&amp;$AF191):INDIRECT("Table!" &amp; $AI$253 &amp; $AF191),0)),"",INDIRECT(CONCATENATE("Table!",ADDRESS(#REF!,MATCH(B$1,INDIRECT("Table!A" &amp; $AF191):INDIRECT("Table!" &amp; $AI$253 &amp; $AF191),0))))/1024)</f>
        <v/>
      </c>
      <c r="C191" s="22" t="str">
        <f ca="1">IF(ISERROR(MATCH(C$1,INDIRECT("Table!A"&amp;$AF191):INDIRECT("Table!" &amp; $AI$253 &amp; $AF191),0)),"",INDIRECT(CONCATENATE("Table!",ADDRESS(#REF!,MATCH(C$1,INDIRECT("Table!A" &amp; $AF191):INDIRECT("Table!" &amp; $AI$253 &amp; $AF191),0))))/1024)</f>
        <v/>
      </c>
      <c r="D191" s="22" t="str">
        <f ca="1">IF(ISERROR(MATCH(D$1,INDIRECT("Table!A"&amp;$AF191):INDIRECT("Table!" &amp; $AI$253 &amp; $AF191),0)),"",INDIRECT(CONCATENATE("Table!",ADDRESS(#REF!,MATCH(D$1,INDIRECT("Table!A" &amp; $AF191):INDIRECT("Table!" &amp; $AI$253 &amp; $AF191),0))))/1024)</f>
        <v/>
      </c>
      <c r="E191" s="22" t="str">
        <f ca="1">IF(ISERROR(MATCH(E$1,INDIRECT("Table!A"&amp;$AF191):INDIRECT("Table!" &amp; $AI$253 &amp; $AF191),0)),"",INDIRECT(CONCATENATE("Table!",ADDRESS(#REF!,MATCH(E$1,INDIRECT("Table!A" &amp; $AF191):INDIRECT("Table!" &amp; $AI$253 &amp; $AF191),0))))/1024)</f>
        <v/>
      </c>
      <c r="F191" s="22" t="str">
        <f ca="1">IF(ISERROR(MATCH(F$1,INDIRECT("Table!A"&amp;$AF191):INDIRECT("Table!" &amp; $AI$253 &amp; $AF191),0)),"",INDIRECT(CONCATENATE("Table!",ADDRESS(#REF!,MATCH(F$1,INDIRECT("Table!A" &amp; $AF191):INDIRECT("Table!" &amp; $AI$253 &amp; $AF191),0))))/1024)</f>
        <v/>
      </c>
      <c r="G191" s="22" t="str">
        <f ca="1">IF(ISERROR(MATCH(G$1,INDIRECT("Table!A"&amp;$AF191):INDIRECT("Table!" &amp; $AI$253 &amp; $AF191),0)),"",INDIRECT(CONCATENATE("Table!",ADDRESS(#REF!,MATCH(G$1,INDIRECT("Table!A" &amp; $AF191):INDIRECT("Table!" &amp; $AI$253 &amp; $AF191),0))))/1024)</f>
        <v/>
      </c>
      <c r="H191" s="22" t="str">
        <f ca="1">IF(ISERROR(MATCH(H$1,INDIRECT("Table!A"&amp;$AF191):INDIRECT("Table!" &amp; $AI$253 &amp; $AF191),0)),"",INDIRECT(CONCATENATE("Table!",ADDRESS(#REF!,MATCH(H$1,INDIRECT("Table!A" &amp; $AF191):INDIRECT("Table!" &amp; $AI$253 &amp; $AF191),0))))/1024)</f>
        <v/>
      </c>
      <c r="K191" s="22" t="str">
        <f ca="1">IF(ISERROR(MATCH(L$1,INDIRECT("Table!A"&amp;$AF191):INDIRECT("Table!" &amp; $AI$253 &amp; $AF191),0)),"",INDIRECT(CONCATENATE("Table!",ADDRESS(#REF!,MATCH(L$1,INDIRECT("Table!A" &amp; $AF191):INDIRECT("Table!" &amp; $AI$253 &amp; $AF191),0))))/1024)</f>
        <v/>
      </c>
      <c r="L191" s="22" t="str">
        <f ca="1">IF(ISERROR(MATCH(M$1,INDIRECT("Table!A"&amp;$AF191):INDIRECT("Table!" &amp; $AI$253 &amp; $AF191),0)),"",INDIRECT(CONCATENATE("Table!",ADDRESS(#REF!,MATCH(M$1,INDIRECT("Table!A" &amp; $AF191):INDIRECT("Table!" &amp; $AI$253 &amp; $AF191),0))))/1024)</f>
        <v/>
      </c>
      <c r="M191" s="22" t="str">
        <f ca="1">IF(ISERROR(MATCH(N$1,INDIRECT("Table!A"&amp;$AF191):INDIRECT("Table!" &amp; $AI$253 &amp; $AF191),0)),"",INDIRECT(CONCATENATE("Table!",ADDRESS(#REF!,MATCH(N$1,INDIRECT("Table!A" &amp; $AF191):INDIRECT("Table!" &amp; $AI$253 &amp; $AF191),0))))/1024)</f>
        <v/>
      </c>
      <c r="N191" s="22" t="str">
        <f ca="1">IF(ISERROR(MATCH(O$1,INDIRECT("Table!A"&amp;$AF191):INDIRECT("Table!" &amp; $AI$253 &amp; $AF191),0)),"",INDIRECT(CONCATENATE("Table!",ADDRESS(#REF!,MATCH(O$1,INDIRECT("Table!A" &amp; $AF191):INDIRECT("Table!" &amp; $AI$253 &amp; $AF191),0))))/1024)</f>
        <v/>
      </c>
      <c r="O191" s="22"/>
      <c r="P191" s="272"/>
      <c r="Q191" s="22"/>
      <c r="R191" s="132"/>
      <c r="T191" s="595"/>
      <c r="U191" s="132"/>
      <c r="AD191" s="132"/>
      <c r="AE191" s="132"/>
      <c r="AF191" s="22"/>
      <c r="AG191" s="132"/>
      <c r="AH191" s="132"/>
      <c r="AI191" s="132"/>
    </row>
    <row r="192" spans="2:35" x14ac:dyDescent="0.25">
      <c r="B192" s="22" t="str">
        <f ca="1">IF(ISERROR(MATCH(B$1,INDIRECT("Table!A"&amp;$AF192):INDIRECT("Table!" &amp; $AI$253 &amp; $AF192),0)),"",INDIRECT(CONCATENATE("Table!",ADDRESS(#REF!,MATCH(B$1,INDIRECT("Table!A" &amp; $AF192):INDIRECT("Table!" &amp; $AI$253 &amp; $AF192),0))))/1024)</f>
        <v/>
      </c>
      <c r="C192" s="22" t="str">
        <f ca="1">IF(ISERROR(MATCH(C$1,INDIRECT("Table!A"&amp;$AF192):INDIRECT("Table!" &amp; $AI$253 &amp; $AF192),0)),"",INDIRECT(CONCATENATE("Table!",ADDRESS(#REF!,MATCH(C$1,INDIRECT("Table!A" &amp; $AF192):INDIRECT("Table!" &amp; $AI$253 &amp; $AF192),0))))/1024)</f>
        <v/>
      </c>
      <c r="D192" s="22" t="str">
        <f ca="1">IF(ISERROR(MATCH(D$1,INDIRECT("Table!A"&amp;$AF192):INDIRECT("Table!" &amp; $AI$253 &amp; $AF192),0)),"",INDIRECT(CONCATENATE("Table!",ADDRESS(#REF!,MATCH(D$1,INDIRECT("Table!A" &amp; $AF192):INDIRECT("Table!" &amp; $AI$253 &amp; $AF192),0))))/1024)</f>
        <v/>
      </c>
      <c r="E192" s="22" t="str">
        <f ca="1">IF(ISERROR(MATCH(E$1,INDIRECT("Table!A"&amp;$AF192):INDIRECT("Table!" &amp; $AI$253 &amp; $AF192),0)),"",INDIRECT(CONCATENATE("Table!",ADDRESS(#REF!,MATCH(E$1,INDIRECT("Table!A" &amp; $AF192):INDIRECT("Table!" &amp; $AI$253 &amp; $AF192),0))))/1024)</f>
        <v/>
      </c>
      <c r="F192" s="22" t="str">
        <f ca="1">IF(ISERROR(MATCH(F$1,INDIRECT("Table!A"&amp;$AF192):INDIRECT("Table!" &amp; $AI$253 &amp; $AF192),0)),"",INDIRECT(CONCATENATE("Table!",ADDRESS(#REF!,MATCH(F$1,INDIRECT("Table!A" &amp; $AF192):INDIRECT("Table!" &amp; $AI$253 &amp; $AF192),0))))/1024)</f>
        <v/>
      </c>
      <c r="G192" s="22" t="str">
        <f ca="1">IF(ISERROR(MATCH(G$1,INDIRECT("Table!A"&amp;$AF192):INDIRECT("Table!" &amp; $AI$253 &amp; $AF192),0)),"",INDIRECT(CONCATENATE("Table!",ADDRESS(#REF!,MATCH(G$1,INDIRECT("Table!A" &amp; $AF192):INDIRECT("Table!" &amp; $AI$253 &amp; $AF192),0))))/1024)</f>
        <v/>
      </c>
      <c r="H192" s="22" t="str">
        <f ca="1">IF(ISERROR(MATCH(H$1,INDIRECT("Table!A"&amp;$AF192):INDIRECT("Table!" &amp; $AI$253 &amp; $AF192),0)),"",INDIRECT(CONCATENATE("Table!",ADDRESS(#REF!,MATCH(H$1,INDIRECT("Table!A" &amp; $AF192):INDIRECT("Table!" &amp; $AI$253 &amp; $AF192),0))))/1024)</f>
        <v/>
      </c>
      <c r="K192" s="22" t="str">
        <f ca="1">IF(ISERROR(MATCH(L$1,INDIRECT("Table!A"&amp;$AF192):INDIRECT("Table!" &amp; $AI$253 &amp; $AF192),0)),"",INDIRECT(CONCATENATE("Table!",ADDRESS(#REF!,MATCH(L$1,INDIRECT("Table!A" &amp; $AF192):INDIRECT("Table!" &amp; $AI$253 &amp; $AF192),0))))/1024)</f>
        <v/>
      </c>
      <c r="L192" s="22" t="str">
        <f ca="1">IF(ISERROR(MATCH(M$1,INDIRECT("Table!A"&amp;$AF192):INDIRECT("Table!" &amp; $AI$253 &amp; $AF192),0)),"",INDIRECT(CONCATENATE("Table!",ADDRESS(#REF!,MATCH(M$1,INDIRECT("Table!A" &amp; $AF192):INDIRECT("Table!" &amp; $AI$253 &amp; $AF192),0))))/1024)</f>
        <v/>
      </c>
      <c r="M192" s="22" t="str">
        <f ca="1">IF(ISERROR(MATCH(N$1,INDIRECT("Table!A"&amp;$AF192):INDIRECT("Table!" &amp; $AI$253 &amp; $AF192),0)),"",INDIRECT(CONCATENATE("Table!",ADDRESS(#REF!,MATCH(N$1,INDIRECT("Table!A" &amp; $AF192):INDIRECT("Table!" &amp; $AI$253 &amp; $AF192),0))))/1024)</f>
        <v/>
      </c>
      <c r="N192" s="22" t="str">
        <f ca="1">IF(ISERROR(MATCH(O$1,INDIRECT("Table!A"&amp;$AF192):INDIRECT("Table!" &amp; $AI$253 &amp; $AF192),0)),"",INDIRECT(CONCATENATE("Table!",ADDRESS(#REF!,MATCH(O$1,INDIRECT("Table!A" &amp; $AF192):INDIRECT("Table!" &amp; $AI$253 &amp; $AF192),0))))/1024)</f>
        <v/>
      </c>
      <c r="O192" s="22"/>
      <c r="P192" s="272"/>
      <c r="Q192" s="22"/>
      <c r="R192" s="131"/>
      <c r="T192" s="595"/>
      <c r="U192" s="131"/>
      <c r="AD192" s="131"/>
      <c r="AE192" s="131"/>
      <c r="AF192" s="22"/>
      <c r="AG192" s="131"/>
      <c r="AH192" s="131"/>
      <c r="AI192" s="131"/>
    </row>
    <row r="193" spans="2:35" x14ac:dyDescent="0.25">
      <c r="B193" s="22" t="str">
        <f ca="1">IF(ISERROR(MATCH(B$1,INDIRECT("Table!A"&amp;$AF193):INDIRECT("Table!" &amp; $AI$253 &amp; $AF193),0)),"",INDIRECT(CONCATENATE("Table!",ADDRESS(#REF!,MATCH(B$1,INDIRECT("Table!A" &amp; $AF193):INDIRECT("Table!" &amp; $AI$253 &amp; $AF193),0))))/1024)</f>
        <v/>
      </c>
      <c r="C193" s="22" t="str">
        <f ca="1">IF(ISERROR(MATCH(C$1,INDIRECT("Table!A"&amp;$AF193):INDIRECT("Table!" &amp; $AI$253 &amp; $AF193),0)),"",INDIRECT(CONCATENATE("Table!",ADDRESS(#REF!,MATCH(C$1,INDIRECT("Table!A" &amp; $AF193):INDIRECT("Table!" &amp; $AI$253 &amp; $AF193),0))))/1024)</f>
        <v/>
      </c>
      <c r="D193" s="22" t="str">
        <f ca="1">IF(ISERROR(MATCH(D$1,INDIRECT("Table!A"&amp;$AF193):INDIRECT("Table!" &amp; $AI$253 &amp; $AF193),0)),"",INDIRECT(CONCATENATE("Table!",ADDRESS(#REF!,MATCH(D$1,INDIRECT("Table!A" &amp; $AF193):INDIRECT("Table!" &amp; $AI$253 &amp; $AF193),0))))/1024)</f>
        <v/>
      </c>
      <c r="E193" s="22" t="str">
        <f ca="1">IF(ISERROR(MATCH(E$1,INDIRECT("Table!A"&amp;$AF193):INDIRECT("Table!" &amp; $AI$253 &amp; $AF193),0)),"",INDIRECT(CONCATENATE("Table!",ADDRESS(#REF!,MATCH(E$1,INDIRECT("Table!A" &amp; $AF193):INDIRECT("Table!" &amp; $AI$253 &amp; $AF193),0))))/1024)</f>
        <v/>
      </c>
      <c r="F193" s="22" t="str">
        <f ca="1">IF(ISERROR(MATCH(F$1,INDIRECT("Table!A"&amp;$AF193):INDIRECT("Table!" &amp; $AI$253 &amp; $AF193),0)),"",INDIRECT(CONCATENATE("Table!",ADDRESS(#REF!,MATCH(F$1,INDIRECT("Table!A" &amp; $AF193):INDIRECT("Table!" &amp; $AI$253 &amp; $AF193),0))))/1024)</f>
        <v/>
      </c>
      <c r="G193" s="22" t="str">
        <f ca="1">IF(ISERROR(MATCH(G$1,INDIRECT("Table!A"&amp;$AF193):INDIRECT("Table!" &amp; $AI$253 &amp; $AF193),0)),"",INDIRECT(CONCATENATE("Table!",ADDRESS(#REF!,MATCH(G$1,INDIRECT("Table!A" &amp; $AF193):INDIRECT("Table!" &amp; $AI$253 &amp; $AF193),0))))/1024)</f>
        <v/>
      </c>
      <c r="H193" s="22" t="str">
        <f ca="1">IF(ISERROR(MATCH(H$1,INDIRECT("Table!A"&amp;$AF193):INDIRECT("Table!" &amp; $AI$253 &amp; $AF193),0)),"",INDIRECT(CONCATENATE("Table!",ADDRESS(#REF!,MATCH(H$1,INDIRECT("Table!A" &amp; $AF193):INDIRECT("Table!" &amp; $AI$253 &amp; $AF193),0))))/1024)</f>
        <v/>
      </c>
      <c r="K193" s="22" t="str">
        <f ca="1">IF(ISERROR(MATCH(L$1,INDIRECT("Table!A"&amp;$AF193):INDIRECT("Table!" &amp; $AI$253 &amp; $AF193),0)),"",INDIRECT(CONCATENATE("Table!",ADDRESS(#REF!,MATCH(L$1,INDIRECT("Table!A" &amp; $AF193):INDIRECT("Table!" &amp; $AI$253 &amp; $AF193),0))))/1024)</f>
        <v/>
      </c>
      <c r="L193" s="22" t="str">
        <f ca="1">IF(ISERROR(MATCH(M$1,INDIRECT("Table!A"&amp;$AF193):INDIRECT("Table!" &amp; $AI$253 &amp; $AF193),0)),"",INDIRECT(CONCATENATE("Table!",ADDRESS(#REF!,MATCH(M$1,INDIRECT("Table!A" &amp; $AF193):INDIRECT("Table!" &amp; $AI$253 &amp; $AF193),0))))/1024)</f>
        <v/>
      </c>
      <c r="M193" s="22" t="str">
        <f ca="1">IF(ISERROR(MATCH(N$1,INDIRECT("Table!A"&amp;$AF193):INDIRECT("Table!" &amp; $AI$253 &amp; $AF193),0)),"",INDIRECT(CONCATENATE("Table!",ADDRESS(#REF!,MATCH(N$1,INDIRECT("Table!A" &amp; $AF193):INDIRECT("Table!" &amp; $AI$253 &amp; $AF193),0))))/1024)</f>
        <v/>
      </c>
      <c r="N193" s="22" t="str">
        <f ca="1">IF(ISERROR(MATCH(O$1,INDIRECT("Table!A"&amp;$AF193):INDIRECT("Table!" &amp; $AI$253 &amp; $AF193),0)),"",INDIRECT(CONCATENATE("Table!",ADDRESS(#REF!,MATCH(O$1,INDIRECT("Table!A" &amp; $AF193):INDIRECT("Table!" &amp; $AI$253 &amp; $AF193),0))))/1024)</f>
        <v/>
      </c>
      <c r="O193" s="22"/>
      <c r="P193" s="272"/>
      <c r="Q193" s="22"/>
      <c r="R193" s="130"/>
      <c r="T193" s="595"/>
      <c r="U193" s="130"/>
      <c r="AD193" s="130"/>
      <c r="AE193" s="130"/>
      <c r="AF193" s="22"/>
      <c r="AG193" s="130"/>
      <c r="AH193" s="130"/>
      <c r="AI193" s="130"/>
    </row>
    <row r="194" spans="2:35" x14ac:dyDescent="0.25">
      <c r="B194" s="22" t="str">
        <f ca="1">IF(ISERROR(MATCH(B$1,INDIRECT("Table!A"&amp;$AF194):INDIRECT("Table!" &amp; $AI$253 &amp; $AF194),0)),"",INDIRECT(CONCATENATE("Table!",ADDRESS(#REF!,MATCH(B$1,INDIRECT("Table!A" &amp; $AF194):INDIRECT("Table!" &amp; $AI$253 &amp; $AF194),0))))/1024)</f>
        <v/>
      </c>
      <c r="C194" s="22" t="str">
        <f ca="1">IF(ISERROR(MATCH(C$1,INDIRECT("Table!A"&amp;$AF194):INDIRECT("Table!" &amp; $AI$253 &amp; $AF194),0)),"",INDIRECT(CONCATENATE("Table!",ADDRESS(#REF!,MATCH(C$1,INDIRECT("Table!A" &amp; $AF194):INDIRECT("Table!" &amp; $AI$253 &amp; $AF194),0))))/1024)</f>
        <v/>
      </c>
      <c r="D194" s="22" t="str">
        <f ca="1">IF(ISERROR(MATCH(D$1,INDIRECT("Table!A"&amp;$AF194):INDIRECT("Table!" &amp; $AI$253 &amp; $AF194),0)),"",INDIRECT(CONCATENATE("Table!",ADDRESS(#REF!,MATCH(D$1,INDIRECT("Table!A" &amp; $AF194):INDIRECT("Table!" &amp; $AI$253 &amp; $AF194),0))))/1024)</f>
        <v/>
      </c>
      <c r="E194" s="22" t="str">
        <f ca="1">IF(ISERROR(MATCH(E$1,INDIRECT("Table!A"&amp;$AF194):INDIRECT("Table!" &amp; $AI$253 &amp; $AF194),0)),"",INDIRECT(CONCATENATE("Table!",ADDRESS(#REF!,MATCH(E$1,INDIRECT("Table!A" &amp; $AF194):INDIRECT("Table!" &amp; $AI$253 &amp; $AF194),0))))/1024)</f>
        <v/>
      </c>
      <c r="F194" s="22" t="str">
        <f ca="1">IF(ISERROR(MATCH(F$1,INDIRECT("Table!A"&amp;$AF194):INDIRECT("Table!" &amp; $AI$253 &amp; $AF194),0)),"",INDIRECT(CONCATENATE("Table!",ADDRESS(#REF!,MATCH(F$1,INDIRECT("Table!A" &amp; $AF194):INDIRECT("Table!" &amp; $AI$253 &amp; $AF194),0))))/1024)</f>
        <v/>
      </c>
      <c r="G194" s="22" t="str">
        <f ca="1">IF(ISERROR(MATCH(G$1,INDIRECT("Table!A"&amp;$AF194):INDIRECT("Table!" &amp; $AI$253 &amp; $AF194),0)),"",INDIRECT(CONCATENATE("Table!",ADDRESS(#REF!,MATCH(G$1,INDIRECT("Table!A" &amp; $AF194):INDIRECT("Table!" &amp; $AI$253 &amp; $AF194),0))))/1024)</f>
        <v/>
      </c>
      <c r="H194" s="22" t="str">
        <f ca="1">IF(ISERROR(MATCH(H$1,INDIRECT("Table!A"&amp;$AF194):INDIRECT("Table!" &amp; $AI$253 &amp; $AF194),0)),"",INDIRECT(CONCATENATE("Table!",ADDRESS(#REF!,MATCH(H$1,INDIRECT("Table!A" &amp; $AF194):INDIRECT("Table!" &amp; $AI$253 &amp; $AF194),0))))/1024)</f>
        <v/>
      </c>
      <c r="K194" s="22" t="str">
        <f ca="1">IF(ISERROR(MATCH(L$1,INDIRECT("Table!A"&amp;$AF194):INDIRECT("Table!" &amp; $AI$253 &amp; $AF194),0)),"",INDIRECT(CONCATENATE("Table!",ADDRESS(#REF!,MATCH(L$1,INDIRECT("Table!A" &amp; $AF194):INDIRECT("Table!" &amp; $AI$253 &amp; $AF194),0))))/1024)</f>
        <v/>
      </c>
      <c r="L194" s="22" t="str">
        <f ca="1">IF(ISERROR(MATCH(M$1,INDIRECT("Table!A"&amp;$AF194):INDIRECT("Table!" &amp; $AI$253 &amp; $AF194),0)),"",INDIRECT(CONCATENATE("Table!",ADDRESS(#REF!,MATCH(M$1,INDIRECT("Table!A" &amp; $AF194):INDIRECT("Table!" &amp; $AI$253 &amp; $AF194),0))))/1024)</f>
        <v/>
      </c>
      <c r="M194" s="22" t="str">
        <f ca="1">IF(ISERROR(MATCH(N$1,INDIRECT("Table!A"&amp;$AF194):INDIRECT("Table!" &amp; $AI$253 &amp; $AF194),0)),"",INDIRECT(CONCATENATE("Table!",ADDRESS(#REF!,MATCH(N$1,INDIRECT("Table!A" &amp; $AF194):INDIRECT("Table!" &amp; $AI$253 &amp; $AF194),0))))/1024)</f>
        <v/>
      </c>
      <c r="N194" s="22" t="str">
        <f ca="1">IF(ISERROR(MATCH(O$1,INDIRECT("Table!A"&amp;$AF194):INDIRECT("Table!" &amp; $AI$253 &amp; $AF194),0)),"",INDIRECT(CONCATENATE("Table!",ADDRESS(#REF!,MATCH(O$1,INDIRECT("Table!A" &amp; $AF194):INDIRECT("Table!" &amp; $AI$253 &amp; $AF194),0))))/1024)</f>
        <v/>
      </c>
      <c r="O194" s="22"/>
      <c r="P194" s="272"/>
      <c r="Q194" s="22"/>
      <c r="R194" s="129"/>
      <c r="T194" s="595"/>
      <c r="U194" s="129"/>
      <c r="AD194" s="129"/>
      <c r="AE194" s="129"/>
      <c r="AF194" s="22"/>
      <c r="AG194" s="129"/>
      <c r="AH194" s="129"/>
      <c r="AI194" s="129"/>
    </row>
    <row r="195" spans="2:35" x14ac:dyDescent="0.25">
      <c r="B195" s="22" t="str">
        <f ca="1">IF(ISERROR(MATCH(B$1,INDIRECT("Table!A"&amp;$AF195):INDIRECT("Table!" &amp; $AI$253 &amp; $AF195),0)),"",INDIRECT(CONCATENATE("Table!",ADDRESS(#REF!,MATCH(B$1,INDIRECT("Table!A" &amp; $AF195):INDIRECT("Table!" &amp; $AI$253 &amp; $AF195),0))))/1024)</f>
        <v/>
      </c>
      <c r="C195" s="22" t="str">
        <f ca="1">IF(ISERROR(MATCH(C$1,INDIRECT("Table!A"&amp;$AF195):INDIRECT("Table!" &amp; $AI$253 &amp; $AF195),0)),"",INDIRECT(CONCATENATE("Table!",ADDRESS(#REF!,MATCH(C$1,INDIRECT("Table!A" &amp; $AF195):INDIRECT("Table!" &amp; $AI$253 &amp; $AF195),0))))/1024)</f>
        <v/>
      </c>
      <c r="D195" s="22" t="str">
        <f ca="1">IF(ISERROR(MATCH(D$1,INDIRECT("Table!A"&amp;$AF195):INDIRECT("Table!" &amp; $AI$253 &amp; $AF195),0)),"",INDIRECT(CONCATENATE("Table!",ADDRESS(#REF!,MATCH(D$1,INDIRECT("Table!A" &amp; $AF195):INDIRECT("Table!" &amp; $AI$253 &amp; $AF195),0))))/1024)</f>
        <v/>
      </c>
      <c r="E195" s="22" t="str">
        <f ca="1">IF(ISERROR(MATCH(E$1,INDIRECT("Table!A"&amp;$AF195):INDIRECT("Table!" &amp; $AI$253 &amp; $AF195),0)),"",INDIRECT(CONCATENATE("Table!",ADDRESS(#REF!,MATCH(E$1,INDIRECT("Table!A" &amp; $AF195):INDIRECT("Table!" &amp; $AI$253 &amp; $AF195),0))))/1024)</f>
        <v/>
      </c>
      <c r="F195" s="22" t="str">
        <f ca="1">IF(ISERROR(MATCH(F$1,INDIRECT("Table!A"&amp;$AF195):INDIRECT("Table!" &amp; $AI$253 &amp; $AF195),0)),"",INDIRECT(CONCATENATE("Table!",ADDRESS(#REF!,MATCH(F$1,INDIRECT("Table!A" &amp; $AF195):INDIRECT("Table!" &amp; $AI$253 &amp; $AF195),0))))/1024)</f>
        <v/>
      </c>
      <c r="G195" s="22" t="str">
        <f ca="1">IF(ISERROR(MATCH(G$1,INDIRECT("Table!A"&amp;$AF195):INDIRECT("Table!" &amp; $AI$253 &amp; $AF195),0)),"",INDIRECT(CONCATENATE("Table!",ADDRESS(#REF!,MATCH(G$1,INDIRECT("Table!A" &amp; $AF195):INDIRECT("Table!" &amp; $AI$253 &amp; $AF195),0))))/1024)</f>
        <v/>
      </c>
      <c r="H195" s="22" t="str">
        <f ca="1">IF(ISERROR(MATCH(H$1,INDIRECT("Table!A"&amp;$AF195):INDIRECT("Table!" &amp; $AI$253 &amp; $AF195),0)),"",INDIRECT(CONCATENATE("Table!",ADDRESS(#REF!,MATCH(H$1,INDIRECT("Table!A" &amp; $AF195):INDIRECT("Table!" &amp; $AI$253 &amp; $AF195),0))))/1024)</f>
        <v/>
      </c>
      <c r="K195" s="22" t="str">
        <f ca="1">IF(ISERROR(MATCH(L$1,INDIRECT("Table!A"&amp;$AF195):INDIRECT("Table!" &amp; $AI$253 &amp; $AF195),0)),"",INDIRECT(CONCATENATE("Table!",ADDRESS(#REF!,MATCH(L$1,INDIRECT("Table!A" &amp; $AF195):INDIRECT("Table!" &amp; $AI$253 &amp; $AF195),0))))/1024)</f>
        <v/>
      </c>
      <c r="L195" s="22" t="str">
        <f ca="1">IF(ISERROR(MATCH(M$1,INDIRECT("Table!A"&amp;$AF195):INDIRECT("Table!" &amp; $AI$253 &amp; $AF195),0)),"",INDIRECT(CONCATENATE("Table!",ADDRESS(#REF!,MATCH(M$1,INDIRECT("Table!A" &amp; $AF195):INDIRECT("Table!" &amp; $AI$253 &amp; $AF195),0))))/1024)</f>
        <v/>
      </c>
      <c r="M195" s="22" t="str">
        <f ca="1">IF(ISERROR(MATCH(N$1,INDIRECT("Table!A"&amp;$AF195):INDIRECT("Table!" &amp; $AI$253 &amp; $AF195),0)),"",INDIRECT(CONCATENATE("Table!",ADDRESS(#REF!,MATCH(N$1,INDIRECT("Table!A" &amp; $AF195):INDIRECT("Table!" &amp; $AI$253 &amp; $AF195),0))))/1024)</f>
        <v/>
      </c>
      <c r="N195" s="22" t="str">
        <f ca="1">IF(ISERROR(MATCH(O$1,INDIRECT("Table!A"&amp;$AF195):INDIRECT("Table!" &amp; $AI$253 &amp; $AF195),0)),"",INDIRECT(CONCATENATE("Table!",ADDRESS(#REF!,MATCH(O$1,INDIRECT("Table!A" &amp; $AF195):INDIRECT("Table!" &amp; $AI$253 &amp; $AF195),0))))/1024)</f>
        <v/>
      </c>
      <c r="O195" s="22"/>
      <c r="P195" s="272"/>
      <c r="Q195" s="22"/>
      <c r="R195" s="128"/>
      <c r="T195" s="595"/>
      <c r="U195" s="128"/>
      <c r="AD195" s="128"/>
      <c r="AE195" s="128"/>
      <c r="AF195" s="22"/>
      <c r="AG195" s="128"/>
      <c r="AH195" s="128"/>
      <c r="AI195" s="128"/>
    </row>
    <row r="196" spans="2:35" x14ac:dyDescent="0.25">
      <c r="B196" s="22" t="str">
        <f ca="1">IF(ISERROR(MATCH(B$1,INDIRECT("Table!A"&amp;$AF196):INDIRECT("Table!" &amp; $AI$253 &amp; $AF196),0)),"",INDIRECT(CONCATENATE("Table!",ADDRESS(#REF!,MATCH(B$1,INDIRECT("Table!A" &amp; $AF196):INDIRECT("Table!" &amp; $AI$253 &amp; $AF196),0))))/1024)</f>
        <v/>
      </c>
      <c r="C196" s="22" t="str">
        <f ca="1">IF(ISERROR(MATCH(C$1,INDIRECT("Table!A"&amp;$AF196):INDIRECT("Table!" &amp; $AI$253 &amp; $AF196),0)),"",INDIRECT(CONCATENATE("Table!",ADDRESS(#REF!,MATCH(C$1,INDIRECT("Table!A" &amp; $AF196):INDIRECT("Table!" &amp; $AI$253 &amp; $AF196),0))))/1024)</f>
        <v/>
      </c>
      <c r="D196" s="22" t="str">
        <f ca="1">IF(ISERROR(MATCH(D$1,INDIRECT("Table!A"&amp;$AF196):INDIRECT("Table!" &amp; $AI$253 &amp; $AF196),0)),"",INDIRECT(CONCATENATE("Table!",ADDRESS(#REF!,MATCH(D$1,INDIRECT("Table!A" &amp; $AF196):INDIRECT("Table!" &amp; $AI$253 &amp; $AF196),0))))/1024)</f>
        <v/>
      </c>
      <c r="E196" s="22" t="str">
        <f ca="1">IF(ISERROR(MATCH(E$1,INDIRECT("Table!A"&amp;$AF196):INDIRECT("Table!" &amp; $AI$253 &amp; $AF196),0)),"",INDIRECT(CONCATENATE("Table!",ADDRESS(#REF!,MATCH(E$1,INDIRECT("Table!A" &amp; $AF196):INDIRECT("Table!" &amp; $AI$253 &amp; $AF196),0))))/1024)</f>
        <v/>
      </c>
      <c r="F196" s="22" t="str">
        <f ca="1">IF(ISERROR(MATCH(F$1,INDIRECT("Table!A"&amp;$AF196):INDIRECT("Table!" &amp; $AI$253 &amp; $AF196),0)),"",INDIRECT(CONCATENATE("Table!",ADDRESS(#REF!,MATCH(F$1,INDIRECT("Table!A" &amp; $AF196):INDIRECT("Table!" &amp; $AI$253 &amp; $AF196),0))))/1024)</f>
        <v/>
      </c>
      <c r="G196" s="22" t="str">
        <f ca="1">IF(ISERROR(MATCH(G$1,INDIRECT("Table!A"&amp;$AF196):INDIRECT("Table!" &amp; $AI$253 &amp; $AF196),0)),"",INDIRECT(CONCATENATE("Table!",ADDRESS(#REF!,MATCH(G$1,INDIRECT("Table!A" &amp; $AF196):INDIRECT("Table!" &amp; $AI$253 &amp; $AF196),0))))/1024)</f>
        <v/>
      </c>
      <c r="H196" s="22" t="str">
        <f ca="1">IF(ISERROR(MATCH(H$1,INDIRECT("Table!A"&amp;$AF196):INDIRECT("Table!" &amp; $AI$253 &amp; $AF196),0)),"",INDIRECT(CONCATENATE("Table!",ADDRESS(#REF!,MATCH(H$1,INDIRECT("Table!A" &amp; $AF196):INDIRECT("Table!" &amp; $AI$253 &amp; $AF196),0))))/1024)</f>
        <v/>
      </c>
      <c r="K196" s="22" t="str">
        <f ca="1">IF(ISERROR(MATCH(L$1,INDIRECT("Table!A"&amp;$AF196):INDIRECT("Table!" &amp; $AI$253 &amp; $AF196),0)),"",INDIRECT(CONCATENATE("Table!",ADDRESS(#REF!,MATCH(L$1,INDIRECT("Table!A" &amp; $AF196):INDIRECT("Table!" &amp; $AI$253 &amp; $AF196),0))))/1024)</f>
        <v/>
      </c>
      <c r="L196" s="22" t="str">
        <f ca="1">IF(ISERROR(MATCH(M$1,INDIRECT("Table!A"&amp;$AF196):INDIRECT("Table!" &amp; $AI$253 &amp; $AF196),0)),"",INDIRECT(CONCATENATE("Table!",ADDRESS(#REF!,MATCH(M$1,INDIRECT("Table!A" &amp; $AF196):INDIRECT("Table!" &amp; $AI$253 &amp; $AF196),0))))/1024)</f>
        <v/>
      </c>
      <c r="M196" s="22" t="str">
        <f ca="1">IF(ISERROR(MATCH(N$1,INDIRECT("Table!A"&amp;$AF196):INDIRECT("Table!" &amp; $AI$253 &amp; $AF196),0)),"",INDIRECT(CONCATENATE("Table!",ADDRESS(#REF!,MATCH(N$1,INDIRECT("Table!A" &amp; $AF196):INDIRECT("Table!" &amp; $AI$253 &amp; $AF196),0))))/1024)</f>
        <v/>
      </c>
      <c r="N196" s="22" t="str">
        <f ca="1">IF(ISERROR(MATCH(O$1,INDIRECT("Table!A"&amp;$AF196):INDIRECT("Table!" &amp; $AI$253 &amp; $AF196),0)),"",INDIRECT(CONCATENATE("Table!",ADDRESS(#REF!,MATCH(O$1,INDIRECT("Table!A" &amp; $AF196):INDIRECT("Table!" &amp; $AI$253 &amp; $AF196),0))))/1024)</f>
        <v/>
      </c>
      <c r="O196" s="22"/>
      <c r="P196" s="272"/>
      <c r="Q196" s="22"/>
      <c r="R196" s="128"/>
      <c r="T196" s="595"/>
      <c r="U196" s="128"/>
      <c r="AD196" s="128"/>
      <c r="AE196" s="128"/>
      <c r="AF196" s="22"/>
      <c r="AG196" s="128"/>
      <c r="AH196" s="128"/>
      <c r="AI196" s="128"/>
    </row>
    <row r="197" spans="2:35" x14ac:dyDescent="0.25">
      <c r="B197" s="22" t="str">
        <f ca="1">IF(ISERROR(MATCH(B$1,INDIRECT("Table!A"&amp;$AF197):INDIRECT("Table!" &amp; $AI$253 &amp; $AF197),0)),"",INDIRECT(CONCATENATE("Table!",ADDRESS(#REF!,MATCH(B$1,INDIRECT("Table!A" &amp; $AF197):INDIRECT("Table!" &amp; $AI$253 &amp; $AF197),0))))/1024)</f>
        <v/>
      </c>
      <c r="C197" s="22" t="str">
        <f ca="1">IF(ISERROR(MATCH(C$1,INDIRECT("Table!A"&amp;$AF197):INDIRECT("Table!" &amp; $AI$253 &amp; $AF197),0)),"",INDIRECT(CONCATENATE("Table!",ADDRESS(#REF!,MATCH(C$1,INDIRECT("Table!A" &amp; $AF197):INDIRECT("Table!" &amp; $AI$253 &amp; $AF197),0))))/1024)</f>
        <v/>
      </c>
      <c r="D197" s="22" t="str">
        <f ca="1">IF(ISERROR(MATCH(D$1,INDIRECT("Table!A"&amp;$AF197):INDIRECT("Table!" &amp; $AI$253 &amp; $AF197),0)),"",INDIRECT(CONCATENATE("Table!",ADDRESS(#REF!,MATCH(D$1,INDIRECT("Table!A" &amp; $AF197):INDIRECT("Table!" &amp; $AI$253 &amp; $AF197),0))))/1024)</f>
        <v/>
      </c>
      <c r="E197" s="22" t="str">
        <f ca="1">IF(ISERROR(MATCH(E$1,INDIRECT("Table!A"&amp;$AF197):INDIRECT("Table!" &amp; $AI$253 &amp; $AF197),0)),"",INDIRECT(CONCATENATE("Table!",ADDRESS(#REF!,MATCH(E$1,INDIRECT("Table!A" &amp; $AF197):INDIRECT("Table!" &amp; $AI$253 &amp; $AF197),0))))/1024)</f>
        <v/>
      </c>
      <c r="F197" s="22" t="str">
        <f ca="1">IF(ISERROR(MATCH(F$1,INDIRECT("Table!A"&amp;$AF197):INDIRECT("Table!" &amp; $AI$253 &amp; $AF197),0)),"",INDIRECT(CONCATENATE("Table!",ADDRESS(#REF!,MATCH(F$1,INDIRECT("Table!A" &amp; $AF197):INDIRECT("Table!" &amp; $AI$253 &amp; $AF197),0))))/1024)</f>
        <v/>
      </c>
      <c r="G197" s="22" t="str">
        <f ca="1">IF(ISERROR(MATCH(G$1,INDIRECT("Table!A"&amp;$AF197):INDIRECT("Table!" &amp; $AI$253 &amp; $AF197),0)),"",INDIRECT(CONCATENATE("Table!",ADDRESS(#REF!,MATCH(G$1,INDIRECT("Table!A" &amp; $AF197):INDIRECT("Table!" &amp; $AI$253 &amp; $AF197),0))))/1024)</f>
        <v/>
      </c>
      <c r="H197" s="22" t="str">
        <f ca="1">IF(ISERROR(MATCH(H$1,INDIRECT("Table!A"&amp;$AF197):INDIRECT("Table!" &amp; $AI$253 &amp; $AF197),0)),"",INDIRECT(CONCATENATE("Table!",ADDRESS(#REF!,MATCH(H$1,INDIRECT("Table!A" &amp; $AF197):INDIRECT("Table!" &amp; $AI$253 &amp; $AF197),0))))/1024)</f>
        <v/>
      </c>
      <c r="K197" s="22" t="str">
        <f ca="1">IF(ISERROR(MATCH(L$1,INDIRECT("Table!A"&amp;$AF197):INDIRECT("Table!" &amp; $AI$253 &amp; $AF197),0)),"",INDIRECT(CONCATENATE("Table!",ADDRESS(#REF!,MATCH(L$1,INDIRECT("Table!A" &amp; $AF197):INDIRECT("Table!" &amp; $AI$253 &amp; $AF197),0))))/1024)</f>
        <v/>
      </c>
      <c r="L197" s="22" t="str">
        <f ca="1">IF(ISERROR(MATCH(M$1,INDIRECT("Table!A"&amp;$AF197):INDIRECT("Table!" &amp; $AI$253 &amp; $AF197),0)),"",INDIRECT(CONCATENATE("Table!",ADDRESS(#REF!,MATCH(M$1,INDIRECT("Table!A" &amp; $AF197):INDIRECT("Table!" &amp; $AI$253 &amp; $AF197),0))))/1024)</f>
        <v/>
      </c>
      <c r="M197" s="22" t="str">
        <f ca="1">IF(ISERROR(MATCH(N$1,INDIRECT("Table!A"&amp;$AF197):INDIRECT("Table!" &amp; $AI$253 &amp; $AF197),0)),"",INDIRECT(CONCATENATE("Table!",ADDRESS(#REF!,MATCH(N$1,INDIRECT("Table!A" &amp; $AF197):INDIRECT("Table!" &amp; $AI$253 &amp; $AF197),0))))/1024)</f>
        <v/>
      </c>
      <c r="N197" s="22" t="str">
        <f ca="1">IF(ISERROR(MATCH(O$1,INDIRECT("Table!A"&amp;$AF197):INDIRECT("Table!" &amp; $AI$253 &amp; $AF197),0)),"",INDIRECT(CONCATENATE("Table!",ADDRESS(#REF!,MATCH(O$1,INDIRECT("Table!A" &amp; $AF197):INDIRECT("Table!" &amp; $AI$253 &amp; $AF197),0))))/1024)</f>
        <v/>
      </c>
      <c r="O197" s="22"/>
      <c r="P197" s="272"/>
      <c r="Q197" s="22"/>
      <c r="R197" s="128"/>
      <c r="T197" s="595"/>
      <c r="U197" s="128"/>
      <c r="AD197" s="128"/>
      <c r="AE197" s="128"/>
      <c r="AF197" s="22"/>
      <c r="AG197" s="128"/>
      <c r="AH197" s="128"/>
      <c r="AI197" s="128"/>
    </row>
    <row r="198" spans="2:35" x14ac:dyDescent="0.25">
      <c r="B198" s="22" t="str">
        <f ca="1">IF(ISERROR(MATCH(B$1,INDIRECT("Table!A"&amp;$AF198):INDIRECT("Table!" &amp; $AI$253 &amp; $AF198),0)),"",INDIRECT(CONCATENATE("Table!",ADDRESS(#REF!,MATCH(B$1,INDIRECT("Table!A" &amp; $AF198):INDIRECT("Table!" &amp; $AI$253 &amp; $AF198),0))))/1024)</f>
        <v/>
      </c>
      <c r="C198" s="22" t="str">
        <f ca="1">IF(ISERROR(MATCH(C$1,INDIRECT("Table!A"&amp;$AF198):INDIRECT("Table!" &amp; $AI$253 &amp; $AF198),0)),"",INDIRECT(CONCATENATE("Table!",ADDRESS(#REF!,MATCH(C$1,INDIRECT("Table!A" &amp; $AF198):INDIRECT("Table!" &amp; $AI$253 &amp; $AF198),0))))/1024)</f>
        <v/>
      </c>
      <c r="D198" s="22" t="str">
        <f ca="1">IF(ISERROR(MATCH(D$1,INDIRECT("Table!A"&amp;$AF198):INDIRECT("Table!" &amp; $AI$253 &amp; $AF198),0)),"",INDIRECT(CONCATENATE("Table!",ADDRESS(#REF!,MATCH(D$1,INDIRECT("Table!A" &amp; $AF198):INDIRECT("Table!" &amp; $AI$253 &amp; $AF198),0))))/1024)</f>
        <v/>
      </c>
      <c r="E198" s="22" t="str">
        <f ca="1">IF(ISERROR(MATCH(E$1,INDIRECT("Table!A"&amp;$AF198):INDIRECT("Table!" &amp; $AI$253 &amp; $AF198),0)),"",INDIRECT(CONCATENATE("Table!",ADDRESS(#REF!,MATCH(E$1,INDIRECT("Table!A" &amp; $AF198):INDIRECT("Table!" &amp; $AI$253 &amp; $AF198),0))))/1024)</f>
        <v/>
      </c>
      <c r="F198" s="22" t="str">
        <f ca="1">IF(ISERROR(MATCH(F$1,INDIRECT("Table!A"&amp;$AF198):INDIRECT("Table!" &amp; $AI$253 &amp; $AF198),0)),"",INDIRECT(CONCATENATE("Table!",ADDRESS(#REF!,MATCH(F$1,INDIRECT("Table!A" &amp; $AF198):INDIRECT("Table!" &amp; $AI$253 &amp; $AF198),0))))/1024)</f>
        <v/>
      </c>
      <c r="G198" s="22" t="str">
        <f ca="1">IF(ISERROR(MATCH(G$1,INDIRECT("Table!A"&amp;$AF198):INDIRECT("Table!" &amp; $AI$253 &amp; $AF198),0)),"",INDIRECT(CONCATENATE("Table!",ADDRESS(#REF!,MATCH(G$1,INDIRECT("Table!A" &amp; $AF198):INDIRECT("Table!" &amp; $AI$253 &amp; $AF198),0))))/1024)</f>
        <v/>
      </c>
      <c r="H198" s="22" t="str">
        <f ca="1">IF(ISERROR(MATCH(H$1,INDIRECT("Table!A"&amp;$AF198):INDIRECT("Table!" &amp; $AI$253 &amp; $AF198),0)),"",INDIRECT(CONCATENATE("Table!",ADDRESS(#REF!,MATCH(H$1,INDIRECT("Table!A" &amp; $AF198):INDIRECT("Table!" &amp; $AI$253 &amp; $AF198),0))))/1024)</f>
        <v/>
      </c>
      <c r="K198" s="22" t="str">
        <f ca="1">IF(ISERROR(MATCH(L$1,INDIRECT("Table!A"&amp;$AF198):INDIRECT("Table!" &amp; $AI$253 &amp; $AF198),0)),"",INDIRECT(CONCATENATE("Table!",ADDRESS(#REF!,MATCH(L$1,INDIRECT("Table!A" &amp; $AF198):INDIRECT("Table!" &amp; $AI$253 &amp; $AF198),0))))/1024)</f>
        <v/>
      </c>
      <c r="L198" s="22" t="str">
        <f ca="1">IF(ISERROR(MATCH(M$1,INDIRECT("Table!A"&amp;$AF198):INDIRECT("Table!" &amp; $AI$253 &amp; $AF198),0)),"",INDIRECT(CONCATENATE("Table!",ADDRESS(#REF!,MATCH(M$1,INDIRECT("Table!A" &amp; $AF198):INDIRECT("Table!" &amp; $AI$253 &amp; $AF198),0))))/1024)</f>
        <v/>
      </c>
      <c r="M198" s="22" t="str">
        <f ca="1">IF(ISERROR(MATCH(N$1,INDIRECT("Table!A"&amp;$AF198):INDIRECT("Table!" &amp; $AI$253 &amp; $AF198),0)),"",INDIRECT(CONCATENATE("Table!",ADDRESS(#REF!,MATCH(N$1,INDIRECT("Table!A" &amp; $AF198):INDIRECT("Table!" &amp; $AI$253 &amp; $AF198),0))))/1024)</f>
        <v/>
      </c>
      <c r="N198" s="22" t="str">
        <f ca="1">IF(ISERROR(MATCH(O$1,INDIRECT("Table!A"&amp;$AF198):INDIRECT("Table!" &amp; $AI$253 &amp; $AF198),0)),"",INDIRECT(CONCATENATE("Table!",ADDRESS(#REF!,MATCH(O$1,INDIRECT("Table!A" &amp; $AF198):INDIRECT("Table!" &amp; $AI$253 &amp; $AF198),0))))/1024)</f>
        <v/>
      </c>
      <c r="O198" s="22"/>
      <c r="P198" s="272"/>
      <c r="Q198" s="22"/>
      <c r="R198" s="128"/>
      <c r="T198" s="595"/>
      <c r="U198" s="128"/>
      <c r="AD198" s="128"/>
      <c r="AE198" s="128"/>
      <c r="AF198" s="22"/>
      <c r="AG198" s="128"/>
      <c r="AH198" s="128"/>
      <c r="AI198" s="128"/>
    </row>
    <row r="199" spans="2:35" x14ac:dyDescent="0.25">
      <c r="B199" s="22" t="str">
        <f ca="1">IF(ISERROR(MATCH(B$1,INDIRECT("Table!A"&amp;$AF199):INDIRECT("Table!" &amp; $AI$253 &amp; $AF199),0)),"",INDIRECT(CONCATENATE("Table!",ADDRESS(#REF!,MATCH(B$1,INDIRECT("Table!A" &amp; $AF199):INDIRECT("Table!" &amp; $AI$253 &amp; $AF199),0))))/1024)</f>
        <v/>
      </c>
      <c r="C199" s="22" t="str">
        <f ca="1">IF(ISERROR(MATCH(C$1,INDIRECT("Table!A"&amp;$AF199):INDIRECT("Table!" &amp; $AI$253 &amp; $AF199),0)),"",INDIRECT(CONCATENATE("Table!",ADDRESS(#REF!,MATCH(C$1,INDIRECT("Table!A" &amp; $AF199):INDIRECT("Table!" &amp; $AI$253 &amp; $AF199),0))))/1024)</f>
        <v/>
      </c>
      <c r="D199" s="22" t="str">
        <f ca="1">IF(ISERROR(MATCH(D$1,INDIRECT("Table!A"&amp;$AF199):INDIRECT("Table!" &amp; $AI$253 &amp; $AF199),0)),"",INDIRECT(CONCATENATE("Table!",ADDRESS(#REF!,MATCH(D$1,INDIRECT("Table!A" &amp; $AF199):INDIRECT("Table!" &amp; $AI$253 &amp; $AF199),0))))/1024)</f>
        <v/>
      </c>
      <c r="E199" s="22" t="str">
        <f ca="1">IF(ISERROR(MATCH(E$1,INDIRECT("Table!A"&amp;$AF199):INDIRECT("Table!" &amp; $AI$253 &amp; $AF199),0)),"",INDIRECT(CONCATENATE("Table!",ADDRESS(#REF!,MATCH(E$1,INDIRECT("Table!A" &amp; $AF199):INDIRECT("Table!" &amp; $AI$253 &amp; $AF199),0))))/1024)</f>
        <v/>
      </c>
      <c r="F199" s="22" t="str">
        <f ca="1">IF(ISERROR(MATCH(F$1,INDIRECT("Table!A"&amp;$AF199):INDIRECT("Table!" &amp; $AI$253 &amp; $AF199),0)),"",INDIRECT(CONCATENATE("Table!",ADDRESS(#REF!,MATCH(F$1,INDIRECT("Table!A" &amp; $AF199):INDIRECT("Table!" &amp; $AI$253 &amp; $AF199),0))))/1024)</f>
        <v/>
      </c>
      <c r="G199" s="22" t="str">
        <f ca="1">IF(ISERROR(MATCH(G$1,INDIRECT("Table!A"&amp;$AF199):INDIRECT("Table!" &amp; $AI$253 &amp; $AF199),0)),"",INDIRECT(CONCATENATE("Table!",ADDRESS(#REF!,MATCH(G$1,INDIRECT("Table!A" &amp; $AF199):INDIRECT("Table!" &amp; $AI$253 &amp; $AF199),0))))/1024)</f>
        <v/>
      </c>
      <c r="H199" s="22" t="str">
        <f ca="1">IF(ISERROR(MATCH(H$1,INDIRECT("Table!A"&amp;$AF199):INDIRECT("Table!" &amp; $AI$253 &amp; $AF199),0)),"",INDIRECT(CONCATENATE("Table!",ADDRESS(#REF!,MATCH(H$1,INDIRECT("Table!A" &amp; $AF199):INDIRECT("Table!" &amp; $AI$253 &amp; $AF199),0))))/1024)</f>
        <v/>
      </c>
      <c r="K199" s="22" t="str">
        <f ca="1">IF(ISERROR(MATCH(L$1,INDIRECT("Table!A"&amp;$AF199):INDIRECT("Table!" &amp; $AI$253 &amp; $AF199),0)),"",INDIRECT(CONCATENATE("Table!",ADDRESS(#REF!,MATCH(L$1,INDIRECT("Table!A" &amp; $AF199):INDIRECT("Table!" &amp; $AI$253 &amp; $AF199),0))))/1024)</f>
        <v/>
      </c>
      <c r="L199" s="22" t="str">
        <f ca="1">IF(ISERROR(MATCH(M$1,INDIRECT("Table!A"&amp;$AF199):INDIRECT("Table!" &amp; $AI$253 &amp; $AF199),0)),"",INDIRECT(CONCATENATE("Table!",ADDRESS(#REF!,MATCH(M$1,INDIRECT("Table!A" &amp; $AF199):INDIRECT("Table!" &amp; $AI$253 &amp; $AF199),0))))/1024)</f>
        <v/>
      </c>
      <c r="M199" s="22" t="str">
        <f ca="1">IF(ISERROR(MATCH(N$1,INDIRECT("Table!A"&amp;$AF199):INDIRECT("Table!" &amp; $AI$253 &amp; $AF199),0)),"",INDIRECT(CONCATENATE("Table!",ADDRESS(#REF!,MATCH(N$1,INDIRECT("Table!A" &amp; $AF199):INDIRECT("Table!" &amp; $AI$253 &amp; $AF199),0))))/1024)</f>
        <v/>
      </c>
      <c r="N199" s="22" t="str">
        <f ca="1">IF(ISERROR(MATCH(O$1,INDIRECT("Table!A"&amp;$AF199):INDIRECT("Table!" &amp; $AI$253 &amp; $AF199),0)),"",INDIRECT(CONCATENATE("Table!",ADDRESS(#REF!,MATCH(O$1,INDIRECT("Table!A" &amp; $AF199):INDIRECT("Table!" &amp; $AI$253 &amp; $AF199),0))))/1024)</f>
        <v/>
      </c>
      <c r="O199" s="22"/>
      <c r="P199" s="272"/>
      <c r="Q199" s="22"/>
      <c r="R199" s="88"/>
      <c r="T199" s="595"/>
      <c r="U199" s="88"/>
      <c r="AD199" s="88"/>
      <c r="AE199" s="88"/>
      <c r="AF199" s="22"/>
      <c r="AG199" s="88"/>
      <c r="AH199" s="88"/>
      <c r="AI199" s="88"/>
    </row>
    <row r="200" spans="2:35" x14ac:dyDescent="0.25">
      <c r="B200" s="22" t="str">
        <f ca="1">IF(ISERROR(MATCH(B$1,INDIRECT("Table!A"&amp;$AF200):INDIRECT("Table!" &amp; $AI$253 &amp; $AF200),0)),"",INDIRECT(CONCATENATE("Table!",ADDRESS(#REF!,MATCH(B$1,INDIRECT("Table!A" &amp; $AF200):INDIRECT("Table!" &amp; $AI$253 &amp; $AF200),0))))/1024)</f>
        <v/>
      </c>
      <c r="C200" s="22" t="str">
        <f ca="1">IF(ISERROR(MATCH(C$1,INDIRECT("Table!A"&amp;$AF200):INDIRECT("Table!" &amp; $AI$253 &amp; $AF200),0)),"",INDIRECT(CONCATENATE("Table!",ADDRESS(#REF!,MATCH(C$1,INDIRECT("Table!A" &amp; $AF200):INDIRECT("Table!" &amp; $AI$253 &amp; $AF200),0))))/1024)</f>
        <v/>
      </c>
      <c r="D200" s="22" t="str">
        <f ca="1">IF(ISERROR(MATCH(D$1,INDIRECT("Table!A"&amp;$AF200):INDIRECT("Table!" &amp; $AI$253 &amp; $AF200),0)),"",INDIRECT(CONCATENATE("Table!",ADDRESS(#REF!,MATCH(D$1,INDIRECT("Table!A" &amp; $AF200):INDIRECT("Table!" &amp; $AI$253 &amp; $AF200),0))))/1024)</f>
        <v/>
      </c>
      <c r="E200" s="22" t="str">
        <f ca="1">IF(ISERROR(MATCH(E$1,INDIRECT("Table!A"&amp;$AF200):INDIRECT("Table!" &amp; $AI$253 &amp; $AF200),0)),"",INDIRECT(CONCATENATE("Table!",ADDRESS(#REF!,MATCH(E$1,INDIRECT("Table!A" &amp; $AF200):INDIRECT("Table!" &amp; $AI$253 &amp; $AF200),0))))/1024)</f>
        <v/>
      </c>
      <c r="F200" s="22" t="str">
        <f ca="1">IF(ISERROR(MATCH(F$1,INDIRECT("Table!A"&amp;$AF200):INDIRECT("Table!" &amp; $AI$253 &amp; $AF200),0)),"",INDIRECT(CONCATENATE("Table!",ADDRESS(#REF!,MATCH(F$1,INDIRECT("Table!A" &amp; $AF200):INDIRECT("Table!" &amp; $AI$253 &amp; $AF200),0))))/1024)</f>
        <v/>
      </c>
      <c r="G200" s="22" t="str">
        <f ca="1">IF(ISERROR(MATCH(G$1,INDIRECT("Table!A"&amp;$AF200):INDIRECT("Table!" &amp; $AI$253 &amp; $AF200),0)),"",INDIRECT(CONCATENATE("Table!",ADDRESS(#REF!,MATCH(G$1,INDIRECT("Table!A" &amp; $AF200):INDIRECT("Table!" &amp; $AI$253 &amp; $AF200),0))))/1024)</f>
        <v/>
      </c>
      <c r="H200" s="22" t="str">
        <f ca="1">IF(ISERROR(MATCH(H$1,INDIRECT("Table!A"&amp;$AF200):INDIRECT("Table!" &amp; $AI$253 &amp; $AF200),0)),"",INDIRECT(CONCATENATE("Table!",ADDRESS(#REF!,MATCH(H$1,INDIRECT("Table!A" &amp; $AF200):INDIRECT("Table!" &amp; $AI$253 &amp; $AF200),0))))/1024)</f>
        <v/>
      </c>
      <c r="K200" s="22" t="str">
        <f ca="1">IF(ISERROR(MATCH(L$1,INDIRECT("Table!A"&amp;$AF200):INDIRECT("Table!" &amp; $AI$253 &amp; $AF200),0)),"",INDIRECT(CONCATENATE("Table!",ADDRESS(#REF!,MATCH(L$1,INDIRECT("Table!A" &amp; $AF200):INDIRECT("Table!" &amp; $AI$253 &amp; $AF200),0))))/1024)</f>
        <v/>
      </c>
      <c r="L200" s="22" t="str">
        <f ca="1">IF(ISERROR(MATCH(M$1,INDIRECT("Table!A"&amp;$AF200):INDIRECT("Table!" &amp; $AI$253 &amp; $AF200),0)),"",INDIRECT(CONCATENATE("Table!",ADDRESS(#REF!,MATCH(M$1,INDIRECT("Table!A" &amp; $AF200):INDIRECT("Table!" &amp; $AI$253 &amp; $AF200),0))))/1024)</f>
        <v/>
      </c>
      <c r="M200" s="22" t="str">
        <f ca="1">IF(ISERROR(MATCH(N$1,INDIRECT("Table!A"&amp;$AF200):INDIRECT("Table!" &amp; $AI$253 &amp; $AF200),0)),"",INDIRECT(CONCATENATE("Table!",ADDRESS(#REF!,MATCH(N$1,INDIRECT("Table!A" &amp; $AF200):INDIRECT("Table!" &amp; $AI$253 &amp; $AF200),0))))/1024)</f>
        <v/>
      </c>
      <c r="N200" s="22" t="str">
        <f ca="1">IF(ISERROR(MATCH(O$1,INDIRECT("Table!A"&amp;$AF200):INDIRECT("Table!" &amp; $AI$253 &amp; $AF200),0)),"",INDIRECT(CONCATENATE("Table!",ADDRESS(#REF!,MATCH(O$1,INDIRECT("Table!A" &amp; $AF200):INDIRECT("Table!" &amp; $AI$253 &amp; $AF200),0))))/1024)</f>
        <v/>
      </c>
      <c r="O200" s="22"/>
      <c r="P200" s="272"/>
      <c r="Q200" s="22"/>
      <c r="R200" s="123"/>
      <c r="T200" s="595"/>
      <c r="U200" s="123"/>
      <c r="AD200" s="123"/>
      <c r="AE200" s="123"/>
      <c r="AF200" s="22"/>
      <c r="AG200" s="123"/>
      <c r="AH200" s="123"/>
      <c r="AI200" s="123"/>
    </row>
    <row r="201" spans="2:35" x14ac:dyDescent="0.25">
      <c r="B201" s="22" t="str">
        <f ca="1">IF(ISERROR(MATCH(B$1,INDIRECT("Table!A"&amp;$AF201):INDIRECT("Table!" &amp; $AI$253 &amp; $AF201),0)),"",INDIRECT(CONCATENATE("Table!",ADDRESS(#REF!,MATCH(B$1,INDIRECT("Table!A" &amp; $AF201):INDIRECT("Table!" &amp; $AI$253 &amp; $AF201),0))))/1024)</f>
        <v/>
      </c>
      <c r="C201" s="22" t="str">
        <f ca="1">IF(ISERROR(MATCH(C$1,INDIRECT("Table!A"&amp;$AF201):INDIRECT("Table!" &amp; $AI$253 &amp; $AF201),0)),"",INDIRECT(CONCATENATE("Table!",ADDRESS(#REF!,MATCH(C$1,INDIRECT("Table!A" &amp; $AF201):INDIRECT("Table!" &amp; $AI$253 &amp; $AF201),0))))/1024)</f>
        <v/>
      </c>
      <c r="D201" s="22" t="str">
        <f ca="1">IF(ISERROR(MATCH(D$1,INDIRECT("Table!A"&amp;$AF201):INDIRECT("Table!" &amp; $AI$253 &amp; $AF201),0)),"",INDIRECT(CONCATENATE("Table!",ADDRESS(#REF!,MATCH(D$1,INDIRECT("Table!A" &amp; $AF201):INDIRECT("Table!" &amp; $AI$253 &amp; $AF201),0))))/1024)</f>
        <v/>
      </c>
      <c r="E201" s="22" t="str">
        <f ca="1">IF(ISERROR(MATCH(E$1,INDIRECT("Table!A"&amp;$AF201):INDIRECT("Table!" &amp; $AI$253 &amp; $AF201),0)),"",INDIRECT(CONCATENATE("Table!",ADDRESS(#REF!,MATCH(E$1,INDIRECT("Table!A" &amp; $AF201):INDIRECT("Table!" &amp; $AI$253 &amp; $AF201),0))))/1024)</f>
        <v/>
      </c>
      <c r="F201" s="22" t="str">
        <f ca="1">IF(ISERROR(MATCH(F$1,INDIRECT("Table!A"&amp;$AF201):INDIRECT("Table!" &amp; $AI$253 &amp; $AF201),0)),"",INDIRECT(CONCATENATE("Table!",ADDRESS(#REF!,MATCH(F$1,INDIRECT("Table!A" &amp; $AF201):INDIRECT("Table!" &amp; $AI$253 &amp; $AF201),0))))/1024)</f>
        <v/>
      </c>
      <c r="G201" s="22" t="str">
        <f ca="1">IF(ISERROR(MATCH(G$1,INDIRECT("Table!A"&amp;$AF201):INDIRECT("Table!" &amp; $AI$253 &amp; $AF201),0)),"",INDIRECT(CONCATENATE("Table!",ADDRESS(#REF!,MATCH(G$1,INDIRECT("Table!A" &amp; $AF201):INDIRECT("Table!" &amp; $AI$253 &amp; $AF201),0))))/1024)</f>
        <v/>
      </c>
      <c r="H201" s="22" t="str">
        <f ca="1">IF(ISERROR(MATCH(H$1,INDIRECT("Table!A"&amp;$AF201):INDIRECT("Table!" &amp; $AI$253 &amp; $AF201),0)),"",INDIRECT(CONCATENATE("Table!",ADDRESS(#REF!,MATCH(H$1,INDIRECT("Table!A" &amp; $AF201):INDIRECT("Table!" &amp; $AI$253 &amp; $AF201),0))))/1024)</f>
        <v/>
      </c>
      <c r="K201" s="22" t="str">
        <f ca="1">IF(ISERROR(MATCH(L$1,INDIRECT("Table!A"&amp;$AF201):INDIRECT("Table!" &amp; $AI$253 &amp; $AF201),0)),"",INDIRECT(CONCATENATE("Table!",ADDRESS(#REF!,MATCH(L$1,INDIRECT("Table!A" &amp; $AF201):INDIRECT("Table!" &amp; $AI$253 &amp; $AF201),0))))/1024)</f>
        <v/>
      </c>
      <c r="L201" s="22" t="str">
        <f ca="1">IF(ISERROR(MATCH(M$1,INDIRECT("Table!A"&amp;$AF201):INDIRECT("Table!" &amp; $AI$253 &amp; $AF201),0)),"",INDIRECT(CONCATENATE("Table!",ADDRESS(#REF!,MATCH(M$1,INDIRECT("Table!A" &amp; $AF201):INDIRECT("Table!" &amp; $AI$253 &amp; $AF201),0))))/1024)</f>
        <v/>
      </c>
      <c r="M201" s="22" t="str">
        <f ca="1">IF(ISERROR(MATCH(N$1,INDIRECT("Table!A"&amp;$AF201):INDIRECT("Table!" &amp; $AI$253 &amp; $AF201),0)),"",INDIRECT(CONCATENATE("Table!",ADDRESS(#REF!,MATCH(N$1,INDIRECT("Table!A" &amp; $AF201):INDIRECT("Table!" &amp; $AI$253 &amp; $AF201),0))))/1024)</f>
        <v/>
      </c>
      <c r="N201" s="22" t="str">
        <f ca="1">IF(ISERROR(MATCH(O$1,INDIRECT("Table!A"&amp;$AF201):INDIRECT("Table!" &amp; $AI$253 &amp; $AF201),0)),"",INDIRECT(CONCATENATE("Table!",ADDRESS(#REF!,MATCH(O$1,INDIRECT("Table!A" &amp; $AF201):INDIRECT("Table!" &amp; $AI$253 &amp; $AF201),0))))/1024)</f>
        <v/>
      </c>
      <c r="O201" s="22"/>
      <c r="P201" s="272"/>
      <c r="Q201" s="22"/>
      <c r="R201" s="122"/>
      <c r="T201" s="595"/>
      <c r="U201" s="122"/>
      <c r="AD201" s="122"/>
      <c r="AE201" s="122"/>
      <c r="AF201" s="22"/>
      <c r="AG201" s="122"/>
      <c r="AH201" s="122"/>
      <c r="AI201" s="122"/>
    </row>
    <row r="202" spans="2:35" x14ac:dyDescent="0.25">
      <c r="B202" s="22" t="str">
        <f ca="1">IF(ISERROR(MATCH(B$1,INDIRECT("Table!A"&amp;$AF202):INDIRECT("Table!" &amp; $AI$253 &amp; $AF202),0)),"",INDIRECT(CONCATENATE("Table!",ADDRESS(#REF!,MATCH(B$1,INDIRECT("Table!A" &amp; $AF202):INDIRECT("Table!" &amp; $AI$253 &amp; $AF202),0))))/1024)</f>
        <v/>
      </c>
      <c r="C202" s="22" t="str">
        <f ca="1">IF(ISERROR(MATCH(C$1,INDIRECT("Table!A"&amp;$AF202):INDIRECT("Table!" &amp; $AI$253 &amp; $AF202),0)),"",INDIRECT(CONCATENATE("Table!",ADDRESS(#REF!,MATCH(C$1,INDIRECT("Table!A" &amp; $AF202):INDIRECT("Table!" &amp; $AI$253 &amp; $AF202),0))))/1024)</f>
        <v/>
      </c>
      <c r="D202" s="22" t="str">
        <f ca="1">IF(ISERROR(MATCH(D$1,INDIRECT("Table!A"&amp;$AF202):INDIRECT("Table!" &amp; $AI$253 &amp; $AF202),0)),"",INDIRECT(CONCATENATE("Table!",ADDRESS(#REF!,MATCH(D$1,INDIRECT("Table!A" &amp; $AF202):INDIRECT("Table!" &amp; $AI$253 &amp; $AF202),0))))/1024)</f>
        <v/>
      </c>
      <c r="E202" s="22" t="str">
        <f ca="1">IF(ISERROR(MATCH(E$1,INDIRECT("Table!A"&amp;$AF202):INDIRECT("Table!" &amp; $AI$253 &amp; $AF202),0)),"",INDIRECT(CONCATENATE("Table!",ADDRESS(#REF!,MATCH(E$1,INDIRECT("Table!A" &amp; $AF202):INDIRECT("Table!" &amp; $AI$253 &amp; $AF202),0))))/1024)</f>
        <v/>
      </c>
      <c r="F202" s="22" t="str">
        <f ca="1">IF(ISERROR(MATCH(F$1,INDIRECT("Table!A"&amp;$AF202):INDIRECT("Table!" &amp; $AI$253 &amp; $AF202),0)),"",INDIRECT(CONCATENATE("Table!",ADDRESS(#REF!,MATCH(F$1,INDIRECT("Table!A" &amp; $AF202):INDIRECT("Table!" &amp; $AI$253 &amp; $AF202),0))))/1024)</f>
        <v/>
      </c>
      <c r="G202" s="22" t="str">
        <f ca="1">IF(ISERROR(MATCH(G$1,INDIRECT("Table!A"&amp;$AF202):INDIRECT("Table!" &amp; $AI$253 &amp; $AF202),0)),"",INDIRECT(CONCATENATE("Table!",ADDRESS(#REF!,MATCH(G$1,INDIRECT("Table!A" &amp; $AF202):INDIRECT("Table!" &amp; $AI$253 &amp; $AF202),0))))/1024)</f>
        <v/>
      </c>
      <c r="H202" s="22" t="str">
        <f ca="1">IF(ISERROR(MATCH(H$1,INDIRECT("Table!A"&amp;$AF202):INDIRECT("Table!" &amp; $AI$253 &amp; $AF202),0)),"",INDIRECT(CONCATENATE("Table!",ADDRESS(#REF!,MATCH(H$1,INDIRECT("Table!A" &amp; $AF202):INDIRECT("Table!" &amp; $AI$253 &amp; $AF202),0))))/1024)</f>
        <v/>
      </c>
      <c r="K202" s="22" t="str">
        <f ca="1">IF(ISERROR(MATCH(L$1,INDIRECT("Table!A"&amp;$AF202):INDIRECT("Table!" &amp; $AI$253 &amp; $AF202),0)),"",INDIRECT(CONCATENATE("Table!",ADDRESS(#REF!,MATCH(L$1,INDIRECT("Table!A" &amp; $AF202):INDIRECT("Table!" &amp; $AI$253 &amp; $AF202),0))))/1024)</f>
        <v/>
      </c>
      <c r="L202" s="22" t="str">
        <f ca="1">IF(ISERROR(MATCH(M$1,INDIRECT("Table!A"&amp;$AF202):INDIRECT("Table!" &amp; $AI$253 &amp; $AF202),0)),"",INDIRECT(CONCATENATE("Table!",ADDRESS(#REF!,MATCH(M$1,INDIRECT("Table!A" &amp; $AF202):INDIRECT("Table!" &amp; $AI$253 &amp; $AF202),0))))/1024)</f>
        <v/>
      </c>
      <c r="M202" s="22" t="str">
        <f ca="1">IF(ISERROR(MATCH(N$1,INDIRECT("Table!A"&amp;$AF202):INDIRECT("Table!" &amp; $AI$253 &amp; $AF202),0)),"",INDIRECT(CONCATENATE("Table!",ADDRESS(#REF!,MATCH(N$1,INDIRECT("Table!A" &amp; $AF202):INDIRECT("Table!" &amp; $AI$253 &amp; $AF202),0))))/1024)</f>
        <v/>
      </c>
      <c r="N202" s="22" t="str">
        <f ca="1">IF(ISERROR(MATCH(O$1,INDIRECT("Table!A"&amp;$AF202):INDIRECT("Table!" &amp; $AI$253 &amp; $AF202),0)),"",INDIRECT(CONCATENATE("Table!",ADDRESS(#REF!,MATCH(O$1,INDIRECT("Table!A" &amp; $AF202):INDIRECT("Table!" &amp; $AI$253 &amp; $AF202),0))))/1024)</f>
        <v/>
      </c>
      <c r="O202" s="22"/>
      <c r="P202" s="272"/>
      <c r="Q202" s="22"/>
      <c r="R202" s="121"/>
      <c r="T202" s="595"/>
      <c r="U202" s="121"/>
      <c r="AD202" s="121"/>
      <c r="AE202" s="121"/>
      <c r="AF202" s="22"/>
      <c r="AG202" s="121"/>
      <c r="AH202" s="121"/>
      <c r="AI202" s="121"/>
    </row>
    <row r="203" spans="2:35" x14ac:dyDescent="0.25">
      <c r="B203" s="22" t="str">
        <f ca="1">IF(ISERROR(MATCH(B$1,INDIRECT("Table!A"&amp;$AF203):INDIRECT("Table!" &amp; $AI$253 &amp; $AF203),0)),"",INDIRECT(CONCATENATE("Table!",ADDRESS(#REF!,MATCH(B$1,INDIRECT("Table!A" &amp; $AF203):INDIRECT("Table!" &amp; $AI$253 &amp; $AF203),0))))/1024)</f>
        <v/>
      </c>
      <c r="C203" s="22" t="str">
        <f ca="1">IF(ISERROR(MATCH(C$1,INDIRECT("Table!A"&amp;$AF203):INDIRECT("Table!" &amp; $AI$253 &amp; $AF203),0)),"",INDIRECT(CONCATENATE("Table!",ADDRESS(#REF!,MATCH(C$1,INDIRECT("Table!A" &amp; $AF203):INDIRECT("Table!" &amp; $AI$253 &amp; $AF203),0))))/1024)</f>
        <v/>
      </c>
      <c r="D203" s="22" t="str">
        <f ca="1">IF(ISERROR(MATCH(D$1,INDIRECT("Table!A"&amp;$AF203):INDIRECT("Table!" &amp; $AI$253 &amp; $AF203),0)),"",INDIRECT(CONCATENATE("Table!",ADDRESS(#REF!,MATCH(D$1,INDIRECT("Table!A" &amp; $AF203):INDIRECT("Table!" &amp; $AI$253 &amp; $AF203),0))))/1024)</f>
        <v/>
      </c>
      <c r="E203" s="22" t="str">
        <f ca="1">IF(ISERROR(MATCH(E$1,INDIRECT("Table!A"&amp;$AF203):INDIRECT("Table!" &amp; $AI$253 &amp; $AF203),0)),"",INDIRECT(CONCATENATE("Table!",ADDRESS(#REF!,MATCH(E$1,INDIRECT("Table!A" &amp; $AF203):INDIRECT("Table!" &amp; $AI$253 &amp; $AF203),0))))/1024)</f>
        <v/>
      </c>
      <c r="F203" s="22" t="str">
        <f ca="1">IF(ISERROR(MATCH(F$1,INDIRECT("Table!A"&amp;$AF203):INDIRECT("Table!" &amp; $AI$253 &amp; $AF203),0)),"",INDIRECT(CONCATENATE("Table!",ADDRESS(#REF!,MATCH(F$1,INDIRECT("Table!A" &amp; $AF203):INDIRECT("Table!" &amp; $AI$253 &amp; $AF203),0))))/1024)</f>
        <v/>
      </c>
      <c r="G203" s="22" t="str">
        <f ca="1">IF(ISERROR(MATCH(G$1,INDIRECT("Table!A"&amp;$AF203):INDIRECT("Table!" &amp; $AI$253 &amp; $AF203),0)),"",INDIRECT(CONCATENATE("Table!",ADDRESS(#REF!,MATCH(G$1,INDIRECT("Table!A" &amp; $AF203):INDIRECT("Table!" &amp; $AI$253 &amp; $AF203),0))))/1024)</f>
        <v/>
      </c>
      <c r="H203" s="22" t="str">
        <f ca="1">IF(ISERROR(MATCH(H$1,INDIRECT("Table!A"&amp;$AF203):INDIRECT("Table!" &amp; $AI$253 &amp; $AF203),0)),"",INDIRECT(CONCATENATE("Table!",ADDRESS(#REF!,MATCH(H$1,INDIRECT("Table!A" &amp; $AF203):INDIRECT("Table!" &amp; $AI$253 &amp; $AF203),0))))/1024)</f>
        <v/>
      </c>
      <c r="K203" s="22" t="str">
        <f ca="1">IF(ISERROR(MATCH(L$1,INDIRECT("Table!A"&amp;$AF203):INDIRECT("Table!" &amp; $AI$253 &amp; $AF203),0)),"",INDIRECT(CONCATENATE("Table!",ADDRESS(#REF!,MATCH(L$1,INDIRECT("Table!A" &amp; $AF203):INDIRECT("Table!" &amp; $AI$253 &amp; $AF203),0))))/1024)</f>
        <v/>
      </c>
      <c r="L203" s="22" t="str">
        <f ca="1">IF(ISERROR(MATCH(M$1,INDIRECT("Table!A"&amp;$AF203):INDIRECT("Table!" &amp; $AI$253 &amp; $AF203),0)),"",INDIRECT(CONCATENATE("Table!",ADDRESS(#REF!,MATCH(M$1,INDIRECT("Table!A" &amp; $AF203):INDIRECT("Table!" &amp; $AI$253 &amp; $AF203),0))))/1024)</f>
        <v/>
      </c>
      <c r="M203" s="22" t="str">
        <f ca="1">IF(ISERROR(MATCH(N$1,INDIRECT("Table!A"&amp;$AF203):INDIRECT("Table!" &amp; $AI$253 &amp; $AF203),0)),"",INDIRECT(CONCATENATE("Table!",ADDRESS(#REF!,MATCH(N$1,INDIRECT("Table!A" &amp; $AF203):INDIRECT("Table!" &amp; $AI$253 &amp; $AF203),0))))/1024)</f>
        <v/>
      </c>
      <c r="N203" s="22" t="str">
        <f ca="1">IF(ISERROR(MATCH(O$1,INDIRECT("Table!A"&amp;$AF203):INDIRECT("Table!" &amp; $AI$253 &amp; $AF203),0)),"",INDIRECT(CONCATENATE("Table!",ADDRESS(#REF!,MATCH(O$1,INDIRECT("Table!A" &amp; $AF203):INDIRECT("Table!" &amp; $AI$253 &amp; $AF203),0))))/1024)</f>
        <v/>
      </c>
      <c r="O203" s="22"/>
      <c r="P203" s="272"/>
      <c r="Q203" s="22"/>
      <c r="R203" s="120"/>
      <c r="T203" s="595"/>
      <c r="U203" s="120"/>
      <c r="AD203" s="120"/>
      <c r="AE203" s="120"/>
      <c r="AF203" s="22"/>
      <c r="AG203" s="120"/>
      <c r="AH203" s="120"/>
      <c r="AI203" s="120"/>
    </row>
    <row r="204" spans="2:35" x14ac:dyDescent="0.25">
      <c r="B204" s="22" t="str">
        <f ca="1">IF(ISERROR(MATCH(B$1,INDIRECT("Table!A"&amp;$AF204):INDIRECT("Table!" &amp; $AI$253 &amp; $AF204),0)),"",INDIRECT(CONCATENATE("Table!",ADDRESS(#REF!,MATCH(B$1,INDIRECT("Table!A" &amp; $AF204):INDIRECT("Table!" &amp; $AI$253 &amp; $AF204),0))))/1024)</f>
        <v/>
      </c>
      <c r="C204" s="22" t="str">
        <f ca="1">IF(ISERROR(MATCH(C$1,INDIRECT("Table!A"&amp;$AF204):INDIRECT("Table!" &amp; $AI$253 &amp; $AF204),0)),"",INDIRECT(CONCATENATE("Table!",ADDRESS(#REF!,MATCH(C$1,INDIRECT("Table!A" &amp; $AF204):INDIRECT("Table!" &amp; $AI$253 &amp; $AF204),0))))/1024)</f>
        <v/>
      </c>
      <c r="D204" s="22" t="str">
        <f ca="1">IF(ISERROR(MATCH(D$1,INDIRECT("Table!A"&amp;$AF204):INDIRECT("Table!" &amp; $AI$253 &amp; $AF204),0)),"",INDIRECT(CONCATENATE("Table!",ADDRESS(#REF!,MATCH(D$1,INDIRECT("Table!A" &amp; $AF204):INDIRECT("Table!" &amp; $AI$253 &amp; $AF204),0))))/1024)</f>
        <v/>
      </c>
      <c r="E204" s="22" t="str">
        <f ca="1">IF(ISERROR(MATCH(E$1,INDIRECT("Table!A"&amp;$AF204):INDIRECT("Table!" &amp; $AI$253 &amp; $AF204),0)),"",INDIRECT(CONCATENATE("Table!",ADDRESS(#REF!,MATCH(E$1,INDIRECT("Table!A" &amp; $AF204):INDIRECT("Table!" &amp; $AI$253 &amp; $AF204),0))))/1024)</f>
        <v/>
      </c>
      <c r="F204" s="22" t="str">
        <f ca="1">IF(ISERROR(MATCH(F$1,INDIRECT("Table!A"&amp;$AF204):INDIRECT("Table!" &amp; $AI$253 &amp; $AF204),0)),"",INDIRECT(CONCATENATE("Table!",ADDRESS(#REF!,MATCH(F$1,INDIRECT("Table!A" &amp; $AF204):INDIRECT("Table!" &amp; $AI$253 &amp; $AF204),0))))/1024)</f>
        <v/>
      </c>
      <c r="G204" s="22" t="str">
        <f ca="1">IF(ISERROR(MATCH(G$1,INDIRECT("Table!A"&amp;$AF204):INDIRECT("Table!" &amp; $AI$253 &amp; $AF204),0)),"",INDIRECT(CONCATENATE("Table!",ADDRESS(#REF!,MATCH(G$1,INDIRECT("Table!A" &amp; $AF204):INDIRECT("Table!" &amp; $AI$253 &amp; $AF204),0))))/1024)</f>
        <v/>
      </c>
      <c r="H204" s="22" t="str">
        <f ca="1">IF(ISERROR(MATCH(H$1,INDIRECT("Table!A"&amp;$AF204):INDIRECT("Table!" &amp; $AI$253 &amp; $AF204),0)),"",INDIRECT(CONCATENATE("Table!",ADDRESS(#REF!,MATCH(H$1,INDIRECT("Table!A" &amp; $AF204):INDIRECT("Table!" &amp; $AI$253 &amp; $AF204),0))))/1024)</f>
        <v/>
      </c>
      <c r="K204" s="22" t="str">
        <f ca="1">IF(ISERROR(MATCH(L$1,INDIRECT("Table!A"&amp;$AF204):INDIRECT("Table!" &amp; $AI$253 &amp; $AF204),0)),"",INDIRECT(CONCATENATE("Table!",ADDRESS(#REF!,MATCH(L$1,INDIRECT("Table!A" &amp; $AF204):INDIRECT("Table!" &amp; $AI$253 &amp; $AF204),0))))/1024)</f>
        <v/>
      </c>
      <c r="L204" s="22" t="str">
        <f ca="1">IF(ISERROR(MATCH(M$1,INDIRECT("Table!A"&amp;$AF204):INDIRECT("Table!" &amp; $AI$253 &amp; $AF204),0)),"",INDIRECT(CONCATENATE("Table!",ADDRESS(#REF!,MATCH(M$1,INDIRECT("Table!A" &amp; $AF204):INDIRECT("Table!" &amp; $AI$253 &amp; $AF204),0))))/1024)</f>
        <v/>
      </c>
      <c r="M204" s="22" t="str">
        <f ca="1">IF(ISERROR(MATCH(N$1,INDIRECT("Table!A"&amp;$AF204):INDIRECT("Table!" &amp; $AI$253 &amp; $AF204),0)),"",INDIRECT(CONCATENATE("Table!",ADDRESS(#REF!,MATCH(N$1,INDIRECT("Table!A" &amp; $AF204):INDIRECT("Table!" &amp; $AI$253 &amp; $AF204),0))))/1024)</f>
        <v/>
      </c>
      <c r="N204" s="22" t="str">
        <f ca="1">IF(ISERROR(MATCH(O$1,INDIRECT("Table!A"&amp;$AF204):INDIRECT("Table!" &amp; $AI$253 &amp; $AF204),0)),"",INDIRECT(CONCATENATE("Table!",ADDRESS(#REF!,MATCH(O$1,INDIRECT("Table!A" &amp; $AF204):INDIRECT("Table!" &amp; $AI$253 &amp; $AF204),0))))/1024)</f>
        <v/>
      </c>
      <c r="O204" s="22"/>
      <c r="P204" s="272"/>
      <c r="Q204" s="22"/>
      <c r="R204" s="119"/>
      <c r="T204" s="595"/>
      <c r="U204" s="119"/>
      <c r="AD204" s="119"/>
      <c r="AE204" s="119"/>
      <c r="AF204" s="22"/>
      <c r="AG204" s="119"/>
      <c r="AH204" s="119"/>
      <c r="AI204" s="119"/>
    </row>
    <row r="205" spans="2:35" x14ac:dyDescent="0.25">
      <c r="B205" s="22" t="str">
        <f ca="1">IF(ISERROR(MATCH(B$1,INDIRECT("Table!A"&amp;$AF205):INDIRECT("Table!" &amp; $AI$253 &amp; $AF205),0)),"",INDIRECT(CONCATENATE("Table!",ADDRESS(#REF!,MATCH(B$1,INDIRECT("Table!A" &amp; $AF205):INDIRECT("Table!" &amp; $AI$253 &amp; $AF205),0))))/1024)</f>
        <v/>
      </c>
      <c r="C205" s="22" t="str">
        <f ca="1">IF(ISERROR(MATCH(C$1,INDIRECT("Table!A"&amp;$AF205):INDIRECT("Table!" &amp; $AI$253 &amp; $AF205),0)),"",INDIRECT(CONCATENATE("Table!",ADDRESS(#REF!,MATCH(C$1,INDIRECT("Table!A" &amp; $AF205):INDIRECT("Table!" &amp; $AI$253 &amp; $AF205),0))))/1024)</f>
        <v/>
      </c>
      <c r="D205" s="22" t="str">
        <f ca="1">IF(ISERROR(MATCH(D$1,INDIRECT("Table!A"&amp;$AF205):INDIRECT("Table!" &amp; $AI$253 &amp; $AF205),0)),"",INDIRECT(CONCATENATE("Table!",ADDRESS(#REF!,MATCH(D$1,INDIRECT("Table!A" &amp; $AF205):INDIRECT("Table!" &amp; $AI$253 &amp; $AF205),0))))/1024)</f>
        <v/>
      </c>
      <c r="E205" s="22" t="str">
        <f ca="1">IF(ISERROR(MATCH(E$1,INDIRECT("Table!A"&amp;$AF205):INDIRECT("Table!" &amp; $AI$253 &amp; $AF205),0)),"",INDIRECT(CONCATENATE("Table!",ADDRESS(#REF!,MATCH(E$1,INDIRECT("Table!A" &amp; $AF205):INDIRECT("Table!" &amp; $AI$253 &amp; $AF205),0))))/1024)</f>
        <v/>
      </c>
      <c r="F205" s="22" t="str">
        <f ca="1">IF(ISERROR(MATCH(F$1,INDIRECT("Table!A"&amp;$AF205):INDIRECT("Table!" &amp; $AI$253 &amp; $AF205),0)),"",INDIRECT(CONCATENATE("Table!",ADDRESS(#REF!,MATCH(F$1,INDIRECT("Table!A" &amp; $AF205):INDIRECT("Table!" &amp; $AI$253 &amp; $AF205),0))))/1024)</f>
        <v/>
      </c>
      <c r="G205" s="22" t="str">
        <f ca="1">IF(ISERROR(MATCH(G$1,INDIRECT("Table!A"&amp;$AF205):INDIRECT("Table!" &amp; $AI$253 &amp; $AF205),0)),"",INDIRECT(CONCATENATE("Table!",ADDRESS(#REF!,MATCH(G$1,INDIRECT("Table!A" &amp; $AF205):INDIRECT("Table!" &amp; $AI$253 &amp; $AF205),0))))/1024)</f>
        <v/>
      </c>
      <c r="H205" s="22" t="str">
        <f ca="1">IF(ISERROR(MATCH(H$1,INDIRECT("Table!A"&amp;$AF205):INDIRECT("Table!" &amp; $AI$253 &amp; $AF205),0)),"",INDIRECT(CONCATENATE("Table!",ADDRESS(#REF!,MATCH(H$1,INDIRECT("Table!A" &amp; $AF205):INDIRECT("Table!" &amp; $AI$253 &amp; $AF205),0))))/1024)</f>
        <v/>
      </c>
      <c r="K205" s="22" t="str">
        <f ca="1">IF(ISERROR(MATCH(L$1,INDIRECT("Table!A"&amp;$AF205):INDIRECT("Table!" &amp; $AI$253 &amp; $AF205),0)),"",INDIRECT(CONCATENATE("Table!",ADDRESS(#REF!,MATCH(L$1,INDIRECT("Table!A" &amp; $AF205):INDIRECT("Table!" &amp; $AI$253 &amp; $AF205),0))))/1024)</f>
        <v/>
      </c>
      <c r="L205" s="22" t="str">
        <f ca="1">IF(ISERROR(MATCH(M$1,INDIRECT("Table!A"&amp;$AF205):INDIRECT("Table!" &amp; $AI$253 &amp; $AF205),0)),"",INDIRECT(CONCATENATE("Table!",ADDRESS(#REF!,MATCH(M$1,INDIRECT("Table!A" &amp; $AF205):INDIRECT("Table!" &amp; $AI$253 &amp; $AF205),0))))/1024)</f>
        <v/>
      </c>
      <c r="M205" s="22" t="str">
        <f ca="1">IF(ISERROR(MATCH(N$1,INDIRECT("Table!A"&amp;$AF205):INDIRECT("Table!" &amp; $AI$253 &amp; $AF205),0)),"",INDIRECT(CONCATENATE("Table!",ADDRESS(#REF!,MATCH(N$1,INDIRECT("Table!A" &amp; $AF205):INDIRECT("Table!" &amp; $AI$253 &amp; $AF205),0))))/1024)</f>
        <v/>
      </c>
      <c r="N205" s="22" t="str">
        <f ca="1">IF(ISERROR(MATCH(O$1,INDIRECT("Table!A"&amp;$AF205):INDIRECT("Table!" &amp; $AI$253 &amp; $AF205),0)),"",INDIRECT(CONCATENATE("Table!",ADDRESS(#REF!,MATCH(O$1,INDIRECT("Table!A" &amp; $AF205):INDIRECT("Table!" &amp; $AI$253 &amp; $AF205),0))))/1024)</f>
        <v/>
      </c>
      <c r="O205" s="22"/>
      <c r="P205" s="272"/>
      <c r="Q205" s="22"/>
      <c r="R205" s="118"/>
      <c r="T205" s="595"/>
      <c r="U205" s="118"/>
      <c r="AD205" s="118"/>
      <c r="AE205" s="118"/>
      <c r="AF205" s="22"/>
      <c r="AG205" s="118"/>
      <c r="AH205" s="118"/>
      <c r="AI205" s="118"/>
    </row>
    <row r="206" spans="2:35" x14ac:dyDescent="0.25">
      <c r="B206" s="22" t="str">
        <f ca="1">IF(ISERROR(MATCH(B$1,INDIRECT("Table!A"&amp;$AF206):INDIRECT("Table!" &amp; $AI$253 &amp; $AF206),0)),"",INDIRECT(CONCATENATE("Table!",ADDRESS(#REF!,MATCH(B$1,INDIRECT("Table!A" &amp; $AF206):INDIRECT("Table!" &amp; $AI$253 &amp; $AF206),0))))/1024)</f>
        <v/>
      </c>
      <c r="C206" s="22" t="str">
        <f ca="1">IF(ISERROR(MATCH(C$1,INDIRECT("Table!A"&amp;$AF206):INDIRECT("Table!" &amp; $AI$253 &amp; $AF206),0)),"",INDIRECT(CONCATENATE("Table!",ADDRESS(#REF!,MATCH(C$1,INDIRECT("Table!A" &amp; $AF206):INDIRECT("Table!" &amp; $AI$253 &amp; $AF206),0))))/1024)</f>
        <v/>
      </c>
      <c r="D206" s="22" t="str">
        <f ca="1">IF(ISERROR(MATCH(D$1,INDIRECT("Table!A"&amp;$AF206):INDIRECT("Table!" &amp; $AI$253 &amp; $AF206),0)),"",INDIRECT(CONCATENATE("Table!",ADDRESS(#REF!,MATCH(D$1,INDIRECT("Table!A" &amp; $AF206):INDIRECT("Table!" &amp; $AI$253 &amp; $AF206),0))))/1024)</f>
        <v/>
      </c>
      <c r="E206" s="22" t="str">
        <f ca="1">IF(ISERROR(MATCH(E$1,INDIRECT("Table!A"&amp;$AF206):INDIRECT("Table!" &amp; $AI$253 &amp; $AF206),0)),"",INDIRECT(CONCATENATE("Table!",ADDRESS(#REF!,MATCH(E$1,INDIRECT("Table!A" &amp; $AF206):INDIRECT("Table!" &amp; $AI$253 &amp; $AF206),0))))/1024)</f>
        <v/>
      </c>
      <c r="F206" s="22" t="str">
        <f ca="1">IF(ISERROR(MATCH(F$1,INDIRECT("Table!A"&amp;$AF206):INDIRECT("Table!" &amp; $AI$253 &amp; $AF206),0)),"",INDIRECT(CONCATENATE("Table!",ADDRESS(#REF!,MATCH(F$1,INDIRECT("Table!A" &amp; $AF206):INDIRECT("Table!" &amp; $AI$253 &amp; $AF206),0))))/1024)</f>
        <v/>
      </c>
      <c r="G206" s="22" t="str">
        <f ca="1">IF(ISERROR(MATCH(G$1,INDIRECT("Table!A"&amp;$AF206):INDIRECT("Table!" &amp; $AI$253 &amp; $AF206),0)),"",INDIRECT(CONCATENATE("Table!",ADDRESS(#REF!,MATCH(G$1,INDIRECT("Table!A" &amp; $AF206):INDIRECT("Table!" &amp; $AI$253 &amp; $AF206),0))))/1024)</f>
        <v/>
      </c>
      <c r="H206" s="22" t="str">
        <f ca="1">IF(ISERROR(MATCH(H$1,INDIRECT("Table!A"&amp;$AF206):INDIRECT("Table!" &amp; $AI$253 &amp; $AF206),0)),"",INDIRECT(CONCATENATE("Table!",ADDRESS(#REF!,MATCH(H$1,INDIRECT("Table!A" &amp; $AF206):INDIRECT("Table!" &amp; $AI$253 &amp; $AF206),0))))/1024)</f>
        <v/>
      </c>
      <c r="K206" s="22" t="str">
        <f ca="1">IF(ISERROR(MATCH(L$1,INDIRECT("Table!A"&amp;$AF206):INDIRECT("Table!" &amp; $AI$253 &amp; $AF206),0)),"",INDIRECT(CONCATENATE("Table!",ADDRESS(#REF!,MATCH(L$1,INDIRECT("Table!A" &amp; $AF206):INDIRECT("Table!" &amp; $AI$253 &amp; $AF206),0))))/1024)</f>
        <v/>
      </c>
      <c r="L206" s="22" t="str">
        <f ca="1">IF(ISERROR(MATCH(M$1,INDIRECT("Table!A"&amp;$AF206):INDIRECT("Table!" &amp; $AI$253 &amp; $AF206),0)),"",INDIRECT(CONCATENATE("Table!",ADDRESS(#REF!,MATCH(M$1,INDIRECT("Table!A" &amp; $AF206):INDIRECT("Table!" &amp; $AI$253 &amp; $AF206),0))))/1024)</f>
        <v/>
      </c>
      <c r="M206" s="22" t="str">
        <f ca="1">IF(ISERROR(MATCH(N$1,INDIRECT("Table!A"&amp;$AF206):INDIRECT("Table!" &amp; $AI$253 &amp; $AF206),0)),"",INDIRECT(CONCATENATE("Table!",ADDRESS(#REF!,MATCH(N$1,INDIRECT("Table!A" &amp; $AF206):INDIRECT("Table!" &amp; $AI$253 &amp; $AF206),0))))/1024)</f>
        <v/>
      </c>
      <c r="N206" s="22" t="str">
        <f ca="1">IF(ISERROR(MATCH(O$1,INDIRECT("Table!A"&amp;$AF206):INDIRECT("Table!" &amp; $AI$253 &amp; $AF206),0)),"",INDIRECT(CONCATENATE("Table!",ADDRESS(#REF!,MATCH(O$1,INDIRECT("Table!A" &amp; $AF206):INDIRECT("Table!" &amp; $AI$253 &amp; $AF206),0))))/1024)</f>
        <v/>
      </c>
      <c r="O206" s="22"/>
      <c r="P206" s="272"/>
      <c r="Q206" s="22"/>
      <c r="R206" s="117"/>
      <c r="T206" s="595"/>
      <c r="U206" s="117"/>
      <c r="AD206" s="117"/>
      <c r="AE206" s="117"/>
      <c r="AF206" s="22"/>
      <c r="AG206" s="117"/>
      <c r="AH206" s="117"/>
      <c r="AI206" s="117"/>
    </row>
    <row r="207" spans="2:35" x14ac:dyDescent="0.25">
      <c r="B207" s="22" t="str">
        <f ca="1">IF(ISERROR(MATCH(B$1,INDIRECT("Table!A"&amp;$AF207):INDIRECT("Table!" &amp; $AI$253 &amp; $AF207),0)),"",INDIRECT(CONCATENATE("Table!",ADDRESS(#REF!,MATCH(B$1,INDIRECT("Table!A" &amp; $AF207):INDIRECT("Table!" &amp; $AI$253 &amp; $AF207),0))))/1024)</f>
        <v/>
      </c>
      <c r="C207" s="22" t="str">
        <f ca="1">IF(ISERROR(MATCH(C$1,INDIRECT("Table!A"&amp;$AF207):INDIRECT("Table!" &amp; $AI$253 &amp; $AF207),0)),"",INDIRECT(CONCATENATE("Table!",ADDRESS(#REF!,MATCH(C$1,INDIRECT("Table!A" &amp; $AF207):INDIRECT("Table!" &amp; $AI$253 &amp; $AF207),0))))/1024)</f>
        <v/>
      </c>
      <c r="D207" s="22" t="str">
        <f ca="1">IF(ISERROR(MATCH(D$1,INDIRECT("Table!A"&amp;$AF207):INDIRECT("Table!" &amp; $AI$253 &amp; $AF207),0)),"",INDIRECT(CONCATENATE("Table!",ADDRESS(#REF!,MATCH(D$1,INDIRECT("Table!A" &amp; $AF207):INDIRECT("Table!" &amp; $AI$253 &amp; $AF207),0))))/1024)</f>
        <v/>
      </c>
      <c r="E207" s="22" t="str">
        <f ca="1">IF(ISERROR(MATCH(E$1,INDIRECT("Table!A"&amp;$AF207):INDIRECT("Table!" &amp; $AI$253 &amp; $AF207),0)),"",INDIRECT(CONCATENATE("Table!",ADDRESS(#REF!,MATCH(E$1,INDIRECT("Table!A" &amp; $AF207):INDIRECT("Table!" &amp; $AI$253 &amp; $AF207),0))))/1024)</f>
        <v/>
      </c>
      <c r="F207" s="22" t="str">
        <f ca="1">IF(ISERROR(MATCH(F$1,INDIRECT("Table!A"&amp;$AF207):INDIRECT("Table!" &amp; $AI$253 &amp; $AF207),0)),"",INDIRECT(CONCATENATE("Table!",ADDRESS(#REF!,MATCH(F$1,INDIRECT("Table!A" &amp; $AF207):INDIRECT("Table!" &amp; $AI$253 &amp; $AF207),0))))/1024)</f>
        <v/>
      </c>
      <c r="G207" s="22" t="str">
        <f ca="1">IF(ISERROR(MATCH(G$1,INDIRECT("Table!A"&amp;$AF207):INDIRECT("Table!" &amp; $AI$253 &amp; $AF207),0)),"",INDIRECT(CONCATENATE("Table!",ADDRESS(#REF!,MATCH(G$1,INDIRECT("Table!A" &amp; $AF207):INDIRECT("Table!" &amp; $AI$253 &amp; $AF207),0))))/1024)</f>
        <v/>
      </c>
      <c r="H207" s="22" t="str">
        <f ca="1">IF(ISERROR(MATCH(H$1,INDIRECT("Table!A"&amp;$AF207):INDIRECT("Table!" &amp; $AI$253 &amp; $AF207),0)),"",INDIRECT(CONCATENATE("Table!",ADDRESS(#REF!,MATCH(H$1,INDIRECT("Table!A" &amp; $AF207):INDIRECT("Table!" &amp; $AI$253 &amp; $AF207),0))))/1024)</f>
        <v/>
      </c>
      <c r="K207" s="22" t="str">
        <f ca="1">IF(ISERROR(MATCH(L$1,INDIRECT("Table!A"&amp;$AF207):INDIRECT("Table!" &amp; $AI$253 &amp; $AF207),0)),"",INDIRECT(CONCATENATE("Table!",ADDRESS(#REF!,MATCH(L$1,INDIRECT("Table!A" &amp; $AF207):INDIRECT("Table!" &amp; $AI$253 &amp; $AF207),0))))/1024)</f>
        <v/>
      </c>
      <c r="L207" s="22" t="str">
        <f ca="1">IF(ISERROR(MATCH(M$1,INDIRECT("Table!A"&amp;$AF207):INDIRECT("Table!" &amp; $AI$253 &amp; $AF207),0)),"",INDIRECT(CONCATENATE("Table!",ADDRESS(#REF!,MATCH(M$1,INDIRECT("Table!A" &amp; $AF207):INDIRECT("Table!" &amp; $AI$253 &amp; $AF207),0))))/1024)</f>
        <v/>
      </c>
      <c r="M207" s="22" t="str">
        <f ca="1">IF(ISERROR(MATCH(N$1,INDIRECT("Table!A"&amp;$AF207):INDIRECT("Table!" &amp; $AI$253 &amp; $AF207),0)),"",INDIRECT(CONCATENATE("Table!",ADDRESS(#REF!,MATCH(N$1,INDIRECT("Table!A" &amp; $AF207):INDIRECT("Table!" &amp; $AI$253 &amp; $AF207),0))))/1024)</f>
        <v/>
      </c>
      <c r="N207" s="22" t="str">
        <f ca="1">IF(ISERROR(MATCH(O$1,INDIRECT("Table!A"&amp;$AF207):INDIRECT("Table!" &amp; $AI$253 &amp; $AF207),0)),"",INDIRECT(CONCATENATE("Table!",ADDRESS(#REF!,MATCH(O$1,INDIRECT("Table!A" &amp; $AF207):INDIRECT("Table!" &amp; $AI$253 &amp; $AF207),0))))/1024)</f>
        <v/>
      </c>
      <c r="O207" s="22"/>
      <c r="P207" s="272"/>
      <c r="Q207" s="22"/>
      <c r="R207" s="116"/>
      <c r="T207" s="595"/>
      <c r="U207" s="116"/>
      <c r="AD207" s="116"/>
      <c r="AE207" s="116"/>
      <c r="AF207" s="22"/>
      <c r="AG207" s="116"/>
      <c r="AH207" s="116"/>
      <c r="AI207" s="116"/>
    </row>
    <row r="208" spans="2:35" x14ac:dyDescent="0.25">
      <c r="B208" s="22" t="str">
        <f ca="1">IF(ISERROR(MATCH(B$1,INDIRECT("Table!A"&amp;$AF208):INDIRECT("Table!" &amp; $AI$253 &amp; $AF208),0)),"",INDIRECT(CONCATENATE("Table!",ADDRESS(#REF!,MATCH(B$1,INDIRECT("Table!A" &amp; $AF208):INDIRECT("Table!" &amp; $AI$253 &amp; $AF208),0))))/1024)</f>
        <v/>
      </c>
      <c r="C208" s="22" t="str">
        <f ca="1">IF(ISERROR(MATCH(C$1,INDIRECT("Table!A"&amp;$AF208):INDIRECT("Table!" &amp; $AI$253 &amp; $AF208),0)),"",INDIRECT(CONCATENATE("Table!",ADDRESS(#REF!,MATCH(C$1,INDIRECT("Table!A" &amp; $AF208):INDIRECT("Table!" &amp; $AI$253 &amp; $AF208),0))))/1024)</f>
        <v/>
      </c>
      <c r="D208" s="22" t="str">
        <f ca="1">IF(ISERROR(MATCH(D$1,INDIRECT("Table!A"&amp;$AF208):INDIRECT("Table!" &amp; $AI$253 &amp; $AF208),0)),"",INDIRECT(CONCATENATE("Table!",ADDRESS(#REF!,MATCH(D$1,INDIRECT("Table!A" &amp; $AF208):INDIRECT("Table!" &amp; $AI$253 &amp; $AF208),0))))/1024)</f>
        <v/>
      </c>
      <c r="E208" s="22" t="str">
        <f ca="1">IF(ISERROR(MATCH(E$1,INDIRECT("Table!A"&amp;$AF208):INDIRECT("Table!" &amp; $AI$253 &amp; $AF208),0)),"",INDIRECT(CONCATENATE("Table!",ADDRESS(#REF!,MATCH(E$1,INDIRECT("Table!A" &amp; $AF208):INDIRECT("Table!" &amp; $AI$253 &amp; $AF208),0))))/1024)</f>
        <v/>
      </c>
      <c r="F208" s="22" t="str">
        <f ca="1">IF(ISERROR(MATCH(F$1,INDIRECT("Table!A"&amp;$AF208):INDIRECT("Table!" &amp; $AI$253 &amp; $AF208),0)),"",INDIRECT(CONCATENATE("Table!",ADDRESS(#REF!,MATCH(F$1,INDIRECT("Table!A" &amp; $AF208):INDIRECT("Table!" &amp; $AI$253 &amp; $AF208),0))))/1024)</f>
        <v/>
      </c>
      <c r="G208" s="22" t="str">
        <f ca="1">IF(ISERROR(MATCH(G$1,INDIRECT("Table!A"&amp;$AF208):INDIRECT("Table!" &amp; $AI$253 &amp; $AF208),0)),"",INDIRECT(CONCATENATE("Table!",ADDRESS(#REF!,MATCH(G$1,INDIRECT("Table!A" &amp; $AF208):INDIRECT("Table!" &amp; $AI$253 &amp; $AF208),0))))/1024)</f>
        <v/>
      </c>
      <c r="H208" s="22" t="str">
        <f ca="1">IF(ISERROR(MATCH(H$1,INDIRECT("Table!A"&amp;$AF208):INDIRECT("Table!" &amp; $AI$253 &amp; $AF208),0)),"",INDIRECT(CONCATENATE("Table!",ADDRESS(#REF!,MATCH(H$1,INDIRECT("Table!A" &amp; $AF208):INDIRECT("Table!" &amp; $AI$253 &amp; $AF208),0))))/1024)</f>
        <v/>
      </c>
      <c r="K208" s="22" t="str">
        <f ca="1">IF(ISERROR(MATCH(L$1,INDIRECT("Table!A"&amp;$AF208):INDIRECT("Table!" &amp; $AI$253 &amp; $AF208),0)),"",INDIRECT(CONCATENATE("Table!",ADDRESS(#REF!,MATCH(L$1,INDIRECT("Table!A" &amp; $AF208):INDIRECT("Table!" &amp; $AI$253 &amp; $AF208),0))))/1024)</f>
        <v/>
      </c>
      <c r="L208" s="22" t="str">
        <f ca="1">IF(ISERROR(MATCH(M$1,INDIRECT("Table!A"&amp;$AF208):INDIRECT("Table!" &amp; $AI$253 &amp; $AF208),0)),"",INDIRECT(CONCATENATE("Table!",ADDRESS(#REF!,MATCH(M$1,INDIRECT("Table!A" &amp; $AF208):INDIRECT("Table!" &amp; $AI$253 &amp; $AF208),0))))/1024)</f>
        <v/>
      </c>
      <c r="M208" s="22" t="str">
        <f ca="1">IF(ISERROR(MATCH(N$1,INDIRECT("Table!A"&amp;$AF208):INDIRECT("Table!" &amp; $AI$253 &amp; $AF208),0)),"",INDIRECT(CONCATENATE("Table!",ADDRESS(#REF!,MATCH(N$1,INDIRECT("Table!A" &amp; $AF208):INDIRECT("Table!" &amp; $AI$253 &amp; $AF208),0))))/1024)</f>
        <v/>
      </c>
      <c r="N208" s="22" t="str">
        <f ca="1">IF(ISERROR(MATCH(O$1,INDIRECT("Table!A"&amp;$AF208):INDIRECT("Table!" &amp; $AI$253 &amp; $AF208),0)),"",INDIRECT(CONCATENATE("Table!",ADDRESS(#REF!,MATCH(O$1,INDIRECT("Table!A" &amp; $AF208):INDIRECT("Table!" &amp; $AI$253 &amp; $AF208),0))))/1024)</f>
        <v/>
      </c>
      <c r="O208" s="22"/>
      <c r="P208" s="272"/>
      <c r="Q208" s="22"/>
      <c r="R208" s="115"/>
      <c r="T208" s="595"/>
      <c r="U208" s="115"/>
      <c r="AD208" s="115"/>
      <c r="AE208" s="115"/>
      <c r="AF208" s="22"/>
      <c r="AG208" s="115"/>
      <c r="AH208" s="115"/>
      <c r="AI208" s="115"/>
    </row>
    <row r="209" spans="2:35" x14ac:dyDescent="0.25">
      <c r="B209" s="22" t="str">
        <f ca="1">IF(ISERROR(MATCH(B$1,INDIRECT("Table!A"&amp;$AF209):INDIRECT("Table!" &amp; $AI$253 &amp; $AF209),0)),"",INDIRECT(CONCATENATE("Table!",ADDRESS(#REF!,MATCH(B$1,INDIRECT("Table!A" &amp; $AF209):INDIRECT("Table!" &amp; $AI$253 &amp; $AF209),0))))/1024)</f>
        <v/>
      </c>
      <c r="C209" s="22" t="str">
        <f ca="1">IF(ISERROR(MATCH(C$1,INDIRECT("Table!A"&amp;$AF209):INDIRECT("Table!" &amp; $AI$253 &amp; $AF209),0)),"",INDIRECT(CONCATENATE("Table!",ADDRESS(#REF!,MATCH(C$1,INDIRECT("Table!A" &amp; $AF209):INDIRECT("Table!" &amp; $AI$253 &amp; $AF209),0))))/1024)</f>
        <v/>
      </c>
      <c r="D209" s="22" t="str">
        <f ca="1">IF(ISERROR(MATCH(D$1,INDIRECT("Table!A"&amp;$AF209):INDIRECT("Table!" &amp; $AI$253 &amp; $AF209),0)),"",INDIRECT(CONCATENATE("Table!",ADDRESS(#REF!,MATCH(D$1,INDIRECT("Table!A" &amp; $AF209):INDIRECT("Table!" &amp; $AI$253 &amp; $AF209),0))))/1024)</f>
        <v/>
      </c>
      <c r="E209" s="22" t="str">
        <f ca="1">IF(ISERROR(MATCH(E$1,INDIRECT("Table!A"&amp;$AF209):INDIRECT("Table!" &amp; $AI$253 &amp; $AF209),0)),"",INDIRECT(CONCATENATE("Table!",ADDRESS(#REF!,MATCH(E$1,INDIRECT("Table!A" &amp; $AF209):INDIRECT("Table!" &amp; $AI$253 &amp; $AF209),0))))/1024)</f>
        <v/>
      </c>
      <c r="F209" s="22" t="str">
        <f ca="1">IF(ISERROR(MATCH(F$1,INDIRECT("Table!A"&amp;$AF209):INDIRECT("Table!" &amp; $AI$253 &amp; $AF209),0)),"",INDIRECT(CONCATENATE("Table!",ADDRESS(#REF!,MATCH(F$1,INDIRECT("Table!A" &amp; $AF209):INDIRECT("Table!" &amp; $AI$253 &amp; $AF209),0))))/1024)</f>
        <v/>
      </c>
      <c r="G209" s="22" t="str">
        <f ca="1">IF(ISERROR(MATCH(G$1,INDIRECT("Table!A"&amp;$AF209):INDIRECT("Table!" &amp; $AI$253 &amp; $AF209),0)),"",INDIRECT(CONCATENATE("Table!",ADDRESS(#REF!,MATCH(G$1,INDIRECT("Table!A" &amp; $AF209):INDIRECT("Table!" &amp; $AI$253 &amp; $AF209),0))))/1024)</f>
        <v/>
      </c>
      <c r="H209" s="22" t="str">
        <f ca="1">IF(ISERROR(MATCH(H$1,INDIRECT("Table!A"&amp;$AF209):INDIRECT("Table!" &amp; $AI$253 &amp; $AF209),0)),"",INDIRECT(CONCATENATE("Table!",ADDRESS(#REF!,MATCH(H$1,INDIRECT("Table!A" &amp; $AF209):INDIRECT("Table!" &amp; $AI$253 &amp; $AF209),0))))/1024)</f>
        <v/>
      </c>
      <c r="K209" s="22" t="str">
        <f ca="1">IF(ISERROR(MATCH(L$1,INDIRECT("Table!A"&amp;$AF209):INDIRECT("Table!" &amp; $AI$253 &amp; $AF209),0)),"",INDIRECT(CONCATENATE("Table!",ADDRESS(#REF!,MATCH(L$1,INDIRECT("Table!A" &amp; $AF209):INDIRECT("Table!" &amp; $AI$253 &amp; $AF209),0))))/1024)</f>
        <v/>
      </c>
      <c r="L209" s="22" t="str">
        <f ca="1">IF(ISERROR(MATCH(M$1,INDIRECT("Table!A"&amp;$AF209):INDIRECT("Table!" &amp; $AI$253 &amp; $AF209),0)),"",INDIRECT(CONCATENATE("Table!",ADDRESS(#REF!,MATCH(M$1,INDIRECT("Table!A" &amp; $AF209):INDIRECT("Table!" &amp; $AI$253 &amp; $AF209),0))))/1024)</f>
        <v/>
      </c>
      <c r="M209" s="22" t="str">
        <f ca="1">IF(ISERROR(MATCH(N$1,INDIRECT("Table!A"&amp;$AF209):INDIRECT("Table!" &amp; $AI$253 &amp; $AF209),0)),"",INDIRECT(CONCATENATE("Table!",ADDRESS(#REF!,MATCH(N$1,INDIRECT("Table!A" &amp; $AF209):INDIRECT("Table!" &amp; $AI$253 &amp; $AF209),0))))/1024)</f>
        <v/>
      </c>
      <c r="N209" s="22" t="str">
        <f ca="1">IF(ISERROR(MATCH(O$1,INDIRECT("Table!A"&amp;$AF209):INDIRECT("Table!" &amp; $AI$253 &amp; $AF209),0)),"",INDIRECT(CONCATENATE("Table!",ADDRESS(#REF!,MATCH(O$1,INDIRECT("Table!A" &amp; $AF209):INDIRECT("Table!" &amp; $AI$253 &amp; $AF209),0))))/1024)</f>
        <v/>
      </c>
      <c r="O209" s="22"/>
      <c r="P209" s="272"/>
      <c r="Q209" s="22"/>
      <c r="R209" s="114"/>
      <c r="T209" s="595"/>
      <c r="U209" s="114"/>
      <c r="AD209" s="114"/>
      <c r="AE209" s="114"/>
      <c r="AF209" s="22"/>
      <c r="AG209" s="114"/>
      <c r="AH209" s="114"/>
      <c r="AI209" s="114"/>
    </row>
    <row r="210" spans="2:35" x14ac:dyDescent="0.25">
      <c r="B210" s="22" t="str">
        <f ca="1">IF(ISERROR(MATCH(B$1,INDIRECT("Table!A"&amp;$AF210):INDIRECT("Table!" &amp; $AI$253 &amp; $AF210),0)),"",INDIRECT(CONCATENATE("Table!",ADDRESS(#REF!,MATCH(B$1,INDIRECT("Table!A" &amp; $AF210):INDIRECT("Table!" &amp; $AI$253 &amp; $AF210),0))))/1024)</f>
        <v/>
      </c>
      <c r="C210" s="22" t="str">
        <f ca="1">IF(ISERROR(MATCH(C$1,INDIRECT("Table!A"&amp;$AF210):INDIRECT("Table!" &amp; $AI$253 &amp; $AF210),0)),"",INDIRECT(CONCATENATE("Table!",ADDRESS(#REF!,MATCH(C$1,INDIRECT("Table!A" &amp; $AF210):INDIRECT("Table!" &amp; $AI$253 &amp; $AF210),0))))/1024)</f>
        <v/>
      </c>
      <c r="D210" s="22" t="str">
        <f ca="1">IF(ISERROR(MATCH(D$1,INDIRECT("Table!A"&amp;$AF210):INDIRECT("Table!" &amp; $AI$253 &amp; $AF210),0)),"",INDIRECT(CONCATENATE("Table!",ADDRESS(#REF!,MATCH(D$1,INDIRECT("Table!A" &amp; $AF210):INDIRECT("Table!" &amp; $AI$253 &amp; $AF210),0))))/1024)</f>
        <v/>
      </c>
      <c r="E210" s="22" t="str">
        <f ca="1">IF(ISERROR(MATCH(E$1,INDIRECT("Table!A"&amp;$AF210):INDIRECT("Table!" &amp; $AI$253 &amp; $AF210),0)),"",INDIRECT(CONCATENATE("Table!",ADDRESS(#REF!,MATCH(E$1,INDIRECT("Table!A" &amp; $AF210):INDIRECT("Table!" &amp; $AI$253 &amp; $AF210),0))))/1024)</f>
        <v/>
      </c>
      <c r="F210" s="22" t="str">
        <f ca="1">IF(ISERROR(MATCH(F$1,INDIRECT("Table!A"&amp;$AF210):INDIRECT("Table!" &amp; $AI$253 &amp; $AF210),0)),"",INDIRECT(CONCATENATE("Table!",ADDRESS(#REF!,MATCH(F$1,INDIRECT("Table!A" &amp; $AF210):INDIRECT("Table!" &amp; $AI$253 &amp; $AF210),0))))/1024)</f>
        <v/>
      </c>
      <c r="G210" s="22" t="str">
        <f ca="1">IF(ISERROR(MATCH(G$1,INDIRECT("Table!A"&amp;$AF210):INDIRECT("Table!" &amp; $AI$253 &amp; $AF210),0)),"",INDIRECT(CONCATENATE("Table!",ADDRESS(#REF!,MATCH(G$1,INDIRECT("Table!A" &amp; $AF210):INDIRECT("Table!" &amp; $AI$253 &amp; $AF210),0))))/1024)</f>
        <v/>
      </c>
      <c r="H210" s="22" t="str">
        <f ca="1">IF(ISERROR(MATCH(H$1,INDIRECT("Table!A"&amp;$AF210):INDIRECT("Table!" &amp; $AI$253 &amp; $AF210),0)),"",INDIRECT(CONCATENATE("Table!",ADDRESS(#REF!,MATCH(H$1,INDIRECT("Table!A" &amp; $AF210):INDIRECT("Table!" &amp; $AI$253 &amp; $AF210),0))))/1024)</f>
        <v/>
      </c>
      <c r="K210" s="22" t="str">
        <f ca="1">IF(ISERROR(MATCH(L$1,INDIRECT("Table!A"&amp;$AF210):INDIRECT("Table!" &amp; $AI$253 &amp; $AF210),0)),"",INDIRECT(CONCATENATE("Table!",ADDRESS(#REF!,MATCH(L$1,INDIRECT("Table!A" &amp; $AF210):INDIRECT("Table!" &amp; $AI$253 &amp; $AF210),0))))/1024)</f>
        <v/>
      </c>
      <c r="L210" s="22" t="str">
        <f ca="1">IF(ISERROR(MATCH(M$1,INDIRECT("Table!A"&amp;$AF210):INDIRECT("Table!" &amp; $AI$253 &amp; $AF210),0)),"",INDIRECT(CONCATENATE("Table!",ADDRESS(#REF!,MATCH(M$1,INDIRECT("Table!A" &amp; $AF210):INDIRECT("Table!" &amp; $AI$253 &amp; $AF210),0))))/1024)</f>
        <v/>
      </c>
      <c r="M210" s="22" t="str">
        <f ca="1">IF(ISERROR(MATCH(N$1,INDIRECT("Table!A"&amp;$AF210):INDIRECT("Table!" &amp; $AI$253 &amp; $AF210),0)),"",INDIRECT(CONCATENATE("Table!",ADDRESS(#REF!,MATCH(N$1,INDIRECT("Table!A" &amp; $AF210):INDIRECT("Table!" &amp; $AI$253 &amp; $AF210),0))))/1024)</f>
        <v/>
      </c>
      <c r="N210" s="22" t="str">
        <f ca="1">IF(ISERROR(MATCH(O$1,INDIRECT("Table!A"&amp;$AF210):INDIRECT("Table!" &amp; $AI$253 &amp; $AF210),0)),"",INDIRECT(CONCATENATE("Table!",ADDRESS(#REF!,MATCH(O$1,INDIRECT("Table!A" &amp; $AF210):INDIRECT("Table!" &amp; $AI$253 &amp; $AF210),0))))/1024)</f>
        <v/>
      </c>
      <c r="O210" s="22"/>
      <c r="P210" s="272"/>
      <c r="Q210" s="22"/>
      <c r="R210" s="113"/>
      <c r="T210" s="595"/>
      <c r="U210" s="113"/>
      <c r="AD210" s="113"/>
      <c r="AE210" s="113"/>
      <c r="AF210" s="22"/>
      <c r="AG210" s="113"/>
      <c r="AH210" s="113"/>
      <c r="AI210" s="113"/>
    </row>
    <row r="211" spans="2:35" x14ac:dyDescent="0.25">
      <c r="B211" s="22" t="str">
        <f ca="1">IF(ISERROR(MATCH(B$1,INDIRECT("Table!A"&amp;$AF211):INDIRECT("Table!" &amp; $AI$253 &amp; $AF211),0)),"",INDIRECT(CONCATENATE("Table!",ADDRESS(#REF!,MATCH(B$1,INDIRECT("Table!A" &amp; $AF211):INDIRECT("Table!" &amp; $AI$253 &amp; $AF211),0))))/1024)</f>
        <v/>
      </c>
      <c r="C211" s="22" t="str">
        <f ca="1">IF(ISERROR(MATCH(C$1,INDIRECT("Table!A"&amp;$AF211):INDIRECT("Table!" &amp; $AI$253 &amp; $AF211),0)),"",INDIRECT(CONCATENATE("Table!",ADDRESS(#REF!,MATCH(C$1,INDIRECT("Table!A" &amp; $AF211):INDIRECT("Table!" &amp; $AI$253 &amp; $AF211),0))))/1024)</f>
        <v/>
      </c>
      <c r="D211" s="22" t="str">
        <f ca="1">IF(ISERROR(MATCH(D$1,INDIRECT("Table!A"&amp;$AF211):INDIRECT("Table!" &amp; $AI$253 &amp; $AF211),0)),"",INDIRECT(CONCATENATE("Table!",ADDRESS(#REF!,MATCH(D$1,INDIRECT("Table!A" &amp; $AF211):INDIRECT("Table!" &amp; $AI$253 &amp; $AF211),0))))/1024)</f>
        <v/>
      </c>
      <c r="E211" s="22" t="str">
        <f ca="1">IF(ISERROR(MATCH(E$1,INDIRECT("Table!A"&amp;$AF211):INDIRECT("Table!" &amp; $AI$253 &amp; $AF211),0)),"",INDIRECT(CONCATENATE("Table!",ADDRESS(#REF!,MATCH(E$1,INDIRECT("Table!A" &amp; $AF211):INDIRECT("Table!" &amp; $AI$253 &amp; $AF211),0))))/1024)</f>
        <v/>
      </c>
      <c r="F211" s="22" t="str">
        <f ca="1">IF(ISERROR(MATCH(F$1,INDIRECT("Table!A"&amp;$AF211):INDIRECT("Table!" &amp; $AI$253 &amp; $AF211),0)),"",INDIRECT(CONCATENATE("Table!",ADDRESS(#REF!,MATCH(F$1,INDIRECT("Table!A" &amp; $AF211):INDIRECT("Table!" &amp; $AI$253 &amp; $AF211),0))))/1024)</f>
        <v/>
      </c>
      <c r="G211" s="22" t="str">
        <f ca="1">IF(ISERROR(MATCH(G$1,INDIRECT("Table!A"&amp;$AF211):INDIRECT("Table!" &amp; $AI$253 &amp; $AF211),0)),"",INDIRECT(CONCATENATE("Table!",ADDRESS(#REF!,MATCH(G$1,INDIRECT("Table!A" &amp; $AF211):INDIRECT("Table!" &amp; $AI$253 &amp; $AF211),0))))/1024)</f>
        <v/>
      </c>
      <c r="H211" s="22" t="str">
        <f ca="1">IF(ISERROR(MATCH(H$1,INDIRECT("Table!A"&amp;$AF211):INDIRECT("Table!" &amp; $AI$253 &amp; $AF211),0)),"",INDIRECT(CONCATENATE("Table!",ADDRESS(#REF!,MATCH(H$1,INDIRECT("Table!A" &amp; $AF211):INDIRECT("Table!" &amp; $AI$253 &amp; $AF211),0))))/1024)</f>
        <v/>
      </c>
      <c r="K211" s="22" t="str">
        <f ca="1">IF(ISERROR(MATCH(L$1,INDIRECT("Table!A"&amp;$AF211):INDIRECT("Table!" &amp; $AI$253 &amp; $AF211),0)),"",INDIRECT(CONCATENATE("Table!",ADDRESS(#REF!,MATCH(L$1,INDIRECT("Table!A" &amp; $AF211):INDIRECT("Table!" &amp; $AI$253 &amp; $AF211),0))))/1024)</f>
        <v/>
      </c>
      <c r="L211" s="22" t="str">
        <f ca="1">IF(ISERROR(MATCH(M$1,INDIRECT("Table!A"&amp;$AF211):INDIRECT("Table!" &amp; $AI$253 &amp; $AF211),0)),"",INDIRECT(CONCATENATE("Table!",ADDRESS(#REF!,MATCH(M$1,INDIRECT("Table!A" &amp; $AF211):INDIRECT("Table!" &amp; $AI$253 &amp; $AF211),0))))/1024)</f>
        <v/>
      </c>
      <c r="M211" s="22" t="str">
        <f ca="1">IF(ISERROR(MATCH(N$1,INDIRECT("Table!A"&amp;$AF211):INDIRECT("Table!" &amp; $AI$253 &amp; $AF211),0)),"",INDIRECT(CONCATENATE("Table!",ADDRESS(#REF!,MATCH(N$1,INDIRECT("Table!A" &amp; $AF211):INDIRECT("Table!" &amp; $AI$253 &amp; $AF211),0))))/1024)</f>
        <v/>
      </c>
      <c r="N211" s="22" t="str">
        <f ca="1">IF(ISERROR(MATCH(O$1,INDIRECT("Table!A"&amp;$AF211):INDIRECT("Table!" &amp; $AI$253 &amp; $AF211),0)),"",INDIRECT(CONCATENATE("Table!",ADDRESS(#REF!,MATCH(O$1,INDIRECT("Table!A" &amp; $AF211):INDIRECT("Table!" &amp; $AI$253 &amp; $AF211),0))))/1024)</f>
        <v/>
      </c>
      <c r="O211" s="22"/>
      <c r="P211" s="272"/>
      <c r="Q211" s="22"/>
      <c r="R211" s="112"/>
      <c r="T211" s="595"/>
      <c r="U211" s="112"/>
      <c r="AD211" s="112"/>
      <c r="AE211" s="112"/>
      <c r="AF211" s="22"/>
      <c r="AG211" s="112"/>
      <c r="AH211" s="112"/>
      <c r="AI211" s="112"/>
    </row>
    <row r="212" spans="2:35" x14ac:dyDescent="0.25">
      <c r="B212" s="22" t="str">
        <f ca="1">IF(ISERROR(MATCH(B$1,INDIRECT("Table!A"&amp;$AF212):INDIRECT("Table!" &amp; $AI$253 &amp; $AF212),0)),"",INDIRECT(CONCATENATE("Table!",ADDRESS(#REF!,MATCH(B$1,INDIRECT("Table!A" &amp; $AF212):INDIRECT("Table!" &amp; $AI$253 &amp; $AF212),0))))/1024)</f>
        <v/>
      </c>
      <c r="C212" s="22" t="str">
        <f ca="1">IF(ISERROR(MATCH(C$1,INDIRECT("Table!A"&amp;$AF212):INDIRECT("Table!" &amp; $AI$253 &amp; $AF212),0)),"",INDIRECT(CONCATENATE("Table!",ADDRESS(#REF!,MATCH(C$1,INDIRECT("Table!A" &amp; $AF212):INDIRECT("Table!" &amp; $AI$253 &amp; $AF212),0))))/1024)</f>
        <v/>
      </c>
      <c r="D212" s="22" t="str">
        <f ca="1">IF(ISERROR(MATCH(D$1,INDIRECT("Table!A"&amp;$AF212):INDIRECT("Table!" &amp; $AI$253 &amp; $AF212),0)),"",INDIRECT(CONCATENATE("Table!",ADDRESS(#REF!,MATCH(D$1,INDIRECT("Table!A" &amp; $AF212):INDIRECT("Table!" &amp; $AI$253 &amp; $AF212),0))))/1024)</f>
        <v/>
      </c>
      <c r="E212" s="22" t="str">
        <f ca="1">IF(ISERROR(MATCH(E$1,INDIRECT("Table!A"&amp;$AF212):INDIRECT("Table!" &amp; $AI$253 &amp; $AF212),0)),"",INDIRECT(CONCATENATE("Table!",ADDRESS(#REF!,MATCH(E$1,INDIRECT("Table!A" &amp; $AF212):INDIRECT("Table!" &amp; $AI$253 &amp; $AF212),0))))/1024)</f>
        <v/>
      </c>
      <c r="F212" s="22" t="str">
        <f ca="1">IF(ISERROR(MATCH(F$1,INDIRECT("Table!A"&amp;$AF212):INDIRECT("Table!" &amp; $AI$253 &amp; $AF212),0)),"",INDIRECT(CONCATENATE("Table!",ADDRESS(#REF!,MATCH(F$1,INDIRECT("Table!A" &amp; $AF212):INDIRECT("Table!" &amp; $AI$253 &amp; $AF212),0))))/1024)</f>
        <v/>
      </c>
      <c r="G212" s="22" t="str">
        <f ca="1">IF(ISERROR(MATCH(G$1,INDIRECT("Table!A"&amp;$AF212):INDIRECT("Table!" &amp; $AI$253 &amp; $AF212),0)),"",INDIRECT(CONCATENATE("Table!",ADDRESS(#REF!,MATCH(G$1,INDIRECT("Table!A" &amp; $AF212):INDIRECT("Table!" &amp; $AI$253 &amp; $AF212),0))))/1024)</f>
        <v/>
      </c>
      <c r="H212" s="22" t="str">
        <f ca="1">IF(ISERROR(MATCH(H$1,INDIRECT("Table!A"&amp;$AF212):INDIRECT("Table!" &amp; $AI$253 &amp; $AF212),0)),"",INDIRECT(CONCATENATE("Table!",ADDRESS(#REF!,MATCH(H$1,INDIRECT("Table!A" &amp; $AF212):INDIRECT("Table!" &amp; $AI$253 &amp; $AF212),0))))/1024)</f>
        <v/>
      </c>
      <c r="K212" s="22" t="str">
        <f ca="1">IF(ISERROR(MATCH(L$1,INDIRECT("Table!A"&amp;$AF212):INDIRECT("Table!" &amp; $AI$253 &amp; $AF212),0)),"",INDIRECT(CONCATENATE("Table!",ADDRESS(#REF!,MATCH(L$1,INDIRECT("Table!A" &amp; $AF212):INDIRECT("Table!" &amp; $AI$253 &amp; $AF212),0))))/1024)</f>
        <v/>
      </c>
      <c r="L212" s="22" t="str">
        <f ca="1">IF(ISERROR(MATCH(M$1,INDIRECT("Table!A"&amp;$AF212):INDIRECT("Table!" &amp; $AI$253 &amp; $AF212),0)),"",INDIRECT(CONCATENATE("Table!",ADDRESS(#REF!,MATCH(M$1,INDIRECT("Table!A" &amp; $AF212):INDIRECT("Table!" &amp; $AI$253 &amp; $AF212),0))))/1024)</f>
        <v/>
      </c>
      <c r="M212" s="22" t="str">
        <f ca="1">IF(ISERROR(MATCH(N$1,INDIRECT("Table!A"&amp;$AF212):INDIRECT("Table!" &amp; $AI$253 &amp; $AF212),0)),"",INDIRECT(CONCATENATE("Table!",ADDRESS(#REF!,MATCH(N$1,INDIRECT("Table!A" &amp; $AF212):INDIRECT("Table!" &amp; $AI$253 &amp; $AF212),0))))/1024)</f>
        <v/>
      </c>
      <c r="N212" s="22" t="str">
        <f ca="1">IF(ISERROR(MATCH(O$1,INDIRECT("Table!A"&amp;$AF212):INDIRECT("Table!" &amp; $AI$253 &amp; $AF212),0)),"",INDIRECT(CONCATENATE("Table!",ADDRESS(#REF!,MATCH(O$1,INDIRECT("Table!A" &amp; $AF212):INDIRECT("Table!" &amp; $AI$253 &amp; $AF212),0))))/1024)</f>
        <v/>
      </c>
      <c r="O212" s="22"/>
      <c r="P212" s="272"/>
      <c r="Q212" s="22"/>
      <c r="R212" s="111"/>
      <c r="T212" s="595"/>
      <c r="U212" s="111"/>
      <c r="AD212" s="111"/>
      <c r="AE212" s="111"/>
      <c r="AF212" s="22"/>
      <c r="AG212" s="111"/>
      <c r="AH212" s="111"/>
      <c r="AI212" s="111"/>
    </row>
    <row r="213" spans="2:35" x14ac:dyDescent="0.25">
      <c r="B213" s="22" t="str">
        <f ca="1">IF(ISERROR(MATCH(B$1,INDIRECT("Table!A"&amp;$AF213):INDIRECT("Table!" &amp; $AI$253 &amp; $AF213),0)),"",INDIRECT(CONCATENATE("Table!",ADDRESS(#REF!,MATCH(B$1,INDIRECT("Table!A" &amp; $AF213):INDIRECT("Table!" &amp; $AI$253 &amp; $AF213),0))))/1024)</f>
        <v/>
      </c>
      <c r="C213" s="22" t="str">
        <f ca="1">IF(ISERROR(MATCH(C$1,INDIRECT("Table!A"&amp;$AF213):INDIRECT("Table!" &amp; $AI$253 &amp; $AF213),0)),"",INDIRECT(CONCATENATE("Table!",ADDRESS(#REF!,MATCH(C$1,INDIRECT("Table!A" &amp; $AF213):INDIRECT("Table!" &amp; $AI$253 &amp; $AF213),0))))/1024)</f>
        <v/>
      </c>
      <c r="D213" s="22" t="str">
        <f ca="1">IF(ISERROR(MATCH(D$1,INDIRECT("Table!A"&amp;$AF213):INDIRECT("Table!" &amp; $AI$253 &amp; $AF213),0)),"",INDIRECT(CONCATENATE("Table!",ADDRESS(#REF!,MATCH(D$1,INDIRECT("Table!A" &amp; $AF213):INDIRECT("Table!" &amp; $AI$253 &amp; $AF213),0))))/1024)</f>
        <v/>
      </c>
      <c r="E213" s="22" t="str">
        <f ca="1">IF(ISERROR(MATCH(E$1,INDIRECT("Table!A"&amp;$AF213):INDIRECT("Table!" &amp; $AI$253 &amp; $AF213),0)),"",INDIRECT(CONCATENATE("Table!",ADDRESS(#REF!,MATCH(E$1,INDIRECT("Table!A" &amp; $AF213):INDIRECT("Table!" &amp; $AI$253 &amp; $AF213),0))))/1024)</f>
        <v/>
      </c>
      <c r="F213" s="22" t="str">
        <f ca="1">IF(ISERROR(MATCH(F$1,INDIRECT("Table!A"&amp;$AF213):INDIRECT("Table!" &amp; $AI$253 &amp; $AF213),0)),"",INDIRECT(CONCATENATE("Table!",ADDRESS(#REF!,MATCH(F$1,INDIRECT("Table!A" &amp; $AF213):INDIRECT("Table!" &amp; $AI$253 &amp; $AF213),0))))/1024)</f>
        <v/>
      </c>
      <c r="G213" s="22" t="str">
        <f ca="1">IF(ISERROR(MATCH(G$1,INDIRECT("Table!A"&amp;$AF213):INDIRECT("Table!" &amp; $AI$253 &amp; $AF213),0)),"",INDIRECT(CONCATENATE("Table!",ADDRESS(#REF!,MATCH(G$1,INDIRECT("Table!A" &amp; $AF213):INDIRECT("Table!" &amp; $AI$253 &amp; $AF213),0))))/1024)</f>
        <v/>
      </c>
      <c r="H213" s="22" t="str">
        <f ca="1">IF(ISERROR(MATCH(H$1,INDIRECT("Table!A"&amp;$AF213):INDIRECT("Table!" &amp; $AI$253 &amp; $AF213),0)),"",INDIRECT(CONCATENATE("Table!",ADDRESS(#REF!,MATCH(H$1,INDIRECT("Table!A" &amp; $AF213):INDIRECT("Table!" &amp; $AI$253 &amp; $AF213),0))))/1024)</f>
        <v/>
      </c>
      <c r="K213" s="22" t="str">
        <f ca="1">IF(ISERROR(MATCH(L$1,INDIRECT("Table!A"&amp;$AF213):INDIRECT("Table!" &amp; $AI$253 &amp; $AF213),0)),"",INDIRECT(CONCATENATE("Table!",ADDRESS(#REF!,MATCH(L$1,INDIRECT("Table!A" &amp; $AF213):INDIRECT("Table!" &amp; $AI$253 &amp; $AF213),0))))/1024)</f>
        <v/>
      </c>
      <c r="L213" s="22" t="str">
        <f ca="1">IF(ISERROR(MATCH(M$1,INDIRECT("Table!A"&amp;$AF213):INDIRECT("Table!" &amp; $AI$253 &amp; $AF213),0)),"",INDIRECT(CONCATENATE("Table!",ADDRESS(#REF!,MATCH(M$1,INDIRECT("Table!A" &amp; $AF213):INDIRECT("Table!" &amp; $AI$253 &amp; $AF213),0))))/1024)</f>
        <v/>
      </c>
      <c r="M213" s="22" t="str">
        <f ca="1">IF(ISERROR(MATCH(N$1,INDIRECT("Table!A"&amp;$AF213):INDIRECT("Table!" &amp; $AI$253 &amp; $AF213),0)),"",INDIRECT(CONCATENATE("Table!",ADDRESS(#REF!,MATCH(N$1,INDIRECT("Table!A" &amp; $AF213):INDIRECT("Table!" &amp; $AI$253 &amp; $AF213),0))))/1024)</f>
        <v/>
      </c>
      <c r="N213" s="22" t="str">
        <f ca="1">IF(ISERROR(MATCH(O$1,INDIRECT("Table!A"&amp;$AF213):INDIRECT("Table!" &amp; $AI$253 &amp; $AF213),0)),"",INDIRECT(CONCATENATE("Table!",ADDRESS(#REF!,MATCH(O$1,INDIRECT("Table!A" &amp; $AF213):INDIRECT("Table!" &amp; $AI$253 &amp; $AF213),0))))/1024)</f>
        <v/>
      </c>
      <c r="O213" s="22"/>
      <c r="P213" s="272"/>
      <c r="Q213" s="22"/>
      <c r="R213" s="110"/>
      <c r="T213" s="595"/>
      <c r="U213" s="110"/>
      <c r="AD213" s="110"/>
      <c r="AE213" s="110"/>
      <c r="AF213" s="22"/>
      <c r="AG213" s="110"/>
      <c r="AH213" s="110"/>
      <c r="AI213" s="110"/>
    </row>
    <row r="214" spans="2:35" x14ac:dyDescent="0.25">
      <c r="B214" s="22" t="str">
        <f ca="1">IF(ISERROR(MATCH(B$1,INDIRECT("Table!A"&amp;$AF214):INDIRECT("Table!" &amp; $AI$253 &amp; $AF214),0)),"",INDIRECT(CONCATENATE("Table!",ADDRESS(#REF!,MATCH(B$1,INDIRECT("Table!A" &amp; $AF214):INDIRECT("Table!" &amp; $AI$253 &amp; $AF214),0))))/1024)</f>
        <v/>
      </c>
      <c r="C214" s="22" t="str">
        <f ca="1">IF(ISERROR(MATCH(C$1,INDIRECT("Table!A"&amp;$AF214):INDIRECT("Table!" &amp; $AI$253 &amp; $AF214),0)),"",INDIRECT(CONCATENATE("Table!",ADDRESS(#REF!,MATCH(C$1,INDIRECT("Table!A" &amp; $AF214):INDIRECT("Table!" &amp; $AI$253 &amp; $AF214),0))))/1024)</f>
        <v/>
      </c>
      <c r="D214" s="22" t="str">
        <f ca="1">IF(ISERROR(MATCH(D$1,INDIRECT("Table!A"&amp;$AF214):INDIRECT("Table!" &amp; $AI$253 &amp; $AF214),0)),"",INDIRECT(CONCATENATE("Table!",ADDRESS(#REF!,MATCH(D$1,INDIRECT("Table!A" &amp; $AF214):INDIRECT("Table!" &amp; $AI$253 &amp; $AF214),0))))/1024)</f>
        <v/>
      </c>
      <c r="E214" s="22" t="str">
        <f ca="1">IF(ISERROR(MATCH(E$1,INDIRECT("Table!A"&amp;$AF214):INDIRECT("Table!" &amp; $AI$253 &amp; $AF214),0)),"",INDIRECT(CONCATENATE("Table!",ADDRESS(#REF!,MATCH(E$1,INDIRECT("Table!A" &amp; $AF214):INDIRECT("Table!" &amp; $AI$253 &amp; $AF214),0))))/1024)</f>
        <v/>
      </c>
      <c r="F214" s="22" t="str">
        <f ca="1">IF(ISERROR(MATCH(F$1,INDIRECT("Table!A"&amp;$AF214):INDIRECT("Table!" &amp; $AI$253 &amp; $AF214),0)),"",INDIRECT(CONCATENATE("Table!",ADDRESS(#REF!,MATCH(F$1,INDIRECT("Table!A" &amp; $AF214):INDIRECT("Table!" &amp; $AI$253 &amp; $AF214),0))))/1024)</f>
        <v/>
      </c>
      <c r="G214" s="22" t="str">
        <f ca="1">IF(ISERROR(MATCH(G$1,INDIRECT("Table!A"&amp;$AF214):INDIRECT("Table!" &amp; $AI$253 &amp; $AF214),0)),"",INDIRECT(CONCATENATE("Table!",ADDRESS(#REF!,MATCH(G$1,INDIRECT("Table!A" &amp; $AF214):INDIRECT("Table!" &amp; $AI$253 &amp; $AF214),0))))/1024)</f>
        <v/>
      </c>
      <c r="H214" s="22" t="str">
        <f ca="1">IF(ISERROR(MATCH(H$1,INDIRECT("Table!A"&amp;$AF214):INDIRECT("Table!" &amp; $AI$253 &amp; $AF214),0)),"",INDIRECT(CONCATENATE("Table!",ADDRESS(#REF!,MATCH(H$1,INDIRECT("Table!A" &amp; $AF214):INDIRECT("Table!" &amp; $AI$253 &amp; $AF214),0))))/1024)</f>
        <v/>
      </c>
      <c r="K214" s="22" t="str">
        <f ca="1">IF(ISERROR(MATCH(L$1,INDIRECT("Table!A"&amp;$AF214):INDIRECT("Table!" &amp; $AI$253 &amp; $AF214),0)),"",INDIRECT(CONCATENATE("Table!",ADDRESS(#REF!,MATCH(L$1,INDIRECT("Table!A" &amp; $AF214):INDIRECT("Table!" &amp; $AI$253 &amp; $AF214),0))))/1024)</f>
        <v/>
      </c>
      <c r="L214" s="22" t="str">
        <f ca="1">IF(ISERROR(MATCH(M$1,INDIRECT("Table!A"&amp;$AF214):INDIRECT("Table!" &amp; $AI$253 &amp; $AF214),0)),"",INDIRECT(CONCATENATE("Table!",ADDRESS(#REF!,MATCH(M$1,INDIRECT("Table!A" &amp; $AF214):INDIRECT("Table!" &amp; $AI$253 &amp; $AF214),0))))/1024)</f>
        <v/>
      </c>
      <c r="M214" s="22" t="str">
        <f ca="1">IF(ISERROR(MATCH(N$1,INDIRECT("Table!A"&amp;$AF214):INDIRECT("Table!" &amp; $AI$253 &amp; $AF214),0)),"",INDIRECT(CONCATENATE("Table!",ADDRESS(#REF!,MATCH(N$1,INDIRECT("Table!A" &amp; $AF214):INDIRECT("Table!" &amp; $AI$253 &amp; $AF214),0))))/1024)</f>
        <v/>
      </c>
      <c r="N214" s="22" t="str">
        <f ca="1">IF(ISERROR(MATCH(O$1,INDIRECT("Table!A"&amp;$AF214):INDIRECT("Table!" &amp; $AI$253 &amp; $AF214),0)),"",INDIRECT(CONCATENATE("Table!",ADDRESS(#REF!,MATCH(O$1,INDIRECT("Table!A" &amp; $AF214):INDIRECT("Table!" &amp; $AI$253 &amp; $AF214),0))))/1024)</f>
        <v/>
      </c>
      <c r="O214" s="22"/>
      <c r="P214" s="272"/>
      <c r="Q214" s="22"/>
      <c r="R214" s="109"/>
      <c r="T214" s="595"/>
      <c r="U214" s="109"/>
      <c r="AD214" s="109"/>
      <c r="AE214" s="109"/>
      <c r="AF214" s="22"/>
      <c r="AG214" s="109"/>
      <c r="AH214" s="109"/>
      <c r="AI214" s="109"/>
    </row>
    <row r="215" spans="2:35" x14ac:dyDescent="0.25">
      <c r="B215" s="22" t="str">
        <f ca="1">IF(ISERROR(MATCH(B$1,INDIRECT("Table!A"&amp;$AF215):INDIRECT("Table!" &amp; $AI$253 &amp; $AF215),0)),"",INDIRECT(CONCATENATE("Table!",ADDRESS(#REF!,MATCH(B$1,INDIRECT("Table!A" &amp; $AF215):INDIRECT("Table!" &amp; $AI$253 &amp; $AF215),0))))/1024)</f>
        <v/>
      </c>
      <c r="C215" s="22" t="str">
        <f ca="1">IF(ISERROR(MATCH(C$1,INDIRECT("Table!A"&amp;$AF215):INDIRECT("Table!" &amp; $AI$253 &amp; $AF215),0)),"",INDIRECT(CONCATENATE("Table!",ADDRESS(#REF!,MATCH(C$1,INDIRECT("Table!A" &amp; $AF215):INDIRECT("Table!" &amp; $AI$253 &amp; $AF215),0))))/1024)</f>
        <v/>
      </c>
      <c r="D215" s="22" t="str">
        <f ca="1">IF(ISERROR(MATCH(D$1,INDIRECT("Table!A"&amp;$AF215):INDIRECT("Table!" &amp; $AI$253 &amp; $AF215),0)),"",INDIRECT(CONCATENATE("Table!",ADDRESS(#REF!,MATCH(D$1,INDIRECT("Table!A" &amp; $AF215):INDIRECT("Table!" &amp; $AI$253 &amp; $AF215),0))))/1024)</f>
        <v/>
      </c>
      <c r="E215" s="22" t="str">
        <f ca="1">IF(ISERROR(MATCH(E$1,INDIRECT("Table!A"&amp;$AF215):INDIRECT("Table!" &amp; $AI$253 &amp; $AF215),0)),"",INDIRECT(CONCATENATE("Table!",ADDRESS(#REF!,MATCH(E$1,INDIRECT("Table!A" &amp; $AF215):INDIRECT("Table!" &amp; $AI$253 &amp; $AF215),0))))/1024)</f>
        <v/>
      </c>
      <c r="F215" s="22" t="str">
        <f ca="1">IF(ISERROR(MATCH(F$1,INDIRECT("Table!A"&amp;$AF215):INDIRECT("Table!" &amp; $AI$253 &amp; $AF215),0)),"",INDIRECT(CONCATENATE("Table!",ADDRESS(#REF!,MATCH(F$1,INDIRECT("Table!A" &amp; $AF215):INDIRECT("Table!" &amp; $AI$253 &amp; $AF215),0))))/1024)</f>
        <v/>
      </c>
      <c r="G215" s="22" t="str">
        <f ca="1">IF(ISERROR(MATCH(G$1,INDIRECT("Table!A"&amp;$AF215):INDIRECT("Table!" &amp; $AI$253 &amp; $AF215),0)),"",INDIRECT(CONCATENATE("Table!",ADDRESS(#REF!,MATCH(G$1,INDIRECT("Table!A" &amp; $AF215):INDIRECT("Table!" &amp; $AI$253 &amp; $AF215),0))))/1024)</f>
        <v/>
      </c>
      <c r="H215" s="22" t="str">
        <f ca="1">IF(ISERROR(MATCH(H$1,INDIRECT("Table!A"&amp;$AF215):INDIRECT("Table!" &amp; $AI$253 &amp; $AF215),0)),"",INDIRECT(CONCATENATE("Table!",ADDRESS(#REF!,MATCH(H$1,INDIRECT("Table!A" &amp; $AF215):INDIRECT("Table!" &amp; $AI$253 &amp; $AF215),0))))/1024)</f>
        <v/>
      </c>
      <c r="K215" s="22" t="str">
        <f ca="1">IF(ISERROR(MATCH(L$1,INDIRECT("Table!A"&amp;$AF215):INDIRECT("Table!" &amp; $AI$253 &amp; $AF215),0)),"",INDIRECT(CONCATENATE("Table!",ADDRESS(#REF!,MATCH(L$1,INDIRECT("Table!A" &amp; $AF215):INDIRECT("Table!" &amp; $AI$253 &amp; $AF215),0))))/1024)</f>
        <v/>
      </c>
      <c r="L215" s="22" t="str">
        <f ca="1">IF(ISERROR(MATCH(M$1,INDIRECT("Table!A"&amp;$AF215):INDIRECT("Table!" &amp; $AI$253 &amp; $AF215),0)),"",INDIRECT(CONCATENATE("Table!",ADDRESS(#REF!,MATCH(M$1,INDIRECT("Table!A" &amp; $AF215):INDIRECT("Table!" &amp; $AI$253 &amp; $AF215),0))))/1024)</f>
        <v/>
      </c>
      <c r="M215" s="22" t="str">
        <f ca="1">IF(ISERROR(MATCH(N$1,INDIRECT("Table!A"&amp;$AF215):INDIRECT("Table!" &amp; $AI$253 &amp; $AF215),0)),"",INDIRECT(CONCATENATE("Table!",ADDRESS(#REF!,MATCH(N$1,INDIRECT("Table!A" &amp; $AF215):INDIRECT("Table!" &amp; $AI$253 &amp; $AF215),0))))/1024)</f>
        <v/>
      </c>
      <c r="N215" s="22" t="str">
        <f ca="1">IF(ISERROR(MATCH(O$1,INDIRECT("Table!A"&amp;$AF215):INDIRECT("Table!" &amp; $AI$253 &amp; $AF215),0)),"",INDIRECT(CONCATENATE("Table!",ADDRESS(#REF!,MATCH(O$1,INDIRECT("Table!A" &amp; $AF215):INDIRECT("Table!" &amp; $AI$253 &amp; $AF215),0))))/1024)</f>
        <v/>
      </c>
      <c r="O215" s="22"/>
      <c r="P215" s="272"/>
      <c r="Q215" s="22"/>
      <c r="R215" s="108"/>
      <c r="T215" s="595"/>
      <c r="U215" s="108"/>
      <c r="AD215" s="108"/>
      <c r="AE215" s="108"/>
      <c r="AF215" s="22"/>
      <c r="AG215" s="108"/>
      <c r="AH215" s="108"/>
      <c r="AI215" s="108"/>
    </row>
    <row r="216" spans="2:35" x14ac:dyDescent="0.25">
      <c r="B216" s="22" t="str">
        <f ca="1">IF(ISERROR(MATCH(B$1,INDIRECT("Table!A"&amp;$AF216):INDIRECT("Table!" &amp; $AI$253 &amp; $AF216),0)),"",INDIRECT(CONCATENATE("Table!",ADDRESS(#REF!,MATCH(B$1,INDIRECT("Table!A" &amp; $AF216):INDIRECT("Table!" &amp; $AI$253 &amp; $AF216),0))))/1024)</f>
        <v/>
      </c>
      <c r="C216" s="22" t="str">
        <f ca="1">IF(ISERROR(MATCH(C$1,INDIRECT("Table!A"&amp;$AF216):INDIRECT("Table!" &amp; $AI$253 &amp; $AF216),0)),"",INDIRECT(CONCATENATE("Table!",ADDRESS(#REF!,MATCH(C$1,INDIRECT("Table!A" &amp; $AF216):INDIRECT("Table!" &amp; $AI$253 &amp; $AF216),0))))/1024)</f>
        <v/>
      </c>
      <c r="D216" s="22" t="str">
        <f ca="1">IF(ISERROR(MATCH(D$1,INDIRECT("Table!A"&amp;$AF216):INDIRECT("Table!" &amp; $AI$253 &amp; $AF216),0)),"",INDIRECT(CONCATENATE("Table!",ADDRESS(#REF!,MATCH(D$1,INDIRECT("Table!A" &amp; $AF216):INDIRECT("Table!" &amp; $AI$253 &amp; $AF216),0))))/1024)</f>
        <v/>
      </c>
      <c r="E216" s="22" t="str">
        <f ca="1">IF(ISERROR(MATCH(E$1,INDIRECT("Table!A"&amp;$AF216):INDIRECT("Table!" &amp; $AI$253 &amp; $AF216),0)),"",INDIRECT(CONCATENATE("Table!",ADDRESS(#REF!,MATCH(E$1,INDIRECT("Table!A" &amp; $AF216):INDIRECT("Table!" &amp; $AI$253 &amp; $AF216),0))))/1024)</f>
        <v/>
      </c>
      <c r="F216" s="22" t="str">
        <f ca="1">IF(ISERROR(MATCH(F$1,INDIRECT("Table!A"&amp;$AF216):INDIRECT("Table!" &amp; $AI$253 &amp; $AF216),0)),"",INDIRECT(CONCATENATE("Table!",ADDRESS(#REF!,MATCH(F$1,INDIRECT("Table!A" &amp; $AF216):INDIRECT("Table!" &amp; $AI$253 &amp; $AF216),0))))/1024)</f>
        <v/>
      </c>
      <c r="G216" s="22" t="str">
        <f ca="1">IF(ISERROR(MATCH(G$1,INDIRECT("Table!A"&amp;$AF216):INDIRECT("Table!" &amp; $AI$253 &amp; $AF216),0)),"",INDIRECT(CONCATENATE("Table!",ADDRESS(#REF!,MATCH(G$1,INDIRECT("Table!A" &amp; $AF216):INDIRECT("Table!" &amp; $AI$253 &amp; $AF216),0))))/1024)</f>
        <v/>
      </c>
      <c r="H216" s="22" t="str">
        <f ca="1">IF(ISERROR(MATCH(H$1,INDIRECT("Table!A"&amp;$AF216):INDIRECT("Table!" &amp; $AI$253 &amp; $AF216),0)),"",INDIRECT(CONCATENATE("Table!",ADDRESS(#REF!,MATCH(H$1,INDIRECT("Table!A" &amp; $AF216):INDIRECT("Table!" &amp; $AI$253 &amp; $AF216),0))))/1024)</f>
        <v/>
      </c>
      <c r="K216" s="22" t="str">
        <f ca="1">IF(ISERROR(MATCH(L$1,INDIRECT("Table!A"&amp;$AF216):INDIRECT("Table!" &amp; $AI$253 &amp; $AF216),0)),"",INDIRECT(CONCATENATE("Table!",ADDRESS(#REF!,MATCH(L$1,INDIRECT("Table!A" &amp; $AF216):INDIRECT("Table!" &amp; $AI$253 &amp; $AF216),0))))/1024)</f>
        <v/>
      </c>
      <c r="L216" s="22" t="str">
        <f ca="1">IF(ISERROR(MATCH(M$1,INDIRECT("Table!A"&amp;$AF216):INDIRECT("Table!" &amp; $AI$253 &amp; $AF216),0)),"",INDIRECT(CONCATENATE("Table!",ADDRESS(#REF!,MATCH(M$1,INDIRECT("Table!A" &amp; $AF216):INDIRECT("Table!" &amp; $AI$253 &amp; $AF216),0))))/1024)</f>
        <v/>
      </c>
      <c r="M216" s="22" t="str">
        <f ca="1">IF(ISERROR(MATCH(N$1,INDIRECT("Table!A"&amp;$AF216):INDIRECT("Table!" &amp; $AI$253 &amp; $AF216),0)),"",INDIRECT(CONCATENATE("Table!",ADDRESS(#REF!,MATCH(N$1,INDIRECT("Table!A" &amp; $AF216):INDIRECT("Table!" &amp; $AI$253 &amp; $AF216),0))))/1024)</f>
        <v/>
      </c>
      <c r="N216" s="22" t="str">
        <f ca="1">IF(ISERROR(MATCH(O$1,INDIRECT("Table!A"&amp;$AF216):INDIRECT("Table!" &amp; $AI$253 &amp; $AF216),0)),"",INDIRECT(CONCATENATE("Table!",ADDRESS(#REF!,MATCH(O$1,INDIRECT("Table!A" &amp; $AF216):INDIRECT("Table!" &amp; $AI$253 &amp; $AF216),0))))/1024)</f>
        <v/>
      </c>
      <c r="O216" s="22"/>
      <c r="P216" s="272"/>
      <c r="Q216" s="22"/>
      <c r="R216" s="107"/>
      <c r="T216" s="595"/>
      <c r="U216" s="107"/>
      <c r="AD216" s="107"/>
      <c r="AE216" s="107"/>
      <c r="AF216" s="22"/>
      <c r="AG216" s="107"/>
      <c r="AH216" s="107"/>
      <c r="AI216" s="107"/>
    </row>
    <row r="217" spans="2:35" x14ac:dyDescent="0.25">
      <c r="B217" s="22" t="str">
        <f ca="1">IF(ISERROR(MATCH(B$1,INDIRECT("Table!A"&amp;$AF217):INDIRECT("Table!" &amp; $AI$253 &amp; $AF217),0)),"",INDIRECT(CONCATENATE("Table!",ADDRESS(#REF!,MATCH(B$1,INDIRECT("Table!A" &amp; $AF217):INDIRECT("Table!" &amp; $AI$253 &amp; $AF217),0))))/1024)</f>
        <v/>
      </c>
      <c r="C217" s="22" t="str">
        <f ca="1">IF(ISERROR(MATCH(C$1,INDIRECT("Table!A"&amp;$AF217):INDIRECT("Table!" &amp; $AI$253 &amp; $AF217),0)),"",INDIRECT(CONCATENATE("Table!",ADDRESS(#REF!,MATCH(C$1,INDIRECT("Table!A" &amp; $AF217):INDIRECT("Table!" &amp; $AI$253 &amp; $AF217),0))))/1024)</f>
        <v/>
      </c>
      <c r="D217" s="22" t="str">
        <f ca="1">IF(ISERROR(MATCH(D$1,INDIRECT("Table!A"&amp;$AF217):INDIRECT("Table!" &amp; $AI$253 &amp; $AF217),0)),"",INDIRECT(CONCATENATE("Table!",ADDRESS(#REF!,MATCH(D$1,INDIRECT("Table!A" &amp; $AF217):INDIRECT("Table!" &amp; $AI$253 &amp; $AF217),0))))/1024)</f>
        <v/>
      </c>
      <c r="E217" s="22" t="str">
        <f ca="1">IF(ISERROR(MATCH(E$1,INDIRECT("Table!A"&amp;$AF217):INDIRECT("Table!" &amp; $AI$253 &amp; $AF217),0)),"",INDIRECT(CONCATENATE("Table!",ADDRESS(#REF!,MATCH(E$1,INDIRECT("Table!A" &amp; $AF217):INDIRECT("Table!" &amp; $AI$253 &amp; $AF217),0))))/1024)</f>
        <v/>
      </c>
      <c r="F217" s="22" t="str">
        <f ca="1">IF(ISERROR(MATCH(F$1,INDIRECT("Table!A"&amp;$AF217):INDIRECT("Table!" &amp; $AI$253 &amp; $AF217),0)),"",INDIRECT(CONCATENATE("Table!",ADDRESS(#REF!,MATCH(F$1,INDIRECT("Table!A" &amp; $AF217):INDIRECT("Table!" &amp; $AI$253 &amp; $AF217),0))))/1024)</f>
        <v/>
      </c>
      <c r="G217" s="22" t="str">
        <f ca="1">IF(ISERROR(MATCH(G$1,INDIRECT("Table!A"&amp;$AF217):INDIRECT("Table!" &amp; $AI$253 &amp; $AF217),0)),"",INDIRECT(CONCATENATE("Table!",ADDRESS(#REF!,MATCH(G$1,INDIRECT("Table!A" &amp; $AF217):INDIRECT("Table!" &amp; $AI$253 &amp; $AF217),0))))/1024)</f>
        <v/>
      </c>
      <c r="H217" s="22" t="str">
        <f ca="1">IF(ISERROR(MATCH(H$1,INDIRECT("Table!A"&amp;$AF217):INDIRECT("Table!" &amp; $AI$253 &amp; $AF217),0)),"",INDIRECT(CONCATENATE("Table!",ADDRESS(#REF!,MATCH(H$1,INDIRECT("Table!A" &amp; $AF217):INDIRECT("Table!" &amp; $AI$253 &amp; $AF217),0))))/1024)</f>
        <v/>
      </c>
      <c r="K217" s="22" t="str">
        <f ca="1">IF(ISERROR(MATCH(L$1,INDIRECT("Table!A"&amp;$AF217):INDIRECT("Table!" &amp; $AI$253 &amp; $AF217),0)),"",INDIRECT(CONCATENATE("Table!",ADDRESS(#REF!,MATCH(L$1,INDIRECT("Table!A" &amp; $AF217):INDIRECT("Table!" &amp; $AI$253 &amp; $AF217),0))))/1024)</f>
        <v/>
      </c>
      <c r="L217" s="22" t="str">
        <f ca="1">IF(ISERROR(MATCH(M$1,INDIRECT("Table!A"&amp;$AF217):INDIRECT("Table!" &amp; $AI$253 &amp; $AF217),0)),"",INDIRECT(CONCATENATE("Table!",ADDRESS(#REF!,MATCH(M$1,INDIRECT("Table!A" &amp; $AF217):INDIRECT("Table!" &amp; $AI$253 &amp; $AF217),0))))/1024)</f>
        <v/>
      </c>
      <c r="M217" s="22" t="str">
        <f ca="1">IF(ISERROR(MATCH(N$1,INDIRECT("Table!A"&amp;$AF217):INDIRECT("Table!" &amp; $AI$253 &amp; $AF217),0)),"",INDIRECT(CONCATENATE("Table!",ADDRESS(#REF!,MATCH(N$1,INDIRECT("Table!A" &amp; $AF217):INDIRECT("Table!" &amp; $AI$253 &amp; $AF217),0))))/1024)</f>
        <v/>
      </c>
      <c r="N217" s="22" t="str">
        <f ca="1">IF(ISERROR(MATCH(O$1,INDIRECT("Table!A"&amp;$AF217):INDIRECT("Table!" &amp; $AI$253 &amp; $AF217),0)),"",INDIRECT(CONCATENATE("Table!",ADDRESS(#REF!,MATCH(O$1,INDIRECT("Table!A" &amp; $AF217):INDIRECT("Table!" &amp; $AI$253 &amp; $AF217),0))))/1024)</f>
        <v/>
      </c>
      <c r="O217" s="22"/>
      <c r="P217" s="272"/>
      <c r="Q217" s="22"/>
      <c r="R217" s="106"/>
      <c r="T217" s="595"/>
      <c r="U217" s="106"/>
      <c r="AD217" s="106"/>
      <c r="AE217" s="106"/>
      <c r="AF217" s="22"/>
      <c r="AG217" s="106"/>
      <c r="AH217" s="106"/>
      <c r="AI217" s="106"/>
    </row>
    <row r="218" spans="2:35" x14ac:dyDescent="0.25">
      <c r="B218" s="22" t="str">
        <f ca="1">IF(ISERROR(MATCH(B$1,INDIRECT("Table!A"&amp;$AF218):INDIRECT("Table!" &amp; $AI$253 &amp; $AF218),0)),"",INDIRECT(CONCATENATE("Table!",ADDRESS(#REF!,MATCH(B$1,INDIRECT("Table!A" &amp; $AF218):INDIRECT("Table!" &amp; $AI$253 &amp; $AF218),0))))/1024)</f>
        <v/>
      </c>
      <c r="C218" s="22" t="str">
        <f ca="1">IF(ISERROR(MATCH(C$1,INDIRECT("Table!A"&amp;$AF218):INDIRECT("Table!" &amp; $AI$253 &amp; $AF218),0)),"",INDIRECT(CONCATENATE("Table!",ADDRESS(#REF!,MATCH(C$1,INDIRECT("Table!A" &amp; $AF218):INDIRECT("Table!" &amp; $AI$253 &amp; $AF218),0))))/1024)</f>
        <v/>
      </c>
      <c r="D218" s="22" t="str">
        <f ca="1">IF(ISERROR(MATCH(D$1,INDIRECT("Table!A"&amp;$AF218):INDIRECT("Table!" &amp; $AI$253 &amp; $AF218),0)),"",INDIRECT(CONCATENATE("Table!",ADDRESS(#REF!,MATCH(D$1,INDIRECT("Table!A" &amp; $AF218):INDIRECT("Table!" &amp; $AI$253 &amp; $AF218),0))))/1024)</f>
        <v/>
      </c>
      <c r="E218" s="22" t="str">
        <f ca="1">IF(ISERROR(MATCH(E$1,INDIRECT("Table!A"&amp;$AF218):INDIRECT("Table!" &amp; $AI$253 &amp; $AF218),0)),"",INDIRECT(CONCATENATE("Table!",ADDRESS(#REF!,MATCH(E$1,INDIRECT("Table!A" &amp; $AF218):INDIRECT("Table!" &amp; $AI$253 &amp; $AF218),0))))/1024)</f>
        <v/>
      </c>
      <c r="F218" s="22" t="str">
        <f ca="1">IF(ISERROR(MATCH(F$1,INDIRECT("Table!A"&amp;$AF218):INDIRECT("Table!" &amp; $AI$253 &amp; $AF218),0)),"",INDIRECT(CONCATENATE("Table!",ADDRESS(#REF!,MATCH(F$1,INDIRECT("Table!A" &amp; $AF218):INDIRECT("Table!" &amp; $AI$253 &amp; $AF218),0))))/1024)</f>
        <v/>
      </c>
      <c r="G218" s="22" t="str">
        <f ca="1">IF(ISERROR(MATCH(G$1,INDIRECT("Table!A"&amp;$AF218):INDIRECT("Table!" &amp; $AI$253 &amp; $AF218),0)),"",INDIRECT(CONCATENATE("Table!",ADDRESS(#REF!,MATCH(G$1,INDIRECT("Table!A" &amp; $AF218):INDIRECT("Table!" &amp; $AI$253 &amp; $AF218),0))))/1024)</f>
        <v/>
      </c>
      <c r="H218" s="22" t="str">
        <f ca="1">IF(ISERROR(MATCH(H$1,INDIRECT("Table!A"&amp;$AF218):INDIRECT("Table!" &amp; $AI$253 &amp; $AF218),0)),"",INDIRECT(CONCATENATE("Table!",ADDRESS(#REF!,MATCH(H$1,INDIRECT("Table!A" &amp; $AF218):INDIRECT("Table!" &amp; $AI$253 &amp; $AF218),0))))/1024)</f>
        <v/>
      </c>
      <c r="K218" s="22" t="str">
        <f ca="1">IF(ISERROR(MATCH(L$1,INDIRECT("Table!A"&amp;$AF218):INDIRECT("Table!" &amp; $AI$253 &amp; $AF218),0)),"",INDIRECT(CONCATENATE("Table!",ADDRESS(#REF!,MATCH(L$1,INDIRECT("Table!A" &amp; $AF218):INDIRECT("Table!" &amp; $AI$253 &amp; $AF218),0))))/1024)</f>
        <v/>
      </c>
      <c r="L218" s="22" t="str">
        <f ca="1">IF(ISERROR(MATCH(M$1,INDIRECT("Table!A"&amp;$AF218):INDIRECT("Table!" &amp; $AI$253 &amp; $AF218),0)),"",INDIRECT(CONCATENATE("Table!",ADDRESS(#REF!,MATCH(M$1,INDIRECT("Table!A" &amp; $AF218):INDIRECT("Table!" &amp; $AI$253 &amp; $AF218),0))))/1024)</f>
        <v/>
      </c>
      <c r="M218" s="22" t="str">
        <f ca="1">IF(ISERROR(MATCH(N$1,INDIRECT("Table!A"&amp;$AF218):INDIRECT("Table!" &amp; $AI$253 &amp; $AF218),0)),"",INDIRECT(CONCATENATE("Table!",ADDRESS(#REF!,MATCH(N$1,INDIRECT("Table!A" &amp; $AF218):INDIRECT("Table!" &amp; $AI$253 &amp; $AF218),0))))/1024)</f>
        <v/>
      </c>
      <c r="N218" s="22" t="str">
        <f ca="1">IF(ISERROR(MATCH(O$1,INDIRECT("Table!A"&amp;$AF218):INDIRECT("Table!" &amp; $AI$253 &amp; $AF218),0)),"",INDIRECT(CONCATENATE("Table!",ADDRESS(#REF!,MATCH(O$1,INDIRECT("Table!A" &amp; $AF218):INDIRECT("Table!" &amp; $AI$253 &amp; $AF218),0))))/1024)</f>
        <v/>
      </c>
      <c r="O218" s="22"/>
      <c r="P218" s="272"/>
      <c r="Q218" s="22"/>
      <c r="R218" s="105"/>
      <c r="T218" s="595"/>
      <c r="U218" s="105"/>
      <c r="AD218" s="105"/>
      <c r="AE218" s="105"/>
      <c r="AF218" s="22"/>
      <c r="AG218" s="105"/>
      <c r="AH218" s="105"/>
      <c r="AI218" s="105"/>
    </row>
    <row r="219" spans="2:35" x14ac:dyDescent="0.25">
      <c r="B219" s="22" t="str">
        <f ca="1">IF(ISERROR(MATCH(B$1,INDIRECT("Table!A"&amp;$AF219):INDIRECT("Table!" &amp; $AI$253 &amp; $AF219),0)),"",INDIRECT(CONCATENATE("Table!",ADDRESS(#REF!,MATCH(B$1,INDIRECT("Table!A" &amp; $AF219):INDIRECT("Table!" &amp; $AI$253 &amp; $AF219),0))))/1024)</f>
        <v/>
      </c>
      <c r="C219" s="22" t="str">
        <f ca="1">IF(ISERROR(MATCH(C$1,INDIRECT("Table!A"&amp;$AF219):INDIRECT("Table!" &amp; $AI$253 &amp; $AF219),0)),"",INDIRECT(CONCATENATE("Table!",ADDRESS(#REF!,MATCH(C$1,INDIRECT("Table!A" &amp; $AF219):INDIRECT("Table!" &amp; $AI$253 &amp; $AF219),0))))/1024)</f>
        <v/>
      </c>
      <c r="D219" s="22" t="str">
        <f ca="1">IF(ISERROR(MATCH(D$1,INDIRECT("Table!A"&amp;$AF219):INDIRECT("Table!" &amp; $AI$253 &amp; $AF219),0)),"",INDIRECT(CONCATENATE("Table!",ADDRESS(#REF!,MATCH(D$1,INDIRECT("Table!A" &amp; $AF219):INDIRECT("Table!" &amp; $AI$253 &amp; $AF219),0))))/1024)</f>
        <v/>
      </c>
      <c r="E219" s="22" t="str">
        <f ca="1">IF(ISERROR(MATCH(E$1,INDIRECT("Table!A"&amp;$AF219):INDIRECT("Table!" &amp; $AI$253 &amp; $AF219),0)),"",INDIRECT(CONCATENATE("Table!",ADDRESS(#REF!,MATCH(E$1,INDIRECT("Table!A" &amp; $AF219):INDIRECT("Table!" &amp; $AI$253 &amp; $AF219),0))))/1024)</f>
        <v/>
      </c>
      <c r="F219" s="22" t="str">
        <f ca="1">IF(ISERROR(MATCH(F$1,INDIRECT("Table!A"&amp;$AF219):INDIRECT("Table!" &amp; $AI$253 &amp; $AF219),0)),"",INDIRECT(CONCATENATE("Table!",ADDRESS(#REF!,MATCH(F$1,INDIRECT("Table!A" &amp; $AF219):INDIRECT("Table!" &amp; $AI$253 &amp; $AF219),0))))/1024)</f>
        <v/>
      </c>
      <c r="G219" s="22" t="str">
        <f ca="1">IF(ISERROR(MATCH(G$1,INDIRECT("Table!A"&amp;$AF219):INDIRECT("Table!" &amp; $AI$253 &amp; $AF219),0)),"",INDIRECT(CONCATENATE("Table!",ADDRESS(#REF!,MATCH(G$1,INDIRECT("Table!A" &amp; $AF219):INDIRECT("Table!" &amp; $AI$253 &amp; $AF219),0))))/1024)</f>
        <v/>
      </c>
      <c r="H219" s="22" t="str">
        <f ca="1">IF(ISERROR(MATCH(H$1,INDIRECT("Table!A"&amp;$AF219):INDIRECT("Table!" &amp; $AI$253 &amp; $AF219),0)),"",INDIRECT(CONCATENATE("Table!",ADDRESS(#REF!,MATCH(H$1,INDIRECT("Table!A" &amp; $AF219):INDIRECT("Table!" &amp; $AI$253 &amp; $AF219),0))))/1024)</f>
        <v/>
      </c>
      <c r="K219" s="22" t="str">
        <f ca="1">IF(ISERROR(MATCH(L$1,INDIRECT("Table!A"&amp;$AF219):INDIRECT("Table!" &amp; $AI$253 &amp; $AF219),0)),"",INDIRECT(CONCATENATE("Table!",ADDRESS(#REF!,MATCH(L$1,INDIRECT("Table!A" &amp; $AF219):INDIRECT("Table!" &amp; $AI$253 &amp; $AF219),0))))/1024)</f>
        <v/>
      </c>
      <c r="L219" s="22" t="str">
        <f ca="1">IF(ISERROR(MATCH(M$1,INDIRECT("Table!A"&amp;$AF219):INDIRECT("Table!" &amp; $AI$253 &amp; $AF219),0)),"",INDIRECT(CONCATENATE("Table!",ADDRESS(#REF!,MATCH(M$1,INDIRECT("Table!A" &amp; $AF219):INDIRECT("Table!" &amp; $AI$253 &amp; $AF219),0))))/1024)</f>
        <v/>
      </c>
      <c r="M219" s="22" t="str">
        <f ca="1">IF(ISERROR(MATCH(N$1,INDIRECT("Table!A"&amp;$AF219):INDIRECT("Table!" &amp; $AI$253 &amp; $AF219),0)),"",INDIRECT(CONCATENATE("Table!",ADDRESS(#REF!,MATCH(N$1,INDIRECT("Table!A" &amp; $AF219):INDIRECT("Table!" &amp; $AI$253 &amp; $AF219),0))))/1024)</f>
        <v/>
      </c>
      <c r="N219" s="22" t="str">
        <f ca="1">IF(ISERROR(MATCH(O$1,INDIRECT("Table!A"&amp;$AF219):INDIRECT("Table!" &amp; $AI$253 &amp; $AF219),0)),"",INDIRECT(CONCATENATE("Table!",ADDRESS(#REF!,MATCH(O$1,INDIRECT("Table!A" &amp; $AF219):INDIRECT("Table!" &amp; $AI$253 &amp; $AF219),0))))/1024)</f>
        <v/>
      </c>
      <c r="O219" s="22"/>
      <c r="P219" s="272"/>
      <c r="Q219" s="22"/>
      <c r="R219" s="104"/>
      <c r="T219" s="595"/>
      <c r="U219" s="104"/>
      <c r="AD219" s="104"/>
      <c r="AE219" s="104"/>
      <c r="AF219" s="22"/>
      <c r="AG219" s="104"/>
      <c r="AH219" s="104"/>
      <c r="AI219" s="104"/>
    </row>
    <row r="220" spans="2:35" x14ac:dyDescent="0.25">
      <c r="B220" s="22" t="str">
        <f ca="1">IF(ISERROR(MATCH(B$1,INDIRECT("Table!A"&amp;$AF220):INDIRECT("Table!" &amp; $AI$253 &amp; $AF220),0)),"",INDIRECT(CONCATENATE("Table!",ADDRESS(#REF!,MATCH(B$1,INDIRECT("Table!A" &amp; $AF220):INDIRECT("Table!" &amp; $AI$253 &amp; $AF220),0))))/1024)</f>
        <v/>
      </c>
      <c r="C220" s="22" t="str">
        <f ca="1">IF(ISERROR(MATCH(C$1,INDIRECT("Table!A"&amp;$AF220):INDIRECT("Table!" &amp; $AI$253 &amp; $AF220),0)),"",INDIRECT(CONCATENATE("Table!",ADDRESS(#REF!,MATCH(C$1,INDIRECT("Table!A" &amp; $AF220):INDIRECT("Table!" &amp; $AI$253 &amp; $AF220),0))))/1024)</f>
        <v/>
      </c>
      <c r="D220" s="22" t="str">
        <f ca="1">IF(ISERROR(MATCH(D$1,INDIRECT("Table!A"&amp;$AF220):INDIRECT("Table!" &amp; $AI$253 &amp; $AF220),0)),"",INDIRECT(CONCATENATE("Table!",ADDRESS(#REF!,MATCH(D$1,INDIRECT("Table!A" &amp; $AF220):INDIRECT("Table!" &amp; $AI$253 &amp; $AF220),0))))/1024)</f>
        <v/>
      </c>
      <c r="E220" s="22" t="str">
        <f ca="1">IF(ISERROR(MATCH(E$1,INDIRECT("Table!A"&amp;$AF220):INDIRECT("Table!" &amp; $AI$253 &amp; $AF220),0)),"",INDIRECT(CONCATENATE("Table!",ADDRESS(#REF!,MATCH(E$1,INDIRECT("Table!A" &amp; $AF220):INDIRECT("Table!" &amp; $AI$253 &amp; $AF220),0))))/1024)</f>
        <v/>
      </c>
      <c r="F220" s="22" t="str">
        <f ca="1">IF(ISERROR(MATCH(F$1,INDIRECT("Table!A"&amp;$AF220):INDIRECT("Table!" &amp; $AI$253 &amp; $AF220),0)),"",INDIRECT(CONCATENATE("Table!",ADDRESS(#REF!,MATCH(F$1,INDIRECT("Table!A" &amp; $AF220):INDIRECT("Table!" &amp; $AI$253 &amp; $AF220),0))))/1024)</f>
        <v/>
      </c>
      <c r="G220" s="22" t="str">
        <f ca="1">IF(ISERROR(MATCH(G$1,INDIRECT("Table!A"&amp;$AF220):INDIRECT("Table!" &amp; $AI$253 &amp; $AF220),0)),"",INDIRECT(CONCATENATE("Table!",ADDRESS(#REF!,MATCH(G$1,INDIRECT("Table!A" &amp; $AF220):INDIRECT("Table!" &amp; $AI$253 &amp; $AF220),0))))/1024)</f>
        <v/>
      </c>
      <c r="H220" s="22" t="str">
        <f ca="1">IF(ISERROR(MATCH(H$1,INDIRECT("Table!A"&amp;$AF220):INDIRECT("Table!" &amp; $AI$253 &amp; $AF220),0)),"",INDIRECT(CONCATENATE("Table!",ADDRESS(#REF!,MATCH(H$1,INDIRECT("Table!A" &amp; $AF220):INDIRECT("Table!" &amp; $AI$253 &amp; $AF220),0))))/1024)</f>
        <v/>
      </c>
      <c r="K220" s="22" t="str">
        <f ca="1">IF(ISERROR(MATCH(L$1,INDIRECT("Table!A"&amp;$AF220):INDIRECT("Table!" &amp; $AI$253 &amp; $AF220),0)),"",INDIRECT(CONCATENATE("Table!",ADDRESS(#REF!,MATCH(L$1,INDIRECT("Table!A" &amp; $AF220):INDIRECT("Table!" &amp; $AI$253 &amp; $AF220),0))))/1024)</f>
        <v/>
      </c>
      <c r="L220" s="22" t="str">
        <f ca="1">IF(ISERROR(MATCH(M$1,INDIRECT("Table!A"&amp;$AF220):INDIRECT("Table!" &amp; $AI$253 &amp; $AF220),0)),"",INDIRECT(CONCATENATE("Table!",ADDRESS(#REF!,MATCH(M$1,INDIRECT("Table!A" &amp; $AF220):INDIRECT("Table!" &amp; $AI$253 &amp; $AF220),0))))/1024)</f>
        <v/>
      </c>
      <c r="M220" s="22" t="str">
        <f ca="1">IF(ISERROR(MATCH(N$1,INDIRECT("Table!A"&amp;$AF220):INDIRECT("Table!" &amp; $AI$253 &amp; $AF220),0)),"",INDIRECT(CONCATENATE("Table!",ADDRESS(#REF!,MATCH(N$1,INDIRECT("Table!A" &amp; $AF220):INDIRECT("Table!" &amp; $AI$253 &amp; $AF220),0))))/1024)</f>
        <v/>
      </c>
      <c r="N220" s="22" t="str">
        <f ca="1">IF(ISERROR(MATCH(O$1,INDIRECT("Table!A"&amp;$AF220):INDIRECT("Table!" &amp; $AI$253 &amp; $AF220),0)),"",INDIRECT(CONCATENATE("Table!",ADDRESS(#REF!,MATCH(O$1,INDIRECT("Table!A" &amp; $AF220):INDIRECT("Table!" &amp; $AI$253 &amp; $AF220),0))))/1024)</f>
        <v/>
      </c>
      <c r="O220" s="22"/>
      <c r="P220" s="272"/>
      <c r="Q220" s="22"/>
      <c r="R220" s="103"/>
      <c r="T220" s="595"/>
      <c r="U220" s="103"/>
      <c r="AD220" s="103"/>
      <c r="AE220" s="103"/>
      <c r="AF220" s="22"/>
      <c r="AG220" s="103"/>
      <c r="AH220" s="103"/>
      <c r="AI220" s="103"/>
    </row>
    <row r="221" spans="2:35" x14ac:dyDescent="0.25">
      <c r="B221" s="22" t="str">
        <f ca="1">IF(ISERROR(MATCH(B$1,INDIRECT("Table!A"&amp;$AF221):INDIRECT("Table!" &amp; $AI$253 &amp; $AF221),0)),"",INDIRECT(CONCATENATE("Table!",ADDRESS(#REF!,MATCH(B$1,INDIRECT("Table!A" &amp; $AF221):INDIRECT("Table!" &amp; $AI$253 &amp; $AF221),0))))/1024)</f>
        <v/>
      </c>
      <c r="C221" s="22" t="str">
        <f ca="1">IF(ISERROR(MATCH(C$1,INDIRECT("Table!A"&amp;$AF221):INDIRECT("Table!" &amp; $AI$253 &amp; $AF221),0)),"",INDIRECT(CONCATENATE("Table!",ADDRESS(#REF!,MATCH(C$1,INDIRECT("Table!A" &amp; $AF221):INDIRECT("Table!" &amp; $AI$253 &amp; $AF221),0))))/1024)</f>
        <v/>
      </c>
      <c r="D221" s="22" t="str">
        <f ca="1">IF(ISERROR(MATCH(D$1,INDIRECT("Table!A"&amp;$AF221):INDIRECT("Table!" &amp; $AI$253 &amp; $AF221),0)),"",INDIRECT(CONCATENATE("Table!",ADDRESS(#REF!,MATCH(D$1,INDIRECT("Table!A" &amp; $AF221):INDIRECT("Table!" &amp; $AI$253 &amp; $AF221),0))))/1024)</f>
        <v/>
      </c>
      <c r="E221" s="22" t="str">
        <f ca="1">IF(ISERROR(MATCH(E$1,INDIRECT("Table!A"&amp;$AF221):INDIRECT("Table!" &amp; $AI$253 &amp; $AF221),0)),"",INDIRECT(CONCATENATE("Table!",ADDRESS(#REF!,MATCH(E$1,INDIRECT("Table!A" &amp; $AF221):INDIRECT("Table!" &amp; $AI$253 &amp; $AF221),0))))/1024)</f>
        <v/>
      </c>
      <c r="F221" s="22" t="str">
        <f ca="1">IF(ISERROR(MATCH(F$1,INDIRECT("Table!A"&amp;$AF221):INDIRECT("Table!" &amp; $AI$253 &amp; $AF221),0)),"",INDIRECT(CONCATENATE("Table!",ADDRESS(#REF!,MATCH(F$1,INDIRECT("Table!A" &amp; $AF221):INDIRECT("Table!" &amp; $AI$253 &amp; $AF221),0))))/1024)</f>
        <v/>
      </c>
      <c r="G221" s="22" t="str">
        <f ca="1">IF(ISERROR(MATCH(G$1,INDIRECT("Table!A"&amp;$AF221):INDIRECT("Table!" &amp; $AI$253 &amp; $AF221),0)),"",INDIRECT(CONCATENATE("Table!",ADDRESS(#REF!,MATCH(G$1,INDIRECT("Table!A" &amp; $AF221):INDIRECT("Table!" &amp; $AI$253 &amp; $AF221),0))))/1024)</f>
        <v/>
      </c>
      <c r="H221" s="22" t="str">
        <f ca="1">IF(ISERROR(MATCH(H$1,INDIRECT("Table!A"&amp;$AF221):INDIRECT("Table!" &amp; $AI$253 &amp; $AF221),0)),"",INDIRECT(CONCATENATE("Table!",ADDRESS(#REF!,MATCH(H$1,INDIRECT("Table!A" &amp; $AF221):INDIRECT("Table!" &amp; $AI$253 &amp; $AF221),0))))/1024)</f>
        <v/>
      </c>
      <c r="K221" s="22" t="str">
        <f ca="1">IF(ISERROR(MATCH(L$1,INDIRECT("Table!A"&amp;$AF221):INDIRECT("Table!" &amp; $AI$253 &amp; $AF221),0)),"",INDIRECT(CONCATENATE("Table!",ADDRESS(#REF!,MATCH(L$1,INDIRECT("Table!A" &amp; $AF221):INDIRECT("Table!" &amp; $AI$253 &amp; $AF221),0))))/1024)</f>
        <v/>
      </c>
      <c r="L221" s="22" t="str">
        <f ca="1">IF(ISERROR(MATCH(M$1,INDIRECT("Table!A"&amp;$AF221):INDIRECT("Table!" &amp; $AI$253 &amp; $AF221),0)),"",INDIRECT(CONCATENATE("Table!",ADDRESS(#REF!,MATCH(M$1,INDIRECT("Table!A" &amp; $AF221):INDIRECT("Table!" &amp; $AI$253 &amp; $AF221),0))))/1024)</f>
        <v/>
      </c>
      <c r="M221" s="22" t="str">
        <f ca="1">IF(ISERROR(MATCH(N$1,INDIRECT("Table!A"&amp;$AF221):INDIRECT("Table!" &amp; $AI$253 &amp; $AF221),0)),"",INDIRECT(CONCATENATE("Table!",ADDRESS(#REF!,MATCH(N$1,INDIRECT("Table!A" &amp; $AF221):INDIRECT("Table!" &amp; $AI$253 &amp; $AF221),0))))/1024)</f>
        <v/>
      </c>
      <c r="N221" s="22" t="str">
        <f ca="1">IF(ISERROR(MATCH(O$1,INDIRECT("Table!A"&amp;$AF221):INDIRECT("Table!" &amp; $AI$253 &amp; $AF221),0)),"",INDIRECT(CONCATENATE("Table!",ADDRESS(#REF!,MATCH(O$1,INDIRECT("Table!A" &amp; $AF221):INDIRECT("Table!" &amp; $AI$253 &amp; $AF221),0))))/1024)</f>
        <v/>
      </c>
      <c r="O221" s="22"/>
      <c r="P221" s="272"/>
      <c r="Q221" s="22"/>
      <c r="R221" s="102"/>
      <c r="T221" s="595"/>
      <c r="U221" s="102"/>
      <c r="AD221" s="102"/>
      <c r="AE221" s="102"/>
      <c r="AF221" s="22"/>
      <c r="AG221" s="102"/>
      <c r="AH221" s="102"/>
      <c r="AI221" s="102"/>
    </row>
    <row r="222" spans="2:35" x14ac:dyDescent="0.25">
      <c r="B222" s="22" t="str">
        <f ca="1">IF(ISERROR(MATCH(B$1,INDIRECT("Table!A"&amp;$AF222):INDIRECT("Table!" &amp; $AI$253 &amp; $AF222),0)),"",INDIRECT(CONCATENATE("Table!",ADDRESS(#REF!,MATCH(B$1,INDIRECT("Table!A" &amp; $AF222):INDIRECT("Table!" &amp; $AI$253 &amp; $AF222),0))))/1024)</f>
        <v/>
      </c>
      <c r="C222" s="22" t="str">
        <f ca="1">IF(ISERROR(MATCH(C$1,INDIRECT("Table!A"&amp;$AF222):INDIRECT("Table!" &amp; $AI$253 &amp; $AF222),0)),"",INDIRECT(CONCATENATE("Table!",ADDRESS(#REF!,MATCH(C$1,INDIRECT("Table!A" &amp; $AF222):INDIRECT("Table!" &amp; $AI$253 &amp; $AF222),0))))/1024)</f>
        <v/>
      </c>
      <c r="D222" s="22" t="str">
        <f ca="1">IF(ISERROR(MATCH(D$1,INDIRECT("Table!A"&amp;$AF222):INDIRECT("Table!" &amp; $AI$253 &amp; $AF222),0)),"",INDIRECT(CONCATENATE("Table!",ADDRESS(#REF!,MATCH(D$1,INDIRECT("Table!A" &amp; $AF222):INDIRECT("Table!" &amp; $AI$253 &amp; $AF222),0))))/1024)</f>
        <v/>
      </c>
      <c r="E222" s="22" t="str">
        <f ca="1">IF(ISERROR(MATCH(E$1,INDIRECT("Table!A"&amp;$AF222):INDIRECT("Table!" &amp; $AI$253 &amp; $AF222),0)),"",INDIRECT(CONCATENATE("Table!",ADDRESS(#REF!,MATCH(E$1,INDIRECT("Table!A" &amp; $AF222):INDIRECT("Table!" &amp; $AI$253 &amp; $AF222),0))))/1024)</f>
        <v/>
      </c>
      <c r="F222" s="22" t="str">
        <f ca="1">IF(ISERROR(MATCH(F$1,INDIRECT("Table!A"&amp;$AF222):INDIRECT("Table!" &amp; $AI$253 &amp; $AF222),0)),"",INDIRECT(CONCATENATE("Table!",ADDRESS(#REF!,MATCH(F$1,INDIRECT("Table!A" &amp; $AF222):INDIRECT("Table!" &amp; $AI$253 &amp; $AF222),0))))/1024)</f>
        <v/>
      </c>
      <c r="G222" s="22" t="str">
        <f ca="1">IF(ISERROR(MATCH(G$1,INDIRECT("Table!A"&amp;$AF222):INDIRECT("Table!" &amp; $AI$253 &amp; $AF222),0)),"",INDIRECT(CONCATENATE("Table!",ADDRESS(#REF!,MATCH(G$1,INDIRECT("Table!A" &amp; $AF222):INDIRECT("Table!" &amp; $AI$253 &amp; $AF222),0))))/1024)</f>
        <v/>
      </c>
      <c r="H222" s="22" t="str">
        <f ca="1">IF(ISERROR(MATCH(H$1,INDIRECT("Table!A"&amp;$AF222):INDIRECT("Table!" &amp; $AI$253 &amp; $AF222),0)),"",INDIRECT(CONCATENATE("Table!",ADDRESS(#REF!,MATCH(H$1,INDIRECT("Table!A" &amp; $AF222):INDIRECT("Table!" &amp; $AI$253 &amp; $AF222),0))))/1024)</f>
        <v/>
      </c>
      <c r="K222" s="22" t="str">
        <f ca="1">IF(ISERROR(MATCH(L$1,INDIRECT("Table!A"&amp;$AF222):INDIRECT("Table!" &amp; $AI$253 &amp; $AF222),0)),"",INDIRECT(CONCATENATE("Table!",ADDRESS(#REF!,MATCH(L$1,INDIRECT("Table!A" &amp; $AF222):INDIRECT("Table!" &amp; $AI$253 &amp; $AF222),0))))/1024)</f>
        <v/>
      </c>
      <c r="L222" s="22" t="str">
        <f ca="1">IF(ISERROR(MATCH(M$1,INDIRECT("Table!A"&amp;$AF222):INDIRECT("Table!" &amp; $AI$253 &amp; $AF222),0)),"",INDIRECT(CONCATENATE("Table!",ADDRESS(#REF!,MATCH(M$1,INDIRECT("Table!A" &amp; $AF222):INDIRECT("Table!" &amp; $AI$253 &amp; $AF222),0))))/1024)</f>
        <v/>
      </c>
      <c r="M222" s="22" t="str">
        <f ca="1">IF(ISERROR(MATCH(N$1,INDIRECT("Table!A"&amp;$AF222):INDIRECT("Table!" &amp; $AI$253 &amp; $AF222),0)),"",INDIRECT(CONCATENATE("Table!",ADDRESS(#REF!,MATCH(N$1,INDIRECT("Table!A" &amp; $AF222):INDIRECT("Table!" &amp; $AI$253 &amp; $AF222),0))))/1024)</f>
        <v/>
      </c>
      <c r="N222" s="22" t="str">
        <f ca="1">IF(ISERROR(MATCH(O$1,INDIRECT("Table!A"&amp;$AF222):INDIRECT("Table!" &amp; $AI$253 &amp; $AF222),0)),"",INDIRECT(CONCATENATE("Table!",ADDRESS(#REF!,MATCH(O$1,INDIRECT("Table!A" &amp; $AF222):INDIRECT("Table!" &amp; $AI$253 &amp; $AF222),0))))/1024)</f>
        <v/>
      </c>
      <c r="O222" s="22"/>
      <c r="P222" s="272"/>
      <c r="Q222" s="22"/>
      <c r="R222" s="101"/>
      <c r="T222" s="595"/>
      <c r="U222" s="101"/>
      <c r="AD222" s="101"/>
      <c r="AE222" s="101"/>
      <c r="AF222" s="22"/>
      <c r="AG222" s="101"/>
      <c r="AH222" s="101"/>
      <c r="AI222" s="101"/>
    </row>
    <row r="223" spans="2:35" x14ac:dyDescent="0.25">
      <c r="B223" s="22" t="str">
        <f ca="1">IF(ISERROR(MATCH(B$1,INDIRECT("Table!A"&amp;$AF223):INDIRECT("Table!" &amp; $AI$253 &amp; $AF223),0)),"",INDIRECT(CONCATENATE("Table!",ADDRESS(#REF!,MATCH(B$1,INDIRECT("Table!A" &amp; $AF223):INDIRECT("Table!" &amp; $AI$253 &amp; $AF223),0))))/1024)</f>
        <v/>
      </c>
      <c r="C223" s="22" t="str">
        <f ca="1">IF(ISERROR(MATCH(C$1,INDIRECT("Table!A"&amp;$AF223):INDIRECT("Table!" &amp; $AI$253 &amp; $AF223),0)),"",INDIRECT(CONCATENATE("Table!",ADDRESS(#REF!,MATCH(C$1,INDIRECT("Table!A" &amp; $AF223):INDIRECT("Table!" &amp; $AI$253 &amp; $AF223),0))))/1024)</f>
        <v/>
      </c>
      <c r="D223" s="22" t="str">
        <f ca="1">IF(ISERROR(MATCH(D$1,INDIRECT("Table!A"&amp;$AF223):INDIRECT("Table!" &amp; $AI$253 &amp; $AF223),0)),"",INDIRECT(CONCATENATE("Table!",ADDRESS(#REF!,MATCH(D$1,INDIRECT("Table!A" &amp; $AF223):INDIRECT("Table!" &amp; $AI$253 &amp; $AF223),0))))/1024)</f>
        <v/>
      </c>
      <c r="E223" s="22" t="str">
        <f ca="1">IF(ISERROR(MATCH(E$1,INDIRECT("Table!A"&amp;$AF223):INDIRECT("Table!" &amp; $AI$253 &amp; $AF223),0)),"",INDIRECT(CONCATENATE("Table!",ADDRESS(#REF!,MATCH(E$1,INDIRECT("Table!A" &amp; $AF223):INDIRECT("Table!" &amp; $AI$253 &amp; $AF223),0))))/1024)</f>
        <v/>
      </c>
      <c r="F223" s="22" t="str">
        <f ca="1">IF(ISERROR(MATCH(F$1,INDIRECT("Table!A"&amp;$AF223):INDIRECT("Table!" &amp; $AI$253 &amp; $AF223),0)),"",INDIRECT(CONCATENATE("Table!",ADDRESS(#REF!,MATCH(F$1,INDIRECT("Table!A" &amp; $AF223):INDIRECT("Table!" &amp; $AI$253 &amp; $AF223),0))))/1024)</f>
        <v/>
      </c>
      <c r="G223" s="22" t="str">
        <f ca="1">IF(ISERROR(MATCH(G$1,INDIRECT("Table!A"&amp;$AF223):INDIRECT("Table!" &amp; $AI$253 &amp; $AF223),0)),"",INDIRECT(CONCATENATE("Table!",ADDRESS(#REF!,MATCH(G$1,INDIRECT("Table!A" &amp; $AF223):INDIRECT("Table!" &amp; $AI$253 &amp; $AF223),0))))/1024)</f>
        <v/>
      </c>
      <c r="H223" s="22" t="str">
        <f ca="1">IF(ISERROR(MATCH(H$1,INDIRECT("Table!A"&amp;$AF223):INDIRECT("Table!" &amp; $AI$253 &amp; $AF223),0)),"",INDIRECT(CONCATENATE("Table!",ADDRESS(#REF!,MATCH(H$1,INDIRECT("Table!A" &amp; $AF223):INDIRECT("Table!" &amp; $AI$253 &amp; $AF223),0))))/1024)</f>
        <v/>
      </c>
      <c r="K223" s="22" t="str">
        <f ca="1">IF(ISERROR(MATCH(L$1,INDIRECT("Table!A"&amp;$AF223):INDIRECT("Table!" &amp; $AI$253 &amp; $AF223),0)),"",INDIRECT(CONCATENATE("Table!",ADDRESS(#REF!,MATCH(L$1,INDIRECT("Table!A" &amp; $AF223):INDIRECT("Table!" &amp; $AI$253 &amp; $AF223),0))))/1024)</f>
        <v/>
      </c>
      <c r="L223" s="22" t="str">
        <f ca="1">IF(ISERROR(MATCH(M$1,INDIRECT("Table!A"&amp;$AF223):INDIRECT("Table!" &amp; $AI$253 &amp; $AF223),0)),"",INDIRECT(CONCATENATE("Table!",ADDRESS(#REF!,MATCH(M$1,INDIRECT("Table!A" &amp; $AF223):INDIRECT("Table!" &amp; $AI$253 &amp; $AF223),0))))/1024)</f>
        <v/>
      </c>
      <c r="M223" s="22" t="str">
        <f ca="1">IF(ISERROR(MATCH(N$1,INDIRECT("Table!A"&amp;$AF223):INDIRECT("Table!" &amp; $AI$253 &amp; $AF223),0)),"",INDIRECT(CONCATENATE("Table!",ADDRESS(#REF!,MATCH(N$1,INDIRECT("Table!A" &amp; $AF223):INDIRECT("Table!" &amp; $AI$253 &amp; $AF223),0))))/1024)</f>
        <v/>
      </c>
      <c r="N223" s="22" t="str">
        <f ca="1">IF(ISERROR(MATCH(O$1,INDIRECT("Table!A"&amp;$AF223):INDIRECT("Table!" &amp; $AI$253 &amp; $AF223),0)),"",INDIRECT(CONCATENATE("Table!",ADDRESS(#REF!,MATCH(O$1,INDIRECT("Table!A" &amp; $AF223):INDIRECT("Table!" &amp; $AI$253 &amp; $AF223),0))))/1024)</f>
        <v/>
      </c>
      <c r="O223" s="22"/>
      <c r="P223" s="272"/>
      <c r="Q223" s="22"/>
      <c r="R223" s="100"/>
      <c r="T223" s="595"/>
      <c r="U223" s="100"/>
      <c r="AD223" s="100"/>
      <c r="AE223" s="100"/>
      <c r="AF223" s="22"/>
      <c r="AG223" s="100"/>
      <c r="AH223" s="100"/>
      <c r="AI223" s="100"/>
    </row>
    <row r="224" spans="2:35" x14ac:dyDescent="0.25">
      <c r="B224" s="22" t="str">
        <f ca="1">IF(ISERROR(MATCH(B$1,INDIRECT("Table!A"&amp;$AF224):INDIRECT("Table!" &amp; $AI$253 &amp; $AF224),0)),"",INDIRECT(CONCATENATE("Table!",ADDRESS(#REF!,MATCH(B$1,INDIRECT("Table!A" &amp; $AF224):INDIRECT("Table!" &amp; $AI$253 &amp; $AF224),0))))/1024)</f>
        <v/>
      </c>
      <c r="C224" s="22" t="str">
        <f ca="1">IF(ISERROR(MATCH(C$1,INDIRECT("Table!A"&amp;$AF224):INDIRECT("Table!" &amp; $AI$253 &amp; $AF224),0)),"",INDIRECT(CONCATENATE("Table!",ADDRESS(#REF!,MATCH(C$1,INDIRECT("Table!A" &amp; $AF224):INDIRECT("Table!" &amp; $AI$253 &amp; $AF224),0))))/1024)</f>
        <v/>
      </c>
      <c r="D224" s="22" t="str">
        <f ca="1">IF(ISERROR(MATCH(D$1,INDIRECT("Table!A"&amp;$AF224):INDIRECT("Table!" &amp; $AI$253 &amp; $AF224),0)),"",INDIRECT(CONCATENATE("Table!",ADDRESS(#REF!,MATCH(D$1,INDIRECT("Table!A" &amp; $AF224):INDIRECT("Table!" &amp; $AI$253 &amp; $AF224),0))))/1024)</f>
        <v/>
      </c>
      <c r="E224" s="22" t="str">
        <f ca="1">IF(ISERROR(MATCH(E$1,INDIRECT("Table!A"&amp;$AF224):INDIRECT("Table!" &amp; $AI$253 &amp; $AF224),0)),"",INDIRECT(CONCATENATE("Table!",ADDRESS(#REF!,MATCH(E$1,INDIRECT("Table!A" &amp; $AF224):INDIRECT("Table!" &amp; $AI$253 &amp; $AF224),0))))/1024)</f>
        <v/>
      </c>
      <c r="F224" s="22" t="str">
        <f ca="1">IF(ISERROR(MATCH(F$1,INDIRECT("Table!A"&amp;$AF224):INDIRECT("Table!" &amp; $AI$253 &amp; $AF224),0)),"",INDIRECT(CONCATENATE("Table!",ADDRESS(#REF!,MATCH(F$1,INDIRECT("Table!A" &amp; $AF224):INDIRECT("Table!" &amp; $AI$253 &amp; $AF224),0))))/1024)</f>
        <v/>
      </c>
      <c r="G224" s="22" t="str">
        <f ca="1">IF(ISERROR(MATCH(G$1,INDIRECT("Table!A"&amp;$AF224):INDIRECT("Table!" &amp; $AI$253 &amp; $AF224),0)),"",INDIRECT(CONCATENATE("Table!",ADDRESS(#REF!,MATCH(G$1,INDIRECT("Table!A" &amp; $AF224):INDIRECT("Table!" &amp; $AI$253 &amp; $AF224),0))))/1024)</f>
        <v/>
      </c>
      <c r="H224" s="22" t="str">
        <f ca="1">IF(ISERROR(MATCH(H$1,INDIRECT("Table!A"&amp;$AF224):INDIRECT("Table!" &amp; $AI$253 &amp; $AF224),0)),"",INDIRECT(CONCATENATE("Table!",ADDRESS(#REF!,MATCH(H$1,INDIRECT("Table!A" &amp; $AF224):INDIRECT("Table!" &amp; $AI$253 &amp; $AF224),0))))/1024)</f>
        <v/>
      </c>
      <c r="K224" s="22" t="str">
        <f ca="1">IF(ISERROR(MATCH(L$1,INDIRECT("Table!A"&amp;$AF224):INDIRECT("Table!" &amp; $AI$253 &amp; $AF224),0)),"",INDIRECT(CONCATENATE("Table!",ADDRESS(#REF!,MATCH(L$1,INDIRECT("Table!A" &amp; $AF224):INDIRECT("Table!" &amp; $AI$253 &amp; $AF224),0))))/1024)</f>
        <v/>
      </c>
      <c r="L224" s="22" t="str">
        <f ca="1">IF(ISERROR(MATCH(M$1,INDIRECT("Table!A"&amp;$AF224):INDIRECT("Table!" &amp; $AI$253 &amp; $AF224),0)),"",INDIRECT(CONCATENATE("Table!",ADDRESS(#REF!,MATCH(M$1,INDIRECT("Table!A" &amp; $AF224):INDIRECT("Table!" &amp; $AI$253 &amp; $AF224),0))))/1024)</f>
        <v/>
      </c>
      <c r="M224" s="22" t="str">
        <f ca="1">IF(ISERROR(MATCH(N$1,INDIRECT("Table!A"&amp;$AF224):INDIRECT("Table!" &amp; $AI$253 &amp; $AF224),0)),"",INDIRECT(CONCATENATE("Table!",ADDRESS(#REF!,MATCH(N$1,INDIRECT("Table!A" &amp; $AF224):INDIRECT("Table!" &amp; $AI$253 &amp; $AF224),0))))/1024)</f>
        <v/>
      </c>
      <c r="N224" s="22" t="str">
        <f ca="1">IF(ISERROR(MATCH(O$1,INDIRECT("Table!A"&amp;$AF224):INDIRECT("Table!" &amp; $AI$253 &amp; $AF224),0)),"",INDIRECT(CONCATENATE("Table!",ADDRESS(#REF!,MATCH(O$1,INDIRECT("Table!A" &amp; $AF224):INDIRECT("Table!" &amp; $AI$253 &amp; $AF224),0))))/1024)</f>
        <v/>
      </c>
      <c r="O224" s="22"/>
      <c r="P224" s="272"/>
      <c r="Q224" s="22"/>
      <c r="R224" s="99"/>
      <c r="T224" s="595"/>
      <c r="U224" s="99"/>
      <c r="AD224" s="99"/>
      <c r="AE224" s="99"/>
      <c r="AF224" s="22"/>
      <c r="AG224" s="99"/>
      <c r="AH224" s="99"/>
      <c r="AI224" s="99"/>
    </row>
    <row r="225" spans="2:35" x14ac:dyDescent="0.25">
      <c r="B225" s="22" t="str">
        <f ca="1">IF(ISERROR(MATCH(B$1,INDIRECT("Table!A"&amp;$AF225):INDIRECT("Table!" &amp; $AI$253 &amp; $AF225),0)),"",INDIRECT(CONCATENATE("Table!",ADDRESS(#REF!,MATCH(B$1,INDIRECT("Table!A" &amp; $AF225):INDIRECT("Table!" &amp; $AI$253 &amp; $AF225),0))))/1024)</f>
        <v/>
      </c>
      <c r="C225" s="22" t="str">
        <f ca="1">IF(ISERROR(MATCH(C$1,INDIRECT("Table!A"&amp;$AF225):INDIRECT("Table!" &amp; $AI$253 &amp; $AF225),0)),"",INDIRECT(CONCATENATE("Table!",ADDRESS(#REF!,MATCH(C$1,INDIRECT("Table!A" &amp; $AF225):INDIRECT("Table!" &amp; $AI$253 &amp; $AF225),0))))/1024)</f>
        <v/>
      </c>
      <c r="D225" s="22" t="str">
        <f ca="1">IF(ISERROR(MATCH(D$1,INDIRECT("Table!A"&amp;$AF225):INDIRECT("Table!" &amp; $AI$253 &amp; $AF225),0)),"",INDIRECT(CONCATENATE("Table!",ADDRESS(#REF!,MATCH(D$1,INDIRECT("Table!A" &amp; $AF225):INDIRECT("Table!" &amp; $AI$253 &amp; $AF225),0))))/1024)</f>
        <v/>
      </c>
      <c r="E225" s="22" t="str">
        <f ca="1">IF(ISERROR(MATCH(E$1,INDIRECT("Table!A"&amp;$AF225):INDIRECT("Table!" &amp; $AI$253 &amp; $AF225),0)),"",INDIRECT(CONCATENATE("Table!",ADDRESS(#REF!,MATCH(E$1,INDIRECT("Table!A" &amp; $AF225):INDIRECT("Table!" &amp; $AI$253 &amp; $AF225),0))))/1024)</f>
        <v/>
      </c>
      <c r="F225" s="22" t="str">
        <f ca="1">IF(ISERROR(MATCH(F$1,INDIRECT("Table!A"&amp;$AF225):INDIRECT("Table!" &amp; $AI$253 &amp; $AF225),0)),"",INDIRECT(CONCATENATE("Table!",ADDRESS(#REF!,MATCH(F$1,INDIRECT("Table!A" &amp; $AF225):INDIRECT("Table!" &amp; $AI$253 &amp; $AF225),0))))/1024)</f>
        <v/>
      </c>
      <c r="G225" s="22" t="str">
        <f ca="1">IF(ISERROR(MATCH(G$1,INDIRECT("Table!A"&amp;$AF225):INDIRECT("Table!" &amp; $AI$253 &amp; $AF225),0)),"",INDIRECT(CONCATENATE("Table!",ADDRESS(#REF!,MATCH(G$1,INDIRECT("Table!A" &amp; $AF225):INDIRECT("Table!" &amp; $AI$253 &amp; $AF225),0))))/1024)</f>
        <v/>
      </c>
      <c r="H225" s="22" t="str">
        <f ca="1">IF(ISERROR(MATCH(H$1,INDIRECT("Table!A"&amp;$AF225):INDIRECT("Table!" &amp; $AI$253 &amp; $AF225),0)),"",INDIRECT(CONCATENATE("Table!",ADDRESS(#REF!,MATCH(H$1,INDIRECT("Table!A" &amp; $AF225):INDIRECT("Table!" &amp; $AI$253 &amp; $AF225),0))))/1024)</f>
        <v/>
      </c>
      <c r="K225" s="22" t="str">
        <f ca="1">IF(ISERROR(MATCH(L$1,INDIRECT("Table!A"&amp;$AF225):INDIRECT("Table!" &amp; $AI$253 &amp; $AF225),0)),"",INDIRECT(CONCATENATE("Table!",ADDRESS(#REF!,MATCH(L$1,INDIRECT("Table!A" &amp; $AF225):INDIRECT("Table!" &amp; $AI$253 &amp; $AF225),0))))/1024)</f>
        <v/>
      </c>
      <c r="L225" s="22" t="str">
        <f ca="1">IF(ISERROR(MATCH(M$1,INDIRECT("Table!A"&amp;$AF225):INDIRECT("Table!" &amp; $AI$253 &amp; $AF225),0)),"",INDIRECT(CONCATENATE("Table!",ADDRESS(#REF!,MATCH(M$1,INDIRECT("Table!A" &amp; $AF225):INDIRECT("Table!" &amp; $AI$253 &amp; $AF225),0))))/1024)</f>
        <v/>
      </c>
      <c r="M225" s="22" t="str">
        <f ca="1">IF(ISERROR(MATCH(N$1,INDIRECT("Table!A"&amp;$AF225):INDIRECT("Table!" &amp; $AI$253 &amp; $AF225),0)),"",INDIRECT(CONCATENATE("Table!",ADDRESS(#REF!,MATCH(N$1,INDIRECT("Table!A" &amp; $AF225):INDIRECT("Table!" &amp; $AI$253 &amp; $AF225),0))))/1024)</f>
        <v/>
      </c>
      <c r="N225" s="22" t="str">
        <f ca="1">IF(ISERROR(MATCH(O$1,INDIRECT("Table!A"&amp;$AF225):INDIRECT("Table!" &amp; $AI$253 &amp; $AF225),0)),"",INDIRECT(CONCATENATE("Table!",ADDRESS(#REF!,MATCH(O$1,INDIRECT("Table!A" &amp; $AF225):INDIRECT("Table!" &amp; $AI$253 &amp; $AF225),0))))/1024)</f>
        <v/>
      </c>
      <c r="O225" s="22"/>
      <c r="P225" s="272"/>
      <c r="Q225" s="22"/>
      <c r="R225" s="98"/>
      <c r="T225" s="595"/>
      <c r="U225" s="98"/>
      <c r="AD225" s="98"/>
      <c r="AE225" s="98"/>
      <c r="AF225" s="22"/>
      <c r="AG225" s="98"/>
      <c r="AH225" s="98"/>
      <c r="AI225" s="98"/>
    </row>
    <row r="226" spans="2:35" x14ac:dyDescent="0.25">
      <c r="B226" s="22" t="str">
        <f ca="1">IF(ISERROR(MATCH(B$1,INDIRECT("Table!A"&amp;$AF226):INDIRECT("Table!" &amp; $AI$253 &amp; $AF226),0)),"",INDIRECT(CONCATENATE("Table!",ADDRESS(#REF!,MATCH(B$1,INDIRECT("Table!A" &amp; $AF226):INDIRECT("Table!" &amp; $AI$253 &amp; $AF226),0))))/1024)</f>
        <v/>
      </c>
      <c r="C226" s="22" t="str">
        <f ca="1">IF(ISERROR(MATCH(C$1,INDIRECT("Table!A"&amp;$AF226):INDIRECT("Table!" &amp; $AI$253 &amp; $AF226),0)),"",INDIRECT(CONCATENATE("Table!",ADDRESS(#REF!,MATCH(C$1,INDIRECT("Table!A" &amp; $AF226):INDIRECT("Table!" &amp; $AI$253 &amp; $AF226),0))))/1024)</f>
        <v/>
      </c>
      <c r="D226" s="22" t="str">
        <f ca="1">IF(ISERROR(MATCH(D$1,INDIRECT("Table!A"&amp;$AF226):INDIRECT("Table!" &amp; $AI$253 &amp; $AF226),0)),"",INDIRECT(CONCATENATE("Table!",ADDRESS(#REF!,MATCH(D$1,INDIRECT("Table!A" &amp; $AF226):INDIRECT("Table!" &amp; $AI$253 &amp; $AF226),0))))/1024)</f>
        <v/>
      </c>
      <c r="E226" s="22" t="str">
        <f ca="1">IF(ISERROR(MATCH(E$1,INDIRECT("Table!A"&amp;$AF226):INDIRECT("Table!" &amp; $AI$253 &amp; $AF226),0)),"",INDIRECT(CONCATENATE("Table!",ADDRESS(#REF!,MATCH(E$1,INDIRECT("Table!A" &amp; $AF226):INDIRECT("Table!" &amp; $AI$253 &amp; $AF226),0))))/1024)</f>
        <v/>
      </c>
      <c r="F226" s="22" t="str">
        <f ca="1">IF(ISERROR(MATCH(F$1,INDIRECT("Table!A"&amp;$AF226):INDIRECT("Table!" &amp; $AI$253 &amp; $AF226),0)),"",INDIRECT(CONCATENATE("Table!",ADDRESS(#REF!,MATCH(F$1,INDIRECT("Table!A" &amp; $AF226):INDIRECT("Table!" &amp; $AI$253 &amp; $AF226),0))))/1024)</f>
        <v/>
      </c>
      <c r="G226" s="22" t="str">
        <f ca="1">IF(ISERROR(MATCH(G$1,INDIRECT("Table!A"&amp;$AF226):INDIRECT("Table!" &amp; $AI$253 &amp; $AF226),0)),"",INDIRECT(CONCATENATE("Table!",ADDRESS(#REF!,MATCH(G$1,INDIRECT("Table!A" &amp; $AF226):INDIRECT("Table!" &amp; $AI$253 &amp; $AF226),0))))/1024)</f>
        <v/>
      </c>
      <c r="H226" s="22" t="str">
        <f ca="1">IF(ISERROR(MATCH(H$1,INDIRECT("Table!A"&amp;$AF226):INDIRECT("Table!" &amp; $AI$253 &amp; $AF226),0)),"",INDIRECT(CONCATENATE("Table!",ADDRESS(#REF!,MATCH(H$1,INDIRECT("Table!A" &amp; $AF226):INDIRECT("Table!" &amp; $AI$253 &amp; $AF226),0))))/1024)</f>
        <v/>
      </c>
      <c r="K226" s="22" t="str">
        <f ca="1">IF(ISERROR(MATCH(L$1,INDIRECT("Table!A"&amp;$AF226):INDIRECT("Table!" &amp; $AI$253 &amp; $AF226),0)),"",INDIRECT(CONCATENATE("Table!",ADDRESS(#REF!,MATCH(L$1,INDIRECT("Table!A" &amp; $AF226):INDIRECT("Table!" &amp; $AI$253 &amp; $AF226),0))))/1024)</f>
        <v/>
      </c>
      <c r="L226" s="22" t="str">
        <f ca="1">IF(ISERROR(MATCH(M$1,INDIRECT("Table!A"&amp;$AF226):INDIRECT("Table!" &amp; $AI$253 &amp; $AF226),0)),"",INDIRECT(CONCATENATE("Table!",ADDRESS(#REF!,MATCH(M$1,INDIRECT("Table!A" &amp; $AF226):INDIRECT("Table!" &amp; $AI$253 &amp; $AF226),0))))/1024)</f>
        <v/>
      </c>
      <c r="M226" s="22" t="str">
        <f ca="1">IF(ISERROR(MATCH(N$1,INDIRECT("Table!A"&amp;$AF226):INDIRECT("Table!" &amp; $AI$253 &amp; $AF226),0)),"",INDIRECT(CONCATENATE("Table!",ADDRESS(#REF!,MATCH(N$1,INDIRECT("Table!A" &amp; $AF226):INDIRECT("Table!" &amp; $AI$253 &amp; $AF226),0))))/1024)</f>
        <v/>
      </c>
      <c r="N226" s="22" t="str">
        <f ca="1">IF(ISERROR(MATCH(O$1,INDIRECT("Table!A"&amp;$AF226):INDIRECT("Table!" &amp; $AI$253 &amp; $AF226),0)),"",INDIRECT(CONCATENATE("Table!",ADDRESS(#REF!,MATCH(O$1,INDIRECT("Table!A" &amp; $AF226):INDIRECT("Table!" &amp; $AI$253 &amp; $AF226),0))))/1024)</f>
        <v/>
      </c>
      <c r="O226" s="22"/>
      <c r="P226" s="272"/>
      <c r="Q226" s="22"/>
      <c r="R226" s="97"/>
      <c r="T226" s="595"/>
      <c r="U226" s="97"/>
      <c r="AD226" s="97"/>
      <c r="AE226" s="97"/>
      <c r="AF226" s="22"/>
      <c r="AG226" s="97"/>
      <c r="AH226" s="97"/>
      <c r="AI226" s="97"/>
    </row>
    <row r="227" spans="2:35" x14ac:dyDescent="0.25">
      <c r="B227" s="22" t="str">
        <f ca="1">IF(ISERROR(MATCH(B$1,INDIRECT("Table!A"&amp;$AF227):INDIRECT("Table!" &amp; $AI$253 &amp; $AF227),0)),"",INDIRECT(CONCATENATE("Table!",ADDRESS(#REF!,MATCH(B$1,INDIRECT("Table!A" &amp; $AF227):INDIRECT("Table!" &amp; $AI$253 &amp; $AF227),0))))/1024)</f>
        <v/>
      </c>
      <c r="C227" s="22" t="str">
        <f ca="1">IF(ISERROR(MATCH(C$1,INDIRECT("Table!A"&amp;$AF227):INDIRECT("Table!" &amp; $AI$253 &amp; $AF227),0)),"",INDIRECT(CONCATENATE("Table!",ADDRESS(#REF!,MATCH(C$1,INDIRECT("Table!A" &amp; $AF227):INDIRECT("Table!" &amp; $AI$253 &amp; $AF227),0))))/1024)</f>
        <v/>
      </c>
      <c r="D227" s="22" t="str">
        <f ca="1">IF(ISERROR(MATCH(D$1,INDIRECT("Table!A"&amp;$AF227):INDIRECT("Table!" &amp; $AI$253 &amp; $AF227),0)),"",INDIRECT(CONCATENATE("Table!",ADDRESS(#REF!,MATCH(D$1,INDIRECT("Table!A" &amp; $AF227):INDIRECT("Table!" &amp; $AI$253 &amp; $AF227),0))))/1024)</f>
        <v/>
      </c>
      <c r="E227" s="22" t="str">
        <f ca="1">IF(ISERROR(MATCH(E$1,INDIRECT("Table!A"&amp;$AF227):INDIRECT("Table!" &amp; $AI$253 &amp; $AF227),0)),"",INDIRECT(CONCATENATE("Table!",ADDRESS(#REF!,MATCH(E$1,INDIRECT("Table!A" &amp; $AF227):INDIRECT("Table!" &amp; $AI$253 &amp; $AF227),0))))/1024)</f>
        <v/>
      </c>
      <c r="F227" s="22" t="str">
        <f ca="1">IF(ISERROR(MATCH(F$1,INDIRECT("Table!A"&amp;$AF227):INDIRECT("Table!" &amp; $AI$253 &amp; $AF227),0)),"",INDIRECT(CONCATENATE("Table!",ADDRESS(#REF!,MATCH(F$1,INDIRECT("Table!A" &amp; $AF227):INDIRECT("Table!" &amp; $AI$253 &amp; $AF227),0))))/1024)</f>
        <v/>
      </c>
      <c r="G227" s="22" t="str">
        <f ca="1">IF(ISERROR(MATCH(G$1,INDIRECT("Table!A"&amp;$AF227):INDIRECT("Table!" &amp; $AI$253 &amp; $AF227),0)),"",INDIRECT(CONCATENATE("Table!",ADDRESS(#REF!,MATCH(G$1,INDIRECT("Table!A" &amp; $AF227):INDIRECT("Table!" &amp; $AI$253 &amp; $AF227),0))))/1024)</f>
        <v/>
      </c>
      <c r="H227" s="22" t="str">
        <f ca="1">IF(ISERROR(MATCH(H$1,INDIRECT("Table!A"&amp;$AF227):INDIRECT("Table!" &amp; $AI$253 &amp; $AF227),0)),"",INDIRECT(CONCATENATE("Table!",ADDRESS(#REF!,MATCH(H$1,INDIRECT("Table!A" &amp; $AF227):INDIRECT("Table!" &amp; $AI$253 &amp; $AF227),0))))/1024)</f>
        <v/>
      </c>
      <c r="K227" s="22" t="str">
        <f ca="1">IF(ISERROR(MATCH(L$1,INDIRECT("Table!A"&amp;$AF227):INDIRECT("Table!" &amp; $AI$253 &amp; $AF227),0)),"",INDIRECT(CONCATENATE("Table!",ADDRESS(#REF!,MATCH(L$1,INDIRECT("Table!A" &amp; $AF227):INDIRECT("Table!" &amp; $AI$253 &amp; $AF227),0))))/1024)</f>
        <v/>
      </c>
      <c r="L227" s="22" t="str">
        <f ca="1">IF(ISERROR(MATCH(M$1,INDIRECT("Table!A"&amp;$AF227):INDIRECT("Table!" &amp; $AI$253 &amp; $AF227),0)),"",INDIRECT(CONCATENATE("Table!",ADDRESS(#REF!,MATCH(M$1,INDIRECT("Table!A" &amp; $AF227):INDIRECT("Table!" &amp; $AI$253 &amp; $AF227),0))))/1024)</f>
        <v/>
      </c>
      <c r="M227" s="22" t="str">
        <f ca="1">IF(ISERROR(MATCH(N$1,INDIRECT("Table!A"&amp;$AF227):INDIRECT("Table!" &amp; $AI$253 &amp; $AF227),0)),"",INDIRECT(CONCATENATE("Table!",ADDRESS(#REF!,MATCH(N$1,INDIRECT("Table!A" &amp; $AF227):INDIRECT("Table!" &amp; $AI$253 &amp; $AF227),0))))/1024)</f>
        <v/>
      </c>
      <c r="N227" s="22" t="str">
        <f ca="1">IF(ISERROR(MATCH(O$1,INDIRECT("Table!A"&amp;$AF227):INDIRECT("Table!" &amp; $AI$253 &amp; $AF227),0)),"",INDIRECT(CONCATENATE("Table!",ADDRESS(#REF!,MATCH(O$1,INDIRECT("Table!A" &amp; $AF227):INDIRECT("Table!" &amp; $AI$253 &amp; $AF227),0))))/1024)</f>
        <v/>
      </c>
      <c r="O227" s="22"/>
      <c r="P227" s="272"/>
      <c r="Q227" s="22"/>
      <c r="R227" s="96"/>
      <c r="T227" s="595"/>
      <c r="U227" s="96"/>
      <c r="AD227" s="96"/>
      <c r="AE227" s="96"/>
      <c r="AF227" s="22"/>
      <c r="AG227" s="96"/>
      <c r="AH227" s="96"/>
      <c r="AI227" s="96"/>
    </row>
    <row r="228" spans="2:35" x14ac:dyDescent="0.25">
      <c r="B228" s="22" t="str">
        <f ca="1">IF(ISERROR(MATCH(B$1,INDIRECT("Table!A"&amp;$AF228):INDIRECT("Table!" &amp; $AI$253 &amp; $AF228),0)),"",INDIRECT(CONCATENATE("Table!",ADDRESS(#REF!,MATCH(B$1,INDIRECT("Table!A" &amp; $AF228):INDIRECT("Table!" &amp; $AI$253 &amp; $AF228),0))))/1024)</f>
        <v/>
      </c>
      <c r="C228" s="22" t="str">
        <f ca="1">IF(ISERROR(MATCH(C$1,INDIRECT("Table!A"&amp;$AF228):INDIRECT("Table!" &amp; $AI$253 &amp; $AF228),0)),"",INDIRECT(CONCATENATE("Table!",ADDRESS(#REF!,MATCH(C$1,INDIRECT("Table!A" &amp; $AF228):INDIRECT("Table!" &amp; $AI$253 &amp; $AF228),0))))/1024)</f>
        <v/>
      </c>
      <c r="D228" s="22" t="str">
        <f ca="1">IF(ISERROR(MATCH(D$1,INDIRECT("Table!A"&amp;$AF228):INDIRECT("Table!" &amp; $AI$253 &amp; $AF228),0)),"",INDIRECT(CONCATENATE("Table!",ADDRESS(#REF!,MATCH(D$1,INDIRECT("Table!A" &amp; $AF228):INDIRECT("Table!" &amp; $AI$253 &amp; $AF228),0))))/1024)</f>
        <v/>
      </c>
      <c r="E228" s="22" t="str">
        <f ca="1">IF(ISERROR(MATCH(E$1,INDIRECT("Table!A"&amp;$AF228):INDIRECT("Table!" &amp; $AI$253 &amp; $AF228),0)),"",INDIRECT(CONCATENATE("Table!",ADDRESS(#REF!,MATCH(E$1,INDIRECT("Table!A" &amp; $AF228):INDIRECT("Table!" &amp; $AI$253 &amp; $AF228),0))))/1024)</f>
        <v/>
      </c>
      <c r="F228" s="22" t="str">
        <f ca="1">IF(ISERROR(MATCH(F$1,INDIRECT("Table!A"&amp;$AF228):INDIRECT("Table!" &amp; $AI$253 &amp; $AF228),0)),"",INDIRECT(CONCATENATE("Table!",ADDRESS(#REF!,MATCH(F$1,INDIRECT("Table!A" &amp; $AF228):INDIRECT("Table!" &amp; $AI$253 &amp; $AF228),0))))/1024)</f>
        <v/>
      </c>
      <c r="G228" s="22" t="str">
        <f ca="1">IF(ISERROR(MATCH(G$1,INDIRECT("Table!A"&amp;$AF228):INDIRECT("Table!" &amp; $AI$253 &amp; $AF228),0)),"",INDIRECT(CONCATENATE("Table!",ADDRESS(#REF!,MATCH(G$1,INDIRECT("Table!A" &amp; $AF228):INDIRECT("Table!" &amp; $AI$253 &amp; $AF228),0))))/1024)</f>
        <v/>
      </c>
      <c r="H228" s="22" t="str">
        <f ca="1">IF(ISERROR(MATCH(H$1,INDIRECT("Table!A"&amp;$AF228):INDIRECT("Table!" &amp; $AI$253 &amp; $AF228),0)),"",INDIRECT(CONCATENATE("Table!",ADDRESS(#REF!,MATCH(H$1,INDIRECT("Table!A" &amp; $AF228):INDIRECT("Table!" &amp; $AI$253 &amp; $AF228),0))))/1024)</f>
        <v/>
      </c>
      <c r="K228" s="22" t="str">
        <f ca="1">IF(ISERROR(MATCH(L$1,INDIRECT("Table!A"&amp;$AF228):INDIRECT("Table!" &amp; $AI$253 &amp; $AF228),0)),"",INDIRECT(CONCATENATE("Table!",ADDRESS(#REF!,MATCH(L$1,INDIRECT("Table!A" &amp; $AF228):INDIRECT("Table!" &amp; $AI$253 &amp; $AF228),0))))/1024)</f>
        <v/>
      </c>
      <c r="L228" s="22" t="str">
        <f ca="1">IF(ISERROR(MATCH(M$1,INDIRECT("Table!A"&amp;$AF228):INDIRECT("Table!" &amp; $AI$253 &amp; $AF228),0)),"",INDIRECT(CONCATENATE("Table!",ADDRESS(#REF!,MATCH(M$1,INDIRECT("Table!A" &amp; $AF228):INDIRECT("Table!" &amp; $AI$253 &amp; $AF228),0))))/1024)</f>
        <v/>
      </c>
      <c r="M228" s="22" t="str">
        <f ca="1">IF(ISERROR(MATCH(N$1,INDIRECT("Table!A"&amp;$AF228):INDIRECT("Table!" &amp; $AI$253 &amp; $AF228),0)),"",INDIRECT(CONCATENATE("Table!",ADDRESS(#REF!,MATCH(N$1,INDIRECT("Table!A" &amp; $AF228):INDIRECT("Table!" &amp; $AI$253 &amp; $AF228),0))))/1024)</f>
        <v/>
      </c>
      <c r="N228" s="22" t="str">
        <f ca="1">IF(ISERROR(MATCH(O$1,INDIRECT("Table!A"&amp;$AF228):INDIRECT("Table!" &amp; $AI$253 &amp; $AF228),0)),"",INDIRECT(CONCATENATE("Table!",ADDRESS(#REF!,MATCH(O$1,INDIRECT("Table!A" &amp; $AF228):INDIRECT("Table!" &amp; $AI$253 &amp; $AF228),0))))/1024)</f>
        <v/>
      </c>
      <c r="O228" s="22"/>
      <c r="P228" s="272"/>
      <c r="Q228" s="22"/>
      <c r="R228" s="95"/>
      <c r="T228" s="595"/>
      <c r="U228" s="95"/>
      <c r="AD228" s="95"/>
      <c r="AE228" s="95"/>
      <c r="AF228" s="22"/>
      <c r="AG228" s="95"/>
      <c r="AH228" s="95"/>
      <c r="AI228" s="95"/>
    </row>
    <row r="229" spans="2:35" x14ac:dyDescent="0.25">
      <c r="B229" s="22" t="str">
        <f ca="1">IF(ISERROR(MATCH(B$1,INDIRECT("Table!A"&amp;$AF229):INDIRECT("Table!" &amp; $AI$253 &amp; $AF229),0)),"",INDIRECT(CONCATENATE("Table!",ADDRESS(#REF!,MATCH(B$1,INDIRECT("Table!A" &amp; $AF229):INDIRECT("Table!" &amp; $AI$253 &amp; $AF229),0))))/1024)</f>
        <v/>
      </c>
      <c r="C229" s="22" t="str">
        <f ca="1">IF(ISERROR(MATCH(C$1,INDIRECT("Table!A"&amp;$AF229):INDIRECT("Table!" &amp; $AI$253 &amp; $AF229),0)),"",INDIRECT(CONCATENATE("Table!",ADDRESS(#REF!,MATCH(C$1,INDIRECT("Table!A" &amp; $AF229):INDIRECT("Table!" &amp; $AI$253 &amp; $AF229),0))))/1024)</f>
        <v/>
      </c>
      <c r="D229" s="22" t="str">
        <f ca="1">IF(ISERROR(MATCH(D$1,INDIRECT("Table!A"&amp;$AF229):INDIRECT("Table!" &amp; $AI$253 &amp; $AF229),0)),"",INDIRECT(CONCATENATE("Table!",ADDRESS(#REF!,MATCH(D$1,INDIRECT("Table!A" &amp; $AF229):INDIRECT("Table!" &amp; $AI$253 &amp; $AF229),0))))/1024)</f>
        <v/>
      </c>
      <c r="E229" s="22" t="str">
        <f ca="1">IF(ISERROR(MATCH(E$1,INDIRECT("Table!A"&amp;$AF229):INDIRECT("Table!" &amp; $AI$253 &amp; $AF229),0)),"",INDIRECT(CONCATENATE("Table!",ADDRESS(#REF!,MATCH(E$1,INDIRECT("Table!A" &amp; $AF229):INDIRECT("Table!" &amp; $AI$253 &amp; $AF229),0))))/1024)</f>
        <v/>
      </c>
      <c r="F229" s="22" t="str">
        <f ca="1">IF(ISERROR(MATCH(F$1,INDIRECT("Table!A"&amp;$AF229):INDIRECT("Table!" &amp; $AI$253 &amp; $AF229),0)),"",INDIRECT(CONCATENATE("Table!",ADDRESS(#REF!,MATCH(F$1,INDIRECT("Table!A" &amp; $AF229):INDIRECT("Table!" &amp; $AI$253 &amp; $AF229),0))))/1024)</f>
        <v/>
      </c>
      <c r="G229" s="22" t="str">
        <f ca="1">IF(ISERROR(MATCH(G$1,INDIRECT("Table!A"&amp;$AF229):INDIRECT("Table!" &amp; $AI$253 &amp; $AF229),0)),"",INDIRECT(CONCATENATE("Table!",ADDRESS(#REF!,MATCH(G$1,INDIRECT("Table!A" &amp; $AF229):INDIRECT("Table!" &amp; $AI$253 &amp; $AF229),0))))/1024)</f>
        <v/>
      </c>
      <c r="H229" s="22" t="str">
        <f ca="1">IF(ISERROR(MATCH(H$1,INDIRECT("Table!A"&amp;$AF229):INDIRECT("Table!" &amp; $AI$253 &amp; $AF229),0)),"",INDIRECT(CONCATENATE("Table!",ADDRESS(#REF!,MATCH(H$1,INDIRECT("Table!A" &amp; $AF229):INDIRECT("Table!" &amp; $AI$253 &amp; $AF229),0))))/1024)</f>
        <v/>
      </c>
      <c r="K229" s="22" t="str">
        <f ca="1">IF(ISERROR(MATCH(L$1,INDIRECT("Table!A"&amp;$AF229):INDIRECT("Table!" &amp; $AI$253 &amp; $AF229),0)),"",INDIRECT(CONCATENATE("Table!",ADDRESS(#REF!,MATCH(L$1,INDIRECT("Table!A" &amp; $AF229):INDIRECT("Table!" &amp; $AI$253 &amp; $AF229),0))))/1024)</f>
        <v/>
      </c>
      <c r="L229" s="22" t="str">
        <f ca="1">IF(ISERROR(MATCH(M$1,INDIRECT("Table!A"&amp;$AF229):INDIRECT("Table!" &amp; $AI$253 &amp; $AF229),0)),"",INDIRECT(CONCATENATE("Table!",ADDRESS(#REF!,MATCH(M$1,INDIRECT("Table!A" &amp; $AF229):INDIRECT("Table!" &amp; $AI$253 &amp; $AF229),0))))/1024)</f>
        <v/>
      </c>
      <c r="M229" s="22" t="str">
        <f ca="1">IF(ISERROR(MATCH(N$1,INDIRECT("Table!A"&amp;$AF229):INDIRECT("Table!" &amp; $AI$253 &amp; $AF229),0)),"",INDIRECT(CONCATENATE("Table!",ADDRESS(#REF!,MATCH(N$1,INDIRECT("Table!A" &amp; $AF229):INDIRECT("Table!" &amp; $AI$253 &amp; $AF229),0))))/1024)</f>
        <v/>
      </c>
      <c r="N229" s="22" t="str">
        <f ca="1">IF(ISERROR(MATCH(O$1,INDIRECT("Table!A"&amp;$AF229):INDIRECT("Table!" &amp; $AI$253 &amp; $AF229),0)),"",INDIRECT(CONCATENATE("Table!",ADDRESS(#REF!,MATCH(O$1,INDIRECT("Table!A" &amp; $AF229):INDIRECT("Table!" &amp; $AI$253 &amp; $AF229),0))))/1024)</f>
        <v/>
      </c>
      <c r="O229" s="22"/>
      <c r="P229" s="272"/>
      <c r="Q229" s="22"/>
      <c r="R229" s="94"/>
      <c r="T229" s="595"/>
      <c r="U229" s="94"/>
      <c r="AD229" s="94"/>
      <c r="AE229" s="94"/>
      <c r="AF229" s="22"/>
      <c r="AG229" s="94"/>
      <c r="AH229" s="94"/>
      <c r="AI229" s="94"/>
    </row>
    <row r="230" spans="2:35" x14ac:dyDescent="0.25">
      <c r="B230" s="22" t="str">
        <f ca="1">IF(ISERROR(MATCH(B$1,INDIRECT("Table!A"&amp;$AF230):INDIRECT("Table!" &amp; $AI$253 &amp; $AF230),0)),"",INDIRECT(CONCATENATE("Table!",ADDRESS(#REF!,MATCH(B$1,INDIRECT("Table!A" &amp; $AF230):INDIRECT("Table!" &amp; $AI$253 &amp; $AF230),0))))/1024)</f>
        <v/>
      </c>
      <c r="C230" s="22" t="str">
        <f ca="1">IF(ISERROR(MATCH(C$1,INDIRECT("Table!A"&amp;$AF230):INDIRECT("Table!" &amp; $AI$253 &amp; $AF230),0)),"",INDIRECT(CONCATENATE("Table!",ADDRESS(#REF!,MATCH(C$1,INDIRECT("Table!A" &amp; $AF230):INDIRECT("Table!" &amp; $AI$253 &amp; $AF230),0))))/1024)</f>
        <v/>
      </c>
      <c r="D230" s="22" t="str">
        <f ca="1">IF(ISERROR(MATCH(D$1,INDIRECT("Table!A"&amp;$AF230):INDIRECT("Table!" &amp; $AI$253 &amp; $AF230),0)),"",INDIRECT(CONCATENATE("Table!",ADDRESS(#REF!,MATCH(D$1,INDIRECT("Table!A" &amp; $AF230):INDIRECT("Table!" &amp; $AI$253 &amp; $AF230),0))))/1024)</f>
        <v/>
      </c>
      <c r="E230" s="22" t="str">
        <f ca="1">IF(ISERROR(MATCH(E$1,INDIRECT("Table!A"&amp;$AF230):INDIRECT("Table!" &amp; $AI$253 &amp; $AF230),0)),"",INDIRECT(CONCATENATE("Table!",ADDRESS(#REF!,MATCH(E$1,INDIRECT("Table!A" &amp; $AF230):INDIRECT("Table!" &amp; $AI$253 &amp; $AF230),0))))/1024)</f>
        <v/>
      </c>
      <c r="F230" s="22" t="str">
        <f ca="1">IF(ISERROR(MATCH(F$1,INDIRECT("Table!A"&amp;$AF230):INDIRECT("Table!" &amp; $AI$253 &amp; $AF230),0)),"",INDIRECT(CONCATENATE("Table!",ADDRESS(#REF!,MATCH(F$1,INDIRECT("Table!A" &amp; $AF230):INDIRECT("Table!" &amp; $AI$253 &amp; $AF230),0))))/1024)</f>
        <v/>
      </c>
      <c r="G230" s="22" t="str">
        <f ca="1">IF(ISERROR(MATCH(G$1,INDIRECT("Table!A"&amp;$AF230):INDIRECT("Table!" &amp; $AI$253 &amp; $AF230),0)),"",INDIRECT(CONCATENATE("Table!",ADDRESS(#REF!,MATCH(G$1,INDIRECT("Table!A" &amp; $AF230):INDIRECT("Table!" &amp; $AI$253 &amp; $AF230),0))))/1024)</f>
        <v/>
      </c>
      <c r="H230" s="22" t="str">
        <f ca="1">IF(ISERROR(MATCH(H$1,INDIRECT("Table!A"&amp;$AF230):INDIRECT("Table!" &amp; $AI$253 &amp; $AF230),0)),"",INDIRECT(CONCATENATE("Table!",ADDRESS(#REF!,MATCH(H$1,INDIRECT("Table!A" &amp; $AF230):INDIRECT("Table!" &amp; $AI$253 &amp; $AF230),0))))/1024)</f>
        <v/>
      </c>
      <c r="K230" s="22" t="str">
        <f ca="1">IF(ISERROR(MATCH(L$1,INDIRECT("Table!A"&amp;$AF230):INDIRECT("Table!" &amp; $AI$253 &amp; $AF230),0)),"",INDIRECT(CONCATENATE("Table!",ADDRESS(#REF!,MATCH(L$1,INDIRECT("Table!A" &amp; $AF230):INDIRECT("Table!" &amp; $AI$253 &amp; $AF230),0))))/1024)</f>
        <v/>
      </c>
      <c r="L230" s="22" t="str">
        <f ca="1">IF(ISERROR(MATCH(M$1,INDIRECT("Table!A"&amp;$AF230):INDIRECT("Table!" &amp; $AI$253 &amp; $AF230),0)),"",INDIRECT(CONCATENATE("Table!",ADDRESS(#REF!,MATCH(M$1,INDIRECT("Table!A" &amp; $AF230):INDIRECT("Table!" &amp; $AI$253 &amp; $AF230),0))))/1024)</f>
        <v/>
      </c>
      <c r="M230" s="22" t="str">
        <f ca="1">IF(ISERROR(MATCH(N$1,INDIRECT("Table!A"&amp;$AF230):INDIRECT("Table!" &amp; $AI$253 &amp; $AF230),0)),"",INDIRECT(CONCATENATE("Table!",ADDRESS(#REF!,MATCH(N$1,INDIRECT("Table!A" &amp; $AF230):INDIRECT("Table!" &amp; $AI$253 &amp; $AF230),0))))/1024)</f>
        <v/>
      </c>
      <c r="N230" s="22" t="str">
        <f ca="1">IF(ISERROR(MATCH(O$1,INDIRECT("Table!A"&amp;$AF230):INDIRECT("Table!" &amp; $AI$253 &amp; $AF230),0)),"",INDIRECT(CONCATENATE("Table!",ADDRESS(#REF!,MATCH(O$1,INDIRECT("Table!A" &amp; $AF230):INDIRECT("Table!" &amp; $AI$253 &amp; $AF230),0))))/1024)</f>
        <v/>
      </c>
      <c r="O230" s="22"/>
      <c r="P230" s="272"/>
      <c r="Q230" s="22"/>
      <c r="R230" s="93"/>
      <c r="T230" s="595"/>
      <c r="U230" s="93"/>
      <c r="AD230" s="93"/>
      <c r="AE230" s="93"/>
      <c r="AF230" s="22"/>
      <c r="AG230" s="93"/>
      <c r="AH230" s="93"/>
      <c r="AI230" s="93"/>
    </row>
    <row r="231" spans="2:35" x14ac:dyDescent="0.25">
      <c r="B231" s="22" t="str">
        <f ca="1">IF(ISERROR(MATCH(B$1,INDIRECT("Table!A"&amp;$AF231):INDIRECT("Table!" &amp; $AI$253 &amp; $AF231),0)),"",INDIRECT(CONCATENATE("Table!",ADDRESS(#REF!,MATCH(B$1,INDIRECT("Table!A" &amp; $AF231):INDIRECT("Table!" &amp; $AI$253 &amp; $AF231),0))))/1024)</f>
        <v/>
      </c>
      <c r="C231" s="22" t="str">
        <f ca="1">IF(ISERROR(MATCH(C$1,INDIRECT("Table!A"&amp;$AF231):INDIRECT("Table!" &amp; $AI$253 &amp; $AF231),0)),"",INDIRECT(CONCATENATE("Table!",ADDRESS(#REF!,MATCH(C$1,INDIRECT("Table!A" &amp; $AF231):INDIRECT("Table!" &amp; $AI$253 &amp; $AF231),0))))/1024)</f>
        <v/>
      </c>
      <c r="D231" s="22" t="str">
        <f ca="1">IF(ISERROR(MATCH(D$1,INDIRECT("Table!A"&amp;$AF231):INDIRECT("Table!" &amp; $AI$253 &amp; $AF231),0)),"",INDIRECT(CONCATENATE("Table!",ADDRESS(#REF!,MATCH(D$1,INDIRECT("Table!A" &amp; $AF231):INDIRECT("Table!" &amp; $AI$253 &amp; $AF231),0))))/1024)</f>
        <v/>
      </c>
      <c r="E231" s="22" t="str">
        <f ca="1">IF(ISERROR(MATCH(E$1,INDIRECT("Table!A"&amp;$AF231):INDIRECT("Table!" &amp; $AI$253 &amp; $AF231),0)),"",INDIRECT(CONCATENATE("Table!",ADDRESS(#REF!,MATCH(E$1,INDIRECT("Table!A" &amp; $AF231):INDIRECT("Table!" &amp; $AI$253 &amp; $AF231),0))))/1024)</f>
        <v/>
      </c>
      <c r="F231" s="22" t="str">
        <f ca="1">IF(ISERROR(MATCH(F$1,INDIRECT("Table!A"&amp;$AF231):INDIRECT("Table!" &amp; $AI$253 &amp; $AF231),0)),"",INDIRECT(CONCATENATE("Table!",ADDRESS(#REF!,MATCH(F$1,INDIRECT("Table!A" &amp; $AF231):INDIRECT("Table!" &amp; $AI$253 &amp; $AF231),0))))/1024)</f>
        <v/>
      </c>
      <c r="G231" s="22" t="str">
        <f ca="1">IF(ISERROR(MATCH(G$1,INDIRECT("Table!A"&amp;$AF231):INDIRECT("Table!" &amp; $AI$253 &amp; $AF231),0)),"",INDIRECT(CONCATENATE("Table!",ADDRESS(#REF!,MATCH(G$1,INDIRECT("Table!A" &amp; $AF231):INDIRECT("Table!" &amp; $AI$253 &amp; $AF231),0))))/1024)</f>
        <v/>
      </c>
      <c r="H231" s="22" t="str">
        <f ca="1">IF(ISERROR(MATCH(H$1,INDIRECT("Table!A"&amp;$AF231):INDIRECT("Table!" &amp; $AI$253 &amp; $AF231),0)),"",INDIRECT(CONCATENATE("Table!",ADDRESS(#REF!,MATCH(H$1,INDIRECT("Table!A" &amp; $AF231):INDIRECT("Table!" &amp; $AI$253 &amp; $AF231),0))))/1024)</f>
        <v/>
      </c>
      <c r="K231" s="22" t="str">
        <f ca="1">IF(ISERROR(MATCH(L$1,INDIRECT("Table!A"&amp;$AF231):INDIRECT("Table!" &amp; $AI$253 &amp; $AF231),0)),"",INDIRECT(CONCATENATE("Table!",ADDRESS(#REF!,MATCH(L$1,INDIRECT("Table!A" &amp; $AF231):INDIRECT("Table!" &amp; $AI$253 &amp; $AF231),0))))/1024)</f>
        <v/>
      </c>
      <c r="L231" s="22" t="str">
        <f ca="1">IF(ISERROR(MATCH(M$1,INDIRECT("Table!A"&amp;$AF231):INDIRECT("Table!" &amp; $AI$253 &amp; $AF231),0)),"",INDIRECT(CONCATENATE("Table!",ADDRESS(#REF!,MATCH(M$1,INDIRECT("Table!A" &amp; $AF231):INDIRECT("Table!" &amp; $AI$253 &amp; $AF231),0))))/1024)</f>
        <v/>
      </c>
      <c r="M231" s="22" t="str">
        <f ca="1">IF(ISERROR(MATCH(N$1,INDIRECT("Table!A"&amp;$AF231):INDIRECT("Table!" &amp; $AI$253 &amp; $AF231),0)),"",INDIRECT(CONCATENATE("Table!",ADDRESS(#REF!,MATCH(N$1,INDIRECT("Table!A" &amp; $AF231):INDIRECT("Table!" &amp; $AI$253 &amp; $AF231),0))))/1024)</f>
        <v/>
      </c>
      <c r="N231" s="22" t="str">
        <f ca="1">IF(ISERROR(MATCH(O$1,INDIRECT("Table!A"&amp;$AF231):INDIRECT("Table!" &amp; $AI$253 &amp; $AF231),0)),"",INDIRECT(CONCATENATE("Table!",ADDRESS(#REF!,MATCH(O$1,INDIRECT("Table!A" &amp; $AF231):INDIRECT("Table!" &amp; $AI$253 &amp; $AF231),0))))/1024)</f>
        <v/>
      </c>
      <c r="O231" s="22"/>
      <c r="P231" s="272"/>
      <c r="Q231" s="22"/>
      <c r="R231" s="92"/>
      <c r="T231" s="595"/>
      <c r="U231" s="92"/>
      <c r="AD231" s="92"/>
      <c r="AE231" s="92"/>
      <c r="AF231" s="22"/>
      <c r="AG231" s="92"/>
      <c r="AH231" s="92"/>
      <c r="AI231" s="92"/>
    </row>
    <row r="232" spans="2:35" x14ac:dyDescent="0.25">
      <c r="B232" s="22" t="str">
        <f ca="1">IF(ISERROR(MATCH(B$1,INDIRECT("Table!A"&amp;$AF232):INDIRECT("Table!" &amp; $AI$253 &amp; $AF232),0)),"",INDIRECT(CONCATENATE("Table!",ADDRESS(#REF!,MATCH(B$1,INDIRECT("Table!A" &amp; $AF232):INDIRECT("Table!" &amp; $AI$253 &amp; $AF232),0))))/1024)</f>
        <v/>
      </c>
      <c r="C232" s="22" t="str">
        <f ca="1">IF(ISERROR(MATCH(C$1,INDIRECT("Table!A"&amp;$AF232):INDIRECT("Table!" &amp; $AI$253 &amp; $AF232),0)),"",INDIRECT(CONCATENATE("Table!",ADDRESS(#REF!,MATCH(C$1,INDIRECT("Table!A" &amp; $AF232):INDIRECT("Table!" &amp; $AI$253 &amp; $AF232),0))))/1024)</f>
        <v/>
      </c>
      <c r="D232" s="22" t="str">
        <f ca="1">IF(ISERROR(MATCH(D$1,INDIRECT("Table!A"&amp;$AF232):INDIRECT("Table!" &amp; $AI$253 &amp; $AF232),0)),"",INDIRECT(CONCATENATE("Table!",ADDRESS(#REF!,MATCH(D$1,INDIRECT("Table!A" &amp; $AF232):INDIRECT("Table!" &amp; $AI$253 &amp; $AF232),0))))/1024)</f>
        <v/>
      </c>
      <c r="E232" s="22" t="str">
        <f ca="1">IF(ISERROR(MATCH(E$1,INDIRECT("Table!A"&amp;$AF232):INDIRECT("Table!" &amp; $AI$253 &amp; $AF232),0)),"",INDIRECT(CONCATENATE("Table!",ADDRESS(#REF!,MATCH(E$1,INDIRECT("Table!A" &amp; $AF232):INDIRECT("Table!" &amp; $AI$253 &amp; $AF232),0))))/1024)</f>
        <v/>
      </c>
      <c r="F232" s="22" t="str">
        <f ca="1">IF(ISERROR(MATCH(F$1,INDIRECT("Table!A"&amp;$AF232):INDIRECT("Table!" &amp; $AI$253 &amp; $AF232),0)),"",INDIRECT(CONCATENATE("Table!",ADDRESS(#REF!,MATCH(F$1,INDIRECT("Table!A" &amp; $AF232):INDIRECT("Table!" &amp; $AI$253 &amp; $AF232),0))))/1024)</f>
        <v/>
      </c>
      <c r="G232" s="22" t="str">
        <f ca="1">IF(ISERROR(MATCH(G$1,INDIRECT("Table!A"&amp;$AF232):INDIRECT("Table!" &amp; $AI$253 &amp; $AF232),0)),"",INDIRECT(CONCATENATE("Table!",ADDRESS(#REF!,MATCH(G$1,INDIRECT("Table!A" &amp; $AF232):INDIRECT("Table!" &amp; $AI$253 &amp; $AF232),0))))/1024)</f>
        <v/>
      </c>
      <c r="H232" s="22" t="str">
        <f ca="1">IF(ISERROR(MATCH(H$1,INDIRECT("Table!A"&amp;$AF232):INDIRECT("Table!" &amp; $AI$253 &amp; $AF232),0)),"",INDIRECT(CONCATENATE("Table!",ADDRESS(#REF!,MATCH(H$1,INDIRECT("Table!A" &amp; $AF232):INDIRECT("Table!" &amp; $AI$253 &amp; $AF232),0))))/1024)</f>
        <v/>
      </c>
      <c r="K232" s="22" t="str">
        <f ca="1">IF(ISERROR(MATCH(L$1,INDIRECT("Table!A"&amp;$AF232):INDIRECT("Table!" &amp; $AI$253 &amp; $AF232),0)),"",INDIRECT(CONCATENATE("Table!",ADDRESS(#REF!,MATCH(L$1,INDIRECT("Table!A" &amp; $AF232):INDIRECT("Table!" &amp; $AI$253 &amp; $AF232),0))))/1024)</f>
        <v/>
      </c>
      <c r="L232" s="22" t="str">
        <f ca="1">IF(ISERROR(MATCH(M$1,INDIRECT("Table!A"&amp;$AF232):INDIRECT("Table!" &amp; $AI$253 &amp; $AF232),0)),"",INDIRECT(CONCATENATE("Table!",ADDRESS(#REF!,MATCH(M$1,INDIRECT("Table!A" &amp; $AF232):INDIRECT("Table!" &amp; $AI$253 &amp; $AF232),0))))/1024)</f>
        <v/>
      </c>
      <c r="M232" s="22" t="str">
        <f ca="1">IF(ISERROR(MATCH(N$1,INDIRECT("Table!A"&amp;$AF232):INDIRECT("Table!" &amp; $AI$253 &amp; $AF232),0)),"",INDIRECT(CONCATENATE("Table!",ADDRESS(#REF!,MATCH(N$1,INDIRECT("Table!A" &amp; $AF232):INDIRECT("Table!" &amp; $AI$253 &amp; $AF232),0))))/1024)</f>
        <v/>
      </c>
      <c r="N232" s="22" t="str">
        <f ca="1">IF(ISERROR(MATCH(O$1,INDIRECT("Table!A"&amp;$AF232):INDIRECT("Table!" &amp; $AI$253 &amp; $AF232),0)),"",INDIRECT(CONCATENATE("Table!",ADDRESS(#REF!,MATCH(O$1,INDIRECT("Table!A" &amp; $AF232):INDIRECT("Table!" &amp; $AI$253 &amp; $AF232),0))))/1024)</f>
        <v/>
      </c>
      <c r="O232" s="22"/>
      <c r="P232" s="272"/>
      <c r="Q232" s="22"/>
      <c r="R232" s="91"/>
      <c r="T232" s="595"/>
      <c r="U232" s="91"/>
      <c r="AD232" s="91"/>
      <c r="AE232" s="91"/>
      <c r="AF232" s="22"/>
      <c r="AG232" s="91"/>
      <c r="AH232" s="91"/>
      <c r="AI232" s="91"/>
    </row>
    <row r="233" spans="2:35" x14ac:dyDescent="0.25">
      <c r="B233" s="22" t="str">
        <f ca="1">IF(ISERROR(MATCH(B$1,INDIRECT("Table!A"&amp;$AF233):INDIRECT("Table!" &amp; $AI$253 &amp; $AF233),0)),"",INDIRECT(CONCATENATE("Table!",ADDRESS(#REF!,MATCH(B$1,INDIRECT("Table!A" &amp; $AF233):INDIRECT("Table!" &amp; $AI$253 &amp; $AF233),0))))/1024)</f>
        <v/>
      </c>
      <c r="C233" s="22" t="str">
        <f ca="1">IF(ISERROR(MATCH(C$1,INDIRECT("Table!A"&amp;$AF233):INDIRECT("Table!" &amp; $AI$253 &amp; $AF233),0)),"",INDIRECT(CONCATENATE("Table!",ADDRESS(#REF!,MATCH(C$1,INDIRECT("Table!A" &amp; $AF233):INDIRECT("Table!" &amp; $AI$253 &amp; $AF233),0))))/1024)</f>
        <v/>
      </c>
      <c r="D233" s="22" t="str">
        <f ca="1">IF(ISERROR(MATCH(D$1,INDIRECT("Table!A"&amp;$AF233):INDIRECT("Table!" &amp; $AI$253 &amp; $AF233),0)),"",INDIRECT(CONCATENATE("Table!",ADDRESS(#REF!,MATCH(D$1,INDIRECT("Table!A" &amp; $AF233):INDIRECT("Table!" &amp; $AI$253 &amp; $AF233),0))))/1024)</f>
        <v/>
      </c>
      <c r="E233" s="22" t="str">
        <f ca="1">IF(ISERROR(MATCH(E$1,INDIRECT("Table!A"&amp;$AF233):INDIRECT("Table!" &amp; $AI$253 &amp; $AF233),0)),"",INDIRECT(CONCATENATE("Table!",ADDRESS(#REF!,MATCH(E$1,INDIRECT("Table!A" &amp; $AF233):INDIRECT("Table!" &amp; $AI$253 &amp; $AF233),0))))/1024)</f>
        <v/>
      </c>
      <c r="F233" s="22" t="str">
        <f ca="1">IF(ISERROR(MATCH(F$1,INDIRECT("Table!A"&amp;$AF233):INDIRECT("Table!" &amp; $AI$253 &amp; $AF233),0)),"",INDIRECT(CONCATENATE("Table!",ADDRESS(#REF!,MATCH(F$1,INDIRECT("Table!A" &amp; $AF233):INDIRECT("Table!" &amp; $AI$253 &amp; $AF233),0))))/1024)</f>
        <v/>
      </c>
      <c r="G233" s="22" t="str">
        <f ca="1">IF(ISERROR(MATCH(G$1,INDIRECT("Table!A"&amp;$AF233):INDIRECT("Table!" &amp; $AI$253 &amp; $AF233),0)),"",INDIRECT(CONCATENATE("Table!",ADDRESS(#REF!,MATCH(G$1,INDIRECT("Table!A" &amp; $AF233):INDIRECT("Table!" &amp; $AI$253 &amp; $AF233),0))))/1024)</f>
        <v/>
      </c>
      <c r="H233" s="22" t="str">
        <f ca="1">IF(ISERROR(MATCH(H$1,INDIRECT("Table!A"&amp;$AF233):INDIRECT("Table!" &amp; $AI$253 &amp; $AF233),0)),"",INDIRECT(CONCATENATE("Table!",ADDRESS(#REF!,MATCH(H$1,INDIRECT("Table!A" &amp; $AF233):INDIRECT("Table!" &amp; $AI$253 &amp; $AF233),0))))/1024)</f>
        <v/>
      </c>
      <c r="K233" s="22" t="str">
        <f ca="1">IF(ISERROR(MATCH(L$1,INDIRECT("Table!A"&amp;$AF233):INDIRECT("Table!" &amp; $AI$253 &amp; $AF233),0)),"",INDIRECT(CONCATENATE("Table!",ADDRESS(#REF!,MATCH(L$1,INDIRECT("Table!A" &amp; $AF233):INDIRECT("Table!" &amp; $AI$253 &amp; $AF233),0))))/1024)</f>
        <v/>
      </c>
      <c r="L233" s="22" t="str">
        <f ca="1">IF(ISERROR(MATCH(M$1,INDIRECT("Table!A"&amp;$AF233):INDIRECT("Table!" &amp; $AI$253 &amp; $AF233),0)),"",INDIRECT(CONCATENATE("Table!",ADDRESS(#REF!,MATCH(M$1,INDIRECT("Table!A" &amp; $AF233):INDIRECT("Table!" &amp; $AI$253 &amp; $AF233),0))))/1024)</f>
        <v/>
      </c>
      <c r="M233" s="22" t="str">
        <f ca="1">IF(ISERROR(MATCH(N$1,INDIRECT("Table!A"&amp;$AF233):INDIRECT("Table!" &amp; $AI$253 &amp; $AF233),0)),"",INDIRECT(CONCATENATE("Table!",ADDRESS(#REF!,MATCH(N$1,INDIRECT("Table!A" &amp; $AF233):INDIRECT("Table!" &amp; $AI$253 &amp; $AF233),0))))/1024)</f>
        <v/>
      </c>
      <c r="N233" s="22" t="str">
        <f ca="1">IF(ISERROR(MATCH(O$1,INDIRECT("Table!A"&amp;$AF233):INDIRECT("Table!" &amp; $AI$253 &amp; $AF233),0)),"",INDIRECT(CONCATENATE("Table!",ADDRESS(#REF!,MATCH(O$1,INDIRECT("Table!A" &amp; $AF233):INDIRECT("Table!" &amp; $AI$253 &amp; $AF233),0))))/1024)</f>
        <v/>
      </c>
      <c r="O233" s="22"/>
      <c r="P233" s="272"/>
      <c r="Q233" s="22"/>
      <c r="R233" s="90"/>
      <c r="T233" s="595"/>
      <c r="U233" s="90"/>
      <c r="AD233" s="90"/>
      <c r="AE233" s="90"/>
      <c r="AF233" s="22"/>
      <c r="AG233" s="90"/>
      <c r="AH233" s="90"/>
      <c r="AI233" s="90"/>
    </row>
    <row r="234" spans="2:35" x14ac:dyDescent="0.25">
      <c r="B234" s="22" t="str">
        <f ca="1">IF(ISERROR(MATCH(B$1,INDIRECT("Table!A"&amp;$AF234):INDIRECT("Table!" &amp; $AI$253 &amp; $AF234),0)),"",INDIRECT(CONCATENATE("Table!",ADDRESS(#REF!,MATCH(B$1,INDIRECT("Table!A" &amp; $AF234):INDIRECT("Table!" &amp; $AI$253 &amp; $AF234),0))))/1024)</f>
        <v/>
      </c>
      <c r="C234" s="22" t="str">
        <f ca="1">IF(ISERROR(MATCH(C$1,INDIRECT("Table!A"&amp;$AF234):INDIRECT("Table!" &amp; $AI$253 &amp; $AF234),0)),"",INDIRECT(CONCATENATE("Table!",ADDRESS(#REF!,MATCH(C$1,INDIRECT("Table!A" &amp; $AF234):INDIRECT("Table!" &amp; $AI$253 &amp; $AF234),0))))/1024)</f>
        <v/>
      </c>
      <c r="D234" s="22" t="str">
        <f ca="1">IF(ISERROR(MATCH(D$1,INDIRECT("Table!A"&amp;$AF234):INDIRECT("Table!" &amp; $AI$253 &amp; $AF234),0)),"",INDIRECT(CONCATENATE("Table!",ADDRESS(#REF!,MATCH(D$1,INDIRECT("Table!A" &amp; $AF234):INDIRECT("Table!" &amp; $AI$253 &amp; $AF234),0))))/1024)</f>
        <v/>
      </c>
      <c r="E234" s="22" t="str">
        <f ca="1">IF(ISERROR(MATCH(E$1,INDIRECT("Table!A"&amp;$AF234):INDIRECT("Table!" &amp; $AI$253 &amp; $AF234),0)),"",INDIRECT(CONCATENATE("Table!",ADDRESS(#REF!,MATCH(E$1,INDIRECT("Table!A" &amp; $AF234):INDIRECT("Table!" &amp; $AI$253 &amp; $AF234),0))))/1024)</f>
        <v/>
      </c>
      <c r="F234" s="22" t="str">
        <f ca="1">IF(ISERROR(MATCH(F$1,INDIRECT("Table!A"&amp;$AF234):INDIRECT("Table!" &amp; $AI$253 &amp; $AF234),0)),"",INDIRECT(CONCATENATE("Table!",ADDRESS(#REF!,MATCH(F$1,INDIRECT("Table!A" &amp; $AF234):INDIRECT("Table!" &amp; $AI$253 &amp; $AF234),0))))/1024)</f>
        <v/>
      </c>
      <c r="G234" s="22" t="str">
        <f ca="1">IF(ISERROR(MATCH(G$1,INDIRECT("Table!A"&amp;$AF234):INDIRECT("Table!" &amp; $AI$253 &amp; $AF234),0)),"",INDIRECT(CONCATENATE("Table!",ADDRESS(#REF!,MATCH(G$1,INDIRECT("Table!A" &amp; $AF234):INDIRECT("Table!" &amp; $AI$253 &amp; $AF234),0))))/1024)</f>
        <v/>
      </c>
      <c r="H234" s="22" t="str">
        <f ca="1">IF(ISERROR(MATCH(H$1,INDIRECT("Table!A"&amp;$AF234):INDIRECT("Table!" &amp; $AI$253 &amp; $AF234),0)),"",INDIRECT(CONCATENATE("Table!",ADDRESS(#REF!,MATCH(H$1,INDIRECT("Table!A" &amp; $AF234):INDIRECT("Table!" &amp; $AI$253 &amp; $AF234),0))))/1024)</f>
        <v/>
      </c>
      <c r="K234" s="22" t="str">
        <f ca="1">IF(ISERROR(MATCH(L$1,INDIRECT("Table!A"&amp;$AF234):INDIRECT("Table!" &amp; $AI$253 &amp; $AF234),0)),"",INDIRECT(CONCATENATE("Table!",ADDRESS(#REF!,MATCH(L$1,INDIRECT("Table!A" &amp; $AF234):INDIRECT("Table!" &amp; $AI$253 &amp; $AF234),0))))/1024)</f>
        <v/>
      </c>
      <c r="L234" s="22" t="str">
        <f ca="1">IF(ISERROR(MATCH(M$1,INDIRECT("Table!A"&amp;$AF234):INDIRECT("Table!" &amp; $AI$253 &amp; $AF234),0)),"",INDIRECT(CONCATENATE("Table!",ADDRESS(#REF!,MATCH(M$1,INDIRECT("Table!A" &amp; $AF234):INDIRECT("Table!" &amp; $AI$253 &amp; $AF234),0))))/1024)</f>
        <v/>
      </c>
      <c r="M234" s="22" t="str">
        <f ca="1">IF(ISERROR(MATCH(N$1,INDIRECT("Table!A"&amp;$AF234):INDIRECT("Table!" &amp; $AI$253 &amp; $AF234),0)),"",INDIRECT(CONCATENATE("Table!",ADDRESS(#REF!,MATCH(N$1,INDIRECT("Table!A" &amp; $AF234):INDIRECT("Table!" &amp; $AI$253 &amp; $AF234),0))))/1024)</f>
        <v/>
      </c>
      <c r="N234" s="22" t="str">
        <f ca="1">IF(ISERROR(MATCH(O$1,INDIRECT("Table!A"&amp;$AF234):INDIRECT("Table!" &amp; $AI$253 &amp; $AF234),0)),"",INDIRECT(CONCATENATE("Table!",ADDRESS(#REF!,MATCH(O$1,INDIRECT("Table!A" &amp; $AF234):INDIRECT("Table!" &amp; $AI$253 &amp; $AF234),0))))/1024)</f>
        <v/>
      </c>
      <c r="O234" s="22"/>
      <c r="P234" s="272"/>
      <c r="Q234" s="22"/>
      <c r="R234" s="89"/>
      <c r="T234" s="595"/>
      <c r="U234" s="89"/>
      <c r="AD234" s="89"/>
      <c r="AE234" s="89"/>
      <c r="AF234" s="22"/>
      <c r="AG234" s="89"/>
      <c r="AH234" s="89"/>
      <c r="AI234" s="89"/>
    </row>
    <row r="235" spans="2:35" x14ac:dyDescent="0.25">
      <c r="B235" s="22" t="str">
        <f ca="1">IF(ISERROR(MATCH(B$1,INDIRECT("Table!A"&amp;$AF235):INDIRECT("Table!" &amp; $AI$253 &amp; $AF235),0)),"",INDIRECT(CONCATENATE("Table!",ADDRESS(#REF!,MATCH(B$1,INDIRECT("Table!A" &amp; $AF235):INDIRECT("Table!" &amp; $AI$253 &amp; $AF235),0))))/1024)</f>
        <v/>
      </c>
      <c r="C235" s="22" t="str">
        <f ca="1">IF(ISERROR(MATCH(C$1,INDIRECT("Table!A"&amp;$AF235):INDIRECT("Table!" &amp; $AI$253 &amp; $AF235),0)),"",INDIRECT(CONCATENATE("Table!",ADDRESS(#REF!,MATCH(C$1,INDIRECT("Table!A" &amp; $AF235):INDIRECT("Table!" &amp; $AI$253 &amp; $AF235),0))))/1024)</f>
        <v/>
      </c>
      <c r="D235" s="22" t="str">
        <f ca="1">IF(ISERROR(MATCH(D$1,INDIRECT("Table!A"&amp;$AF235):INDIRECT("Table!" &amp; $AI$253 &amp; $AF235),0)),"",INDIRECT(CONCATENATE("Table!",ADDRESS(#REF!,MATCH(D$1,INDIRECT("Table!A" &amp; $AF235):INDIRECT("Table!" &amp; $AI$253 &amp; $AF235),0))))/1024)</f>
        <v/>
      </c>
      <c r="E235" s="22" t="str">
        <f ca="1">IF(ISERROR(MATCH(E$1,INDIRECT("Table!A"&amp;$AF235):INDIRECT("Table!" &amp; $AI$253 &amp; $AF235),0)),"",INDIRECT(CONCATENATE("Table!",ADDRESS(#REF!,MATCH(E$1,INDIRECT("Table!A" &amp; $AF235):INDIRECT("Table!" &amp; $AI$253 &amp; $AF235),0))))/1024)</f>
        <v/>
      </c>
      <c r="F235" s="22" t="str">
        <f ca="1">IF(ISERROR(MATCH(F$1,INDIRECT("Table!A"&amp;$AF235):INDIRECT("Table!" &amp; $AI$253 &amp; $AF235),0)),"",INDIRECT(CONCATENATE("Table!",ADDRESS(#REF!,MATCH(F$1,INDIRECT("Table!A" &amp; $AF235):INDIRECT("Table!" &amp; $AI$253 &amp; $AF235),0))))/1024)</f>
        <v/>
      </c>
      <c r="G235" s="22" t="str">
        <f ca="1">IF(ISERROR(MATCH(G$1,INDIRECT("Table!A"&amp;$AF235):INDIRECT("Table!" &amp; $AI$253 &amp; $AF235),0)),"",INDIRECT(CONCATENATE("Table!",ADDRESS(#REF!,MATCH(G$1,INDIRECT("Table!A" &amp; $AF235):INDIRECT("Table!" &amp; $AI$253 &amp; $AF235),0))))/1024)</f>
        <v/>
      </c>
      <c r="H235" s="22" t="str">
        <f ca="1">IF(ISERROR(MATCH(H$1,INDIRECT("Table!A"&amp;$AF235):INDIRECT("Table!" &amp; $AI$253 &amp; $AF235),0)),"",INDIRECT(CONCATENATE("Table!",ADDRESS(#REF!,MATCH(H$1,INDIRECT("Table!A" &amp; $AF235):INDIRECT("Table!" &amp; $AI$253 &amp; $AF235),0))))/1024)</f>
        <v/>
      </c>
      <c r="K235" s="22" t="str">
        <f ca="1">IF(ISERROR(MATCH(L$1,INDIRECT("Table!A"&amp;$AF235):INDIRECT("Table!" &amp; $AI$253 &amp; $AF235),0)),"",INDIRECT(CONCATENATE("Table!",ADDRESS(#REF!,MATCH(L$1,INDIRECT("Table!A" &amp; $AF235):INDIRECT("Table!" &amp; $AI$253 &amp; $AF235),0))))/1024)</f>
        <v/>
      </c>
      <c r="L235" s="22" t="str">
        <f ca="1">IF(ISERROR(MATCH(M$1,INDIRECT("Table!A"&amp;$AF235):INDIRECT("Table!" &amp; $AI$253 &amp; $AF235),0)),"",INDIRECT(CONCATENATE("Table!",ADDRESS(#REF!,MATCH(M$1,INDIRECT("Table!A" &amp; $AF235):INDIRECT("Table!" &amp; $AI$253 &amp; $AF235),0))))/1024)</f>
        <v/>
      </c>
      <c r="M235" s="22" t="str">
        <f ca="1">IF(ISERROR(MATCH(N$1,INDIRECT("Table!A"&amp;$AF235):INDIRECT("Table!" &amp; $AI$253 &amp; $AF235),0)),"",INDIRECT(CONCATENATE("Table!",ADDRESS(#REF!,MATCH(N$1,INDIRECT("Table!A" &amp; $AF235):INDIRECT("Table!" &amp; $AI$253 &amp; $AF235),0))))/1024)</f>
        <v/>
      </c>
      <c r="N235" s="22" t="str">
        <f ca="1">IF(ISERROR(MATCH(O$1,INDIRECT("Table!A"&amp;$AF235):INDIRECT("Table!" &amp; $AI$253 &amp; $AF235),0)),"",INDIRECT(CONCATENATE("Table!",ADDRESS(#REF!,MATCH(O$1,INDIRECT("Table!A" &amp; $AF235):INDIRECT("Table!" &amp; $AI$253 &amp; $AF235),0))))/1024)</f>
        <v/>
      </c>
      <c r="O235" s="22"/>
      <c r="P235" s="272"/>
      <c r="Q235" s="22"/>
      <c r="R235" s="78"/>
      <c r="T235" s="595"/>
      <c r="U235" s="78"/>
      <c r="AD235" s="78"/>
      <c r="AE235" s="78"/>
      <c r="AF235" s="22"/>
      <c r="AG235" s="78"/>
      <c r="AH235" s="78"/>
      <c r="AI235" s="78"/>
    </row>
    <row r="236" spans="2:35" x14ac:dyDescent="0.25">
      <c r="B236" s="22" t="str">
        <f ca="1">IF(ISERROR(MATCH(B$1,INDIRECT("Table!A"&amp;$AF236):INDIRECT("Table!" &amp; $AI$253 &amp; $AF236),0)),"",INDIRECT(CONCATENATE("Table!",ADDRESS(#REF!,MATCH(B$1,INDIRECT("Table!A" &amp; $AF236):INDIRECT("Table!" &amp; $AI$253 &amp; $AF236),0))))/1024)</f>
        <v/>
      </c>
      <c r="C236" s="22" t="str">
        <f ca="1">IF(ISERROR(MATCH(C$1,INDIRECT("Table!A"&amp;$AF236):INDIRECT("Table!" &amp; $AI$253 &amp; $AF236),0)),"",INDIRECT(CONCATENATE("Table!",ADDRESS(#REF!,MATCH(C$1,INDIRECT("Table!A" &amp; $AF236):INDIRECT("Table!" &amp; $AI$253 &amp; $AF236),0))))/1024)</f>
        <v/>
      </c>
      <c r="D236" s="22" t="str">
        <f ca="1">IF(ISERROR(MATCH(D$1,INDIRECT("Table!A"&amp;$AF236):INDIRECT("Table!" &amp; $AI$253 &amp; $AF236),0)),"",INDIRECT(CONCATENATE("Table!",ADDRESS(#REF!,MATCH(D$1,INDIRECT("Table!A" &amp; $AF236):INDIRECT("Table!" &amp; $AI$253 &amp; $AF236),0))))/1024)</f>
        <v/>
      </c>
      <c r="E236" s="22" t="str">
        <f ca="1">IF(ISERROR(MATCH(E$1,INDIRECT("Table!A"&amp;$AF236):INDIRECT("Table!" &amp; $AI$253 &amp; $AF236),0)),"",INDIRECT(CONCATENATE("Table!",ADDRESS(#REF!,MATCH(E$1,INDIRECT("Table!A" &amp; $AF236):INDIRECT("Table!" &amp; $AI$253 &amp; $AF236),0))))/1024)</f>
        <v/>
      </c>
      <c r="F236" s="22" t="str">
        <f ca="1">IF(ISERROR(MATCH(F$1,INDIRECT("Table!A"&amp;$AF236):INDIRECT("Table!" &amp; $AI$253 &amp; $AF236),0)),"",INDIRECT(CONCATENATE("Table!",ADDRESS(#REF!,MATCH(F$1,INDIRECT("Table!A" &amp; $AF236):INDIRECT("Table!" &amp; $AI$253 &amp; $AF236),0))))/1024)</f>
        <v/>
      </c>
      <c r="G236" s="22" t="str">
        <f ca="1">IF(ISERROR(MATCH(G$1,INDIRECT("Table!A"&amp;$AF236):INDIRECT("Table!" &amp; $AI$253 &amp; $AF236),0)),"",INDIRECT(CONCATENATE("Table!",ADDRESS(#REF!,MATCH(G$1,INDIRECT("Table!A" &amp; $AF236):INDIRECT("Table!" &amp; $AI$253 &amp; $AF236),0))))/1024)</f>
        <v/>
      </c>
      <c r="H236" s="22" t="str">
        <f ca="1">IF(ISERROR(MATCH(H$1,INDIRECT("Table!A"&amp;$AF236):INDIRECT("Table!" &amp; $AI$253 &amp; $AF236),0)),"",INDIRECT(CONCATENATE("Table!",ADDRESS(#REF!,MATCH(H$1,INDIRECT("Table!A" &amp; $AF236):INDIRECT("Table!" &amp; $AI$253 &amp; $AF236),0))))/1024)</f>
        <v/>
      </c>
      <c r="K236" s="22" t="str">
        <f ca="1">IF(ISERROR(MATCH(L$1,INDIRECT("Table!A"&amp;$AF236):INDIRECT("Table!" &amp; $AI$253 &amp; $AF236),0)),"",INDIRECT(CONCATENATE("Table!",ADDRESS(#REF!,MATCH(L$1,INDIRECT("Table!A" &amp; $AF236):INDIRECT("Table!" &amp; $AI$253 &amp; $AF236),0))))/1024)</f>
        <v/>
      </c>
      <c r="L236" s="22" t="str">
        <f ca="1">IF(ISERROR(MATCH(M$1,INDIRECT("Table!A"&amp;$AF236):INDIRECT("Table!" &amp; $AI$253 &amp; $AF236),0)),"",INDIRECT(CONCATENATE("Table!",ADDRESS(#REF!,MATCH(M$1,INDIRECT("Table!A" &amp; $AF236):INDIRECT("Table!" &amp; $AI$253 &amp; $AF236),0))))/1024)</f>
        <v/>
      </c>
      <c r="M236" s="22" t="str">
        <f ca="1">IF(ISERROR(MATCH(N$1,INDIRECT("Table!A"&amp;$AF236):INDIRECT("Table!" &amp; $AI$253 &amp; $AF236),0)),"",INDIRECT(CONCATENATE("Table!",ADDRESS(#REF!,MATCH(N$1,INDIRECT("Table!A" &amp; $AF236):INDIRECT("Table!" &amp; $AI$253 &amp; $AF236),0))))/1024)</f>
        <v/>
      </c>
      <c r="N236" s="22" t="str">
        <f ca="1">IF(ISERROR(MATCH(O$1,INDIRECT("Table!A"&amp;$AF236):INDIRECT("Table!" &amp; $AI$253 &amp; $AF236),0)),"",INDIRECT(CONCATENATE("Table!",ADDRESS(#REF!,MATCH(O$1,INDIRECT("Table!A" &amp; $AF236):INDIRECT("Table!" &amp; $AI$253 &amp; $AF236),0))))/1024)</f>
        <v/>
      </c>
      <c r="O236" s="22"/>
      <c r="P236" s="272"/>
      <c r="Q236" s="22"/>
      <c r="R236" s="87"/>
      <c r="T236" s="595"/>
      <c r="U236" s="87"/>
      <c r="AD236" s="87"/>
      <c r="AE236" s="87"/>
      <c r="AF236" s="22"/>
      <c r="AG236" s="87"/>
      <c r="AH236" s="87"/>
      <c r="AI236" s="87"/>
    </row>
    <row r="237" spans="2:35" x14ac:dyDescent="0.25">
      <c r="B237" s="22" t="str">
        <f ca="1">IF(ISERROR(MATCH(B$1,INDIRECT("Table!A"&amp;$AF237):INDIRECT("Table!" &amp; $AI$253 &amp; $AF237),0)),"",INDIRECT(CONCATENATE("Table!",ADDRESS(#REF!,MATCH(B$1,INDIRECT("Table!A" &amp; $AF237):INDIRECT("Table!" &amp; $AI$253 &amp; $AF237),0))))/1024)</f>
        <v/>
      </c>
      <c r="C237" s="22" t="str">
        <f ca="1">IF(ISERROR(MATCH(C$1,INDIRECT("Table!A"&amp;$AF237):INDIRECT("Table!" &amp; $AI$253 &amp; $AF237),0)),"",INDIRECT(CONCATENATE("Table!",ADDRESS(#REF!,MATCH(C$1,INDIRECT("Table!A" &amp; $AF237):INDIRECT("Table!" &amp; $AI$253 &amp; $AF237),0))))/1024)</f>
        <v/>
      </c>
      <c r="D237" s="22" t="str">
        <f ca="1">IF(ISERROR(MATCH(D$1,INDIRECT("Table!A"&amp;$AF237):INDIRECT("Table!" &amp; $AI$253 &amp; $AF237),0)),"",INDIRECT(CONCATENATE("Table!",ADDRESS(#REF!,MATCH(D$1,INDIRECT("Table!A" &amp; $AF237):INDIRECT("Table!" &amp; $AI$253 &amp; $AF237),0))))/1024)</f>
        <v/>
      </c>
      <c r="E237" s="22" t="str">
        <f ca="1">IF(ISERROR(MATCH(E$1,INDIRECT("Table!A"&amp;$AF237):INDIRECT("Table!" &amp; $AI$253 &amp; $AF237),0)),"",INDIRECT(CONCATENATE("Table!",ADDRESS(#REF!,MATCH(E$1,INDIRECT("Table!A" &amp; $AF237):INDIRECT("Table!" &amp; $AI$253 &amp; $AF237),0))))/1024)</f>
        <v/>
      </c>
      <c r="F237" s="22" t="str">
        <f ca="1">IF(ISERROR(MATCH(F$1,INDIRECT("Table!A"&amp;$AF237):INDIRECT("Table!" &amp; $AI$253 &amp; $AF237),0)),"",INDIRECT(CONCATENATE("Table!",ADDRESS(#REF!,MATCH(F$1,INDIRECT("Table!A" &amp; $AF237):INDIRECT("Table!" &amp; $AI$253 &amp; $AF237),0))))/1024)</f>
        <v/>
      </c>
      <c r="G237" s="22" t="str">
        <f ca="1">IF(ISERROR(MATCH(G$1,INDIRECT("Table!A"&amp;$AF237):INDIRECT("Table!" &amp; $AI$253 &amp; $AF237),0)),"",INDIRECT(CONCATENATE("Table!",ADDRESS(#REF!,MATCH(G$1,INDIRECT("Table!A" &amp; $AF237):INDIRECT("Table!" &amp; $AI$253 &amp; $AF237),0))))/1024)</f>
        <v/>
      </c>
      <c r="H237" s="22" t="str">
        <f ca="1">IF(ISERROR(MATCH(H$1,INDIRECT("Table!A"&amp;$AF237):INDIRECT("Table!" &amp; $AI$253 &amp; $AF237),0)),"",INDIRECT(CONCATENATE("Table!",ADDRESS(#REF!,MATCH(H$1,INDIRECT("Table!A" &amp; $AF237):INDIRECT("Table!" &amp; $AI$253 &amp; $AF237),0))))/1024)</f>
        <v/>
      </c>
      <c r="K237" s="22" t="str">
        <f ca="1">IF(ISERROR(MATCH(L$1,INDIRECT("Table!A"&amp;$AF237):INDIRECT("Table!" &amp; $AI$253 &amp; $AF237),0)),"",INDIRECT(CONCATENATE("Table!",ADDRESS(#REF!,MATCH(L$1,INDIRECT("Table!A" &amp; $AF237):INDIRECT("Table!" &amp; $AI$253 &amp; $AF237),0))))/1024)</f>
        <v/>
      </c>
      <c r="L237" s="22" t="str">
        <f ca="1">IF(ISERROR(MATCH(M$1,INDIRECT("Table!A"&amp;$AF237):INDIRECT("Table!" &amp; $AI$253 &amp; $AF237),0)),"",INDIRECT(CONCATENATE("Table!",ADDRESS(#REF!,MATCH(M$1,INDIRECT("Table!A" &amp; $AF237):INDIRECT("Table!" &amp; $AI$253 &amp; $AF237),0))))/1024)</f>
        <v/>
      </c>
      <c r="M237" s="22" t="str">
        <f ca="1">IF(ISERROR(MATCH(N$1,INDIRECT("Table!A"&amp;$AF237):INDIRECT("Table!" &amp; $AI$253 &amp; $AF237),0)),"",INDIRECT(CONCATENATE("Table!",ADDRESS(#REF!,MATCH(N$1,INDIRECT("Table!A" &amp; $AF237):INDIRECT("Table!" &amp; $AI$253 &amp; $AF237),0))))/1024)</f>
        <v/>
      </c>
      <c r="N237" s="22" t="str">
        <f ca="1">IF(ISERROR(MATCH(O$1,INDIRECT("Table!A"&amp;$AF237):INDIRECT("Table!" &amp; $AI$253 &amp; $AF237),0)),"",INDIRECT(CONCATENATE("Table!",ADDRESS(#REF!,MATCH(O$1,INDIRECT("Table!A" &amp; $AF237):INDIRECT("Table!" &amp; $AI$253 &amp; $AF237),0))))/1024)</f>
        <v/>
      </c>
      <c r="O237" s="22"/>
      <c r="P237" s="272"/>
      <c r="Q237" s="22"/>
      <c r="R237" s="86"/>
      <c r="T237" s="595"/>
      <c r="U237" s="86"/>
      <c r="AD237" s="86"/>
      <c r="AE237" s="86"/>
      <c r="AF237" s="22"/>
      <c r="AG237" s="86"/>
      <c r="AH237" s="86"/>
      <c r="AI237" s="86"/>
    </row>
    <row r="238" spans="2:35" x14ac:dyDescent="0.25">
      <c r="B238" s="22" t="str">
        <f ca="1">IF(ISERROR(MATCH(B$1,INDIRECT("Table!A"&amp;$AF238):INDIRECT("Table!" &amp; $AI$253 &amp; $AF238),0)),"",INDIRECT(CONCATENATE("Table!",ADDRESS(#REF!,MATCH(B$1,INDIRECT("Table!A" &amp; $AF238):INDIRECT("Table!" &amp; $AI$253 &amp; $AF238),0))))/1024)</f>
        <v/>
      </c>
      <c r="C238" s="22" t="str">
        <f ca="1">IF(ISERROR(MATCH(C$1,INDIRECT("Table!A"&amp;$AF238):INDIRECT("Table!" &amp; $AI$253 &amp; $AF238),0)),"",INDIRECT(CONCATENATE("Table!",ADDRESS(#REF!,MATCH(C$1,INDIRECT("Table!A" &amp; $AF238):INDIRECT("Table!" &amp; $AI$253 &amp; $AF238),0))))/1024)</f>
        <v/>
      </c>
      <c r="D238" s="22" t="str">
        <f ca="1">IF(ISERROR(MATCH(D$1,INDIRECT("Table!A"&amp;$AF238):INDIRECT("Table!" &amp; $AI$253 &amp; $AF238),0)),"",INDIRECT(CONCATENATE("Table!",ADDRESS(#REF!,MATCH(D$1,INDIRECT("Table!A" &amp; $AF238):INDIRECT("Table!" &amp; $AI$253 &amp; $AF238),0))))/1024)</f>
        <v/>
      </c>
      <c r="E238" s="22" t="str">
        <f ca="1">IF(ISERROR(MATCH(E$1,INDIRECT("Table!A"&amp;$AF238):INDIRECT("Table!" &amp; $AI$253 &amp; $AF238),0)),"",INDIRECT(CONCATENATE("Table!",ADDRESS(#REF!,MATCH(E$1,INDIRECT("Table!A" &amp; $AF238):INDIRECT("Table!" &amp; $AI$253 &amp; $AF238),0))))/1024)</f>
        <v/>
      </c>
      <c r="F238" s="22" t="str">
        <f ca="1">IF(ISERROR(MATCH(F$1,INDIRECT("Table!A"&amp;$AF238):INDIRECT("Table!" &amp; $AI$253 &amp; $AF238),0)),"",INDIRECT(CONCATENATE("Table!",ADDRESS(#REF!,MATCH(F$1,INDIRECT("Table!A" &amp; $AF238):INDIRECT("Table!" &amp; $AI$253 &amp; $AF238),0))))/1024)</f>
        <v/>
      </c>
      <c r="G238" s="22" t="str">
        <f ca="1">IF(ISERROR(MATCH(G$1,INDIRECT("Table!A"&amp;$AF238):INDIRECT("Table!" &amp; $AI$253 &amp; $AF238),0)),"",INDIRECT(CONCATENATE("Table!",ADDRESS(#REF!,MATCH(G$1,INDIRECT("Table!A" &amp; $AF238):INDIRECT("Table!" &amp; $AI$253 &amp; $AF238),0))))/1024)</f>
        <v/>
      </c>
      <c r="H238" s="22" t="str">
        <f ca="1">IF(ISERROR(MATCH(H$1,INDIRECT("Table!A"&amp;$AF238):INDIRECT("Table!" &amp; $AI$253 &amp; $AF238),0)),"",INDIRECT(CONCATENATE("Table!",ADDRESS(#REF!,MATCH(H$1,INDIRECT("Table!A" &amp; $AF238):INDIRECT("Table!" &amp; $AI$253 &amp; $AF238),0))))/1024)</f>
        <v/>
      </c>
      <c r="K238" s="22" t="str">
        <f ca="1">IF(ISERROR(MATCH(L$1,INDIRECT("Table!A"&amp;$AF238):INDIRECT("Table!" &amp; $AI$253 &amp; $AF238),0)),"",INDIRECT(CONCATENATE("Table!",ADDRESS(#REF!,MATCH(L$1,INDIRECT("Table!A" &amp; $AF238):INDIRECT("Table!" &amp; $AI$253 &amp; $AF238),0))))/1024)</f>
        <v/>
      </c>
      <c r="L238" s="22" t="str">
        <f ca="1">IF(ISERROR(MATCH(M$1,INDIRECT("Table!A"&amp;$AF238):INDIRECT("Table!" &amp; $AI$253 &amp; $AF238),0)),"",INDIRECT(CONCATENATE("Table!",ADDRESS(#REF!,MATCH(M$1,INDIRECT("Table!A" &amp; $AF238):INDIRECT("Table!" &amp; $AI$253 &amp; $AF238),0))))/1024)</f>
        <v/>
      </c>
      <c r="M238" s="22" t="str">
        <f ca="1">IF(ISERROR(MATCH(N$1,INDIRECT("Table!A"&amp;$AF238):INDIRECT("Table!" &amp; $AI$253 &amp; $AF238),0)),"",INDIRECT(CONCATENATE("Table!",ADDRESS(#REF!,MATCH(N$1,INDIRECT("Table!A" &amp; $AF238):INDIRECT("Table!" &amp; $AI$253 &amp; $AF238),0))))/1024)</f>
        <v/>
      </c>
      <c r="N238" s="22" t="str">
        <f ca="1">IF(ISERROR(MATCH(O$1,INDIRECT("Table!A"&amp;$AF238):INDIRECT("Table!" &amp; $AI$253 &amp; $AF238),0)),"",INDIRECT(CONCATENATE("Table!",ADDRESS(#REF!,MATCH(O$1,INDIRECT("Table!A" &amp; $AF238):INDIRECT("Table!" &amp; $AI$253 &amp; $AF238),0))))/1024)</f>
        <v/>
      </c>
      <c r="O238" s="22"/>
      <c r="P238" s="272"/>
      <c r="Q238" s="22"/>
      <c r="R238" s="85"/>
      <c r="T238" s="595"/>
      <c r="U238" s="85"/>
      <c r="AD238" s="85"/>
      <c r="AE238" s="85"/>
      <c r="AF238" s="22"/>
      <c r="AG238" s="85"/>
      <c r="AH238" s="85"/>
      <c r="AI238" s="85"/>
    </row>
    <row r="239" spans="2:35" x14ac:dyDescent="0.25">
      <c r="B239" s="22" t="str">
        <f ca="1">IF(ISERROR(MATCH(B$1,INDIRECT("Table!A"&amp;$AF239):INDIRECT("Table!" &amp; $AI$253 &amp; $AF239),0)),"",INDIRECT(CONCATENATE("Table!",ADDRESS(#REF!,MATCH(B$1,INDIRECT("Table!A" &amp; $AF239):INDIRECT("Table!" &amp; $AI$253 &amp; $AF239),0))))/1024)</f>
        <v/>
      </c>
      <c r="C239" s="22" t="str">
        <f ca="1">IF(ISERROR(MATCH(C$1,INDIRECT("Table!A"&amp;$AF239):INDIRECT("Table!" &amp; $AI$253 &amp; $AF239),0)),"",INDIRECT(CONCATENATE("Table!",ADDRESS(#REF!,MATCH(C$1,INDIRECT("Table!A" &amp; $AF239):INDIRECT("Table!" &amp; $AI$253 &amp; $AF239),0))))/1024)</f>
        <v/>
      </c>
      <c r="D239" s="22" t="str">
        <f ca="1">IF(ISERROR(MATCH(D$1,INDIRECT("Table!A"&amp;$AF239):INDIRECT("Table!" &amp; $AI$253 &amp; $AF239),0)),"",INDIRECT(CONCATENATE("Table!",ADDRESS(#REF!,MATCH(D$1,INDIRECT("Table!A" &amp; $AF239):INDIRECT("Table!" &amp; $AI$253 &amp; $AF239),0))))/1024)</f>
        <v/>
      </c>
      <c r="E239" s="22" t="str">
        <f ca="1">IF(ISERROR(MATCH(E$1,INDIRECT("Table!A"&amp;$AF239):INDIRECT("Table!" &amp; $AI$253 &amp; $AF239),0)),"",INDIRECT(CONCATENATE("Table!",ADDRESS(#REF!,MATCH(E$1,INDIRECT("Table!A" &amp; $AF239):INDIRECT("Table!" &amp; $AI$253 &amp; $AF239),0))))/1024)</f>
        <v/>
      </c>
      <c r="F239" s="22" t="str">
        <f ca="1">IF(ISERROR(MATCH(F$1,INDIRECT("Table!A"&amp;$AF239):INDIRECT("Table!" &amp; $AI$253 &amp; $AF239),0)),"",INDIRECT(CONCATENATE("Table!",ADDRESS(#REF!,MATCH(F$1,INDIRECT("Table!A" &amp; $AF239):INDIRECT("Table!" &amp; $AI$253 &amp; $AF239),0))))/1024)</f>
        <v/>
      </c>
      <c r="G239" s="22" t="str">
        <f ca="1">IF(ISERROR(MATCH(G$1,INDIRECT("Table!A"&amp;$AF239):INDIRECT("Table!" &amp; $AI$253 &amp; $AF239),0)),"",INDIRECT(CONCATENATE("Table!",ADDRESS(#REF!,MATCH(G$1,INDIRECT("Table!A" &amp; $AF239):INDIRECT("Table!" &amp; $AI$253 &amp; $AF239),0))))/1024)</f>
        <v/>
      </c>
      <c r="H239" s="22" t="str">
        <f ca="1">IF(ISERROR(MATCH(H$1,INDIRECT("Table!A"&amp;$AF239):INDIRECT("Table!" &amp; $AI$253 &amp; $AF239),0)),"",INDIRECT(CONCATENATE("Table!",ADDRESS(#REF!,MATCH(H$1,INDIRECT("Table!A" &amp; $AF239):INDIRECT("Table!" &amp; $AI$253 &amp; $AF239),0))))/1024)</f>
        <v/>
      </c>
      <c r="K239" s="22" t="str">
        <f ca="1">IF(ISERROR(MATCH(L$1,INDIRECT("Table!A"&amp;$AF239):INDIRECT("Table!" &amp; $AI$253 &amp; $AF239),0)),"",INDIRECT(CONCATENATE("Table!",ADDRESS(#REF!,MATCH(L$1,INDIRECT("Table!A" &amp; $AF239):INDIRECT("Table!" &amp; $AI$253 &amp; $AF239),0))))/1024)</f>
        <v/>
      </c>
      <c r="L239" s="22" t="str">
        <f ca="1">IF(ISERROR(MATCH(M$1,INDIRECT("Table!A"&amp;$AF239):INDIRECT("Table!" &amp; $AI$253 &amp; $AF239),0)),"",INDIRECT(CONCATENATE("Table!",ADDRESS(#REF!,MATCH(M$1,INDIRECT("Table!A" &amp; $AF239):INDIRECT("Table!" &amp; $AI$253 &amp; $AF239),0))))/1024)</f>
        <v/>
      </c>
      <c r="M239" s="22" t="str">
        <f ca="1">IF(ISERROR(MATCH(N$1,INDIRECT("Table!A"&amp;$AF239):INDIRECT("Table!" &amp; $AI$253 &amp; $AF239),0)),"",INDIRECT(CONCATENATE("Table!",ADDRESS(#REF!,MATCH(N$1,INDIRECT("Table!A" &amp; $AF239):INDIRECT("Table!" &amp; $AI$253 &amp; $AF239),0))))/1024)</f>
        <v/>
      </c>
      <c r="N239" s="22" t="str">
        <f ca="1">IF(ISERROR(MATCH(O$1,INDIRECT("Table!A"&amp;$AF239):INDIRECT("Table!" &amp; $AI$253 &amp; $AF239),0)),"",INDIRECT(CONCATENATE("Table!",ADDRESS(#REF!,MATCH(O$1,INDIRECT("Table!A" &amp; $AF239):INDIRECT("Table!" &amp; $AI$253 &amp; $AF239),0))))/1024)</f>
        <v/>
      </c>
      <c r="O239" s="22"/>
      <c r="P239" s="272"/>
      <c r="Q239" s="22"/>
      <c r="R239" s="84"/>
      <c r="T239" s="595"/>
      <c r="U239" s="84"/>
      <c r="AD239" s="84"/>
      <c r="AE239" s="84"/>
      <c r="AF239" s="22"/>
      <c r="AG239" s="84"/>
      <c r="AH239" s="84"/>
      <c r="AI239" s="84"/>
    </row>
    <row r="240" spans="2:35" x14ac:dyDescent="0.25">
      <c r="B240" s="22" t="str">
        <f ca="1">IF(ISERROR(MATCH(B$1,INDIRECT("Table!A"&amp;$AF240):INDIRECT("Table!" &amp; $AI$253 &amp; $AF240),0)),"",INDIRECT(CONCATENATE("Table!",ADDRESS(#REF!,MATCH(B$1,INDIRECT("Table!A" &amp; $AF240):INDIRECT("Table!" &amp; $AI$253 &amp; $AF240),0))))/1024)</f>
        <v/>
      </c>
      <c r="C240" s="22" t="str">
        <f ca="1">IF(ISERROR(MATCH(C$1,INDIRECT("Table!A"&amp;$AF240):INDIRECT("Table!" &amp; $AI$253 &amp; $AF240),0)),"",INDIRECT(CONCATENATE("Table!",ADDRESS(#REF!,MATCH(C$1,INDIRECT("Table!A" &amp; $AF240):INDIRECT("Table!" &amp; $AI$253 &amp; $AF240),0))))/1024)</f>
        <v/>
      </c>
      <c r="D240" s="22" t="str">
        <f ca="1">IF(ISERROR(MATCH(D$1,INDIRECT("Table!A"&amp;$AF240):INDIRECT("Table!" &amp; $AI$253 &amp; $AF240),0)),"",INDIRECT(CONCATENATE("Table!",ADDRESS(#REF!,MATCH(D$1,INDIRECT("Table!A" &amp; $AF240):INDIRECT("Table!" &amp; $AI$253 &amp; $AF240),0))))/1024)</f>
        <v/>
      </c>
      <c r="E240" s="22" t="str">
        <f ca="1">IF(ISERROR(MATCH(E$1,INDIRECT("Table!A"&amp;$AF240):INDIRECT("Table!" &amp; $AI$253 &amp; $AF240),0)),"",INDIRECT(CONCATENATE("Table!",ADDRESS(#REF!,MATCH(E$1,INDIRECT("Table!A" &amp; $AF240):INDIRECT("Table!" &amp; $AI$253 &amp; $AF240),0))))/1024)</f>
        <v/>
      </c>
      <c r="F240" s="22" t="str">
        <f ca="1">IF(ISERROR(MATCH(F$1,INDIRECT("Table!A"&amp;$AF240):INDIRECT("Table!" &amp; $AI$253 &amp; $AF240),0)),"",INDIRECT(CONCATENATE("Table!",ADDRESS(#REF!,MATCH(F$1,INDIRECT("Table!A" &amp; $AF240):INDIRECT("Table!" &amp; $AI$253 &amp; $AF240),0))))/1024)</f>
        <v/>
      </c>
      <c r="G240" s="22" t="str">
        <f ca="1">IF(ISERROR(MATCH(G$1,INDIRECT("Table!A"&amp;$AF240):INDIRECT("Table!" &amp; $AI$253 &amp; $AF240),0)),"",INDIRECT(CONCATENATE("Table!",ADDRESS(#REF!,MATCH(G$1,INDIRECT("Table!A" &amp; $AF240):INDIRECT("Table!" &amp; $AI$253 &amp; $AF240),0))))/1024)</f>
        <v/>
      </c>
      <c r="H240" s="22" t="str">
        <f ca="1">IF(ISERROR(MATCH(H$1,INDIRECT("Table!A"&amp;$AF240):INDIRECT("Table!" &amp; $AI$253 &amp; $AF240),0)),"",INDIRECT(CONCATENATE("Table!",ADDRESS(#REF!,MATCH(H$1,INDIRECT("Table!A" &amp; $AF240):INDIRECT("Table!" &amp; $AI$253 &amp; $AF240),0))))/1024)</f>
        <v/>
      </c>
      <c r="K240" s="22" t="str">
        <f ca="1">IF(ISERROR(MATCH(L$1,INDIRECT("Table!A"&amp;$AF240):INDIRECT("Table!" &amp; $AI$253 &amp; $AF240),0)),"",INDIRECT(CONCATENATE("Table!",ADDRESS(#REF!,MATCH(L$1,INDIRECT("Table!A" &amp; $AF240):INDIRECT("Table!" &amp; $AI$253 &amp; $AF240),0))))/1024)</f>
        <v/>
      </c>
      <c r="L240" s="22" t="str">
        <f ca="1">IF(ISERROR(MATCH(M$1,INDIRECT("Table!A"&amp;$AF240):INDIRECT("Table!" &amp; $AI$253 &amp; $AF240),0)),"",INDIRECT(CONCATENATE("Table!",ADDRESS(#REF!,MATCH(M$1,INDIRECT("Table!A" &amp; $AF240):INDIRECT("Table!" &amp; $AI$253 &amp; $AF240),0))))/1024)</f>
        <v/>
      </c>
      <c r="M240" s="22" t="str">
        <f ca="1">IF(ISERROR(MATCH(N$1,INDIRECT("Table!A"&amp;$AF240):INDIRECT("Table!" &amp; $AI$253 &amp; $AF240),0)),"",INDIRECT(CONCATENATE("Table!",ADDRESS(#REF!,MATCH(N$1,INDIRECT("Table!A" &amp; $AF240):INDIRECT("Table!" &amp; $AI$253 &amp; $AF240),0))))/1024)</f>
        <v/>
      </c>
      <c r="N240" s="22" t="str">
        <f ca="1">IF(ISERROR(MATCH(O$1,INDIRECT("Table!A"&amp;$AF240):INDIRECT("Table!" &amp; $AI$253 &amp; $AF240),0)),"",INDIRECT(CONCATENATE("Table!",ADDRESS(#REF!,MATCH(O$1,INDIRECT("Table!A" &amp; $AF240):INDIRECT("Table!" &amp; $AI$253 &amp; $AF240),0))))/1024)</f>
        <v/>
      </c>
      <c r="O240" s="22"/>
      <c r="P240" s="272"/>
      <c r="Q240" s="22"/>
      <c r="R240" s="83"/>
      <c r="T240" s="595"/>
      <c r="U240" s="83"/>
      <c r="AD240" s="83"/>
      <c r="AE240" s="83"/>
      <c r="AF240" s="22"/>
      <c r="AG240" s="83"/>
      <c r="AH240" s="83"/>
      <c r="AI240" s="83"/>
    </row>
    <row r="241" spans="2:35" x14ac:dyDescent="0.25">
      <c r="B241" s="22" t="str">
        <f ca="1">IF(ISERROR(MATCH(B$1,INDIRECT("Table!A"&amp;$AF241):INDIRECT("Table!" &amp; $AI$253 &amp; $AF241),0)),"",INDIRECT(CONCATENATE("Table!",ADDRESS(#REF!,MATCH(B$1,INDIRECT("Table!A" &amp; $AF241):INDIRECT("Table!" &amp; $AI$253 &amp; $AF241),0))))/1024)</f>
        <v/>
      </c>
      <c r="C241" s="22" t="str">
        <f ca="1">IF(ISERROR(MATCH(C$1,INDIRECT("Table!A"&amp;$AF241):INDIRECT("Table!" &amp; $AI$253 &amp; $AF241),0)),"",INDIRECT(CONCATENATE("Table!",ADDRESS(#REF!,MATCH(C$1,INDIRECT("Table!A" &amp; $AF241):INDIRECT("Table!" &amp; $AI$253 &amp; $AF241),0))))/1024)</f>
        <v/>
      </c>
      <c r="D241" s="22" t="str">
        <f ca="1">IF(ISERROR(MATCH(D$1,INDIRECT("Table!A"&amp;$AF241):INDIRECT("Table!" &amp; $AI$253 &amp; $AF241),0)),"",INDIRECT(CONCATENATE("Table!",ADDRESS(#REF!,MATCH(D$1,INDIRECT("Table!A" &amp; $AF241):INDIRECT("Table!" &amp; $AI$253 &amp; $AF241),0))))/1024)</f>
        <v/>
      </c>
      <c r="E241" s="22" t="str">
        <f ca="1">IF(ISERROR(MATCH(E$1,INDIRECT("Table!A"&amp;$AF241):INDIRECT("Table!" &amp; $AI$253 &amp; $AF241),0)),"",INDIRECT(CONCATENATE("Table!",ADDRESS(#REF!,MATCH(E$1,INDIRECT("Table!A" &amp; $AF241):INDIRECT("Table!" &amp; $AI$253 &amp; $AF241),0))))/1024)</f>
        <v/>
      </c>
      <c r="F241" s="22" t="str">
        <f ca="1">IF(ISERROR(MATCH(F$1,INDIRECT("Table!A"&amp;$AF241):INDIRECT("Table!" &amp; $AI$253 &amp; $AF241),0)),"",INDIRECT(CONCATENATE("Table!",ADDRESS(#REF!,MATCH(F$1,INDIRECT("Table!A" &amp; $AF241):INDIRECT("Table!" &amp; $AI$253 &amp; $AF241),0))))/1024)</f>
        <v/>
      </c>
      <c r="G241" s="22" t="str">
        <f ca="1">IF(ISERROR(MATCH(G$1,INDIRECT("Table!A"&amp;$AF241):INDIRECT("Table!" &amp; $AI$253 &amp; $AF241),0)),"",INDIRECT(CONCATENATE("Table!",ADDRESS(#REF!,MATCH(G$1,INDIRECT("Table!A" &amp; $AF241):INDIRECT("Table!" &amp; $AI$253 &amp; $AF241),0))))/1024)</f>
        <v/>
      </c>
      <c r="H241" s="22" t="str">
        <f ca="1">IF(ISERROR(MATCH(H$1,INDIRECT("Table!A"&amp;$AF241):INDIRECT("Table!" &amp; $AI$253 &amp; $AF241),0)),"",INDIRECT(CONCATENATE("Table!",ADDRESS(#REF!,MATCH(H$1,INDIRECT("Table!A" &amp; $AF241):INDIRECT("Table!" &amp; $AI$253 &amp; $AF241),0))))/1024)</f>
        <v/>
      </c>
      <c r="K241" s="22" t="str">
        <f ca="1">IF(ISERROR(MATCH(L$1,INDIRECT("Table!A"&amp;$AF241):INDIRECT("Table!" &amp; $AI$253 &amp; $AF241),0)),"",INDIRECT(CONCATENATE("Table!",ADDRESS(#REF!,MATCH(L$1,INDIRECT("Table!A" &amp; $AF241):INDIRECT("Table!" &amp; $AI$253 &amp; $AF241),0))))/1024)</f>
        <v/>
      </c>
      <c r="L241" s="22" t="str">
        <f ca="1">IF(ISERROR(MATCH(M$1,INDIRECT("Table!A"&amp;$AF241):INDIRECT("Table!" &amp; $AI$253 &amp; $AF241),0)),"",INDIRECT(CONCATENATE("Table!",ADDRESS(#REF!,MATCH(M$1,INDIRECT("Table!A" &amp; $AF241):INDIRECT("Table!" &amp; $AI$253 &amp; $AF241),0))))/1024)</f>
        <v/>
      </c>
      <c r="M241" s="22" t="str">
        <f ca="1">IF(ISERROR(MATCH(N$1,INDIRECT("Table!A"&amp;$AF241):INDIRECT("Table!" &amp; $AI$253 &amp; $AF241),0)),"",INDIRECT(CONCATENATE("Table!",ADDRESS(#REF!,MATCH(N$1,INDIRECT("Table!A" &amp; $AF241):INDIRECT("Table!" &amp; $AI$253 &amp; $AF241),0))))/1024)</f>
        <v/>
      </c>
      <c r="N241" s="22" t="str">
        <f ca="1">IF(ISERROR(MATCH(O$1,INDIRECT("Table!A"&amp;$AF241):INDIRECT("Table!" &amp; $AI$253 &amp; $AF241),0)),"",INDIRECT(CONCATENATE("Table!",ADDRESS(#REF!,MATCH(O$1,INDIRECT("Table!A" &amp; $AF241):INDIRECT("Table!" &amp; $AI$253 &amp; $AF241),0))))/1024)</f>
        <v/>
      </c>
      <c r="O241" s="22"/>
      <c r="P241" s="272"/>
      <c r="Q241" s="22"/>
      <c r="R241" s="82"/>
      <c r="T241" s="595"/>
      <c r="U241" s="82"/>
      <c r="AD241" s="82"/>
      <c r="AE241" s="82"/>
      <c r="AF241" s="22"/>
      <c r="AG241" s="82"/>
      <c r="AH241" s="82"/>
      <c r="AI241" s="82"/>
    </row>
    <row r="242" spans="2:35" x14ac:dyDescent="0.25">
      <c r="B242" s="22" t="str">
        <f ca="1">IF(ISERROR(MATCH(B$1,INDIRECT("Table!A"&amp;$AF242):INDIRECT("Table!" &amp; $AI$253 &amp; $AF242),0)),"",INDIRECT(CONCATENATE("Table!",ADDRESS(#REF!,MATCH(B$1,INDIRECT("Table!A" &amp; $AF242):INDIRECT("Table!" &amp; $AI$253 &amp; $AF242),0))))/1024)</f>
        <v/>
      </c>
      <c r="C242" s="22" t="str">
        <f ca="1">IF(ISERROR(MATCH(C$1,INDIRECT("Table!A"&amp;$AF242):INDIRECT("Table!" &amp; $AI$253 &amp; $AF242),0)),"",INDIRECT(CONCATENATE("Table!",ADDRESS(#REF!,MATCH(C$1,INDIRECT("Table!A" &amp; $AF242):INDIRECT("Table!" &amp; $AI$253 &amp; $AF242),0))))/1024)</f>
        <v/>
      </c>
      <c r="D242" s="22" t="str">
        <f ca="1">IF(ISERROR(MATCH(D$1,INDIRECT("Table!A"&amp;$AF242):INDIRECT("Table!" &amp; $AI$253 &amp; $AF242),0)),"",INDIRECT(CONCATENATE("Table!",ADDRESS(#REF!,MATCH(D$1,INDIRECT("Table!A" &amp; $AF242):INDIRECT("Table!" &amp; $AI$253 &amp; $AF242),0))))/1024)</f>
        <v/>
      </c>
      <c r="E242" s="22" t="str">
        <f ca="1">IF(ISERROR(MATCH(E$1,INDIRECT("Table!A"&amp;$AF242):INDIRECT("Table!" &amp; $AI$253 &amp; $AF242),0)),"",INDIRECT(CONCATENATE("Table!",ADDRESS(#REF!,MATCH(E$1,INDIRECT("Table!A" &amp; $AF242):INDIRECT("Table!" &amp; $AI$253 &amp; $AF242),0))))/1024)</f>
        <v/>
      </c>
      <c r="F242" s="22" t="str">
        <f ca="1">IF(ISERROR(MATCH(F$1,INDIRECT("Table!A"&amp;$AF242):INDIRECT("Table!" &amp; $AI$253 &amp; $AF242),0)),"",INDIRECT(CONCATENATE("Table!",ADDRESS(#REF!,MATCH(F$1,INDIRECT("Table!A" &amp; $AF242):INDIRECT("Table!" &amp; $AI$253 &amp; $AF242),0))))/1024)</f>
        <v/>
      </c>
      <c r="G242" s="22" t="str">
        <f ca="1">IF(ISERROR(MATCH(G$1,INDIRECT("Table!A"&amp;$AF242):INDIRECT("Table!" &amp; $AI$253 &amp; $AF242),0)),"",INDIRECT(CONCATENATE("Table!",ADDRESS(#REF!,MATCH(G$1,INDIRECT("Table!A" &amp; $AF242):INDIRECT("Table!" &amp; $AI$253 &amp; $AF242),0))))/1024)</f>
        <v/>
      </c>
      <c r="H242" s="22" t="str">
        <f ca="1">IF(ISERROR(MATCH(H$1,INDIRECT("Table!A"&amp;$AF242):INDIRECT("Table!" &amp; $AI$253 &amp; $AF242),0)),"",INDIRECT(CONCATENATE("Table!",ADDRESS(#REF!,MATCH(H$1,INDIRECT("Table!A" &amp; $AF242):INDIRECT("Table!" &amp; $AI$253 &amp; $AF242),0))))/1024)</f>
        <v/>
      </c>
      <c r="K242" s="22" t="str">
        <f ca="1">IF(ISERROR(MATCH(L$1,INDIRECT("Table!A"&amp;$AF242):INDIRECT("Table!" &amp; $AI$253 &amp; $AF242),0)),"",INDIRECT(CONCATENATE("Table!",ADDRESS(#REF!,MATCH(L$1,INDIRECT("Table!A" &amp; $AF242):INDIRECT("Table!" &amp; $AI$253 &amp; $AF242),0))))/1024)</f>
        <v/>
      </c>
      <c r="L242" s="22" t="str">
        <f ca="1">IF(ISERROR(MATCH(M$1,INDIRECT("Table!A"&amp;$AF242):INDIRECT("Table!" &amp; $AI$253 &amp; $AF242),0)),"",INDIRECT(CONCATENATE("Table!",ADDRESS(#REF!,MATCH(M$1,INDIRECT("Table!A" &amp; $AF242):INDIRECT("Table!" &amp; $AI$253 &amp; $AF242),0))))/1024)</f>
        <v/>
      </c>
      <c r="M242" s="22" t="str">
        <f ca="1">IF(ISERROR(MATCH(N$1,INDIRECT("Table!A"&amp;$AF242):INDIRECT("Table!" &amp; $AI$253 &amp; $AF242),0)),"",INDIRECT(CONCATENATE("Table!",ADDRESS(#REF!,MATCH(N$1,INDIRECT("Table!A" &amp; $AF242):INDIRECT("Table!" &amp; $AI$253 &amp; $AF242),0))))/1024)</f>
        <v/>
      </c>
      <c r="N242" s="22" t="str">
        <f ca="1">IF(ISERROR(MATCH(O$1,INDIRECT("Table!A"&amp;$AF242):INDIRECT("Table!" &amp; $AI$253 &amp; $AF242),0)),"",INDIRECT(CONCATENATE("Table!",ADDRESS(#REF!,MATCH(O$1,INDIRECT("Table!A" &amp; $AF242):INDIRECT("Table!" &amp; $AI$253 &amp; $AF242),0))))/1024)</f>
        <v/>
      </c>
      <c r="O242" s="22"/>
      <c r="P242" s="272"/>
      <c r="Q242" s="22"/>
      <c r="R242" s="81"/>
      <c r="T242" s="595"/>
      <c r="U242" s="81"/>
      <c r="AD242" s="81"/>
      <c r="AE242" s="81"/>
      <c r="AF242" s="22"/>
      <c r="AG242" s="81"/>
      <c r="AH242" s="81"/>
      <c r="AI242" s="81"/>
    </row>
    <row r="243" spans="2:35" x14ac:dyDescent="0.25">
      <c r="B243" s="22" t="str">
        <f ca="1">IF(ISERROR(MATCH(B$1,INDIRECT("Table!A"&amp;$AF243):INDIRECT("Table!" &amp; $AI$253 &amp; $AF243),0)),"",INDIRECT(CONCATENATE("Table!",ADDRESS(#REF!,MATCH(B$1,INDIRECT("Table!A" &amp; $AF243):INDIRECT("Table!" &amp; $AI$253 &amp; $AF243),0))))/1024)</f>
        <v/>
      </c>
      <c r="C243" s="22" t="str">
        <f ca="1">IF(ISERROR(MATCH(C$1,INDIRECT("Table!A"&amp;$AF243):INDIRECT("Table!" &amp; $AI$253 &amp; $AF243),0)),"",INDIRECT(CONCATENATE("Table!",ADDRESS(#REF!,MATCH(C$1,INDIRECT("Table!A" &amp; $AF243):INDIRECT("Table!" &amp; $AI$253 &amp; $AF243),0))))/1024)</f>
        <v/>
      </c>
      <c r="D243" s="22" t="str">
        <f ca="1">IF(ISERROR(MATCH(D$1,INDIRECT("Table!A"&amp;$AF243):INDIRECT("Table!" &amp; $AI$253 &amp; $AF243),0)),"",INDIRECT(CONCATENATE("Table!",ADDRESS(#REF!,MATCH(D$1,INDIRECT("Table!A" &amp; $AF243):INDIRECT("Table!" &amp; $AI$253 &amp; $AF243),0))))/1024)</f>
        <v/>
      </c>
      <c r="E243" s="22" t="str">
        <f ca="1">IF(ISERROR(MATCH(E$1,INDIRECT("Table!A"&amp;$AF243):INDIRECT("Table!" &amp; $AI$253 &amp; $AF243),0)),"",INDIRECT(CONCATENATE("Table!",ADDRESS(#REF!,MATCH(E$1,INDIRECT("Table!A" &amp; $AF243):INDIRECT("Table!" &amp; $AI$253 &amp; $AF243),0))))/1024)</f>
        <v/>
      </c>
      <c r="F243" s="22" t="str">
        <f ca="1">IF(ISERROR(MATCH(F$1,INDIRECT("Table!A"&amp;$AF243):INDIRECT("Table!" &amp; $AI$253 &amp; $AF243),0)),"",INDIRECT(CONCATENATE("Table!",ADDRESS(#REF!,MATCH(F$1,INDIRECT("Table!A" &amp; $AF243):INDIRECT("Table!" &amp; $AI$253 &amp; $AF243),0))))/1024)</f>
        <v/>
      </c>
      <c r="G243" s="22" t="str">
        <f ca="1">IF(ISERROR(MATCH(G$1,INDIRECT("Table!A"&amp;$AF243):INDIRECT("Table!" &amp; $AI$253 &amp; $AF243),0)),"",INDIRECT(CONCATENATE("Table!",ADDRESS(#REF!,MATCH(G$1,INDIRECT("Table!A" &amp; $AF243):INDIRECT("Table!" &amp; $AI$253 &amp; $AF243),0))))/1024)</f>
        <v/>
      </c>
      <c r="H243" s="22" t="str">
        <f ca="1">IF(ISERROR(MATCH(H$1,INDIRECT("Table!A"&amp;$AF243):INDIRECT("Table!" &amp; $AI$253 &amp; $AF243),0)),"",INDIRECT(CONCATENATE("Table!",ADDRESS(#REF!,MATCH(H$1,INDIRECT("Table!A" &amp; $AF243):INDIRECT("Table!" &amp; $AI$253 &amp; $AF243),0))))/1024)</f>
        <v/>
      </c>
      <c r="K243" s="22" t="str">
        <f ca="1">IF(ISERROR(MATCH(L$1,INDIRECT("Table!A"&amp;$AF243):INDIRECT("Table!" &amp; $AI$253 &amp; $AF243),0)),"",INDIRECT(CONCATENATE("Table!",ADDRESS(#REF!,MATCH(L$1,INDIRECT("Table!A" &amp; $AF243):INDIRECT("Table!" &amp; $AI$253 &amp; $AF243),0))))/1024)</f>
        <v/>
      </c>
      <c r="L243" s="22" t="str">
        <f ca="1">IF(ISERROR(MATCH(M$1,INDIRECT("Table!A"&amp;$AF243):INDIRECT("Table!" &amp; $AI$253 &amp; $AF243),0)),"",INDIRECT(CONCATENATE("Table!",ADDRESS(#REF!,MATCH(M$1,INDIRECT("Table!A" &amp; $AF243):INDIRECT("Table!" &amp; $AI$253 &amp; $AF243),0))))/1024)</f>
        <v/>
      </c>
      <c r="M243" s="22" t="str">
        <f ca="1">IF(ISERROR(MATCH(N$1,INDIRECT("Table!A"&amp;$AF243):INDIRECT("Table!" &amp; $AI$253 &amp; $AF243),0)),"",INDIRECT(CONCATENATE("Table!",ADDRESS(#REF!,MATCH(N$1,INDIRECT("Table!A" &amp; $AF243):INDIRECT("Table!" &amp; $AI$253 &amp; $AF243),0))))/1024)</f>
        <v/>
      </c>
      <c r="N243" s="22" t="str">
        <f ca="1">IF(ISERROR(MATCH(O$1,INDIRECT("Table!A"&amp;$AF243):INDIRECT("Table!" &amp; $AI$253 &amp; $AF243),0)),"",INDIRECT(CONCATENATE("Table!",ADDRESS(#REF!,MATCH(O$1,INDIRECT("Table!A" &amp; $AF243):INDIRECT("Table!" &amp; $AI$253 &amp; $AF243),0))))/1024)</f>
        <v/>
      </c>
      <c r="O243" s="22"/>
      <c r="P243" s="272"/>
      <c r="Q243" s="22"/>
      <c r="R243" s="80"/>
      <c r="T243" s="595"/>
      <c r="U243" s="80"/>
      <c r="AD243" s="80"/>
      <c r="AE243" s="80"/>
      <c r="AF243" s="22"/>
      <c r="AG243" s="80"/>
      <c r="AH243" s="80"/>
      <c r="AI243" s="80"/>
    </row>
    <row r="244" spans="2:35" x14ac:dyDescent="0.25">
      <c r="B244" s="22" t="str">
        <f ca="1">IF(ISERROR(MATCH(B$1,INDIRECT("Table!A"&amp;$AF244):INDIRECT("Table!" &amp; $AI$253 &amp; $AF244),0)),"",INDIRECT(CONCATENATE("Table!",ADDRESS(#REF!,MATCH(B$1,INDIRECT("Table!A" &amp; $AF244):INDIRECT("Table!" &amp; $AI$253 &amp; $AF244),0))))/1024)</f>
        <v/>
      </c>
      <c r="C244" s="22" t="str">
        <f ca="1">IF(ISERROR(MATCH(C$1,INDIRECT("Table!A"&amp;$AF244):INDIRECT("Table!" &amp; $AI$253 &amp; $AF244),0)),"",INDIRECT(CONCATENATE("Table!",ADDRESS(#REF!,MATCH(C$1,INDIRECT("Table!A" &amp; $AF244):INDIRECT("Table!" &amp; $AI$253 &amp; $AF244),0))))/1024)</f>
        <v/>
      </c>
      <c r="D244" s="22" t="str">
        <f ca="1">IF(ISERROR(MATCH(D$1,INDIRECT("Table!A"&amp;$AF244):INDIRECT("Table!" &amp; $AI$253 &amp; $AF244),0)),"",INDIRECT(CONCATENATE("Table!",ADDRESS(#REF!,MATCH(D$1,INDIRECT("Table!A" &amp; $AF244):INDIRECT("Table!" &amp; $AI$253 &amp; $AF244),0))))/1024)</f>
        <v/>
      </c>
      <c r="E244" s="22" t="str">
        <f ca="1">IF(ISERROR(MATCH(E$1,INDIRECT("Table!A"&amp;$AF244):INDIRECT("Table!" &amp; $AI$253 &amp; $AF244),0)),"",INDIRECT(CONCATENATE("Table!",ADDRESS(#REF!,MATCH(E$1,INDIRECT("Table!A" &amp; $AF244):INDIRECT("Table!" &amp; $AI$253 &amp; $AF244),0))))/1024)</f>
        <v/>
      </c>
      <c r="F244" s="22" t="str">
        <f ca="1">IF(ISERROR(MATCH(F$1,INDIRECT("Table!A"&amp;$AF244):INDIRECT("Table!" &amp; $AI$253 &amp; $AF244),0)),"",INDIRECT(CONCATENATE("Table!",ADDRESS(#REF!,MATCH(F$1,INDIRECT("Table!A" &amp; $AF244):INDIRECT("Table!" &amp; $AI$253 &amp; $AF244),0))))/1024)</f>
        <v/>
      </c>
      <c r="G244" s="22" t="str">
        <f ca="1">IF(ISERROR(MATCH(G$1,INDIRECT("Table!A"&amp;$AF244):INDIRECT("Table!" &amp; $AI$253 &amp; $AF244),0)),"",INDIRECT(CONCATENATE("Table!",ADDRESS(#REF!,MATCH(G$1,INDIRECT("Table!A" &amp; $AF244):INDIRECT("Table!" &amp; $AI$253 &amp; $AF244),0))))/1024)</f>
        <v/>
      </c>
      <c r="H244" s="22" t="str">
        <f ca="1">IF(ISERROR(MATCH(H$1,INDIRECT("Table!A"&amp;$AF244):INDIRECT("Table!" &amp; $AI$253 &amp; $AF244),0)),"",INDIRECT(CONCATENATE("Table!",ADDRESS(#REF!,MATCH(H$1,INDIRECT("Table!A" &amp; $AF244):INDIRECT("Table!" &amp; $AI$253 &amp; $AF244),0))))/1024)</f>
        <v/>
      </c>
      <c r="K244" s="22" t="str">
        <f ca="1">IF(ISERROR(MATCH(L$1,INDIRECT("Table!A"&amp;$AF244):INDIRECT("Table!" &amp; $AI$253 &amp; $AF244),0)),"",INDIRECT(CONCATENATE("Table!",ADDRESS(#REF!,MATCH(L$1,INDIRECT("Table!A" &amp; $AF244):INDIRECT("Table!" &amp; $AI$253 &amp; $AF244),0))))/1024)</f>
        <v/>
      </c>
      <c r="L244" s="22" t="str">
        <f ca="1">IF(ISERROR(MATCH(M$1,INDIRECT("Table!A"&amp;$AF244):INDIRECT("Table!" &amp; $AI$253 &amp; $AF244),0)),"",INDIRECT(CONCATENATE("Table!",ADDRESS(#REF!,MATCH(M$1,INDIRECT("Table!A" &amp; $AF244):INDIRECT("Table!" &amp; $AI$253 &amp; $AF244),0))))/1024)</f>
        <v/>
      </c>
      <c r="M244" s="22" t="str">
        <f ca="1">IF(ISERROR(MATCH(N$1,INDIRECT("Table!A"&amp;$AF244):INDIRECT("Table!" &amp; $AI$253 &amp; $AF244),0)),"",INDIRECT(CONCATENATE("Table!",ADDRESS(#REF!,MATCH(N$1,INDIRECT("Table!A" &amp; $AF244):INDIRECT("Table!" &amp; $AI$253 &amp; $AF244),0))))/1024)</f>
        <v/>
      </c>
      <c r="N244" s="22" t="str">
        <f ca="1">IF(ISERROR(MATCH(O$1,INDIRECT("Table!A"&amp;$AF244):INDIRECT("Table!" &amp; $AI$253 &amp; $AF244),0)),"",INDIRECT(CONCATENATE("Table!",ADDRESS(#REF!,MATCH(O$1,INDIRECT("Table!A" &amp; $AF244):INDIRECT("Table!" &amp; $AI$253 &amp; $AF244),0))))/1024)</f>
        <v/>
      </c>
      <c r="O244" s="22"/>
      <c r="P244" s="272"/>
      <c r="Q244" s="22"/>
      <c r="R244" s="79"/>
      <c r="T244" s="595"/>
      <c r="U244" s="79"/>
      <c r="AD244" s="79"/>
      <c r="AE244" s="79"/>
      <c r="AF244" s="22"/>
      <c r="AG244" s="79"/>
      <c r="AH244" s="79"/>
      <c r="AI244" s="79"/>
    </row>
    <row r="245" spans="2:35" x14ac:dyDescent="0.25">
      <c r="B245" s="22" t="str">
        <f ca="1">IF(ISERROR(MATCH(B$1,INDIRECT("Table!A"&amp;$AF245):INDIRECT("Table!" &amp; $AI$253 &amp; $AF245),0)),"",INDIRECT(CONCATENATE("Table!",ADDRESS(#REF!,MATCH(B$1,INDIRECT("Table!A" &amp; $AF245):INDIRECT("Table!" &amp; $AI$253 &amp; $AF245),0))))/1024)</f>
        <v/>
      </c>
      <c r="C245" s="22" t="str">
        <f ca="1">IF(ISERROR(MATCH(C$1,INDIRECT("Table!A"&amp;$AF245):INDIRECT("Table!" &amp; $AI$253 &amp; $AF245),0)),"",INDIRECT(CONCATENATE("Table!",ADDRESS(#REF!,MATCH(C$1,INDIRECT("Table!A" &amp; $AF245):INDIRECT("Table!" &amp; $AI$253 &amp; $AF245),0))))/1024)</f>
        <v/>
      </c>
      <c r="D245" s="22" t="str">
        <f ca="1">IF(ISERROR(MATCH(D$1,INDIRECT("Table!A"&amp;$AF245):INDIRECT("Table!" &amp; $AI$253 &amp; $AF245),0)),"",INDIRECT(CONCATENATE("Table!",ADDRESS(#REF!,MATCH(D$1,INDIRECT("Table!A" &amp; $AF245):INDIRECT("Table!" &amp; $AI$253 &amp; $AF245),0))))/1024)</f>
        <v/>
      </c>
      <c r="E245" s="22" t="str">
        <f ca="1">IF(ISERROR(MATCH(E$1,INDIRECT("Table!A"&amp;$AF245):INDIRECT("Table!" &amp; $AI$253 &amp; $AF245),0)),"",INDIRECT(CONCATENATE("Table!",ADDRESS(#REF!,MATCH(E$1,INDIRECT("Table!A" &amp; $AF245):INDIRECT("Table!" &amp; $AI$253 &amp; $AF245),0))))/1024)</f>
        <v/>
      </c>
      <c r="F245" s="22" t="str">
        <f ca="1">IF(ISERROR(MATCH(F$1,INDIRECT("Table!A"&amp;$AF245):INDIRECT("Table!" &amp; $AI$253 &amp; $AF245),0)),"",INDIRECT(CONCATENATE("Table!",ADDRESS(#REF!,MATCH(F$1,INDIRECT("Table!A" &amp; $AF245):INDIRECT("Table!" &amp; $AI$253 &amp; $AF245),0))))/1024)</f>
        <v/>
      </c>
      <c r="G245" s="22" t="str">
        <f ca="1">IF(ISERROR(MATCH(G$1,INDIRECT("Table!A"&amp;$AF245):INDIRECT("Table!" &amp; $AI$253 &amp; $AF245),0)),"",INDIRECT(CONCATENATE("Table!",ADDRESS(#REF!,MATCH(G$1,INDIRECT("Table!A" &amp; $AF245):INDIRECT("Table!" &amp; $AI$253 &amp; $AF245),0))))/1024)</f>
        <v/>
      </c>
      <c r="H245" s="22" t="str">
        <f ca="1">IF(ISERROR(MATCH(H$1,INDIRECT("Table!A"&amp;$AF245):INDIRECT("Table!" &amp; $AI$253 &amp; $AF245),0)),"",INDIRECT(CONCATENATE("Table!",ADDRESS(#REF!,MATCH(H$1,INDIRECT("Table!A" &amp; $AF245):INDIRECT("Table!" &amp; $AI$253 &amp; $AF245),0))))/1024)</f>
        <v/>
      </c>
      <c r="K245" s="22" t="str">
        <f ca="1">IF(ISERROR(MATCH(L$1,INDIRECT("Table!A"&amp;$AF245):INDIRECT("Table!" &amp; $AI$253 &amp; $AF245),0)),"",INDIRECT(CONCATENATE("Table!",ADDRESS(#REF!,MATCH(L$1,INDIRECT("Table!A" &amp; $AF245):INDIRECT("Table!" &amp; $AI$253 &amp; $AF245),0))))/1024)</f>
        <v/>
      </c>
      <c r="L245" s="22" t="str">
        <f ca="1">IF(ISERROR(MATCH(M$1,INDIRECT("Table!A"&amp;$AF245):INDIRECT("Table!" &amp; $AI$253 &amp; $AF245),0)),"",INDIRECT(CONCATENATE("Table!",ADDRESS(#REF!,MATCH(M$1,INDIRECT("Table!A" &amp; $AF245):INDIRECT("Table!" &amp; $AI$253 &amp; $AF245),0))))/1024)</f>
        <v/>
      </c>
      <c r="M245" s="22" t="str">
        <f ca="1">IF(ISERROR(MATCH(N$1,INDIRECT("Table!A"&amp;$AF245):INDIRECT("Table!" &amp; $AI$253 &amp; $AF245),0)),"",INDIRECT(CONCATENATE("Table!",ADDRESS(#REF!,MATCH(N$1,INDIRECT("Table!A" &amp; $AF245):INDIRECT("Table!" &amp; $AI$253 &amp; $AF245),0))))/1024)</f>
        <v/>
      </c>
      <c r="N245" s="22" t="str">
        <f ca="1">IF(ISERROR(MATCH(O$1,INDIRECT("Table!A"&amp;$AF245):INDIRECT("Table!" &amp; $AI$253 &amp; $AF245),0)),"",INDIRECT(CONCATENATE("Table!",ADDRESS(#REF!,MATCH(O$1,INDIRECT("Table!A" &amp; $AF245):INDIRECT("Table!" &amp; $AI$253 &amp; $AF245),0))))/1024)</f>
        <v/>
      </c>
      <c r="O245" s="22"/>
      <c r="P245" s="272"/>
      <c r="Q245" s="22"/>
      <c r="R245" s="79"/>
      <c r="T245" s="595"/>
      <c r="U245" s="79"/>
      <c r="AD245" s="79"/>
      <c r="AE245" s="79"/>
      <c r="AF245" s="22"/>
      <c r="AG245" s="79"/>
      <c r="AH245" s="79"/>
      <c r="AI245" s="79"/>
    </row>
    <row r="246" spans="2:35" x14ac:dyDescent="0.25">
      <c r="B246" s="22" t="str">
        <f ca="1">IF(ISERROR(MATCH(B$1,INDIRECT("Table!A"&amp;$AF246):INDIRECT("Table!" &amp; $AI$253 &amp; $AF246),0)),"",INDIRECT(CONCATENATE("Table!",ADDRESS(#REF!,MATCH(B$1,INDIRECT("Table!A" &amp; $AF246):INDIRECT("Table!" &amp; $AI$253 &amp; $AF246),0))))/1024)</f>
        <v/>
      </c>
      <c r="C246" s="22" t="str">
        <f ca="1">IF(ISERROR(MATCH(C$1,INDIRECT("Table!A"&amp;$AF246):INDIRECT("Table!" &amp; $AI$253 &amp; $AF246),0)),"",INDIRECT(CONCATENATE("Table!",ADDRESS(#REF!,MATCH(C$1,INDIRECT("Table!A" &amp; $AF246):INDIRECT("Table!" &amp; $AI$253 &amp; $AF246),0))))/1024)</f>
        <v/>
      </c>
      <c r="D246" s="22" t="str">
        <f ca="1">IF(ISERROR(MATCH(D$1,INDIRECT("Table!A"&amp;$AF246):INDIRECT("Table!" &amp; $AI$253 &amp; $AF246),0)),"",INDIRECT(CONCATENATE("Table!",ADDRESS(#REF!,MATCH(D$1,INDIRECT("Table!A" &amp; $AF246):INDIRECT("Table!" &amp; $AI$253 &amp; $AF246),0))))/1024)</f>
        <v/>
      </c>
      <c r="E246" s="22" t="str">
        <f ca="1">IF(ISERROR(MATCH(E$1,INDIRECT("Table!A"&amp;$AF246):INDIRECT("Table!" &amp; $AI$253 &amp; $AF246),0)),"",INDIRECT(CONCATENATE("Table!",ADDRESS(#REF!,MATCH(E$1,INDIRECT("Table!A" &amp; $AF246):INDIRECT("Table!" &amp; $AI$253 &amp; $AF246),0))))/1024)</f>
        <v/>
      </c>
      <c r="F246" s="22" t="str">
        <f ca="1">IF(ISERROR(MATCH(F$1,INDIRECT("Table!A"&amp;$AF246):INDIRECT("Table!" &amp; $AI$253 &amp; $AF246),0)),"",INDIRECT(CONCATENATE("Table!",ADDRESS(#REF!,MATCH(F$1,INDIRECT("Table!A" &amp; $AF246):INDIRECT("Table!" &amp; $AI$253 &amp; $AF246),0))))/1024)</f>
        <v/>
      </c>
      <c r="G246" s="22" t="str">
        <f ca="1">IF(ISERROR(MATCH(G$1,INDIRECT("Table!A"&amp;$AF246):INDIRECT("Table!" &amp; $AI$253 &amp; $AF246),0)),"",INDIRECT(CONCATENATE("Table!",ADDRESS(#REF!,MATCH(G$1,INDIRECT("Table!A" &amp; $AF246):INDIRECT("Table!" &amp; $AI$253 &amp; $AF246),0))))/1024)</f>
        <v/>
      </c>
      <c r="H246" s="22" t="str">
        <f ca="1">IF(ISERROR(MATCH(H$1,INDIRECT("Table!A"&amp;$AF246):INDIRECT("Table!" &amp; $AI$253 &amp; $AF246),0)),"",INDIRECT(CONCATENATE("Table!",ADDRESS(#REF!,MATCH(H$1,INDIRECT("Table!A" &amp; $AF246):INDIRECT("Table!" &amp; $AI$253 &amp; $AF246),0))))/1024)</f>
        <v/>
      </c>
      <c r="K246" s="22" t="str">
        <f ca="1">IF(ISERROR(MATCH(L$1,INDIRECT("Table!A"&amp;$AF246):INDIRECT("Table!" &amp; $AI$253 &amp; $AF246),0)),"",INDIRECT(CONCATENATE("Table!",ADDRESS(#REF!,MATCH(L$1,INDIRECT("Table!A" &amp; $AF246):INDIRECT("Table!" &amp; $AI$253 &amp; $AF246),0))))/1024)</f>
        <v/>
      </c>
      <c r="L246" s="22" t="str">
        <f ca="1">IF(ISERROR(MATCH(M$1,INDIRECT("Table!A"&amp;$AF246):INDIRECT("Table!" &amp; $AI$253 &amp; $AF246),0)),"",INDIRECT(CONCATENATE("Table!",ADDRESS(#REF!,MATCH(M$1,INDIRECT("Table!A" &amp; $AF246):INDIRECT("Table!" &amp; $AI$253 &amp; $AF246),0))))/1024)</f>
        <v/>
      </c>
      <c r="M246" s="22" t="str">
        <f ca="1">IF(ISERROR(MATCH(N$1,INDIRECT("Table!A"&amp;$AF246):INDIRECT("Table!" &amp; $AI$253 &amp; $AF246),0)),"",INDIRECT(CONCATENATE("Table!",ADDRESS(#REF!,MATCH(N$1,INDIRECT("Table!A" &amp; $AF246):INDIRECT("Table!" &amp; $AI$253 &amp; $AF246),0))))/1024)</f>
        <v/>
      </c>
      <c r="N246" s="22" t="str">
        <f ca="1">IF(ISERROR(MATCH(O$1,INDIRECT("Table!A"&amp;$AF246):INDIRECT("Table!" &amp; $AI$253 &amp; $AF246),0)),"",INDIRECT(CONCATENATE("Table!",ADDRESS(#REF!,MATCH(O$1,INDIRECT("Table!A" &amp; $AF246):INDIRECT("Table!" &amp; $AI$253 &amp; $AF246),0))))/1024)</f>
        <v/>
      </c>
      <c r="O246" s="22"/>
      <c r="P246" s="272"/>
      <c r="Q246" s="22"/>
      <c r="R246" s="77"/>
      <c r="T246" s="595"/>
      <c r="U246" s="77"/>
      <c r="AD246" s="77"/>
      <c r="AE246" s="77"/>
      <c r="AF246" s="22"/>
      <c r="AG246" s="77"/>
      <c r="AH246" s="77"/>
      <c r="AI246" s="77"/>
    </row>
    <row r="247" spans="2:35" x14ac:dyDescent="0.25">
      <c r="B247" s="22" t="str">
        <f ca="1">IF(ISERROR(MATCH(B$1,INDIRECT("Table!A"&amp;$AF247):INDIRECT("Table!" &amp; $AI$253 &amp; $AF247),0)),"",INDIRECT(CONCATENATE("Table!",ADDRESS(#REF!,MATCH(B$1,INDIRECT("Table!A" &amp; $AF247):INDIRECT("Table!" &amp; $AI$253 &amp; $AF247),0))))/1024)</f>
        <v/>
      </c>
      <c r="C247" s="22" t="str">
        <f ca="1">IF(ISERROR(MATCH(C$1,INDIRECT("Table!A"&amp;$AF247):INDIRECT("Table!" &amp; $AI$253 &amp; $AF247),0)),"",INDIRECT(CONCATENATE("Table!",ADDRESS(#REF!,MATCH(C$1,INDIRECT("Table!A" &amp; $AF247):INDIRECT("Table!" &amp; $AI$253 &amp; $AF247),0))))/1024)</f>
        <v/>
      </c>
      <c r="D247" s="22" t="str">
        <f ca="1">IF(ISERROR(MATCH(D$1,INDIRECT("Table!A"&amp;$AF247):INDIRECT("Table!" &amp; $AI$253 &amp; $AF247),0)),"",INDIRECT(CONCATENATE("Table!",ADDRESS(#REF!,MATCH(D$1,INDIRECT("Table!A" &amp; $AF247):INDIRECT("Table!" &amp; $AI$253 &amp; $AF247),0))))/1024)</f>
        <v/>
      </c>
      <c r="E247" s="22" t="str">
        <f ca="1">IF(ISERROR(MATCH(E$1,INDIRECT("Table!A"&amp;$AF247):INDIRECT("Table!" &amp; $AI$253 &amp; $AF247),0)),"",INDIRECT(CONCATENATE("Table!",ADDRESS(#REF!,MATCH(E$1,INDIRECT("Table!A" &amp; $AF247):INDIRECT("Table!" &amp; $AI$253 &amp; $AF247),0))))/1024)</f>
        <v/>
      </c>
      <c r="F247" s="22" t="str">
        <f ca="1">IF(ISERROR(MATCH(F$1,INDIRECT("Table!A"&amp;$AF247):INDIRECT("Table!" &amp; $AI$253 &amp; $AF247),0)),"",INDIRECT(CONCATENATE("Table!",ADDRESS(#REF!,MATCH(F$1,INDIRECT("Table!A" &amp; $AF247):INDIRECT("Table!" &amp; $AI$253 &amp; $AF247),0))))/1024)</f>
        <v/>
      </c>
      <c r="G247" s="22" t="str">
        <f ca="1">IF(ISERROR(MATCH(G$1,INDIRECT("Table!A"&amp;$AF247):INDIRECT("Table!" &amp; $AI$253 &amp; $AF247),0)),"",INDIRECT(CONCATENATE("Table!",ADDRESS(#REF!,MATCH(G$1,INDIRECT("Table!A" &amp; $AF247):INDIRECT("Table!" &amp; $AI$253 &amp; $AF247),0))))/1024)</f>
        <v/>
      </c>
      <c r="H247" s="22" t="str">
        <f ca="1">IF(ISERROR(MATCH(H$1,INDIRECT("Table!A"&amp;$AF247):INDIRECT("Table!" &amp; $AI$253 &amp; $AF247),0)),"",INDIRECT(CONCATENATE("Table!",ADDRESS(#REF!,MATCH(H$1,INDIRECT("Table!A" &amp; $AF247):INDIRECT("Table!" &amp; $AI$253 &amp; $AF247),0))))/1024)</f>
        <v/>
      </c>
      <c r="K247" s="22" t="str">
        <f ca="1">IF(ISERROR(MATCH(L$1,INDIRECT("Table!A"&amp;$AF247):INDIRECT("Table!" &amp; $AI$253 &amp; $AF247),0)),"",INDIRECT(CONCATENATE("Table!",ADDRESS(#REF!,MATCH(L$1,INDIRECT("Table!A" &amp; $AF247):INDIRECT("Table!" &amp; $AI$253 &amp; $AF247),0))))/1024)</f>
        <v/>
      </c>
      <c r="L247" s="22" t="str">
        <f ca="1">IF(ISERROR(MATCH(M$1,INDIRECT("Table!A"&amp;$AF247):INDIRECT("Table!" &amp; $AI$253 &amp; $AF247),0)),"",INDIRECT(CONCATENATE("Table!",ADDRESS(#REF!,MATCH(M$1,INDIRECT("Table!A" &amp; $AF247):INDIRECT("Table!" &amp; $AI$253 &amp; $AF247),0))))/1024)</f>
        <v/>
      </c>
      <c r="M247" s="22" t="str">
        <f ca="1">IF(ISERROR(MATCH(N$1,INDIRECT("Table!A"&amp;$AF247):INDIRECT("Table!" &amp; $AI$253 &amp; $AF247),0)),"",INDIRECT(CONCATENATE("Table!",ADDRESS(#REF!,MATCH(N$1,INDIRECT("Table!A" &amp; $AF247):INDIRECT("Table!" &amp; $AI$253 &amp; $AF247),0))))/1024)</f>
        <v/>
      </c>
      <c r="N247" s="22" t="str">
        <f ca="1">IF(ISERROR(MATCH(O$1,INDIRECT("Table!A"&amp;$AF247):INDIRECT("Table!" &amp; $AI$253 &amp; $AF247),0)),"",INDIRECT(CONCATENATE("Table!",ADDRESS(#REF!,MATCH(O$1,INDIRECT("Table!A" &amp; $AF247):INDIRECT("Table!" &amp; $AI$253 &amp; $AF247),0))))/1024)</f>
        <v/>
      </c>
      <c r="O247" s="22"/>
      <c r="P247" s="272"/>
      <c r="Q247" s="22"/>
      <c r="R247" s="76"/>
      <c r="T247" s="595"/>
      <c r="U247" s="76"/>
      <c r="AD247" s="76"/>
      <c r="AE247" s="76"/>
      <c r="AF247" s="22"/>
      <c r="AG247" s="76"/>
      <c r="AH247" s="76"/>
      <c r="AI247" s="76"/>
    </row>
    <row r="248" spans="2:35" x14ac:dyDescent="0.25">
      <c r="B248" s="22" t="str">
        <f ca="1">IF(ISERROR(MATCH(B$1,INDIRECT("Table!A"&amp;$AF248):INDIRECT("Table!" &amp; $AI$253 &amp; $AF248),0)),"",INDIRECT(CONCATENATE("Table!",ADDRESS(#REF!,MATCH(B$1,INDIRECT("Table!A" &amp; $AF248):INDIRECT("Table!" &amp; $AI$253 &amp; $AF248),0))))/1024)</f>
        <v/>
      </c>
      <c r="C248" s="22" t="str">
        <f ca="1">IF(ISERROR(MATCH(C$1,INDIRECT("Table!A"&amp;$AF248):INDIRECT("Table!" &amp; $AI$253 &amp; $AF248),0)),"",INDIRECT(CONCATENATE("Table!",ADDRESS(#REF!,MATCH(C$1,INDIRECT("Table!A" &amp; $AF248):INDIRECT("Table!" &amp; $AI$253 &amp; $AF248),0))))/1024)</f>
        <v/>
      </c>
      <c r="D248" s="22" t="str">
        <f ca="1">IF(ISERROR(MATCH(D$1,INDIRECT("Table!A"&amp;$AF248):INDIRECT("Table!" &amp; $AI$253 &amp; $AF248),0)),"",INDIRECT(CONCATENATE("Table!",ADDRESS(#REF!,MATCH(D$1,INDIRECT("Table!A" &amp; $AF248):INDIRECT("Table!" &amp; $AI$253 &amp; $AF248),0))))/1024)</f>
        <v/>
      </c>
      <c r="E248" s="22" t="str">
        <f ca="1">IF(ISERROR(MATCH(E$1,INDIRECT("Table!A"&amp;$AF248):INDIRECT("Table!" &amp; $AI$253 &amp; $AF248),0)),"",INDIRECT(CONCATENATE("Table!",ADDRESS(#REF!,MATCH(E$1,INDIRECT("Table!A" &amp; $AF248):INDIRECT("Table!" &amp; $AI$253 &amp; $AF248),0))))/1024)</f>
        <v/>
      </c>
      <c r="F248" s="22" t="str">
        <f ca="1">IF(ISERROR(MATCH(F$1,INDIRECT("Table!A"&amp;$AF248):INDIRECT("Table!" &amp; $AI$253 &amp; $AF248),0)),"",INDIRECT(CONCATENATE("Table!",ADDRESS(#REF!,MATCH(F$1,INDIRECT("Table!A" &amp; $AF248):INDIRECT("Table!" &amp; $AI$253 &amp; $AF248),0))))/1024)</f>
        <v/>
      </c>
      <c r="G248" s="22" t="str">
        <f ca="1">IF(ISERROR(MATCH(G$1,INDIRECT("Table!A"&amp;$AF248):INDIRECT("Table!" &amp; $AI$253 &amp; $AF248),0)),"",INDIRECT(CONCATENATE("Table!",ADDRESS(#REF!,MATCH(G$1,INDIRECT("Table!A" &amp; $AF248):INDIRECT("Table!" &amp; $AI$253 &amp; $AF248),0))))/1024)</f>
        <v/>
      </c>
      <c r="H248" s="22" t="str">
        <f ca="1">IF(ISERROR(MATCH(H$1,INDIRECT("Table!A"&amp;$AF248):INDIRECT("Table!" &amp; $AI$253 &amp; $AF248),0)),"",INDIRECT(CONCATENATE("Table!",ADDRESS(#REF!,MATCH(H$1,INDIRECT("Table!A" &amp; $AF248):INDIRECT("Table!" &amp; $AI$253 &amp; $AF248),0))))/1024)</f>
        <v/>
      </c>
      <c r="K248" s="22" t="str">
        <f ca="1">IF(ISERROR(MATCH(L$1,INDIRECT("Table!A"&amp;$AF248):INDIRECT("Table!" &amp; $AI$253 &amp; $AF248),0)),"",INDIRECT(CONCATENATE("Table!",ADDRESS(#REF!,MATCH(L$1,INDIRECT("Table!A" &amp; $AF248):INDIRECT("Table!" &amp; $AI$253 &amp; $AF248),0))))/1024)</f>
        <v/>
      </c>
      <c r="L248" s="22" t="str">
        <f ca="1">IF(ISERROR(MATCH(M$1,INDIRECT("Table!A"&amp;$AF248):INDIRECT("Table!" &amp; $AI$253 &amp; $AF248),0)),"",INDIRECT(CONCATENATE("Table!",ADDRESS(#REF!,MATCH(M$1,INDIRECT("Table!A" &amp; $AF248):INDIRECT("Table!" &amp; $AI$253 &amp; $AF248),0))))/1024)</f>
        <v/>
      </c>
      <c r="M248" s="22" t="str">
        <f ca="1">IF(ISERROR(MATCH(N$1,INDIRECT("Table!A"&amp;$AF248):INDIRECT("Table!" &amp; $AI$253 &amp; $AF248),0)),"",INDIRECT(CONCATENATE("Table!",ADDRESS(#REF!,MATCH(N$1,INDIRECT("Table!A" &amp; $AF248):INDIRECT("Table!" &amp; $AI$253 &amp; $AF248),0))))/1024)</f>
        <v/>
      </c>
      <c r="N248" s="22" t="str">
        <f ca="1">IF(ISERROR(MATCH(O$1,INDIRECT("Table!A"&amp;$AF248):INDIRECT("Table!" &amp; $AI$253 &amp; $AF248),0)),"",INDIRECT(CONCATENATE("Table!",ADDRESS(#REF!,MATCH(O$1,INDIRECT("Table!A" &amp; $AF248):INDIRECT("Table!" &amp; $AI$253 &amp; $AF248),0))))/1024)</f>
        <v/>
      </c>
      <c r="O248" s="22"/>
      <c r="P248" s="272"/>
      <c r="Q248" s="22"/>
      <c r="R248" s="75"/>
      <c r="T248" s="595"/>
      <c r="U248" s="75"/>
      <c r="AD248" s="75"/>
      <c r="AE248" s="75"/>
      <c r="AF248" s="22"/>
      <c r="AG248" s="75"/>
      <c r="AH248" s="75"/>
      <c r="AI248" s="75"/>
    </row>
    <row r="249" spans="2:35" x14ac:dyDescent="0.25">
      <c r="B249" s="22" t="str">
        <f ca="1">IF(ISERROR(MATCH(B$1,INDIRECT("Table!A"&amp;$AF249):INDIRECT("Table!" &amp; $AI$253 &amp; $AF249),0)),"",INDIRECT(CONCATENATE("Table!",ADDRESS(#REF!,MATCH(B$1,INDIRECT("Table!A" &amp; $AF249):INDIRECT("Table!" &amp; $AI$253 &amp; $AF249),0))))/1024)</f>
        <v/>
      </c>
      <c r="C249" s="22" t="str">
        <f ca="1">IF(ISERROR(MATCH(C$1,INDIRECT("Table!A"&amp;$AF249):INDIRECT("Table!" &amp; $AI$253 &amp; $AF249),0)),"",INDIRECT(CONCATENATE("Table!",ADDRESS(#REF!,MATCH(C$1,INDIRECT("Table!A" &amp; $AF249):INDIRECT("Table!" &amp; $AI$253 &amp; $AF249),0))))/1024)</f>
        <v/>
      </c>
      <c r="D249" s="22" t="str">
        <f ca="1">IF(ISERROR(MATCH(D$1,INDIRECT("Table!A"&amp;$AF249):INDIRECT("Table!" &amp; $AI$253 &amp; $AF249),0)),"",INDIRECT(CONCATENATE("Table!",ADDRESS(#REF!,MATCH(D$1,INDIRECT("Table!A" &amp; $AF249):INDIRECT("Table!" &amp; $AI$253 &amp; $AF249),0))))/1024)</f>
        <v/>
      </c>
      <c r="E249" s="22" t="str">
        <f ca="1">IF(ISERROR(MATCH(E$1,INDIRECT("Table!A"&amp;$AF249):INDIRECT("Table!" &amp; $AI$253 &amp; $AF249),0)),"",INDIRECT(CONCATENATE("Table!",ADDRESS(#REF!,MATCH(E$1,INDIRECT("Table!A" &amp; $AF249):INDIRECT("Table!" &amp; $AI$253 &amp; $AF249),0))))/1024)</f>
        <v/>
      </c>
      <c r="F249" s="22" t="str">
        <f ca="1">IF(ISERROR(MATCH(F$1,INDIRECT("Table!A"&amp;$AF249):INDIRECT("Table!" &amp; $AI$253 &amp; $AF249),0)),"",INDIRECT(CONCATENATE("Table!",ADDRESS(#REF!,MATCH(F$1,INDIRECT("Table!A" &amp; $AF249):INDIRECT("Table!" &amp; $AI$253 &amp; $AF249),0))))/1024)</f>
        <v/>
      </c>
      <c r="G249" s="22" t="str">
        <f ca="1">IF(ISERROR(MATCH(G$1,INDIRECT("Table!A"&amp;$AF249):INDIRECT("Table!" &amp; $AI$253 &amp; $AF249),0)),"",INDIRECT(CONCATENATE("Table!",ADDRESS(#REF!,MATCH(G$1,INDIRECT("Table!A" &amp; $AF249):INDIRECT("Table!" &amp; $AI$253 &amp; $AF249),0))))/1024)</f>
        <v/>
      </c>
      <c r="H249" s="22" t="str">
        <f ca="1">IF(ISERROR(MATCH(H$1,INDIRECT("Table!A"&amp;$AF249):INDIRECT("Table!" &amp; $AI$253 &amp; $AF249),0)),"",INDIRECT(CONCATENATE("Table!",ADDRESS(#REF!,MATCH(H$1,INDIRECT("Table!A" &amp; $AF249):INDIRECT("Table!" &amp; $AI$253 &amp; $AF249),0))))/1024)</f>
        <v/>
      </c>
      <c r="K249" s="22" t="str">
        <f ca="1">IF(ISERROR(MATCH(L$1,INDIRECT("Table!A"&amp;$AF249):INDIRECT("Table!" &amp; $AI$253 &amp; $AF249),0)),"",INDIRECT(CONCATENATE("Table!",ADDRESS(#REF!,MATCH(L$1,INDIRECT("Table!A" &amp; $AF249):INDIRECT("Table!" &amp; $AI$253 &amp; $AF249),0))))/1024)</f>
        <v/>
      </c>
      <c r="L249" s="22" t="str">
        <f ca="1">IF(ISERROR(MATCH(M$1,INDIRECT("Table!A"&amp;$AF249):INDIRECT("Table!" &amp; $AI$253 &amp; $AF249),0)),"",INDIRECT(CONCATENATE("Table!",ADDRESS(#REF!,MATCH(M$1,INDIRECT("Table!A" &amp; $AF249):INDIRECT("Table!" &amp; $AI$253 &amp; $AF249),0))))/1024)</f>
        <v/>
      </c>
      <c r="M249" s="22" t="str">
        <f ca="1">IF(ISERROR(MATCH(N$1,INDIRECT("Table!A"&amp;$AF249):INDIRECT("Table!" &amp; $AI$253 &amp; $AF249),0)),"",INDIRECT(CONCATENATE("Table!",ADDRESS(#REF!,MATCH(N$1,INDIRECT("Table!A" &amp; $AF249):INDIRECT("Table!" &amp; $AI$253 &amp; $AF249),0))))/1024)</f>
        <v/>
      </c>
      <c r="N249" s="22" t="str">
        <f ca="1">IF(ISERROR(MATCH(O$1,INDIRECT("Table!A"&amp;$AF249):INDIRECT("Table!" &amp; $AI$253 &amp; $AF249),0)),"",INDIRECT(CONCATENATE("Table!",ADDRESS(#REF!,MATCH(O$1,INDIRECT("Table!A" &amp; $AF249):INDIRECT("Table!" &amp; $AI$253 &amp; $AF249),0))))/1024)</f>
        <v/>
      </c>
      <c r="O249" s="22"/>
      <c r="P249" s="272"/>
      <c r="Q249" s="22"/>
      <c r="R249" s="74"/>
      <c r="T249" s="595"/>
      <c r="U249" s="74"/>
      <c r="AD249" s="74"/>
      <c r="AE249" s="74"/>
      <c r="AF249" s="22"/>
      <c r="AG249" s="74"/>
      <c r="AH249" s="74"/>
      <c r="AI249" s="74"/>
    </row>
    <row r="250" spans="2:35" x14ac:dyDescent="0.25">
      <c r="B250" s="22" t="str">
        <f ca="1">IF(ISERROR(MATCH(B$1,INDIRECT("Table!A"&amp;$AF250):INDIRECT("Table!" &amp; $AI$253 &amp; $AF250),0)),"",INDIRECT(CONCATENATE("Table!",ADDRESS(#REF!,MATCH(B$1,INDIRECT("Table!A" &amp; $AF250):INDIRECT("Table!" &amp; $AI$253 &amp; $AF250),0))))/1024)</f>
        <v/>
      </c>
      <c r="C250" s="22" t="str">
        <f ca="1">IF(ISERROR(MATCH(C$1,INDIRECT("Table!A"&amp;$AF250):INDIRECT("Table!" &amp; $AI$253 &amp; $AF250),0)),"",INDIRECT(CONCATENATE("Table!",ADDRESS(#REF!,MATCH(C$1,INDIRECT("Table!A" &amp; $AF250):INDIRECT("Table!" &amp; $AI$253 &amp; $AF250),0))))/1024)</f>
        <v/>
      </c>
      <c r="D250" s="22" t="str">
        <f ca="1">IF(ISERROR(MATCH(D$1,INDIRECT("Table!A"&amp;$AF250):INDIRECT("Table!" &amp; $AI$253 &amp; $AF250),0)),"",INDIRECT(CONCATENATE("Table!",ADDRESS(#REF!,MATCH(D$1,INDIRECT("Table!A" &amp; $AF250):INDIRECT("Table!" &amp; $AI$253 &amp; $AF250),0))))/1024)</f>
        <v/>
      </c>
      <c r="E250" s="22" t="str">
        <f ca="1">IF(ISERROR(MATCH(E$1,INDIRECT("Table!A"&amp;$AF250):INDIRECT("Table!" &amp; $AI$253 &amp; $AF250),0)),"",INDIRECT(CONCATENATE("Table!",ADDRESS(#REF!,MATCH(E$1,INDIRECT("Table!A" &amp; $AF250):INDIRECT("Table!" &amp; $AI$253 &amp; $AF250),0))))/1024)</f>
        <v/>
      </c>
      <c r="F250" s="22" t="str">
        <f ca="1">IF(ISERROR(MATCH(F$1,INDIRECT("Table!A"&amp;$AF250):INDIRECT("Table!" &amp; $AI$253 &amp; $AF250),0)),"",INDIRECT(CONCATENATE("Table!",ADDRESS(#REF!,MATCH(F$1,INDIRECT("Table!A" &amp; $AF250):INDIRECT("Table!" &amp; $AI$253 &amp; $AF250),0))))/1024)</f>
        <v/>
      </c>
      <c r="G250" s="22" t="str">
        <f ca="1">IF(ISERROR(MATCH(G$1,INDIRECT("Table!A"&amp;$AF250):INDIRECT("Table!" &amp; $AI$253 &amp; $AF250),0)),"",INDIRECT(CONCATENATE("Table!",ADDRESS(#REF!,MATCH(G$1,INDIRECT("Table!A" &amp; $AF250):INDIRECT("Table!" &amp; $AI$253 &amp; $AF250),0))))/1024)</f>
        <v/>
      </c>
      <c r="H250" s="22" t="str">
        <f ca="1">IF(ISERROR(MATCH(H$1,INDIRECT("Table!A"&amp;$AF250):INDIRECT("Table!" &amp; $AI$253 &amp; $AF250),0)),"",INDIRECT(CONCATENATE("Table!",ADDRESS(#REF!,MATCH(H$1,INDIRECT("Table!A" &amp; $AF250):INDIRECT("Table!" &amp; $AI$253 &amp; $AF250),0))))/1024)</f>
        <v/>
      </c>
      <c r="K250" s="22" t="str">
        <f ca="1">IF(ISERROR(MATCH(L$1,INDIRECT("Table!A"&amp;$AF250):INDIRECT("Table!" &amp; $AI$253 &amp; $AF250),0)),"",INDIRECT(CONCATENATE("Table!",ADDRESS(#REF!,MATCH(L$1,INDIRECT("Table!A" &amp; $AF250):INDIRECT("Table!" &amp; $AI$253 &amp; $AF250),0))))/1024)</f>
        <v/>
      </c>
      <c r="L250" s="22" t="str">
        <f ca="1">IF(ISERROR(MATCH(M$1,INDIRECT("Table!A"&amp;$AF250):INDIRECT("Table!" &amp; $AI$253 &amp; $AF250),0)),"",INDIRECT(CONCATENATE("Table!",ADDRESS(#REF!,MATCH(M$1,INDIRECT("Table!A" &amp; $AF250):INDIRECT("Table!" &amp; $AI$253 &amp; $AF250),0))))/1024)</f>
        <v/>
      </c>
      <c r="M250" s="22" t="str">
        <f ca="1">IF(ISERROR(MATCH(N$1,INDIRECT("Table!A"&amp;$AF250):INDIRECT("Table!" &amp; $AI$253 &amp; $AF250),0)),"",INDIRECT(CONCATENATE("Table!",ADDRESS(#REF!,MATCH(N$1,INDIRECT("Table!A" &amp; $AF250):INDIRECT("Table!" &amp; $AI$253 &amp; $AF250),0))))/1024)</f>
        <v/>
      </c>
      <c r="N250" s="22" t="str">
        <f ca="1">IF(ISERROR(MATCH(O$1,INDIRECT("Table!A"&amp;$AF250):INDIRECT("Table!" &amp; $AI$253 &amp; $AF250),0)),"",INDIRECT(CONCATENATE("Table!",ADDRESS(#REF!,MATCH(O$1,INDIRECT("Table!A" &amp; $AF250):INDIRECT("Table!" &amp; $AI$253 &amp; $AF250),0))))/1024)</f>
        <v/>
      </c>
      <c r="O250" s="22"/>
      <c r="P250" s="272"/>
      <c r="Q250" s="22"/>
      <c r="R250" s="73"/>
      <c r="T250" s="595"/>
      <c r="U250" s="73"/>
      <c r="AD250" s="73"/>
      <c r="AE250" s="73"/>
      <c r="AF250" s="22"/>
      <c r="AG250" s="73"/>
      <c r="AH250" s="73"/>
      <c r="AI250" s="73"/>
    </row>
    <row r="251" spans="2:35" x14ac:dyDescent="0.25">
      <c r="B251" s="22" t="str">
        <f ca="1">IF(ISERROR(MATCH(B$1,INDIRECT("Table!A"&amp;$AF251):INDIRECT("Table!" &amp; $AI$253 &amp; $AF251),0)),"",INDIRECT(CONCATENATE("Table!",ADDRESS(#REF!,MATCH(B$1,INDIRECT("Table!A" &amp; $AF251):INDIRECT("Table!" &amp; $AI$253 &amp; $AF251),0))))/1024)</f>
        <v/>
      </c>
      <c r="C251" s="22" t="str">
        <f ca="1">IF(ISERROR(MATCH(C$1,INDIRECT("Table!A"&amp;$AF251):INDIRECT("Table!" &amp; $AI$253 &amp; $AF251),0)),"",INDIRECT(CONCATENATE("Table!",ADDRESS(#REF!,MATCH(C$1,INDIRECT("Table!A" &amp; $AF251):INDIRECT("Table!" &amp; $AI$253 &amp; $AF251),0))))/1024)</f>
        <v/>
      </c>
      <c r="D251" s="22" t="str">
        <f ca="1">IF(ISERROR(MATCH(D$1,INDIRECT("Table!A"&amp;$AF251):INDIRECT("Table!" &amp; $AI$253 &amp; $AF251),0)),"",INDIRECT(CONCATENATE("Table!",ADDRESS(#REF!,MATCH(D$1,INDIRECT("Table!A" &amp; $AF251):INDIRECT("Table!" &amp; $AI$253 &amp; $AF251),0))))/1024)</f>
        <v/>
      </c>
      <c r="E251" s="22" t="str">
        <f ca="1">IF(ISERROR(MATCH(E$1,INDIRECT("Table!A"&amp;$AF251):INDIRECT("Table!" &amp; $AI$253 &amp; $AF251),0)),"",INDIRECT(CONCATENATE("Table!",ADDRESS(#REF!,MATCH(E$1,INDIRECT("Table!A" &amp; $AF251):INDIRECT("Table!" &amp; $AI$253 &amp; $AF251),0))))/1024)</f>
        <v/>
      </c>
      <c r="F251" s="22" t="str">
        <f ca="1">IF(ISERROR(MATCH(F$1,INDIRECT("Table!A"&amp;$AF251):INDIRECT("Table!" &amp; $AI$253 &amp; $AF251),0)),"",INDIRECT(CONCATENATE("Table!",ADDRESS(#REF!,MATCH(F$1,INDIRECT("Table!A" &amp; $AF251):INDIRECT("Table!" &amp; $AI$253 &amp; $AF251),0))))/1024)</f>
        <v/>
      </c>
      <c r="G251" s="22" t="str">
        <f ca="1">IF(ISERROR(MATCH(G$1,INDIRECT("Table!A"&amp;$AF251):INDIRECT("Table!" &amp; $AI$253 &amp; $AF251),0)),"",INDIRECT(CONCATENATE("Table!",ADDRESS(#REF!,MATCH(G$1,INDIRECT("Table!A" &amp; $AF251):INDIRECT("Table!" &amp; $AI$253 &amp; $AF251),0))))/1024)</f>
        <v/>
      </c>
      <c r="H251" s="22" t="str">
        <f ca="1">IF(ISERROR(MATCH(H$1,INDIRECT("Table!A"&amp;$AF251):INDIRECT("Table!" &amp; $AI$253 &amp; $AF251),0)),"",INDIRECT(CONCATENATE("Table!",ADDRESS(#REF!,MATCH(H$1,INDIRECT("Table!A" &amp; $AF251):INDIRECT("Table!" &amp; $AI$253 &amp; $AF251),0))))/1024)</f>
        <v/>
      </c>
      <c r="K251" s="22" t="str">
        <f ca="1">IF(ISERROR(MATCH(L$1,INDIRECT("Table!A"&amp;$AF251):INDIRECT("Table!" &amp; $AI$253 &amp; $AF251),0)),"",INDIRECT(CONCATENATE("Table!",ADDRESS(#REF!,MATCH(L$1,INDIRECT("Table!A" &amp; $AF251):INDIRECT("Table!" &amp; $AI$253 &amp; $AF251),0))))/1024)</f>
        <v/>
      </c>
      <c r="L251" s="22" t="str">
        <f ca="1">IF(ISERROR(MATCH(M$1,INDIRECT("Table!A"&amp;$AF251):INDIRECT("Table!" &amp; $AI$253 &amp; $AF251),0)),"",INDIRECT(CONCATENATE("Table!",ADDRESS(#REF!,MATCH(M$1,INDIRECT("Table!A" &amp; $AF251):INDIRECT("Table!" &amp; $AI$253 &amp; $AF251),0))))/1024)</f>
        <v/>
      </c>
      <c r="M251" s="22" t="str">
        <f ca="1">IF(ISERROR(MATCH(N$1,INDIRECT("Table!A"&amp;$AF251):INDIRECT("Table!" &amp; $AI$253 &amp; $AF251),0)),"",INDIRECT(CONCATENATE("Table!",ADDRESS(#REF!,MATCH(N$1,INDIRECT("Table!A" &amp; $AF251):INDIRECT("Table!" &amp; $AI$253 &amp; $AF251),0))))/1024)</f>
        <v/>
      </c>
      <c r="N251" s="22" t="str">
        <f ca="1">IF(ISERROR(MATCH(O$1,INDIRECT("Table!A"&amp;$AF251):INDIRECT("Table!" &amp; $AI$253 &amp; $AF251),0)),"",INDIRECT(CONCATENATE("Table!",ADDRESS(#REF!,MATCH(O$1,INDIRECT("Table!A" &amp; $AF251):INDIRECT("Table!" &amp; $AI$253 &amp; $AF251),0))))/1024)</f>
        <v/>
      </c>
      <c r="O251" s="22"/>
      <c r="P251" s="272"/>
      <c r="Q251" s="22"/>
      <c r="R251" s="72"/>
      <c r="T251" s="595"/>
      <c r="U251" s="72"/>
      <c r="AD251" s="72"/>
      <c r="AE251" s="72"/>
      <c r="AF251" s="22"/>
      <c r="AG251" s="72"/>
      <c r="AH251" s="72"/>
      <c r="AI251" s="72"/>
    </row>
    <row r="252" spans="2:35" x14ac:dyDescent="0.25">
      <c r="B252" s="22" t="str">
        <f ca="1">IF(ISERROR(MATCH(B$1,INDIRECT("Table!A"&amp;$AF252):INDIRECT("Table!" &amp; $AI$253 &amp; $AF252),0)),"",INDIRECT(CONCATENATE("Table!",ADDRESS(#REF!,MATCH(B$1,INDIRECT("Table!A" &amp; $AF252):INDIRECT("Table!" &amp; $AI$253 &amp; $AF252),0))))/1024)</f>
        <v/>
      </c>
      <c r="C252" s="22" t="str">
        <f ca="1">IF(ISERROR(MATCH(C$1,INDIRECT("Table!A"&amp;$AF252):INDIRECT("Table!" &amp; $AI$253 &amp; $AF252),0)),"",INDIRECT(CONCATENATE("Table!",ADDRESS(#REF!,MATCH(C$1,INDIRECT("Table!A" &amp; $AF252):INDIRECT("Table!" &amp; $AI$253 &amp; $AF252),0))))/1024)</f>
        <v/>
      </c>
      <c r="D252" s="22" t="str">
        <f ca="1">IF(ISERROR(MATCH(D$1,INDIRECT("Table!A"&amp;$AF252):INDIRECT("Table!" &amp; $AI$253 &amp; $AF252),0)),"",INDIRECT(CONCATENATE("Table!",ADDRESS(#REF!,MATCH(D$1,INDIRECT("Table!A" &amp; $AF252):INDIRECT("Table!" &amp; $AI$253 &amp; $AF252),0))))/1024)</f>
        <v/>
      </c>
      <c r="E252" s="22" t="str">
        <f ca="1">IF(ISERROR(MATCH(E$1,INDIRECT("Table!A"&amp;$AF252):INDIRECT("Table!" &amp; $AI$253 &amp; $AF252),0)),"",INDIRECT(CONCATENATE("Table!",ADDRESS(#REF!,MATCH(E$1,INDIRECT("Table!A" &amp; $AF252):INDIRECT("Table!" &amp; $AI$253 &amp; $AF252),0))))/1024)</f>
        <v/>
      </c>
      <c r="F252" s="22" t="str">
        <f ca="1">IF(ISERROR(MATCH(F$1,INDIRECT("Table!A"&amp;$AF252):INDIRECT("Table!" &amp; $AI$253 &amp; $AF252),0)),"",INDIRECT(CONCATENATE("Table!",ADDRESS(#REF!,MATCH(F$1,INDIRECT("Table!A" &amp; $AF252):INDIRECT("Table!" &amp; $AI$253 &amp; $AF252),0))))/1024)</f>
        <v/>
      </c>
      <c r="G252" s="22" t="str">
        <f ca="1">IF(ISERROR(MATCH(G$1,INDIRECT("Table!A"&amp;$AF252):INDIRECT("Table!" &amp; $AI$253 &amp; $AF252),0)),"",INDIRECT(CONCATENATE("Table!",ADDRESS(#REF!,MATCH(G$1,INDIRECT("Table!A" &amp; $AF252):INDIRECT("Table!" &amp; $AI$253 &amp; $AF252),0))))/1024)</f>
        <v/>
      </c>
      <c r="H252" s="22" t="str">
        <f ca="1">IF(ISERROR(MATCH(H$1,INDIRECT("Table!A"&amp;$AF252):INDIRECT("Table!" &amp; $AI$253 &amp; $AF252),0)),"",INDIRECT(CONCATENATE("Table!",ADDRESS(#REF!,MATCH(H$1,INDIRECT("Table!A" &amp; $AF252):INDIRECT("Table!" &amp; $AI$253 &amp; $AF252),0))))/1024)</f>
        <v/>
      </c>
      <c r="K252" s="22" t="str">
        <f ca="1">IF(ISERROR(MATCH(L$1,INDIRECT("Table!A"&amp;$AF252):INDIRECT("Table!" &amp; $AI$253 &amp; $AF252),0)),"",INDIRECT(CONCATENATE("Table!",ADDRESS(#REF!,MATCH(L$1,INDIRECT("Table!A" &amp; $AF252):INDIRECT("Table!" &amp; $AI$253 &amp; $AF252),0))))/1024)</f>
        <v/>
      </c>
      <c r="L252" s="22" t="str">
        <f ca="1">IF(ISERROR(MATCH(M$1,INDIRECT("Table!A"&amp;$AF252):INDIRECT("Table!" &amp; $AI$253 &amp; $AF252),0)),"",INDIRECT(CONCATENATE("Table!",ADDRESS(#REF!,MATCH(M$1,INDIRECT("Table!A" &amp; $AF252):INDIRECT("Table!" &amp; $AI$253 &amp; $AF252),0))))/1024)</f>
        <v/>
      </c>
      <c r="M252" s="22" t="str">
        <f ca="1">IF(ISERROR(MATCH(N$1,INDIRECT("Table!A"&amp;$AF252):INDIRECT("Table!" &amp; $AI$253 &amp; $AF252),0)),"",INDIRECT(CONCATENATE("Table!",ADDRESS(#REF!,MATCH(N$1,INDIRECT("Table!A" &amp; $AF252):INDIRECT("Table!" &amp; $AI$253 &amp; $AF252),0))))/1024)</f>
        <v/>
      </c>
      <c r="N252" s="22" t="str">
        <f ca="1">IF(ISERROR(MATCH(O$1,INDIRECT("Table!A"&amp;$AF252):INDIRECT("Table!" &amp; $AI$253 &amp; $AF252),0)),"",INDIRECT(CONCATENATE("Table!",ADDRESS(#REF!,MATCH(O$1,INDIRECT("Table!A" &amp; $AF252):INDIRECT("Table!" &amp; $AI$253 &amp; $AF252),0))))/1024)</f>
        <v/>
      </c>
      <c r="O252" s="22"/>
      <c r="P252" s="272"/>
      <c r="Q252" s="22"/>
      <c r="R252" s="71"/>
      <c r="T252" s="595"/>
      <c r="U252" s="71"/>
      <c r="AD252" s="71"/>
      <c r="AE252" s="71"/>
      <c r="AF252" s="22"/>
      <c r="AG252" s="71"/>
      <c r="AH252" s="71"/>
      <c r="AI252" s="71"/>
    </row>
    <row r="253" spans="2:35" x14ac:dyDescent="0.25">
      <c r="B253" s="22" t="str">
        <f ca="1">IF(ISERROR(MATCH(B$1,INDIRECT("Table!A"&amp;$AF253):INDIRECT("Table!" &amp; $AI$253 &amp; $AF253),0)),"",INDIRECT(CONCATENATE("Table!",ADDRESS(#REF!,MATCH(B$1,INDIRECT("Table!A" &amp; $AF253):INDIRECT("Table!" &amp; $AI$253 &amp; $AF253),0))))/1024)</f>
        <v/>
      </c>
      <c r="C253" s="22" t="str">
        <f ca="1">IF(ISERROR(MATCH(C$1,INDIRECT("Table!A"&amp;$AF253):INDIRECT("Table!" &amp; $AI$253 &amp; $AF253),0)),"",INDIRECT(CONCATENATE("Table!",ADDRESS(#REF!,MATCH(C$1,INDIRECT("Table!A" &amp; $AF253):INDIRECT("Table!" &amp; $AI$253 &amp; $AF253),0))))/1024)</f>
        <v/>
      </c>
      <c r="D253" s="22" t="str">
        <f ca="1">IF(ISERROR(MATCH(D$1,INDIRECT("Table!A"&amp;$AF253):INDIRECT("Table!" &amp; $AI$253 &amp; $AF253),0)),"",INDIRECT(CONCATENATE("Table!",ADDRESS(#REF!,MATCH(D$1,INDIRECT("Table!A" &amp; $AF253):INDIRECT("Table!" &amp; $AI$253 &amp; $AF253),0))))/1024)</f>
        <v/>
      </c>
      <c r="E253" s="22" t="str">
        <f ca="1">IF(ISERROR(MATCH(E$1,INDIRECT("Table!A"&amp;$AF253):INDIRECT("Table!" &amp; $AI$253 &amp; $AF253),0)),"",INDIRECT(CONCATENATE("Table!",ADDRESS(#REF!,MATCH(E$1,INDIRECT("Table!A" &amp; $AF253):INDIRECT("Table!" &amp; $AI$253 &amp; $AF253),0))))/1024)</f>
        <v/>
      </c>
      <c r="F253" s="22" t="str">
        <f ca="1">IF(ISERROR(MATCH(F$1,INDIRECT("Table!A"&amp;$AF253):INDIRECT("Table!" &amp; $AI$253 &amp; $AF253),0)),"",INDIRECT(CONCATENATE("Table!",ADDRESS(#REF!,MATCH(F$1,INDIRECT("Table!A" &amp; $AF253):INDIRECT("Table!" &amp; $AI$253 &amp; $AF253),0))))/1024)</f>
        <v/>
      </c>
      <c r="G253" s="22" t="str">
        <f ca="1">IF(ISERROR(MATCH(G$1,INDIRECT("Table!A"&amp;$AF253):INDIRECT("Table!" &amp; $AI$253 &amp; $AF253),0)),"",INDIRECT(CONCATENATE("Table!",ADDRESS(#REF!,MATCH(G$1,INDIRECT("Table!A" &amp; $AF253):INDIRECT("Table!" &amp; $AI$253 &amp; $AF253),0))))/1024)</f>
        <v/>
      </c>
      <c r="H253" s="22" t="str">
        <f ca="1">IF(ISERROR(MATCH(H$1,INDIRECT("Table!A"&amp;$AF253):INDIRECT("Table!" &amp; $AI$253 &amp; $AF253),0)),"",INDIRECT(CONCATENATE("Table!",ADDRESS(#REF!,MATCH(H$1,INDIRECT("Table!A" &amp; $AF253):INDIRECT("Table!" &amp; $AI$253 &amp; $AF253),0))))/1024)</f>
        <v/>
      </c>
      <c r="K253" s="22" t="str">
        <f ca="1">IF(ISERROR(MATCH(L$1,INDIRECT("Table!A"&amp;$AF253):INDIRECT("Table!" &amp; $AI$253 &amp; $AF253),0)),"",INDIRECT(CONCATENATE("Table!",ADDRESS(#REF!,MATCH(L$1,INDIRECT("Table!A" &amp; $AF253):INDIRECT("Table!" &amp; $AI$253 &amp; $AF253),0))))/1024)</f>
        <v/>
      </c>
      <c r="L253" s="22" t="str">
        <f ca="1">IF(ISERROR(MATCH(M$1,INDIRECT("Table!A"&amp;$AF253):INDIRECT("Table!" &amp; $AI$253 &amp; $AF253),0)),"",INDIRECT(CONCATENATE("Table!",ADDRESS(#REF!,MATCH(M$1,INDIRECT("Table!A" &amp; $AF253):INDIRECT("Table!" &amp; $AI$253 &amp; $AF253),0))))/1024)</f>
        <v/>
      </c>
      <c r="M253" s="22" t="str">
        <f ca="1">IF(ISERROR(MATCH(N$1,INDIRECT("Table!A"&amp;$AF253):INDIRECT("Table!" &amp; $AI$253 &amp; $AF253),0)),"",INDIRECT(CONCATENATE("Table!",ADDRESS(#REF!,MATCH(N$1,INDIRECT("Table!A" &amp; $AF253):INDIRECT("Table!" &amp; $AI$253 &amp; $AF253),0))))/1024)</f>
        <v/>
      </c>
      <c r="N253" s="22" t="str">
        <f ca="1">IF(ISERROR(MATCH(O$1,INDIRECT("Table!A"&amp;$AF253):INDIRECT("Table!" &amp; $AI$253 &amp; $AF253),0)),"",INDIRECT(CONCATENATE("Table!",ADDRESS(#REF!,MATCH(O$1,INDIRECT("Table!A" &amp; $AF253):INDIRECT("Table!" &amp; $AI$253 &amp; $AF253),0))))/1024)</f>
        <v/>
      </c>
      <c r="O253" s="22"/>
      <c r="P253" s="272"/>
      <c r="Q253" s="22"/>
      <c r="R253" s="30"/>
      <c r="T253" s="595"/>
      <c r="U253" s="30"/>
      <c r="AD253" s="30"/>
      <c r="AE253" s="30"/>
      <c r="AF253" s="22"/>
      <c r="AG253" s="30"/>
      <c r="AH253" s="30"/>
      <c r="AI253" s="30"/>
    </row>
    <row r="254" spans="2:35" x14ac:dyDescent="0.25">
      <c r="N254" s="22"/>
      <c r="O254" s="22"/>
      <c r="P254" s="272"/>
      <c r="Q254" s="22"/>
      <c r="R254" s="64"/>
      <c r="T254" s="595"/>
      <c r="U254" s="64"/>
      <c r="AD254" s="64"/>
      <c r="AE254" s="64"/>
      <c r="AF254" s="22"/>
      <c r="AG254" s="64"/>
      <c r="AH254" s="64"/>
      <c r="AI254" s="64"/>
    </row>
    <row r="255" spans="2:35" x14ac:dyDescent="0.25">
      <c r="N255" s="22"/>
      <c r="O255" s="22"/>
      <c r="P255" s="272"/>
      <c r="Q255" s="22"/>
      <c r="R255" s="51"/>
      <c r="T255" s="595"/>
      <c r="U255" s="51"/>
      <c r="AD255" s="51"/>
      <c r="AE255" s="51"/>
      <c r="AF255" s="22"/>
      <c r="AG255" s="51"/>
      <c r="AH255" s="51"/>
      <c r="AI255" s="51"/>
    </row>
    <row r="256" spans="2:35" x14ac:dyDescent="0.25">
      <c r="N256" s="22"/>
      <c r="O256" s="22"/>
      <c r="P256" s="272"/>
      <c r="Q256" s="22"/>
      <c r="R256" s="50"/>
      <c r="T256" s="595"/>
      <c r="U256" s="50"/>
      <c r="AD256" s="50"/>
      <c r="AE256" s="50"/>
      <c r="AF256" s="22"/>
      <c r="AG256" s="50"/>
      <c r="AH256" s="50"/>
      <c r="AI256" s="50"/>
    </row>
    <row r="257" spans="14:35" x14ac:dyDescent="0.25">
      <c r="N257" s="22"/>
      <c r="O257" s="22"/>
      <c r="P257" s="272"/>
      <c r="Q257" s="22"/>
      <c r="R257" s="49"/>
      <c r="T257" s="595"/>
      <c r="U257" s="49"/>
      <c r="AD257" s="49"/>
      <c r="AE257" s="49"/>
      <c r="AF257" s="22"/>
      <c r="AG257" s="49"/>
      <c r="AH257" s="49"/>
      <c r="AI257" s="49"/>
    </row>
    <row r="258" spans="14:35" x14ac:dyDescent="0.25">
      <c r="N258" s="22"/>
      <c r="O258" s="22"/>
      <c r="P258" s="272"/>
      <c r="Q258" s="22"/>
      <c r="R258" s="48"/>
      <c r="T258" s="595"/>
      <c r="U258" s="48"/>
      <c r="AD258" s="48"/>
      <c r="AE258" s="48"/>
      <c r="AF258" s="22"/>
      <c r="AG258" s="48"/>
      <c r="AH258" s="48"/>
      <c r="AI258" s="48"/>
    </row>
    <row r="259" spans="14:35" x14ac:dyDescent="0.25">
      <c r="N259" s="22"/>
      <c r="O259" s="22"/>
      <c r="P259" s="272"/>
      <c r="Q259" s="22"/>
      <c r="R259" s="47"/>
      <c r="T259" s="595"/>
      <c r="U259" s="47"/>
      <c r="AD259" s="47"/>
      <c r="AE259" s="47"/>
      <c r="AF259" s="22"/>
      <c r="AG259" s="47"/>
      <c r="AH259" s="47"/>
      <c r="AI259" s="47"/>
    </row>
    <row r="260" spans="14:35" x14ac:dyDescent="0.25">
      <c r="N260" s="22"/>
      <c r="O260" s="22"/>
      <c r="P260" s="272"/>
      <c r="Q260" s="22"/>
      <c r="R260" s="46"/>
      <c r="T260" s="595"/>
      <c r="U260" s="46"/>
      <c r="AD260" s="46"/>
      <c r="AE260" s="46"/>
      <c r="AF260" s="22"/>
      <c r="AG260" s="46"/>
      <c r="AH260" s="46"/>
      <c r="AI260" s="46"/>
    </row>
    <row r="261" spans="14:35" x14ac:dyDescent="0.25">
      <c r="N261" s="22"/>
      <c r="O261" s="22"/>
      <c r="P261" s="272"/>
      <c r="Q261" s="22"/>
      <c r="R261" s="45"/>
      <c r="T261" s="595"/>
      <c r="U261" s="45"/>
      <c r="AD261" s="45"/>
      <c r="AE261" s="45"/>
      <c r="AF261" s="22"/>
      <c r="AG261" s="45"/>
      <c r="AH261" s="45"/>
      <c r="AI261" s="45"/>
    </row>
    <row r="262" spans="14:35" x14ac:dyDescent="0.25">
      <c r="N262" s="22"/>
      <c r="O262" s="22"/>
      <c r="P262" s="272"/>
      <c r="Q262" s="22"/>
      <c r="R262" s="45"/>
      <c r="T262" s="595"/>
      <c r="U262" s="45"/>
      <c r="AD262" s="45"/>
      <c r="AE262" s="45"/>
      <c r="AF262" s="22"/>
      <c r="AG262" s="45"/>
      <c r="AH262" s="45"/>
      <c r="AI262" s="45"/>
    </row>
    <row r="263" spans="14:35" x14ac:dyDescent="0.25">
      <c r="N263" s="22"/>
      <c r="O263" s="22"/>
      <c r="P263" s="272"/>
      <c r="Q263" s="22"/>
      <c r="R263" s="44"/>
      <c r="T263" s="595"/>
      <c r="U263" s="44"/>
      <c r="AD263" s="44"/>
      <c r="AE263" s="44"/>
      <c r="AF263" s="22"/>
      <c r="AG263" s="44"/>
      <c r="AH263" s="44"/>
      <c r="AI263" s="44"/>
    </row>
    <row r="264" spans="14:35" x14ac:dyDescent="0.25">
      <c r="N264" s="22"/>
      <c r="O264" s="22"/>
      <c r="P264" s="272"/>
      <c r="Q264" s="22"/>
      <c r="R264" s="43"/>
      <c r="T264" s="595"/>
      <c r="U264" s="43"/>
      <c r="AD264" s="43"/>
      <c r="AE264" s="43"/>
      <c r="AF264" s="22"/>
      <c r="AG264" s="43"/>
      <c r="AH264" s="43"/>
      <c r="AI264" s="43"/>
    </row>
    <row r="265" spans="14:35" x14ac:dyDescent="0.25">
      <c r="N265" s="22"/>
      <c r="O265" s="22"/>
      <c r="P265" s="272"/>
      <c r="Q265" s="22"/>
      <c r="R265" s="43"/>
      <c r="T265" s="595"/>
      <c r="U265" s="43"/>
      <c r="AD265" s="43"/>
      <c r="AE265" s="43"/>
      <c r="AF265" s="22"/>
      <c r="AG265" s="43"/>
      <c r="AH265" s="43"/>
      <c r="AI265" s="43"/>
    </row>
    <row r="266" spans="14:35" x14ac:dyDescent="0.25">
      <c r="N266" s="22"/>
      <c r="O266" s="22"/>
      <c r="P266" s="272"/>
      <c r="Q266" s="22"/>
      <c r="R266" s="42"/>
      <c r="T266" s="595"/>
      <c r="U266" s="42"/>
      <c r="AD266" s="42"/>
      <c r="AE266" s="42"/>
      <c r="AF266" s="22"/>
      <c r="AG266" s="42"/>
      <c r="AH266" s="42"/>
      <c r="AI266" s="42"/>
    </row>
    <row r="267" spans="14:35" x14ac:dyDescent="0.25">
      <c r="N267" s="22"/>
      <c r="O267" s="22"/>
      <c r="P267" s="272"/>
      <c r="Q267" s="22"/>
      <c r="R267" s="41"/>
      <c r="T267" s="595"/>
      <c r="U267" s="41"/>
      <c r="AD267" s="41"/>
      <c r="AE267" s="41"/>
      <c r="AF267" s="22"/>
      <c r="AG267" s="41"/>
      <c r="AH267" s="41"/>
      <c r="AI267" s="41"/>
    </row>
    <row r="268" spans="14:35" x14ac:dyDescent="0.25">
      <c r="N268" s="22"/>
      <c r="O268" s="22"/>
      <c r="P268" s="272"/>
      <c r="Q268" s="22"/>
      <c r="R268" s="40"/>
      <c r="T268" s="595"/>
      <c r="U268" s="40"/>
      <c r="AD268" s="40"/>
      <c r="AE268" s="40"/>
      <c r="AF268" s="22"/>
      <c r="AG268" s="40"/>
      <c r="AH268" s="40"/>
      <c r="AI268" s="40"/>
    </row>
    <row r="269" spans="14:35" x14ac:dyDescent="0.25">
      <c r="N269" s="22"/>
      <c r="O269" s="22"/>
      <c r="P269" s="272"/>
      <c r="Q269" s="22"/>
      <c r="R269" s="39"/>
      <c r="T269" s="595"/>
      <c r="U269" s="39"/>
      <c r="AD269" s="39"/>
      <c r="AE269" s="39"/>
      <c r="AF269" s="22"/>
      <c r="AG269" s="39"/>
      <c r="AH269" s="39"/>
      <c r="AI269" s="39"/>
    </row>
    <row r="270" spans="14:35" x14ac:dyDescent="0.25">
      <c r="N270" s="22"/>
      <c r="O270" s="22"/>
      <c r="P270" s="272"/>
      <c r="Q270" s="22"/>
      <c r="R270" s="36"/>
      <c r="T270" s="595"/>
      <c r="U270" s="36"/>
      <c r="AD270" s="36"/>
      <c r="AE270" s="36"/>
      <c r="AF270" s="22"/>
      <c r="AG270" s="36"/>
      <c r="AH270" s="36"/>
      <c r="AI270" s="36"/>
    </row>
    <row r="271" spans="14:35" x14ac:dyDescent="0.25">
      <c r="N271" s="22"/>
      <c r="O271" s="22"/>
      <c r="P271" s="272"/>
      <c r="Q271" s="22"/>
      <c r="R271" s="33"/>
      <c r="T271" s="595"/>
      <c r="U271" s="33"/>
      <c r="AD271" s="33"/>
      <c r="AE271" s="33"/>
      <c r="AF271" s="22"/>
      <c r="AG271" s="33"/>
      <c r="AH271" s="33"/>
      <c r="AI271" s="33"/>
    </row>
    <row r="272" spans="14:35" x14ac:dyDescent="0.25">
      <c r="N272" s="22"/>
      <c r="O272" s="22"/>
      <c r="P272" s="272"/>
      <c r="Q272" s="22"/>
      <c r="R272" s="31"/>
      <c r="T272" s="595"/>
      <c r="U272" s="31"/>
      <c r="AD272" s="31"/>
      <c r="AE272" s="31"/>
      <c r="AF272" s="22"/>
      <c r="AG272" s="31"/>
      <c r="AH272" s="31"/>
      <c r="AI272" s="31"/>
    </row>
    <row r="273" spans="14:34" x14ac:dyDescent="0.25">
      <c r="N273" s="22"/>
      <c r="O273" s="22"/>
      <c r="P273" s="272"/>
      <c r="Q273" s="22"/>
      <c r="T273" s="595"/>
      <c r="AD273" s="27"/>
      <c r="AE273" s="27"/>
      <c r="AF273" s="22"/>
      <c r="AG273" s="27"/>
      <c r="AH273" s="27"/>
    </row>
    <row r="274" spans="14:34" x14ac:dyDescent="0.25">
      <c r="N274" s="22"/>
      <c r="O274" s="22"/>
      <c r="P274" s="272"/>
      <c r="Q274" s="22"/>
      <c r="T274" s="595"/>
      <c r="AD274" s="27"/>
      <c r="AE274" s="27"/>
      <c r="AF274" s="22"/>
      <c r="AG274" s="27"/>
      <c r="AH274" s="27"/>
    </row>
    <row r="275" spans="14:34" x14ac:dyDescent="0.25">
      <c r="N275" s="22"/>
      <c r="O275" s="22"/>
      <c r="P275" s="272"/>
      <c r="Q275" s="22"/>
      <c r="T275" s="595"/>
      <c r="AD275" s="27"/>
      <c r="AE275" s="27"/>
      <c r="AF275" s="22"/>
      <c r="AG275" s="27"/>
      <c r="AH275" s="27"/>
    </row>
    <row r="276" spans="14:34" x14ac:dyDescent="0.25">
      <c r="N276" s="22"/>
      <c r="O276" s="22"/>
      <c r="P276" s="272"/>
      <c r="Q276" s="22"/>
      <c r="T276" s="595"/>
      <c r="AD276" s="27"/>
      <c r="AE276" s="27"/>
      <c r="AF276" s="22"/>
      <c r="AG276" s="27"/>
      <c r="AH276" s="27"/>
    </row>
    <row r="277" spans="14:34" x14ac:dyDescent="0.25">
      <c r="N277" s="22"/>
      <c r="O277" s="22"/>
      <c r="P277" s="272"/>
      <c r="Q277" s="22"/>
      <c r="T277" s="595"/>
      <c r="AD277" s="27"/>
      <c r="AE277" s="27"/>
      <c r="AF277" s="22"/>
      <c r="AG277" s="27"/>
      <c r="AH277" s="27"/>
    </row>
    <row r="278" spans="14:34" x14ac:dyDescent="0.25">
      <c r="N278" s="22"/>
      <c r="O278" s="22"/>
      <c r="P278" s="272"/>
      <c r="Q278" s="22"/>
      <c r="T278" s="595"/>
      <c r="AD278" s="27"/>
      <c r="AE278" s="27"/>
      <c r="AF278" s="22"/>
      <c r="AG278" s="27"/>
      <c r="AH278" s="27"/>
    </row>
    <row r="279" spans="14:34" x14ac:dyDescent="0.25">
      <c r="N279" s="22"/>
      <c r="O279" s="22"/>
      <c r="P279" s="272"/>
      <c r="Q279" s="22"/>
      <c r="T279" s="595"/>
      <c r="AD279" s="27"/>
      <c r="AE279" s="27"/>
      <c r="AF279" s="22"/>
      <c r="AG279" s="27"/>
      <c r="AH279" s="27"/>
    </row>
    <row r="280" spans="14:34" x14ac:dyDescent="0.25">
      <c r="N280" s="22"/>
      <c r="O280" s="22"/>
      <c r="P280" s="272"/>
      <c r="Q280" s="22"/>
      <c r="T280" s="595"/>
      <c r="AD280" s="27"/>
      <c r="AE280" s="27"/>
      <c r="AF280" s="22"/>
      <c r="AG280" s="27"/>
      <c r="AH280" s="27"/>
    </row>
    <row r="281" spans="14:34" x14ac:dyDescent="0.25">
      <c r="N281" s="22"/>
      <c r="O281" s="22"/>
      <c r="P281" s="272"/>
      <c r="Q281" s="22"/>
      <c r="T281" s="595"/>
      <c r="AD281" s="27"/>
      <c r="AE281" s="27"/>
      <c r="AF281" s="22"/>
      <c r="AG281" s="27"/>
      <c r="AH281" s="27"/>
    </row>
    <row r="282" spans="14:34" x14ac:dyDescent="0.25">
      <c r="N282" s="22"/>
      <c r="O282" s="22"/>
      <c r="P282" s="272"/>
      <c r="Q282" s="22"/>
      <c r="T282" s="595"/>
      <c r="AD282" s="27"/>
      <c r="AE282" s="27"/>
      <c r="AF282" s="22"/>
      <c r="AG282" s="27"/>
      <c r="AH282" s="27"/>
    </row>
    <row r="283" spans="14:34" x14ac:dyDescent="0.25">
      <c r="N283" s="22"/>
      <c r="O283" s="22"/>
      <c r="P283" s="272"/>
      <c r="Q283" s="22"/>
      <c r="T283" s="595"/>
      <c r="AD283" s="27"/>
      <c r="AE283" s="27"/>
      <c r="AF283" s="22"/>
      <c r="AG283" s="27"/>
      <c r="AH283" s="27"/>
    </row>
    <row r="284" spans="14:34" x14ac:dyDescent="0.25">
      <c r="N284" s="22"/>
      <c r="O284" s="22"/>
      <c r="P284" s="272"/>
      <c r="Q284" s="22"/>
      <c r="T284" s="595"/>
      <c r="AE284" s="10"/>
      <c r="AF284" s="22"/>
    </row>
    <row r="285" spans="14:34" x14ac:dyDescent="0.25">
      <c r="N285" s="22"/>
      <c r="O285" s="22"/>
      <c r="P285" s="272"/>
      <c r="Q285" s="22"/>
      <c r="T285" s="595"/>
      <c r="AE285" s="10"/>
      <c r="AF285" s="22"/>
    </row>
    <row r="286" spans="14:34" x14ac:dyDescent="0.25">
      <c r="N286" s="22"/>
      <c r="O286" s="22"/>
      <c r="P286" s="272"/>
      <c r="Q286" s="22"/>
      <c r="T286" s="595"/>
      <c r="AE286" s="10"/>
      <c r="AF286" s="22"/>
    </row>
    <row r="287" spans="14:34" x14ac:dyDescent="0.25">
      <c r="N287" s="22"/>
      <c r="O287" s="22"/>
      <c r="P287" s="272"/>
      <c r="Q287" s="22"/>
      <c r="T287" s="595"/>
      <c r="AE287" s="10"/>
      <c r="AF287" s="22"/>
    </row>
    <row r="288" spans="14:34" x14ac:dyDescent="0.25">
      <c r="N288" s="22"/>
      <c r="O288" s="22"/>
      <c r="P288" s="272"/>
      <c r="Q288" s="22"/>
      <c r="T288" s="595"/>
      <c r="AE288" s="10"/>
      <c r="AF288" s="22"/>
    </row>
    <row r="289" spans="14:32" x14ac:dyDescent="0.25">
      <c r="N289" s="22"/>
      <c r="O289" s="22"/>
      <c r="P289" s="272"/>
      <c r="Q289" s="22"/>
      <c r="T289" s="595"/>
      <c r="AE289" s="10"/>
      <c r="AF289" s="22"/>
    </row>
    <row r="290" spans="14:32" x14ac:dyDescent="0.25">
      <c r="N290" s="22"/>
      <c r="O290" s="22"/>
      <c r="P290" s="272"/>
      <c r="Q290" s="22"/>
      <c r="T290" s="595"/>
      <c r="AE290" s="10"/>
      <c r="AF290" s="22"/>
    </row>
    <row r="291" spans="14:32" x14ac:dyDescent="0.25">
      <c r="N291" s="22"/>
      <c r="O291" s="22"/>
      <c r="P291" s="272"/>
      <c r="Q291" s="22"/>
      <c r="T291" s="595"/>
      <c r="AE291" s="10"/>
      <c r="AF291" s="22"/>
    </row>
    <row r="292" spans="14:32" x14ac:dyDescent="0.25">
      <c r="N292" s="22"/>
      <c r="O292" s="22"/>
      <c r="P292" s="272"/>
      <c r="Q292" s="22"/>
      <c r="T292" s="595"/>
      <c r="AE292" s="10"/>
      <c r="AF292" s="22"/>
    </row>
    <row r="293" spans="14:32" x14ac:dyDescent="0.25">
      <c r="N293" s="22"/>
      <c r="O293" s="22"/>
      <c r="P293" s="272"/>
      <c r="Q293" s="22"/>
      <c r="T293" s="595"/>
      <c r="AE293" s="10"/>
      <c r="AF293" s="22"/>
    </row>
    <row r="294" spans="14:32" x14ac:dyDescent="0.25">
      <c r="N294" s="22"/>
      <c r="O294" s="22"/>
      <c r="P294" s="272"/>
      <c r="Q294" s="22"/>
      <c r="T294" s="595"/>
      <c r="AE294" s="10"/>
      <c r="AF294" s="22"/>
    </row>
    <row r="295" spans="14:32" x14ac:dyDescent="0.25">
      <c r="N295" s="22"/>
      <c r="O295" s="22"/>
      <c r="P295" s="272"/>
      <c r="Q295" s="22"/>
      <c r="T295" s="595"/>
      <c r="AE295" s="10"/>
      <c r="AF295" s="22"/>
    </row>
    <row r="296" spans="14:32" x14ac:dyDescent="0.25">
      <c r="N296" s="22"/>
      <c r="O296" s="22"/>
      <c r="P296" s="272"/>
      <c r="Q296" s="22"/>
      <c r="T296" s="595"/>
      <c r="AE296" s="10"/>
      <c r="AF296" s="22"/>
    </row>
    <row r="297" spans="14:32" x14ac:dyDescent="0.25">
      <c r="N297" s="22"/>
      <c r="O297" s="22"/>
      <c r="P297" s="272"/>
      <c r="Q297" s="22"/>
      <c r="T297" s="595"/>
      <c r="AE297" s="10"/>
      <c r="AF297" s="22"/>
    </row>
    <row r="298" spans="14:32" x14ac:dyDescent="0.25">
      <c r="N298" s="22"/>
      <c r="O298" s="22"/>
      <c r="P298" s="272"/>
      <c r="Q298" s="22"/>
      <c r="T298" s="595"/>
      <c r="AE298" s="10"/>
      <c r="AF298" s="22"/>
    </row>
    <row r="299" spans="14:32" x14ac:dyDescent="0.25">
      <c r="N299" s="22"/>
      <c r="O299" s="22"/>
      <c r="P299" s="272"/>
      <c r="Q299" s="22"/>
      <c r="T299" s="595"/>
      <c r="AE299" s="10"/>
      <c r="AF299" s="22"/>
    </row>
    <row r="300" spans="14:32" x14ac:dyDescent="0.25">
      <c r="N300" s="22"/>
      <c r="O300" s="22"/>
      <c r="P300" s="272"/>
      <c r="Q300" s="22"/>
      <c r="T300" s="595"/>
      <c r="AE300" s="10"/>
      <c r="AF300" s="22"/>
    </row>
    <row r="301" spans="14:32" x14ac:dyDescent="0.25">
      <c r="N301" s="22"/>
      <c r="O301" s="22"/>
      <c r="P301" s="272"/>
      <c r="Q301" s="22"/>
      <c r="T301" s="595"/>
      <c r="AE301" s="10"/>
      <c r="AF301" s="22"/>
    </row>
    <row r="302" spans="14:32" x14ac:dyDescent="0.25">
      <c r="N302" s="22"/>
      <c r="O302" s="22"/>
      <c r="P302" s="272"/>
      <c r="Q302" s="22"/>
      <c r="T302" s="595"/>
      <c r="AE302" s="10"/>
      <c r="AF302" s="22"/>
    </row>
    <row r="303" spans="14:32" x14ac:dyDescent="0.25">
      <c r="N303" s="22"/>
      <c r="O303" s="22"/>
      <c r="P303" s="272"/>
      <c r="Q303" s="22"/>
      <c r="T303" s="595"/>
      <c r="AE303" s="10"/>
      <c r="AF303" s="22"/>
    </row>
    <row r="304" spans="14:32" x14ac:dyDescent="0.25">
      <c r="N304" s="22"/>
      <c r="O304" s="22"/>
      <c r="P304" s="272"/>
      <c r="Q304" s="22"/>
      <c r="T304" s="595"/>
      <c r="AE304" s="10"/>
      <c r="AF304" s="22"/>
    </row>
    <row r="305" spans="14:32" x14ac:dyDescent="0.25">
      <c r="N305" s="22"/>
      <c r="O305" s="22"/>
      <c r="P305" s="272"/>
      <c r="Q305" s="22"/>
      <c r="T305" s="595"/>
      <c r="AE305" s="10"/>
      <c r="AF305" s="22"/>
    </row>
    <row r="306" spans="14:32" x14ac:dyDescent="0.25">
      <c r="N306" s="22"/>
      <c r="O306" s="22"/>
      <c r="P306" s="272"/>
      <c r="Q306" s="22"/>
      <c r="T306" s="595"/>
      <c r="AE306" s="10"/>
      <c r="AF306" s="22"/>
    </row>
    <row r="307" spans="14:32" x14ac:dyDescent="0.25">
      <c r="N307" s="22"/>
      <c r="O307" s="22"/>
      <c r="P307" s="272"/>
      <c r="Q307" s="22"/>
      <c r="T307" s="595"/>
      <c r="AE307" s="10"/>
      <c r="AF307" s="22"/>
    </row>
    <row r="308" spans="14:32" x14ac:dyDescent="0.25">
      <c r="N308" s="22"/>
      <c r="O308" s="22"/>
      <c r="P308" s="272"/>
      <c r="Q308" s="22"/>
      <c r="T308" s="595"/>
      <c r="AE308" s="10"/>
      <c r="AF308" s="22"/>
    </row>
    <row r="309" spans="14:32" x14ac:dyDescent="0.25">
      <c r="N309" s="22"/>
      <c r="O309" s="22"/>
      <c r="P309" s="272"/>
      <c r="Q309" s="22"/>
      <c r="T309" s="595"/>
      <c r="AE309" s="10"/>
      <c r="AF309" s="22"/>
    </row>
    <row r="310" spans="14:32" x14ac:dyDescent="0.25">
      <c r="N310" s="22"/>
      <c r="O310" s="22"/>
      <c r="P310" s="272"/>
      <c r="Q310" s="22"/>
      <c r="T310" s="595"/>
      <c r="AE310" s="10"/>
      <c r="AF310" s="22"/>
    </row>
    <row r="311" spans="14:32" x14ac:dyDescent="0.25">
      <c r="N311" s="22"/>
      <c r="O311" s="22"/>
      <c r="P311" s="272"/>
      <c r="Q311" s="22"/>
      <c r="T311" s="595"/>
      <c r="AE311" s="10"/>
      <c r="AF311" s="22"/>
    </row>
    <row r="312" spans="14:32" x14ac:dyDescent="0.25">
      <c r="N312" s="22"/>
      <c r="O312" s="22"/>
      <c r="P312" s="272"/>
      <c r="Q312" s="22"/>
      <c r="T312" s="595"/>
      <c r="AE312" s="10"/>
      <c r="AF312" s="22"/>
    </row>
    <row r="313" spans="14:32" x14ac:dyDescent="0.25">
      <c r="N313" s="22"/>
      <c r="O313" s="22"/>
      <c r="P313" s="272"/>
      <c r="Q313" s="22"/>
      <c r="T313" s="595"/>
      <c r="AE313" s="10"/>
      <c r="AF313" s="22"/>
    </row>
    <row r="314" spans="14:32" x14ac:dyDescent="0.25">
      <c r="N314" s="22"/>
      <c r="O314" s="22"/>
      <c r="P314" s="272"/>
      <c r="Q314" s="22"/>
      <c r="T314" s="595"/>
      <c r="AE314" s="10"/>
      <c r="AF314" s="22"/>
    </row>
    <row r="315" spans="14:32" x14ac:dyDescent="0.25">
      <c r="N315" s="22"/>
      <c r="O315" s="22"/>
      <c r="P315" s="272"/>
      <c r="Q315" s="22"/>
      <c r="T315" s="595"/>
      <c r="AE315" s="10"/>
      <c r="AF315" s="22"/>
    </row>
    <row r="316" spans="14:32" x14ac:dyDescent="0.25">
      <c r="N316" s="22"/>
      <c r="O316" s="22"/>
      <c r="P316" s="272"/>
      <c r="Q316" s="22"/>
      <c r="T316" s="595"/>
      <c r="AE316" s="10"/>
      <c r="AF316" s="22"/>
    </row>
    <row r="317" spans="14:32" x14ac:dyDescent="0.25">
      <c r="N317" s="22"/>
      <c r="O317" s="22"/>
      <c r="P317" s="272"/>
      <c r="Q317" s="22"/>
      <c r="T317" s="595"/>
      <c r="AE317" s="10"/>
      <c r="AF317" s="22"/>
    </row>
    <row r="318" spans="14:32" x14ac:dyDescent="0.25">
      <c r="N318" s="22"/>
      <c r="O318" s="22"/>
      <c r="P318" s="272"/>
      <c r="Q318" s="22"/>
      <c r="T318" s="595"/>
      <c r="AE318" s="10"/>
      <c r="AF318" s="22"/>
    </row>
    <row r="319" spans="14:32" x14ac:dyDescent="0.25">
      <c r="N319" s="22"/>
      <c r="O319" s="22"/>
      <c r="P319" s="272"/>
      <c r="Q319" s="22"/>
      <c r="T319" s="595"/>
      <c r="AE319" s="10"/>
      <c r="AF319" s="22"/>
    </row>
    <row r="320" spans="14:32" x14ac:dyDescent="0.25">
      <c r="N320" s="22"/>
      <c r="O320" s="22"/>
      <c r="P320" s="272"/>
      <c r="Q320" s="22"/>
      <c r="T320" s="595"/>
      <c r="AE320" s="10"/>
      <c r="AF320" s="22"/>
    </row>
    <row r="321" spans="14:32" x14ac:dyDescent="0.25">
      <c r="N321" s="22"/>
      <c r="O321" s="22"/>
      <c r="P321" s="272"/>
      <c r="Q321" s="22"/>
      <c r="T321" s="595"/>
      <c r="AE321" s="10"/>
      <c r="AF321" s="22"/>
    </row>
    <row r="322" spans="14:32" x14ac:dyDescent="0.25">
      <c r="N322" s="22"/>
      <c r="O322" s="22"/>
      <c r="P322" s="272"/>
      <c r="Q322" s="22"/>
      <c r="T322" s="595"/>
      <c r="AE322" s="10"/>
      <c r="AF322" s="22"/>
    </row>
    <row r="323" spans="14:32" x14ac:dyDescent="0.25">
      <c r="N323" s="22"/>
      <c r="O323" s="22"/>
      <c r="P323" s="272"/>
      <c r="Q323" s="22"/>
      <c r="T323" s="595"/>
      <c r="AE323" s="10"/>
      <c r="AF323" s="22"/>
    </row>
    <row r="324" spans="14:32" x14ac:dyDescent="0.25">
      <c r="N324" s="22"/>
      <c r="O324" s="22"/>
      <c r="P324" s="272"/>
      <c r="Q324" s="22"/>
      <c r="T324" s="595"/>
      <c r="AE324" s="10"/>
      <c r="AF324" s="22"/>
    </row>
    <row r="325" spans="14:32" x14ac:dyDescent="0.25">
      <c r="N325" s="22"/>
      <c r="O325" s="22"/>
      <c r="P325" s="272"/>
      <c r="Q325" s="22"/>
      <c r="T325" s="595"/>
      <c r="AE325" s="10"/>
      <c r="AF325" s="22"/>
    </row>
    <row r="326" spans="14:32" x14ac:dyDescent="0.25">
      <c r="N326" s="22"/>
      <c r="O326" s="22"/>
      <c r="P326" s="272"/>
      <c r="Q326" s="22"/>
      <c r="T326" s="595"/>
      <c r="AE326" s="10"/>
      <c r="AF326" s="22"/>
    </row>
    <row r="327" spans="14:32" x14ac:dyDescent="0.25">
      <c r="N327" s="22"/>
      <c r="O327" s="22"/>
      <c r="P327" s="272"/>
      <c r="Q327" s="22"/>
      <c r="T327" s="595"/>
      <c r="AE327" s="10"/>
      <c r="AF327" s="22"/>
    </row>
    <row r="328" spans="14:32" x14ac:dyDescent="0.25">
      <c r="N328" s="22"/>
      <c r="O328" s="22"/>
      <c r="P328" s="272"/>
      <c r="Q328" s="22"/>
      <c r="T328" s="595"/>
      <c r="AE328" s="10"/>
      <c r="AF328" s="22"/>
    </row>
    <row r="329" spans="14:32" x14ac:dyDescent="0.25">
      <c r="N329" s="22"/>
      <c r="O329" s="22"/>
      <c r="P329" s="272"/>
      <c r="Q329" s="22"/>
      <c r="T329" s="595"/>
      <c r="AE329" s="10"/>
      <c r="AF329" s="22"/>
    </row>
    <row r="330" spans="14:32" x14ac:dyDescent="0.25">
      <c r="N330" s="22"/>
      <c r="O330" s="22"/>
      <c r="P330" s="272"/>
      <c r="Q330" s="22"/>
      <c r="T330" s="595"/>
      <c r="AE330" s="10"/>
      <c r="AF330" s="22"/>
    </row>
    <row r="331" spans="14:32" x14ac:dyDescent="0.25">
      <c r="N331" s="22"/>
      <c r="O331" s="22"/>
      <c r="P331" s="272"/>
      <c r="Q331" s="22"/>
      <c r="T331" s="595"/>
      <c r="AE331" s="10"/>
      <c r="AF331" s="22"/>
    </row>
    <row r="332" spans="14:32" x14ac:dyDescent="0.25">
      <c r="N332" s="22"/>
      <c r="O332" s="22"/>
      <c r="P332" s="272"/>
      <c r="Q332" s="22"/>
      <c r="T332" s="595"/>
      <c r="AE332" s="10"/>
      <c r="AF332" s="22"/>
    </row>
    <row r="333" spans="14:32" x14ac:dyDescent="0.25">
      <c r="N333" s="22"/>
      <c r="O333" s="22"/>
      <c r="P333" s="272"/>
      <c r="Q333" s="22"/>
      <c r="T333" s="595"/>
      <c r="AE333" s="10"/>
      <c r="AF333" s="22"/>
    </row>
    <row r="334" spans="14:32" x14ac:dyDescent="0.25">
      <c r="N334" s="22"/>
      <c r="O334" s="22"/>
      <c r="P334" s="272"/>
      <c r="Q334" s="22"/>
      <c r="T334" s="595"/>
      <c r="AE334" s="10"/>
      <c r="AF334" s="22"/>
    </row>
    <row r="335" spans="14:32" x14ac:dyDescent="0.25">
      <c r="N335" s="22"/>
      <c r="O335" s="22"/>
      <c r="P335" s="272"/>
      <c r="Q335" s="22"/>
      <c r="T335" s="595"/>
      <c r="AE335" s="10"/>
      <c r="AF335" s="22"/>
    </row>
    <row r="336" spans="14:32" x14ac:dyDescent="0.25">
      <c r="N336" s="22"/>
      <c r="O336" s="22"/>
      <c r="P336" s="272"/>
      <c r="Q336" s="22"/>
      <c r="T336" s="595"/>
      <c r="AE336" s="10"/>
      <c r="AF336" s="22"/>
    </row>
    <row r="337" spans="14:35" x14ac:dyDescent="0.25">
      <c r="N337" s="22"/>
      <c r="O337" s="22"/>
      <c r="P337" s="272"/>
      <c r="Q337" s="22"/>
      <c r="T337" s="595"/>
      <c r="AE337" s="10"/>
      <c r="AF337" s="22"/>
    </row>
    <row r="338" spans="14:35" x14ac:dyDescent="0.25">
      <c r="N338" s="22"/>
      <c r="O338" s="22"/>
      <c r="P338" s="272"/>
      <c r="Q338" s="22"/>
      <c r="T338" s="595"/>
      <c r="AE338" s="10"/>
      <c r="AF338" s="22"/>
    </row>
    <row r="339" spans="14:35" x14ac:dyDescent="0.25">
      <c r="N339" s="22"/>
      <c r="O339" s="22"/>
      <c r="P339" s="272"/>
      <c r="Q339" s="22"/>
      <c r="T339" s="595"/>
      <c r="AE339" s="10"/>
      <c r="AF339" s="22"/>
    </row>
    <row r="340" spans="14:35" x14ac:dyDescent="0.25">
      <c r="N340" s="22"/>
      <c r="O340" s="22"/>
      <c r="P340" s="272"/>
      <c r="Q340" s="22"/>
      <c r="T340" s="595"/>
      <c r="AE340" s="10"/>
      <c r="AF340" s="22"/>
    </row>
    <row r="341" spans="14:35" x14ac:dyDescent="0.25">
      <c r="N341" s="22"/>
      <c r="O341" s="22"/>
      <c r="P341" s="272"/>
      <c r="Q341" s="22"/>
      <c r="T341" s="595"/>
      <c r="AE341" s="10"/>
      <c r="AF341" s="22"/>
    </row>
    <row r="342" spans="14:35" x14ac:dyDescent="0.25">
      <c r="N342" s="22"/>
      <c r="O342" s="22"/>
      <c r="P342" s="272"/>
      <c r="Q342" s="22"/>
      <c r="T342" s="595"/>
      <c r="AE342" s="10"/>
      <c r="AF342" s="22"/>
    </row>
    <row r="343" spans="14:35" x14ac:dyDescent="0.25">
      <c r="N343" s="22"/>
      <c r="O343" s="22"/>
      <c r="P343" s="272"/>
      <c r="Q343" s="22"/>
      <c r="T343" s="595"/>
      <c r="AE343" s="10"/>
      <c r="AF343" s="22"/>
    </row>
    <row r="344" spans="14:35" x14ac:dyDescent="0.25">
      <c r="N344" s="22"/>
      <c r="O344" s="22"/>
      <c r="P344" s="272"/>
      <c r="Q344" s="22"/>
      <c r="T344" s="595"/>
      <c r="AE344" s="10"/>
      <c r="AF344" s="22"/>
    </row>
    <row r="345" spans="14:35" x14ac:dyDescent="0.25">
      <c r="N345" s="22"/>
      <c r="O345" s="22"/>
      <c r="P345" s="272"/>
      <c r="Q345" s="22"/>
      <c r="T345" s="595"/>
      <c r="AE345" s="10"/>
      <c r="AF345" s="22"/>
    </row>
    <row r="346" spans="14:35" x14ac:dyDescent="0.25">
      <c r="N346" s="22"/>
      <c r="O346" s="22"/>
      <c r="P346" s="272"/>
      <c r="Q346" s="22"/>
      <c r="T346" s="595"/>
      <c r="AE346" s="10"/>
      <c r="AF346" s="22"/>
    </row>
    <row r="347" spans="14:35" x14ac:dyDescent="0.25">
      <c r="N347" s="22"/>
      <c r="O347" s="22"/>
      <c r="P347" s="272"/>
      <c r="Q347" s="22"/>
      <c r="T347" s="595"/>
      <c r="AE347" s="10"/>
      <c r="AF347" s="22"/>
    </row>
    <row r="348" spans="14:35" x14ac:dyDescent="0.25">
      <c r="N348" s="22"/>
      <c r="O348" s="22"/>
      <c r="P348" s="272"/>
      <c r="Q348" s="22"/>
      <c r="T348" s="595"/>
      <c r="AE348" s="10"/>
      <c r="AF348" s="22"/>
    </row>
    <row r="349" spans="14:35" x14ac:dyDescent="0.25">
      <c r="N349" s="22"/>
      <c r="O349" s="22"/>
      <c r="P349" s="272"/>
      <c r="Q349" s="22"/>
      <c r="T349" s="595"/>
      <c r="AE349" s="10"/>
      <c r="AF349" s="22"/>
      <c r="AI349" s="29"/>
    </row>
    <row r="350" spans="14:35" x14ac:dyDescent="0.25">
      <c r="N350" s="22"/>
      <c r="O350" s="22"/>
      <c r="P350" s="272"/>
      <c r="Q350" s="22"/>
      <c r="T350" s="595"/>
      <c r="AE350" s="10"/>
      <c r="AF350" s="22"/>
      <c r="AI350" s="29"/>
    </row>
    <row r="351" spans="14:35" x14ac:dyDescent="0.25">
      <c r="N351" s="22"/>
      <c r="O351" s="22"/>
      <c r="P351" s="272"/>
      <c r="Q351" s="22"/>
      <c r="T351" s="595"/>
      <c r="AE351" s="10"/>
      <c r="AF351" s="22"/>
      <c r="AI351" s="29"/>
    </row>
    <row r="352" spans="14:35" x14ac:dyDescent="0.25">
      <c r="N352" s="22"/>
      <c r="O352" s="22"/>
      <c r="P352" s="272"/>
      <c r="Q352" s="22"/>
      <c r="T352" s="595"/>
      <c r="AE352" s="10"/>
      <c r="AF352" s="22"/>
      <c r="AI352" s="29"/>
    </row>
    <row r="353" spans="14:35" x14ac:dyDescent="0.25">
      <c r="N353" s="22"/>
      <c r="O353" s="22"/>
      <c r="P353" s="272"/>
      <c r="Q353" s="22"/>
      <c r="T353" s="595"/>
      <c r="AE353" s="10"/>
      <c r="AF353" s="22"/>
      <c r="AI353" s="29"/>
    </row>
    <row r="354" spans="14:35" x14ac:dyDescent="0.25">
      <c r="N354" s="22"/>
      <c r="O354" s="22"/>
      <c r="P354" s="272"/>
      <c r="Q354" s="22"/>
      <c r="T354" s="595"/>
      <c r="AE354" s="10"/>
      <c r="AF354" s="22"/>
      <c r="AI354" s="29"/>
    </row>
    <row r="355" spans="14:35" x14ac:dyDescent="0.25">
      <c r="N355" s="22"/>
      <c r="O355" s="22"/>
      <c r="P355" s="272"/>
      <c r="Q355" s="22"/>
      <c r="T355" s="595"/>
      <c r="AE355" s="10"/>
      <c r="AF355" s="22"/>
      <c r="AI355" s="29"/>
    </row>
    <row r="356" spans="14:35" x14ac:dyDescent="0.25">
      <c r="N356" s="22"/>
      <c r="O356" s="22"/>
      <c r="P356" s="272"/>
      <c r="Q356" s="22"/>
      <c r="T356" s="595"/>
      <c r="AE356" s="10"/>
      <c r="AF356" s="22"/>
      <c r="AI356" s="29"/>
    </row>
    <row r="357" spans="14:35" x14ac:dyDescent="0.25">
      <c r="N357" s="22"/>
      <c r="O357" s="22"/>
      <c r="P357" s="272"/>
      <c r="Q357" s="22"/>
      <c r="T357" s="595"/>
      <c r="AE357" s="10"/>
      <c r="AF357" s="22"/>
      <c r="AI357" s="29"/>
    </row>
    <row r="358" spans="14:35" x14ac:dyDescent="0.25">
      <c r="N358" s="22"/>
      <c r="O358" s="22"/>
      <c r="P358" s="272"/>
      <c r="Q358" s="22"/>
      <c r="T358" s="595"/>
      <c r="AE358" s="10"/>
      <c r="AF358" s="22"/>
      <c r="AI358" s="29"/>
    </row>
    <row r="359" spans="14:35" x14ac:dyDescent="0.25">
      <c r="N359" s="22"/>
      <c r="O359" s="22"/>
      <c r="P359" s="272"/>
      <c r="Q359" s="22"/>
      <c r="T359" s="595"/>
      <c r="AD359" s="10"/>
      <c r="AE359" s="10"/>
      <c r="AF359" s="10"/>
    </row>
    <row r="360" spans="14:35" x14ac:dyDescent="0.25">
      <c r="N360" s="22"/>
      <c r="O360" s="22"/>
      <c r="P360" s="272"/>
      <c r="Q360" s="22"/>
      <c r="T360" s="595"/>
      <c r="AD360" s="10"/>
      <c r="AE360" s="10"/>
      <c r="AF360" s="10"/>
    </row>
    <row r="361" spans="14:35" x14ac:dyDescent="0.25">
      <c r="N361" s="22"/>
      <c r="O361" s="22"/>
      <c r="P361" s="272"/>
      <c r="Q361" s="22"/>
      <c r="T361" s="595"/>
      <c r="AD361" s="10"/>
      <c r="AE361" s="10"/>
      <c r="AF361" s="10"/>
    </row>
    <row r="362" spans="14:35" x14ac:dyDescent="0.25">
      <c r="N362" s="22"/>
      <c r="O362" s="22"/>
      <c r="P362" s="272"/>
      <c r="Q362" s="22"/>
      <c r="T362" s="595"/>
      <c r="AD362" s="10"/>
      <c r="AE362" s="10"/>
      <c r="AF362" s="10"/>
    </row>
    <row r="363" spans="14:35" x14ac:dyDescent="0.25">
      <c r="N363" s="22"/>
      <c r="O363" s="22"/>
      <c r="P363" s="272"/>
      <c r="Q363" s="22"/>
      <c r="T363" s="595"/>
      <c r="AD363" s="10"/>
      <c r="AE363" s="10"/>
      <c r="AF363" s="10"/>
    </row>
    <row r="364" spans="14:35" x14ac:dyDescent="0.25">
      <c r="N364" s="22"/>
      <c r="O364" s="22"/>
      <c r="P364" s="272"/>
      <c r="Q364" s="22"/>
      <c r="T364" s="595"/>
      <c r="AD364" s="10"/>
      <c r="AE364" s="10"/>
      <c r="AF364" s="10"/>
    </row>
    <row r="365" spans="14:35" x14ac:dyDescent="0.25">
      <c r="N365" s="22"/>
      <c r="O365" s="22"/>
      <c r="P365" s="272"/>
      <c r="Q365" s="22"/>
      <c r="T365" s="595"/>
      <c r="AD365" s="10"/>
      <c r="AE365" s="10"/>
      <c r="AF365" s="10"/>
    </row>
    <row r="366" spans="14:35" x14ac:dyDescent="0.25">
      <c r="N366" s="22"/>
      <c r="O366" s="22"/>
      <c r="P366" s="272"/>
      <c r="Q366" s="22"/>
      <c r="T366" s="595"/>
      <c r="AD366" s="10"/>
      <c r="AE366" s="10"/>
      <c r="AF366" s="10"/>
    </row>
    <row r="367" spans="14:35" x14ac:dyDescent="0.25">
      <c r="N367" s="22"/>
      <c r="O367" s="22"/>
      <c r="P367" s="272"/>
      <c r="Q367" s="22"/>
      <c r="T367" s="595"/>
      <c r="AD367" s="10"/>
      <c r="AE367" s="10"/>
      <c r="AF367" s="10"/>
    </row>
    <row r="368" spans="14:35" x14ac:dyDescent="0.25">
      <c r="N368" s="22"/>
      <c r="O368" s="22"/>
      <c r="P368" s="272"/>
      <c r="Q368" s="22"/>
      <c r="T368" s="595"/>
      <c r="AD368" s="10"/>
      <c r="AE368" s="10"/>
      <c r="AF368" s="10"/>
    </row>
    <row r="369" spans="14:32" x14ac:dyDescent="0.25">
      <c r="N369" s="22"/>
      <c r="O369" s="22"/>
      <c r="P369" s="272"/>
      <c r="Q369" s="22"/>
      <c r="T369" s="595"/>
      <c r="AD369" s="10"/>
      <c r="AE369" s="10"/>
      <c r="AF369" s="10"/>
    </row>
    <row r="370" spans="14:32" x14ac:dyDescent="0.25">
      <c r="N370" s="22"/>
      <c r="O370" s="22"/>
      <c r="P370" s="272"/>
      <c r="Q370" s="22"/>
      <c r="T370" s="595"/>
      <c r="AD370" s="10"/>
      <c r="AE370" s="10"/>
      <c r="AF370" s="10"/>
    </row>
    <row r="371" spans="14:32" x14ac:dyDescent="0.25">
      <c r="N371" s="22"/>
      <c r="O371" s="22"/>
      <c r="P371" s="272"/>
      <c r="Q371" s="22"/>
      <c r="T371" s="595"/>
      <c r="AD371" s="10"/>
      <c r="AE371" s="10"/>
      <c r="AF371" s="10"/>
    </row>
    <row r="372" spans="14:32" x14ac:dyDescent="0.25">
      <c r="N372" s="22"/>
      <c r="O372" s="22"/>
      <c r="P372" s="272"/>
      <c r="Q372" s="22"/>
      <c r="T372" s="595"/>
      <c r="AD372" s="10"/>
      <c r="AE372" s="10"/>
      <c r="AF372" s="10"/>
    </row>
    <row r="373" spans="14:32" x14ac:dyDescent="0.25">
      <c r="N373" s="22"/>
      <c r="O373" s="22"/>
      <c r="P373" s="272"/>
      <c r="Q373" s="22"/>
      <c r="T373" s="595"/>
      <c r="AD373" s="10"/>
      <c r="AE373" s="10"/>
      <c r="AF373" s="10"/>
    </row>
    <row r="374" spans="14:32" x14ac:dyDescent="0.25">
      <c r="N374" s="22"/>
      <c r="O374" s="22"/>
      <c r="P374" s="272"/>
      <c r="Q374" s="22"/>
      <c r="T374" s="595"/>
      <c r="AD374" s="10"/>
      <c r="AE374" s="10"/>
      <c r="AF374" s="10"/>
    </row>
    <row r="375" spans="14:32" x14ac:dyDescent="0.25">
      <c r="N375" s="22"/>
      <c r="O375" s="22"/>
      <c r="P375" s="272"/>
      <c r="Q375" s="22"/>
      <c r="T375" s="595"/>
      <c r="AD375" s="10"/>
      <c r="AE375" s="10"/>
      <c r="AF375" s="10"/>
    </row>
    <row r="376" spans="14:32" x14ac:dyDescent="0.25">
      <c r="N376" s="22"/>
      <c r="O376" s="22"/>
      <c r="P376" s="272"/>
      <c r="Q376" s="22"/>
      <c r="T376" s="595"/>
      <c r="AD376" s="10"/>
      <c r="AE376" s="10"/>
      <c r="AF376" s="10"/>
    </row>
    <row r="377" spans="14:32" x14ac:dyDescent="0.25">
      <c r="N377" s="22"/>
      <c r="O377" s="22"/>
      <c r="P377" s="272"/>
      <c r="Q377" s="22"/>
      <c r="T377" s="595"/>
      <c r="AD377" s="10"/>
      <c r="AE377" s="10"/>
      <c r="AF377" s="10"/>
    </row>
    <row r="378" spans="14:32" x14ac:dyDescent="0.25">
      <c r="N378" s="22"/>
      <c r="O378" s="22"/>
      <c r="P378" s="272"/>
      <c r="Q378" s="22"/>
      <c r="T378" s="595"/>
      <c r="AD378" s="10"/>
      <c r="AE378" s="10"/>
      <c r="AF378" s="10"/>
    </row>
    <row r="379" spans="14:32" x14ac:dyDescent="0.25">
      <c r="N379" s="22"/>
      <c r="O379" s="22"/>
      <c r="P379" s="272"/>
      <c r="Q379" s="22"/>
      <c r="T379" s="595"/>
      <c r="AD379" s="10"/>
      <c r="AE379" s="10"/>
      <c r="AF379" s="10"/>
    </row>
    <row r="380" spans="14:32" x14ac:dyDescent="0.25">
      <c r="N380" s="22"/>
      <c r="O380" s="22"/>
      <c r="P380" s="272"/>
      <c r="Q380" s="22"/>
      <c r="T380" s="595"/>
      <c r="AD380" s="10"/>
      <c r="AE380" s="10"/>
      <c r="AF380" s="10"/>
    </row>
    <row r="381" spans="14:32" x14ac:dyDescent="0.25">
      <c r="N381" s="22"/>
      <c r="O381" s="22"/>
      <c r="P381" s="272"/>
      <c r="Q381" s="22"/>
      <c r="T381" s="595"/>
      <c r="AD381" s="10"/>
      <c r="AE381" s="10"/>
      <c r="AF381" s="10"/>
    </row>
    <row r="382" spans="14:32" x14ac:dyDescent="0.25">
      <c r="N382" s="22"/>
      <c r="O382" s="22"/>
      <c r="P382" s="272"/>
      <c r="Q382" s="22"/>
      <c r="T382" s="595"/>
      <c r="AD382" s="10"/>
      <c r="AE382" s="10"/>
      <c r="AF382" s="10"/>
    </row>
    <row r="383" spans="14:32" x14ac:dyDescent="0.25">
      <c r="N383" s="22"/>
      <c r="O383" s="22"/>
      <c r="P383" s="272"/>
      <c r="Q383" s="22"/>
      <c r="T383" s="595"/>
      <c r="AD383" s="10"/>
      <c r="AE383" s="10"/>
      <c r="AF383" s="10"/>
    </row>
    <row r="384" spans="14:32" x14ac:dyDescent="0.25">
      <c r="N384" s="22"/>
      <c r="O384" s="22"/>
      <c r="P384" s="272"/>
      <c r="Q384" s="22"/>
      <c r="T384" s="595"/>
      <c r="AD384" s="10"/>
      <c r="AE384" s="10"/>
      <c r="AF384" s="10"/>
    </row>
    <row r="385" spans="14:32" x14ac:dyDescent="0.25">
      <c r="N385" s="22"/>
      <c r="O385" s="22"/>
      <c r="P385" s="272"/>
      <c r="Q385" s="22"/>
      <c r="T385" s="595"/>
      <c r="AD385" s="10"/>
      <c r="AE385" s="10"/>
      <c r="AF385" s="10"/>
    </row>
    <row r="386" spans="14:32" x14ac:dyDescent="0.25">
      <c r="N386" s="22"/>
      <c r="O386" s="22"/>
      <c r="P386" s="272"/>
      <c r="Q386" s="22"/>
      <c r="T386" s="595"/>
      <c r="AD386" s="10"/>
      <c r="AE386" s="10"/>
      <c r="AF386" s="10"/>
    </row>
    <row r="387" spans="14:32" x14ac:dyDescent="0.25">
      <c r="N387" s="22"/>
      <c r="O387" s="22"/>
      <c r="P387" s="272"/>
      <c r="Q387" s="22"/>
      <c r="T387" s="595"/>
      <c r="AD387" s="10"/>
      <c r="AE387" s="10"/>
      <c r="AF387" s="10"/>
    </row>
    <row r="388" spans="14:32" x14ac:dyDescent="0.25">
      <c r="N388" s="22"/>
      <c r="O388" s="22"/>
      <c r="P388" s="272"/>
      <c r="Q388" s="22"/>
      <c r="T388" s="595"/>
      <c r="AD388" s="10"/>
      <c r="AE388" s="10"/>
      <c r="AF388" s="10"/>
    </row>
    <row r="389" spans="14:32" x14ac:dyDescent="0.25">
      <c r="N389" s="22"/>
      <c r="O389" s="22"/>
      <c r="P389" s="272"/>
      <c r="Q389" s="22"/>
      <c r="T389" s="595"/>
      <c r="AD389" s="10"/>
      <c r="AE389" s="10"/>
      <c r="AF389" s="10"/>
    </row>
    <row r="390" spans="14:32" x14ac:dyDescent="0.25">
      <c r="N390" s="22"/>
      <c r="O390" s="22"/>
      <c r="P390" s="272"/>
      <c r="Q390" s="22"/>
      <c r="T390" s="595"/>
      <c r="AD390" s="10"/>
      <c r="AE390" s="10"/>
      <c r="AF390" s="10"/>
    </row>
    <row r="391" spans="14:32" x14ac:dyDescent="0.25">
      <c r="N391" s="22"/>
      <c r="O391" s="22"/>
      <c r="P391" s="272"/>
      <c r="Q391" s="22"/>
      <c r="T391" s="595"/>
      <c r="AD391" s="10"/>
      <c r="AE391" s="10"/>
      <c r="AF391" s="10"/>
    </row>
    <row r="392" spans="14:32" x14ac:dyDescent="0.25">
      <c r="N392" s="22"/>
      <c r="O392" s="22"/>
      <c r="P392" s="272"/>
      <c r="Q392" s="22"/>
      <c r="T392" s="595"/>
      <c r="AD392" s="10"/>
      <c r="AE392" s="10"/>
      <c r="AF392" s="10"/>
    </row>
    <row r="393" spans="14:32" x14ac:dyDescent="0.25">
      <c r="N393" s="22"/>
      <c r="O393" s="22"/>
      <c r="P393" s="272"/>
      <c r="Q393" s="22"/>
      <c r="T393" s="595"/>
      <c r="AD393" s="10"/>
      <c r="AE393" s="10"/>
      <c r="AF393" s="10"/>
    </row>
    <row r="394" spans="14:32" x14ac:dyDescent="0.25">
      <c r="N394" s="22"/>
      <c r="O394" s="22"/>
      <c r="P394" s="272"/>
      <c r="Q394" s="22"/>
      <c r="T394" s="595"/>
      <c r="AD394" s="10"/>
      <c r="AE394" s="10"/>
      <c r="AF394" s="10"/>
    </row>
    <row r="395" spans="14:32" x14ac:dyDescent="0.25">
      <c r="N395" s="22"/>
      <c r="O395" s="22"/>
      <c r="P395" s="272"/>
      <c r="Q395" s="22"/>
      <c r="T395" s="595"/>
      <c r="AD395" s="10"/>
      <c r="AE395" s="10"/>
      <c r="AF395" s="10"/>
    </row>
    <row r="396" spans="14:32" x14ac:dyDescent="0.25">
      <c r="N396" s="22"/>
      <c r="O396" s="22"/>
      <c r="P396" s="272"/>
      <c r="Q396" s="22"/>
      <c r="T396" s="595"/>
      <c r="AD396" s="10"/>
      <c r="AE396" s="10"/>
      <c r="AF396" s="10"/>
    </row>
    <row r="397" spans="14:32" x14ac:dyDescent="0.25">
      <c r="N397" s="22"/>
      <c r="O397" s="22"/>
      <c r="P397" s="272"/>
      <c r="Q397" s="22"/>
      <c r="T397" s="595"/>
      <c r="AD397" s="10"/>
      <c r="AE397" s="10"/>
      <c r="AF397" s="10"/>
    </row>
    <row r="398" spans="14:32" x14ac:dyDescent="0.25">
      <c r="N398" s="22"/>
      <c r="O398" s="22"/>
      <c r="P398" s="272"/>
      <c r="Q398" s="22"/>
      <c r="T398" s="595"/>
      <c r="AD398" s="10"/>
      <c r="AE398" s="10"/>
      <c r="AF398" s="10"/>
    </row>
    <row r="399" spans="14:32" x14ac:dyDescent="0.25">
      <c r="N399" s="22"/>
      <c r="O399" s="22"/>
      <c r="P399" s="272"/>
      <c r="Q399" s="22"/>
      <c r="T399" s="595"/>
      <c r="AD399" s="10"/>
      <c r="AE399" s="10"/>
      <c r="AF399" s="10"/>
    </row>
    <row r="400" spans="14:32" x14ac:dyDescent="0.25">
      <c r="N400" s="22"/>
      <c r="O400" s="22"/>
      <c r="P400" s="272"/>
      <c r="Q400" s="22"/>
      <c r="T400" s="595"/>
      <c r="AD400" s="10"/>
      <c r="AE400" s="10"/>
      <c r="AF400" s="10"/>
    </row>
    <row r="401" spans="14:32" x14ac:dyDescent="0.25">
      <c r="N401" s="22"/>
      <c r="O401" s="22"/>
      <c r="P401" s="272"/>
      <c r="Q401" s="22"/>
      <c r="T401" s="595"/>
      <c r="AD401" s="10"/>
      <c r="AE401" s="10"/>
      <c r="AF401" s="10"/>
    </row>
    <row r="402" spans="14:32" x14ac:dyDescent="0.25">
      <c r="N402" s="22"/>
      <c r="O402" s="22"/>
      <c r="P402" s="272"/>
      <c r="Q402" s="22"/>
      <c r="T402" s="595"/>
      <c r="AD402" s="10"/>
      <c r="AE402" s="10"/>
      <c r="AF402" s="10"/>
    </row>
    <row r="403" spans="14:32" x14ac:dyDescent="0.25">
      <c r="N403" s="22"/>
      <c r="O403" s="22"/>
      <c r="P403" s="272"/>
      <c r="Q403" s="22"/>
      <c r="T403" s="595"/>
      <c r="AD403" s="10"/>
      <c r="AE403" s="10"/>
      <c r="AF403" s="10"/>
    </row>
    <row r="404" spans="14:32" x14ac:dyDescent="0.25">
      <c r="N404" s="22"/>
      <c r="O404" s="22"/>
      <c r="P404" s="272"/>
      <c r="Q404" s="22"/>
      <c r="T404" s="595"/>
      <c r="AD404" s="10"/>
      <c r="AE404" s="10"/>
      <c r="AF404" s="10"/>
    </row>
    <row r="405" spans="14:32" x14ac:dyDescent="0.25">
      <c r="N405" s="22"/>
      <c r="O405" s="22"/>
      <c r="P405" s="272"/>
      <c r="Q405" s="22"/>
      <c r="T405" s="595"/>
      <c r="AD405" s="10"/>
      <c r="AE405" s="10"/>
      <c r="AF405" s="10"/>
    </row>
    <row r="406" spans="14:32" x14ac:dyDescent="0.25">
      <c r="N406" s="22"/>
      <c r="O406" s="22"/>
      <c r="P406" s="272"/>
      <c r="Q406" s="22"/>
      <c r="T406" s="595"/>
      <c r="AD406" s="10"/>
      <c r="AE406" s="10"/>
      <c r="AF406" s="10"/>
    </row>
    <row r="407" spans="14:32" x14ac:dyDescent="0.25">
      <c r="N407" s="22"/>
      <c r="O407" s="22"/>
      <c r="P407" s="272"/>
      <c r="Q407" s="22"/>
      <c r="T407" s="595"/>
      <c r="AD407" s="10"/>
      <c r="AE407" s="10"/>
      <c r="AF407" s="10"/>
    </row>
    <row r="408" spans="14:32" x14ac:dyDescent="0.25">
      <c r="N408" s="22"/>
      <c r="O408" s="22"/>
      <c r="P408" s="272"/>
      <c r="Q408" s="22"/>
      <c r="T408" s="595"/>
      <c r="AD408" s="10"/>
      <c r="AE408" s="10"/>
      <c r="AF408" s="10"/>
    </row>
    <row r="409" spans="14:32" x14ac:dyDescent="0.25">
      <c r="N409" s="22"/>
      <c r="O409" s="22"/>
      <c r="P409" s="272"/>
      <c r="Q409" s="22"/>
      <c r="T409" s="595"/>
      <c r="AD409" s="10"/>
      <c r="AE409" s="10"/>
      <c r="AF409" s="10"/>
    </row>
    <row r="410" spans="14:32" x14ac:dyDescent="0.25">
      <c r="N410" s="22"/>
      <c r="O410" s="22"/>
      <c r="P410" s="272"/>
      <c r="Q410" s="22"/>
      <c r="T410" s="595"/>
      <c r="AD410" s="10"/>
      <c r="AE410" s="10"/>
      <c r="AF410" s="10"/>
    </row>
    <row r="411" spans="14:32" x14ac:dyDescent="0.25">
      <c r="N411" s="22"/>
      <c r="O411" s="22"/>
      <c r="P411" s="272"/>
      <c r="Q411" s="22"/>
      <c r="T411" s="595"/>
      <c r="AD411" s="10"/>
      <c r="AE411" s="10"/>
      <c r="AF411" s="10"/>
    </row>
    <row r="412" spans="14:32" x14ac:dyDescent="0.25">
      <c r="N412" s="22"/>
      <c r="O412" s="22"/>
      <c r="P412" s="272"/>
      <c r="Q412" s="22"/>
      <c r="T412" s="595"/>
      <c r="AD412" s="10"/>
    </row>
    <row r="413" spans="14:32" x14ac:dyDescent="0.25">
      <c r="N413" s="22"/>
      <c r="O413" s="22"/>
      <c r="P413" s="272"/>
      <c r="Q413" s="22"/>
      <c r="T413" s="595"/>
      <c r="AD413" s="10"/>
    </row>
    <row r="414" spans="14:32" x14ac:dyDescent="0.25">
      <c r="N414" s="22"/>
      <c r="O414" s="22"/>
      <c r="P414" s="272"/>
      <c r="Q414" s="22"/>
      <c r="T414" s="595"/>
      <c r="AD414" s="10"/>
    </row>
    <row r="415" spans="14:32" x14ac:dyDescent="0.25">
      <c r="N415" s="22"/>
      <c r="O415" s="22"/>
      <c r="P415" s="272"/>
      <c r="Q415" s="22"/>
      <c r="T415" s="595"/>
      <c r="AD415" s="10"/>
    </row>
    <row r="416" spans="14:32" x14ac:dyDescent="0.25">
      <c r="N416" s="22"/>
      <c r="O416" s="22"/>
      <c r="P416" s="272"/>
      <c r="Q416" s="22"/>
      <c r="T416" s="595"/>
      <c r="AD416" s="10"/>
    </row>
    <row r="417" spans="14:30" x14ac:dyDescent="0.25">
      <c r="N417" s="22"/>
      <c r="O417" s="22"/>
      <c r="P417" s="272"/>
      <c r="Q417" s="22"/>
      <c r="T417" s="595"/>
      <c r="AD417" s="10"/>
    </row>
    <row r="418" spans="14:30" x14ac:dyDescent="0.25">
      <c r="N418" s="22"/>
      <c r="O418" s="22"/>
      <c r="P418" s="272"/>
      <c r="Q418" s="22"/>
      <c r="T418" s="595"/>
      <c r="AD418" s="10"/>
    </row>
    <row r="419" spans="14:30" x14ac:dyDescent="0.25">
      <c r="N419" s="22"/>
      <c r="O419" s="22"/>
      <c r="P419" s="272"/>
      <c r="Q419" s="22"/>
      <c r="T419" s="595"/>
      <c r="AD419" s="10"/>
    </row>
    <row r="420" spans="14:30" x14ac:dyDescent="0.25">
      <c r="N420" s="22"/>
      <c r="O420" s="22"/>
      <c r="P420" s="272"/>
      <c r="Q420" s="22"/>
      <c r="T420" s="595"/>
      <c r="AD420" s="10"/>
    </row>
    <row r="421" spans="14:30" x14ac:dyDescent="0.25">
      <c r="N421" s="22"/>
      <c r="O421" s="22"/>
      <c r="P421" s="272"/>
      <c r="Q421" s="22"/>
      <c r="T421" s="595"/>
      <c r="AD421" s="10"/>
    </row>
    <row r="422" spans="14:30" x14ac:dyDescent="0.25">
      <c r="N422" s="22"/>
      <c r="O422" s="22"/>
      <c r="P422" s="272"/>
      <c r="Q422" s="22"/>
      <c r="T422" s="595"/>
      <c r="AD422" s="10"/>
    </row>
    <row r="423" spans="14:30" x14ac:dyDescent="0.25">
      <c r="N423" s="22"/>
      <c r="O423" s="22"/>
      <c r="P423" s="272"/>
      <c r="Q423" s="22"/>
      <c r="T423" s="595"/>
      <c r="AD423" s="10"/>
    </row>
    <row r="424" spans="14:30" x14ac:dyDescent="0.25">
      <c r="N424" s="22"/>
      <c r="O424" s="22"/>
      <c r="P424" s="272"/>
      <c r="Q424" s="22"/>
      <c r="T424" s="595"/>
      <c r="AD424" s="10"/>
    </row>
    <row r="425" spans="14:30" x14ac:dyDescent="0.25">
      <c r="N425" s="22"/>
      <c r="O425" s="22"/>
      <c r="P425" s="272"/>
      <c r="Q425" s="22"/>
      <c r="T425" s="595"/>
      <c r="AD425" s="10"/>
    </row>
    <row r="426" spans="14:30" x14ac:dyDescent="0.25">
      <c r="N426" s="22"/>
      <c r="O426" s="22"/>
      <c r="P426" s="272"/>
      <c r="Q426" s="22"/>
      <c r="T426" s="595"/>
      <c r="AD426" s="10"/>
    </row>
    <row r="427" spans="14:30" x14ac:dyDescent="0.25">
      <c r="N427" s="22"/>
      <c r="O427" s="22"/>
      <c r="P427" s="272"/>
      <c r="Q427" s="22"/>
      <c r="T427" s="595"/>
      <c r="AD427" s="10"/>
    </row>
    <row r="428" spans="14:30" x14ac:dyDescent="0.25">
      <c r="N428" s="22"/>
      <c r="O428" s="22"/>
      <c r="P428" s="272"/>
      <c r="Q428" s="22"/>
      <c r="T428" s="595"/>
      <c r="AD428" s="10"/>
    </row>
    <row r="429" spans="14:30" x14ac:dyDescent="0.25">
      <c r="N429" s="22"/>
      <c r="O429" s="22"/>
      <c r="P429" s="272"/>
      <c r="Q429" s="22"/>
      <c r="T429" s="595"/>
      <c r="AD429" s="10"/>
    </row>
    <row r="430" spans="14:30" x14ac:dyDescent="0.25">
      <c r="N430" s="22"/>
      <c r="O430" s="22"/>
      <c r="P430" s="272"/>
      <c r="Q430" s="22"/>
      <c r="T430" s="595"/>
      <c r="AD430" s="10"/>
    </row>
    <row r="431" spans="14:30" x14ac:dyDescent="0.25">
      <c r="N431" s="22"/>
      <c r="O431" s="22"/>
      <c r="P431" s="272"/>
      <c r="Q431" s="22"/>
      <c r="T431" s="595"/>
      <c r="AD431" s="10"/>
    </row>
    <row r="432" spans="14:30" x14ac:dyDescent="0.25">
      <c r="N432" s="22"/>
      <c r="O432" s="22"/>
      <c r="P432" s="272"/>
      <c r="Q432" s="22"/>
      <c r="T432" s="595"/>
      <c r="AD432" s="10"/>
    </row>
    <row r="433" spans="14:30" x14ac:dyDescent="0.25">
      <c r="N433" s="22"/>
      <c r="O433" s="22"/>
      <c r="P433" s="272"/>
      <c r="Q433" s="22"/>
      <c r="T433" s="595"/>
      <c r="AD433" s="10"/>
    </row>
    <row r="434" spans="14:30" x14ac:dyDescent="0.25">
      <c r="N434" s="22"/>
      <c r="O434" s="22"/>
      <c r="P434" s="272"/>
      <c r="Q434" s="22"/>
      <c r="T434" s="595"/>
      <c r="AD434" s="10"/>
    </row>
    <row r="435" spans="14:30" x14ac:dyDescent="0.25">
      <c r="N435" s="22"/>
      <c r="O435" s="22"/>
      <c r="P435" s="272"/>
      <c r="Q435" s="22"/>
      <c r="T435" s="595"/>
      <c r="AD435" s="10"/>
    </row>
    <row r="436" spans="14:30" x14ac:dyDescent="0.25">
      <c r="N436" s="22"/>
      <c r="O436" s="22"/>
      <c r="P436" s="272"/>
      <c r="Q436" s="22"/>
      <c r="T436" s="595"/>
      <c r="AD436" s="10"/>
    </row>
    <row r="437" spans="14:30" x14ac:dyDescent="0.25">
      <c r="N437" s="22"/>
      <c r="O437" s="22"/>
      <c r="P437" s="272"/>
      <c r="Q437" s="22"/>
      <c r="T437" s="595"/>
      <c r="AD437" s="10"/>
    </row>
    <row r="438" spans="14:30" x14ac:dyDescent="0.25">
      <c r="N438" s="22"/>
      <c r="O438" s="22"/>
      <c r="P438" s="272"/>
      <c r="Q438" s="22"/>
      <c r="T438" s="595"/>
      <c r="AD438" s="10"/>
    </row>
    <row r="439" spans="14:30" x14ac:dyDescent="0.25">
      <c r="N439" s="22"/>
      <c r="O439" s="22"/>
      <c r="P439" s="272"/>
      <c r="Q439" s="22"/>
      <c r="T439" s="595"/>
      <c r="AD439" s="10"/>
    </row>
    <row r="440" spans="14:30" x14ac:dyDescent="0.25">
      <c r="N440" s="22"/>
      <c r="O440" s="22"/>
      <c r="P440" s="272"/>
      <c r="Q440" s="22"/>
      <c r="T440" s="595"/>
      <c r="AD440" s="10"/>
    </row>
    <row r="441" spans="14:30" x14ac:dyDescent="0.25">
      <c r="N441" s="22"/>
      <c r="O441" s="22"/>
      <c r="P441" s="272"/>
      <c r="Q441" s="22"/>
      <c r="T441" s="595"/>
      <c r="AD441" s="10"/>
    </row>
    <row r="442" spans="14:30" x14ac:dyDescent="0.25">
      <c r="N442" s="22"/>
      <c r="O442" s="22"/>
      <c r="P442" s="272"/>
      <c r="Q442" s="22"/>
      <c r="T442" s="595"/>
      <c r="AD442" s="10"/>
    </row>
    <row r="443" spans="14:30" x14ac:dyDescent="0.25">
      <c r="N443" s="22"/>
      <c r="O443" s="22"/>
      <c r="P443" s="272"/>
      <c r="Q443" s="22"/>
      <c r="T443" s="595"/>
      <c r="AD443" s="10"/>
    </row>
    <row r="444" spans="14:30" x14ac:dyDescent="0.25">
      <c r="N444" s="22"/>
      <c r="O444" s="22"/>
      <c r="P444" s="272"/>
      <c r="Q444" s="22"/>
      <c r="T444" s="595"/>
      <c r="AD444" s="10"/>
    </row>
    <row r="445" spans="14:30" x14ac:dyDescent="0.25">
      <c r="N445" s="22"/>
      <c r="O445" s="22"/>
      <c r="P445" s="272"/>
      <c r="Q445" s="22"/>
      <c r="T445" s="595"/>
      <c r="AD445" s="10"/>
    </row>
    <row r="446" spans="14:30" x14ac:dyDescent="0.25">
      <c r="N446" s="22"/>
      <c r="O446" s="22"/>
      <c r="P446" s="272"/>
      <c r="Q446" s="22"/>
      <c r="T446" s="595"/>
      <c r="AD446" s="10"/>
    </row>
    <row r="447" spans="14:30" x14ac:dyDescent="0.25">
      <c r="N447" s="22"/>
      <c r="O447" s="22"/>
      <c r="P447" s="272"/>
      <c r="Q447" s="22"/>
      <c r="T447" s="595"/>
      <c r="AD447" s="10"/>
    </row>
    <row r="448" spans="14:30" x14ac:dyDescent="0.25">
      <c r="N448" s="22"/>
      <c r="O448" s="22"/>
      <c r="P448" s="272"/>
      <c r="Q448" s="22"/>
      <c r="T448" s="595"/>
      <c r="AD448" s="10"/>
    </row>
    <row r="449" spans="14:30" x14ac:dyDescent="0.25">
      <c r="N449" s="22"/>
      <c r="O449" s="22"/>
      <c r="P449" s="272"/>
      <c r="Q449" s="22"/>
      <c r="T449" s="595"/>
      <c r="AD449" s="10"/>
    </row>
    <row r="450" spans="14:30" x14ac:dyDescent="0.25">
      <c r="N450" s="22"/>
      <c r="O450" s="22"/>
      <c r="P450" s="272"/>
      <c r="Q450" s="22"/>
      <c r="T450" s="595"/>
      <c r="AD450" s="10"/>
    </row>
    <row r="451" spans="14:30" x14ac:dyDescent="0.25">
      <c r="N451" s="22"/>
      <c r="O451" s="22"/>
      <c r="P451" s="272"/>
      <c r="Q451" s="22"/>
      <c r="T451" s="595"/>
      <c r="AD451" s="10"/>
    </row>
    <row r="452" spans="14:30" x14ac:dyDescent="0.25">
      <c r="N452" s="22"/>
      <c r="O452" s="22"/>
      <c r="P452" s="272"/>
      <c r="Q452" s="22"/>
      <c r="T452" s="595"/>
      <c r="AD452" s="10"/>
    </row>
    <row r="453" spans="14:30" x14ac:dyDescent="0.25">
      <c r="N453" s="22"/>
      <c r="O453" s="22"/>
      <c r="P453" s="272"/>
      <c r="Q453" s="22"/>
      <c r="T453" s="595"/>
      <c r="AD453" s="10"/>
    </row>
    <row r="454" spans="14:30" x14ac:dyDescent="0.25">
      <c r="N454" s="22"/>
      <c r="O454" s="22"/>
      <c r="P454" s="272"/>
      <c r="Q454" s="22"/>
      <c r="T454" s="595"/>
      <c r="AD454" s="10"/>
    </row>
    <row r="455" spans="14:30" x14ac:dyDescent="0.25">
      <c r="N455" s="22"/>
      <c r="O455" s="22"/>
      <c r="P455" s="272"/>
      <c r="Q455" s="22"/>
      <c r="T455" s="595"/>
      <c r="AD455" s="10"/>
    </row>
    <row r="456" spans="14:30" x14ac:dyDescent="0.25">
      <c r="N456" s="22"/>
      <c r="O456" s="22"/>
      <c r="P456" s="272"/>
      <c r="Q456" s="22"/>
      <c r="T456" s="595"/>
      <c r="AD456" s="10"/>
    </row>
    <row r="457" spans="14:30" x14ac:dyDescent="0.25">
      <c r="N457" s="22"/>
      <c r="O457" s="22"/>
      <c r="P457" s="272"/>
      <c r="Q457" s="22"/>
      <c r="T457" s="595"/>
      <c r="AD457" s="10"/>
    </row>
    <row r="458" spans="14:30" x14ac:dyDescent="0.25">
      <c r="N458" s="22"/>
      <c r="O458" s="22"/>
      <c r="P458" s="272"/>
      <c r="Q458" s="22"/>
      <c r="T458" s="595"/>
      <c r="AD458" s="10"/>
    </row>
    <row r="459" spans="14:30" x14ac:dyDescent="0.25">
      <c r="N459" s="22"/>
      <c r="O459" s="22"/>
      <c r="P459" s="272"/>
      <c r="Q459" s="22"/>
      <c r="T459" s="595"/>
      <c r="AD459" s="10"/>
    </row>
    <row r="460" spans="14:30" x14ac:dyDescent="0.25">
      <c r="N460" s="22"/>
      <c r="O460" s="22"/>
      <c r="P460" s="272"/>
      <c r="Q460" s="22"/>
      <c r="T460" s="595"/>
      <c r="AD460" s="10"/>
    </row>
    <row r="461" spans="14:30" x14ac:dyDescent="0.25">
      <c r="N461" s="22"/>
      <c r="O461" s="22"/>
      <c r="P461" s="272"/>
      <c r="Q461" s="22"/>
      <c r="T461" s="595"/>
      <c r="AD461" s="10"/>
    </row>
    <row r="462" spans="14:30" x14ac:dyDescent="0.25">
      <c r="N462" s="22"/>
      <c r="O462" s="22"/>
      <c r="P462" s="272"/>
      <c r="Q462" s="22"/>
      <c r="T462" s="595"/>
      <c r="AD462" s="10"/>
    </row>
    <row r="463" spans="14:30" x14ac:dyDescent="0.25">
      <c r="N463" s="22"/>
      <c r="O463" s="22"/>
      <c r="P463" s="272"/>
      <c r="Q463" s="22"/>
      <c r="T463" s="595"/>
      <c r="AD463" s="10"/>
    </row>
    <row r="464" spans="14:30" x14ac:dyDescent="0.25">
      <c r="N464" s="22"/>
      <c r="O464" s="22"/>
      <c r="P464" s="272"/>
      <c r="Q464" s="22"/>
      <c r="T464" s="595"/>
      <c r="AD464" s="10"/>
    </row>
    <row r="465" spans="14:30" x14ac:dyDescent="0.25">
      <c r="N465" s="22"/>
      <c r="O465" s="22"/>
      <c r="P465" s="272"/>
      <c r="Q465" s="22"/>
      <c r="T465" s="595"/>
      <c r="AD465" s="10"/>
    </row>
    <row r="466" spans="14:30" x14ac:dyDescent="0.25">
      <c r="N466" s="22"/>
      <c r="O466" s="22"/>
      <c r="P466" s="272"/>
      <c r="Q466" s="22"/>
      <c r="T466" s="595"/>
      <c r="AD466" s="10"/>
    </row>
    <row r="467" spans="14:30" x14ac:dyDescent="0.25">
      <c r="N467" s="22"/>
      <c r="O467" s="22"/>
      <c r="P467" s="272"/>
      <c r="Q467" s="22"/>
      <c r="T467" s="595"/>
      <c r="AD467" s="10"/>
    </row>
    <row r="468" spans="14:30" x14ac:dyDescent="0.25">
      <c r="N468" s="22"/>
      <c r="O468" s="22"/>
      <c r="P468" s="272"/>
      <c r="Q468" s="22"/>
      <c r="T468" s="595"/>
      <c r="AD468" s="10"/>
    </row>
    <row r="469" spans="14:30" x14ac:dyDescent="0.25">
      <c r="N469" s="22"/>
      <c r="O469" s="22"/>
      <c r="P469" s="272"/>
      <c r="Q469" s="22"/>
      <c r="T469" s="595"/>
      <c r="AD469" s="10"/>
    </row>
    <row r="470" spans="14:30" x14ac:dyDescent="0.25">
      <c r="N470" s="22"/>
      <c r="O470" s="22"/>
      <c r="P470" s="272"/>
      <c r="Q470" s="22"/>
      <c r="T470" s="595"/>
      <c r="AD470" s="10"/>
    </row>
    <row r="471" spans="14:30" x14ac:dyDescent="0.25">
      <c r="N471" s="22"/>
      <c r="O471" s="22"/>
      <c r="P471" s="272"/>
      <c r="Q471" s="22"/>
      <c r="T471" s="595"/>
      <c r="AD471" s="10"/>
    </row>
    <row r="472" spans="14:30" x14ac:dyDescent="0.25">
      <c r="N472" s="22"/>
      <c r="O472" s="22"/>
      <c r="P472" s="272"/>
      <c r="Q472" s="22"/>
      <c r="T472" s="595"/>
      <c r="AD472" s="10"/>
    </row>
    <row r="473" spans="14:30" x14ac:dyDescent="0.25">
      <c r="N473" s="22"/>
      <c r="O473" s="22"/>
      <c r="P473" s="272"/>
      <c r="Q473" s="22"/>
      <c r="T473" s="595"/>
      <c r="AD473" s="10"/>
    </row>
    <row r="474" spans="14:30" x14ac:dyDescent="0.25">
      <c r="N474" s="22"/>
      <c r="O474" s="22"/>
      <c r="P474" s="272"/>
      <c r="Q474" s="22"/>
      <c r="T474" s="595"/>
      <c r="AD474" s="10"/>
    </row>
    <row r="475" spans="14:30" x14ac:dyDescent="0.25">
      <c r="N475" s="22"/>
      <c r="O475" s="22"/>
      <c r="P475" s="272"/>
      <c r="Q475" s="22"/>
      <c r="T475" s="595"/>
      <c r="AD475" s="10"/>
    </row>
    <row r="476" spans="14:30" x14ac:dyDescent="0.25">
      <c r="N476" s="22"/>
      <c r="O476" s="22"/>
      <c r="P476" s="272"/>
      <c r="Q476" s="22"/>
      <c r="T476" s="595"/>
      <c r="AD476" s="10"/>
    </row>
    <row r="477" spans="14:30" x14ac:dyDescent="0.25">
      <c r="N477" s="22"/>
      <c r="O477" s="22"/>
      <c r="P477" s="272"/>
      <c r="Q477" s="22"/>
      <c r="T477" s="595"/>
      <c r="AD477" s="10"/>
    </row>
    <row r="478" spans="14:30" x14ac:dyDescent="0.25">
      <c r="N478" s="22"/>
      <c r="O478" s="22"/>
      <c r="P478" s="272"/>
      <c r="Q478" s="22"/>
      <c r="T478" s="595"/>
      <c r="AD478" s="10"/>
    </row>
    <row r="479" spans="14:30" x14ac:dyDescent="0.25">
      <c r="N479" s="22"/>
      <c r="O479" s="22"/>
      <c r="P479" s="272"/>
      <c r="Q479" s="22"/>
      <c r="T479" s="595"/>
      <c r="AD479" s="10"/>
    </row>
    <row r="480" spans="14:30" x14ac:dyDescent="0.25">
      <c r="N480" s="22"/>
      <c r="O480" s="22"/>
      <c r="P480" s="272"/>
      <c r="Q480" s="22"/>
      <c r="T480" s="595"/>
      <c r="AD480" s="10"/>
    </row>
    <row r="481" spans="14:30" x14ac:dyDescent="0.25">
      <c r="N481" s="22"/>
      <c r="O481" s="22"/>
      <c r="P481" s="272"/>
      <c r="Q481" s="22"/>
      <c r="T481" s="595"/>
      <c r="AD481" s="10"/>
    </row>
    <row r="482" spans="14:30" x14ac:dyDescent="0.25">
      <c r="N482" s="22"/>
      <c r="O482" s="22"/>
      <c r="P482" s="272"/>
      <c r="Q482" s="22"/>
      <c r="T482" s="595"/>
      <c r="AD482" s="10"/>
    </row>
    <row r="483" spans="14:30" x14ac:dyDescent="0.25">
      <c r="N483" s="22"/>
      <c r="O483" s="22"/>
      <c r="P483" s="272"/>
      <c r="Q483" s="22"/>
      <c r="T483" s="595"/>
      <c r="AD483" s="10"/>
    </row>
    <row r="484" spans="14:30" x14ac:dyDescent="0.25">
      <c r="N484" s="22"/>
      <c r="O484" s="22"/>
      <c r="P484" s="272"/>
      <c r="Q484" s="22"/>
      <c r="T484" s="595"/>
      <c r="AD484" s="10"/>
    </row>
    <row r="485" spans="14:30" x14ac:dyDescent="0.25">
      <c r="N485" s="22"/>
      <c r="O485" s="22"/>
      <c r="P485" s="272"/>
      <c r="Q485" s="22"/>
      <c r="T485" s="595"/>
      <c r="AD485" s="10"/>
    </row>
    <row r="486" spans="14:30" x14ac:dyDescent="0.25">
      <c r="N486" s="22"/>
      <c r="O486" s="22"/>
      <c r="P486" s="272"/>
      <c r="Q486" s="22"/>
      <c r="T486" s="595"/>
      <c r="AD486" s="10"/>
    </row>
    <row r="487" spans="14:30" x14ac:dyDescent="0.25">
      <c r="N487" s="22"/>
      <c r="O487" s="22"/>
      <c r="P487" s="272"/>
      <c r="Q487" s="22"/>
      <c r="T487" s="595"/>
      <c r="AD487" s="10"/>
    </row>
    <row r="488" spans="14:30" x14ac:dyDescent="0.25">
      <c r="N488" s="22"/>
      <c r="O488" s="22"/>
      <c r="P488" s="272"/>
      <c r="Q488" s="22"/>
      <c r="T488" s="595"/>
      <c r="AD488" s="10"/>
    </row>
    <row r="489" spans="14:30" x14ac:dyDescent="0.25">
      <c r="N489" s="22"/>
      <c r="O489" s="22"/>
      <c r="P489" s="272"/>
      <c r="Q489" s="22"/>
      <c r="T489" s="595"/>
      <c r="AD489" s="10"/>
    </row>
    <row r="490" spans="14:30" x14ac:dyDescent="0.25">
      <c r="N490" s="22"/>
      <c r="O490" s="22"/>
      <c r="P490" s="272"/>
      <c r="Q490" s="22"/>
      <c r="T490" s="595"/>
      <c r="AD490" s="10"/>
    </row>
    <row r="491" spans="14:30" x14ac:dyDescent="0.25">
      <c r="N491" s="22"/>
      <c r="O491" s="22"/>
      <c r="P491" s="272"/>
      <c r="Q491" s="22"/>
      <c r="T491" s="595"/>
      <c r="AD491" s="10"/>
    </row>
    <row r="492" spans="14:30" x14ac:dyDescent="0.25">
      <c r="N492" s="22"/>
      <c r="O492" s="22"/>
      <c r="P492" s="272"/>
      <c r="Q492" s="22"/>
      <c r="T492" s="595"/>
      <c r="AD492" s="10"/>
    </row>
    <row r="493" spans="14:30" x14ac:dyDescent="0.25">
      <c r="N493" s="22"/>
      <c r="O493" s="22"/>
      <c r="P493" s="272"/>
      <c r="Q493" s="22"/>
      <c r="T493" s="595"/>
      <c r="AD493" s="10"/>
    </row>
    <row r="494" spans="14:30" x14ac:dyDescent="0.25">
      <c r="N494" s="22"/>
      <c r="O494" s="22"/>
      <c r="P494" s="272"/>
      <c r="Q494" s="22"/>
      <c r="T494" s="595"/>
      <c r="AD494" s="10"/>
    </row>
    <row r="495" spans="14:30" x14ac:dyDescent="0.25">
      <c r="N495" s="22"/>
      <c r="O495" s="22"/>
      <c r="P495" s="272"/>
      <c r="Q495" s="22"/>
      <c r="T495" s="595"/>
      <c r="AD495" s="10"/>
    </row>
    <row r="496" spans="14:30" x14ac:dyDescent="0.25">
      <c r="N496" s="22"/>
      <c r="O496" s="22"/>
      <c r="P496" s="272"/>
      <c r="Q496" s="22"/>
      <c r="T496" s="595"/>
      <c r="AD496" s="10"/>
    </row>
    <row r="497" spans="14:30" x14ac:dyDescent="0.25">
      <c r="N497" s="22"/>
      <c r="O497" s="22"/>
      <c r="P497" s="272"/>
      <c r="Q497" s="22"/>
      <c r="T497" s="595"/>
      <c r="AD497" s="10"/>
    </row>
    <row r="498" spans="14:30" x14ac:dyDescent="0.25">
      <c r="N498" s="22"/>
      <c r="O498" s="22"/>
      <c r="P498" s="272"/>
      <c r="Q498" s="22"/>
      <c r="T498" s="595"/>
      <c r="AD498" s="10"/>
    </row>
    <row r="499" spans="14:30" x14ac:dyDescent="0.25">
      <c r="N499" s="22"/>
      <c r="O499" s="22"/>
      <c r="P499" s="272"/>
      <c r="Q499" s="22"/>
      <c r="T499" s="595"/>
      <c r="AD499" s="10"/>
    </row>
    <row r="500" spans="14:30" x14ac:dyDescent="0.25">
      <c r="N500" s="22"/>
      <c r="O500" s="22"/>
      <c r="P500" s="272"/>
      <c r="Q500" s="22"/>
      <c r="T500" s="595"/>
      <c r="AD500" s="10"/>
    </row>
    <row r="501" spans="14:30" x14ac:dyDescent="0.25">
      <c r="N501" s="22"/>
      <c r="O501" s="22"/>
      <c r="P501" s="272"/>
      <c r="Q501" s="22"/>
      <c r="T501" s="595"/>
      <c r="AD501" s="10"/>
    </row>
    <row r="502" spans="14:30" x14ac:dyDescent="0.25">
      <c r="N502" s="22"/>
      <c r="O502" s="22"/>
      <c r="P502" s="272"/>
      <c r="Q502" s="22"/>
      <c r="T502" s="595"/>
      <c r="AD502" s="10"/>
    </row>
    <row r="503" spans="14:30" x14ac:dyDescent="0.25">
      <c r="N503" s="22"/>
      <c r="O503" s="22"/>
      <c r="P503" s="272"/>
      <c r="Q503" s="22"/>
      <c r="T503" s="595"/>
      <c r="AD503" s="10"/>
    </row>
    <row r="504" spans="14:30" x14ac:dyDescent="0.25">
      <c r="N504" s="22"/>
      <c r="O504" s="22"/>
      <c r="P504" s="272"/>
      <c r="Q504" s="22"/>
      <c r="T504" s="595"/>
      <c r="AD504" s="10"/>
    </row>
    <row r="505" spans="14:30" x14ac:dyDescent="0.25">
      <c r="N505" s="22"/>
      <c r="O505" s="22"/>
      <c r="P505" s="272"/>
      <c r="Q505" s="22"/>
      <c r="T505" s="595"/>
      <c r="AD505" s="10"/>
    </row>
    <row r="506" spans="14:30" x14ac:dyDescent="0.25">
      <c r="N506" s="22"/>
      <c r="O506" s="22"/>
      <c r="P506" s="272"/>
      <c r="Q506" s="22"/>
      <c r="T506" s="595"/>
      <c r="AD506" s="10"/>
    </row>
    <row r="507" spans="14:30" x14ac:dyDescent="0.25">
      <c r="N507" s="22"/>
      <c r="O507" s="22"/>
      <c r="P507" s="272"/>
      <c r="Q507" s="22"/>
      <c r="T507" s="595"/>
      <c r="AD507" s="10"/>
    </row>
    <row r="508" spans="14:30" x14ac:dyDescent="0.25">
      <c r="N508" s="22"/>
      <c r="O508" s="22"/>
      <c r="P508" s="272"/>
      <c r="Q508" s="22"/>
      <c r="T508" s="595"/>
      <c r="AD508" s="10"/>
    </row>
    <row r="509" spans="14:30" x14ac:dyDescent="0.25">
      <c r="N509" s="22"/>
      <c r="O509" s="22"/>
      <c r="P509" s="272"/>
      <c r="Q509" s="22"/>
      <c r="T509" s="595"/>
      <c r="AD509" s="10"/>
    </row>
    <row r="510" spans="14:30" x14ac:dyDescent="0.25">
      <c r="N510" s="22"/>
      <c r="O510" s="22"/>
      <c r="P510" s="272"/>
      <c r="Q510" s="22"/>
      <c r="T510" s="595"/>
      <c r="AD510" s="10"/>
    </row>
    <row r="511" spans="14:30" x14ac:dyDescent="0.25">
      <c r="N511" s="22"/>
      <c r="O511" s="22"/>
      <c r="P511" s="272"/>
      <c r="Q511" s="22"/>
      <c r="T511" s="595"/>
      <c r="AD511" s="10"/>
    </row>
    <row r="512" spans="14:30" x14ac:dyDescent="0.25">
      <c r="N512" s="22"/>
      <c r="O512" s="22"/>
      <c r="P512" s="272"/>
      <c r="Q512" s="22"/>
      <c r="T512" s="595"/>
      <c r="AD512" s="10"/>
    </row>
    <row r="513" spans="14:30" x14ac:dyDescent="0.25">
      <c r="N513" s="22"/>
      <c r="O513" s="22"/>
      <c r="P513" s="272"/>
      <c r="Q513" s="22"/>
      <c r="T513" s="595"/>
      <c r="AD513" s="10"/>
    </row>
    <row r="514" spans="14:30" x14ac:dyDescent="0.25">
      <c r="N514" s="22"/>
      <c r="O514" s="22"/>
      <c r="P514" s="272"/>
      <c r="Q514" s="22"/>
      <c r="T514" s="595"/>
      <c r="AD514" s="10"/>
    </row>
    <row r="515" spans="14:30" x14ac:dyDescent="0.25">
      <c r="N515" s="22"/>
      <c r="O515" s="22"/>
      <c r="P515" s="272"/>
      <c r="Q515" s="22"/>
      <c r="T515" s="595"/>
      <c r="AD515" s="10"/>
    </row>
    <row r="516" spans="14:30" x14ac:dyDescent="0.25">
      <c r="N516" s="22"/>
      <c r="O516" s="22"/>
      <c r="P516" s="272"/>
      <c r="Q516" s="22"/>
      <c r="T516" s="595"/>
      <c r="AD516" s="10"/>
    </row>
    <row r="517" spans="14:30" x14ac:dyDescent="0.25">
      <c r="N517" s="22"/>
      <c r="O517" s="22"/>
      <c r="P517" s="272"/>
      <c r="Q517" s="22"/>
      <c r="T517" s="595"/>
      <c r="AD517" s="10"/>
    </row>
    <row r="518" spans="14:30" x14ac:dyDescent="0.25">
      <c r="N518" s="22"/>
      <c r="O518" s="22"/>
      <c r="P518" s="272"/>
      <c r="Q518" s="22"/>
      <c r="T518" s="595"/>
      <c r="AD518" s="10"/>
    </row>
    <row r="519" spans="14:30" x14ac:dyDescent="0.25">
      <c r="N519" s="22"/>
      <c r="O519" s="22"/>
      <c r="P519" s="272"/>
      <c r="Q519" s="22"/>
      <c r="T519" s="595"/>
      <c r="AD519" s="10"/>
    </row>
    <row r="520" spans="14:30" x14ac:dyDescent="0.25">
      <c r="N520" s="22"/>
      <c r="O520" s="22"/>
      <c r="P520" s="272"/>
      <c r="Q520" s="22"/>
      <c r="T520" s="595"/>
      <c r="AD520" s="10"/>
    </row>
    <row r="521" spans="14:30" x14ac:dyDescent="0.25">
      <c r="N521" s="22"/>
      <c r="O521" s="22"/>
      <c r="P521" s="272"/>
      <c r="Q521" s="22"/>
      <c r="T521" s="595"/>
      <c r="AD521" s="10"/>
    </row>
    <row r="522" spans="14:30" x14ac:dyDescent="0.25">
      <c r="N522" s="22"/>
      <c r="O522" s="22"/>
      <c r="P522" s="272"/>
      <c r="Q522" s="22"/>
      <c r="T522" s="595"/>
      <c r="AD522" s="10"/>
    </row>
    <row r="523" spans="14:30" x14ac:dyDescent="0.25">
      <c r="N523" s="22"/>
      <c r="O523" s="22"/>
      <c r="P523" s="272"/>
      <c r="Q523" s="22"/>
      <c r="T523" s="595"/>
      <c r="AD523" s="10"/>
    </row>
    <row r="524" spans="14:30" x14ac:dyDescent="0.25">
      <c r="N524" s="22"/>
      <c r="O524" s="22"/>
      <c r="P524" s="272"/>
      <c r="Q524" s="22"/>
      <c r="T524" s="595"/>
      <c r="AD524" s="10"/>
    </row>
    <row r="525" spans="14:30" x14ac:dyDescent="0.25">
      <c r="N525" s="22"/>
      <c r="O525" s="22"/>
      <c r="P525" s="272"/>
      <c r="Q525" s="22"/>
      <c r="T525" s="595"/>
      <c r="AD525" s="10"/>
    </row>
    <row r="526" spans="14:30" x14ac:dyDescent="0.25">
      <c r="N526" s="22"/>
      <c r="O526" s="22"/>
      <c r="P526" s="272"/>
      <c r="Q526" s="22"/>
      <c r="T526" s="595"/>
      <c r="AD526" s="10"/>
    </row>
    <row r="527" spans="14:30" x14ac:dyDescent="0.25">
      <c r="N527" s="22"/>
      <c r="O527" s="22"/>
      <c r="P527" s="272"/>
      <c r="Q527" s="22"/>
      <c r="T527" s="595"/>
      <c r="AD527" s="10"/>
    </row>
    <row r="528" spans="14:30" x14ac:dyDescent="0.25">
      <c r="N528" s="22"/>
      <c r="O528" s="22"/>
      <c r="P528" s="272"/>
      <c r="Q528" s="22"/>
      <c r="T528" s="595"/>
      <c r="AD528" s="10"/>
    </row>
    <row r="529" spans="14:30" x14ac:dyDescent="0.25">
      <c r="N529" s="22"/>
      <c r="O529" s="22"/>
      <c r="P529" s="272"/>
      <c r="Q529" s="22"/>
      <c r="T529" s="595"/>
      <c r="AD529" s="10"/>
    </row>
    <row r="530" spans="14:30" x14ac:dyDescent="0.25">
      <c r="N530" s="22"/>
      <c r="O530" s="22"/>
      <c r="P530" s="272"/>
      <c r="Q530" s="22"/>
      <c r="T530" s="595"/>
      <c r="AD530" s="10"/>
    </row>
    <row r="531" spans="14:30" x14ac:dyDescent="0.25">
      <c r="N531" s="22"/>
      <c r="O531" s="22"/>
      <c r="P531" s="272"/>
      <c r="Q531" s="22"/>
      <c r="T531" s="595"/>
      <c r="AD531" s="10"/>
    </row>
    <row r="532" spans="14:30" x14ac:dyDescent="0.25">
      <c r="N532" s="22"/>
      <c r="O532" s="22"/>
      <c r="P532" s="272"/>
      <c r="Q532" s="22"/>
      <c r="T532" s="595"/>
      <c r="AD532" s="10"/>
    </row>
    <row r="533" spans="14:30" x14ac:dyDescent="0.25">
      <c r="N533" s="22"/>
      <c r="O533" s="22"/>
      <c r="P533" s="272"/>
      <c r="Q533" s="22"/>
      <c r="T533" s="595"/>
      <c r="AD533" s="10"/>
    </row>
    <row r="534" spans="14:30" x14ac:dyDescent="0.25">
      <c r="N534" s="22"/>
      <c r="O534" s="22"/>
      <c r="P534" s="272"/>
      <c r="Q534" s="22"/>
      <c r="T534" s="595"/>
      <c r="AD534" s="10"/>
    </row>
    <row r="535" spans="14:30" x14ac:dyDescent="0.25">
      <c r="N535" s="22"/>
      <c r="O535" s="22"/>
      <c r="P535" s="272"/>
      <c r="Q535" s="22"/>
      <c r="T535" s="595"/>
      <c r="AD535" s="10"/>
    </row>
    <row r="536" spans="14:30" x14ac:dyDescent="0.25">
      <c r="N536" s="22"/>
      <c r="O536" s="22"/>
      <c r="P536" s="272"/>
      <c r="Q536" s="22"/>
      <c r="T536" s="595"/>
      <c r="AD536" s="10"/>
    </row>
    <row r="537" spans="14:30" x14ac:dyDescent="0.25">
      <c r="N537" s="22"/>
      <c r="O537" s="22"/>
      <c r="P537" s="272"/>
      <c r="Q537" s="22"/>
      <c r="T537" s="595"/>
      <c r="AD537" s="10"/>
    </row>
    <row r="538" spans="14:30" x14ac:dyDescent="0.25">
      <c r="N538" s="22"/>
      <c r="O538" s="22"/>
      <c r="P538" s="272"/>
      <c r="Q538" s="22"/>
      <c r="T538" s="595"/>
      <c r="AD538" s="10"/>
    </row>
    <row r="539" spans="14:30" x14ac:dyDescent="0.25">
      <c r="N539" s="22"/>
      <c r="O539" s="22"/>
      <c r="P539" s="272"/>
      <c r="Q539" s="22"/>
      <c r="T539" s="595"/>
      <c r="AD539" s="10"/>
    </row>
    <row r="540" spans="14:30" x14ac:dyDescent="0.25">
      <c r="N540" s="22"/>
      <c r="O540" s="22"/>
      <c r="P540" s="272"/>
    </row>
    <row r="541" spans="14:30" x14ac:dyDescent="0.25">
      <c r="N541" s="22"/>
      <c r="O541" s="22"/>
      <c r="P541" s="272"/>
    </row>
    <row r="542" spans="14:30" x14ac:dyDescent="0.25">
      <c r="N542" s="22"/>
      <c r="O542" s="22"/>
      <c r="P542" s="272"/>
    </row>
    <row r="543" spans="14:30" x14ac:dyDescent="0.25">
      <c r="N543" s="22"/>
      <c r="O543" s="22"/>
      <c r="P543" s="272"/>
    </row>
    <row r="544" spans="14:30" x14ac:dyDescent="0.25">
      <c r="N544" s="22"/>
      <c r="O544" s="22"/>
      <c r="P544" s="272"/>
    </row>
    <row r="545" spans="14:16" x14ac:dyDescent="0.25">
      <c r="N545" s="22"/>
      <c r="O545" s="22"/>
      <c r="P545" s="272"/>
    </row>
    <row r="546" spans="14:16" x14ac:dyDescent="0.25">
      <c r="N546" s="22"/>
      <c r="O546" s="22"/>
      <c r="P546" s="272"/>
    </row>
    <row r="547" spans="14:16" x14ac:dyDescent="0.25">
      <c r="N547" s="22"/>
      <c r="O547" s="22"/>
      <c r="P547" s="272"/>
    </row>
    <row r="548" spans="14:16" x14ac:dyDescent="0.25">
      <c r="N548" s="22"/>
      <c r="O548" s="22"/>
      <c r="P548" s="272"/>
    </row>
    <row r="549" spans="14:16" x14ac:dyDescent="0.25">
      <c r="N549" s="22"/>
      <c r="O549" s="22"/>
      <c r="P549" s="272"/>
    </row>
    <row r="550" spans="14:16" x14ac:dyDescent="0.25">
      <c r="N550" s="22"/>
      <c r="O550" s="22"/>
      <c r="P550" s="272"/>
    </row>
    <row r="551" spans="14:16" x14ac:dyDescent="0.25">
      <c r="N551" s="22"/>
      <c r="O551" s="22"/>
      <c r="P551" s="272"/>
    </row>
    <row r="552" spans="14:16" x14ac:dyDescent="0.25">
      <c r="N552" s="22"/>
      <c r="O552" s="22"/>
      <c r="P552" s="272"/>
    </row>
    <row r="553" spans="14:16" x14ac:dyDescent="0.25">
      <c r="N553" s="22"/>
      <c r="O553" s="22"/>
      <c r="P553" s="272"/>
    </row>
    <row r="554" spans="14:16" x14ac:dyDescent="0.25">
      <c r="N554" s="22"/>
      <c r="O554" s="22"/>
      <c r="P554" s="272"/>
    </row>
    <row r="555" spans="14:16" x14ac:dyDescent="0.25">
      <c r="N555" s="22"/>
      <c r="O555" s="22"/>
      <c r="P555" s="272"/>
    </row>
    <row r="556" spans="14:16" x14ac:dyDescent="0.25">
      <c r="N556" s="22"/>
      <c r="O556" s="22"/>
      <c r="P556" s="272"/>
    </row>
    <row r="557" spans="14:16" x14ac:dyDescent="0.25">
      <c r="N557" s="22"/>
      <c r="O557" s="22"/>
      <c r="P557" s="272"/>
    </row>
    <row r="558" spans="14:16" x14ac:dyDescent="0.25">
      <c r="N558" s="22"/>
      <c r="O558" s="22"/>
      <c r="P558" s="272"/>
    </row>
    <row r="559" spans="14:16" x14ac:dyDescent="0.25">
      <c r="N559" s="22"/>
      <c r="O559" s="22"/>
      <c r="P559" s="272"/>
    </row>
    <row r="560" spans="14:16" x14ac:dyDescent="0.25">
      <c r="N560" s="22"/>
      <c r="O560" s="22"/>
      <c r="P560" s="272"/>
    </row>
    <row r="561" spans="14:16" x14ac:dyDescent="0.25">
      <c r="N561" s="22"/>
      <c r="O561" s="22"/>
      <c r="P561" s="272"/>
    </row>
    <row r="562" spans="14:16" x14ac:dyDescent="0.25">
      <c r="N562" s="22"/>
      <c r="O562" s="22"/>
      <c r="P562" s="272"/>
    </row>
    <row r="563" spans="14:16" x14ac:dyDescent="0.25">
      <c r="N563" s="22"/>
      <c r="O563" s="22"/>
      <c r="P563" s="272"/>
    </row>
    <row r="564" spans="14:16" x14ac:dyDescent="0.25">
      <c r="N564" s="22"/>
      <c r="O564" s="22"/>
      <c r="P564" s="272"/>
    </row>
    <row r="565" spans="14:16" x14ac:dyDescent="0.25">
      <c r="N565" s="22"/>
      <c r="O565" s="22"/>
      <c r="P565" s="272"/>
    </row>
    <row r="566" spans="14:16" x14ac:dyDescent="0.25">
      <c r="N566" s="22"/>
      <c r="O566" s="22"/>
      <c r="P566" s="272"/>
    </row>
    <row r="567" spans="14:16" x14ac:dyDescent="0.25">
      <c r="N567" s="22"/>
      <c r="O567" s="22"/>
      <c r="P567" s="272"/>
    </row>
    <row r="568" spans="14:16" x14ac:dyDescent="0.25">
      <c r="N568" s="22"/>
      <c r="O568" s="22"/>
      <c r="P568" s="272"/>
    </row>
    <row r="569" spans="14:16" x14ac:dyDescent="0.25">
      <c r="N569" s="22"/>
      <c r="O569" s="22"/>
      <c r="P569" s="272"/>
    </row>
    <row r="570" spans="14:16" x14ac:dyDescent="0.25">
      <c r="N570" s="22"/>
      <c r="O570" s="22"/>
      <c r="P570" s="272"/>
    </row>
    <row r="571" spans="14:16" x14ac:dyDescent="0.25">
      <c r="N571" s="22"/>
      <c r="O571" s="22"/>
      <c r="P571" s="272"/>
    </row>
    <row r="572" spans="14:16" x14ac:dyDescent="0.25">
      <c r="N572" s="22"/>
      <c r="O572" s="22"/>
      <c r="P572" s="272"/>
    </row>
    <row r="573" spans="14:16" x14ac:dyDescent="0.25">
      <c r="N573" s="22"/>
      <c r="O573" s="22"/>
      <c r="P573" s="272"/>
    </row>
    <row r="574" spans="14:16" x14ac:dyDescent="0.25">
      <c r="N574" s="22"/>
      <c r="O574" s="22"/>
      <c r="P574" s="272"/>
    </row>
    <row r="575" spans="14:16" x14ac:dyDescent="0.25">
      <c r="N575" s="22"/>
      <c r="O575" s="22"/>
      <c r="P575" s="272"/>
    </row>
    <row r="576" spans="14:16" x14ac:dyDescent="0.25">
      <c r="N576" s="22"/>
      <c r="O576" s="22"/>
      <c r="P576" s="272"/>
    </row>
    <row r="577" spans="14:16" x14ac:dyDescent="0.25">
      <c r="N577" s="22"/>
      <c r="O577" s="22"/>
      <c r="P577" s="272"/>
    </row>
    <row r="578" spans="14:16" x14ac:dyDescent="0.25">
      <c r="N578" s="22"/>
      <c r="O578" s="22"/>
      <c r="P578" s="272"/>
    </row>
    <row r="579" spans="14:16" x14ac:dyDescent="0.25">
      <c r="N579" s="22"/>
      <c r="O579" s="22"/>
      <c r="P579" s="272"/>
    </row>
    <row r="580" spans="14:16" x14ac:dyDescent="0.25">
      <c r="N580" s="22"/>
      <c r="O580" s="22"/>
      <c r="P580" s="272"/>
    </row>
    <row r="581" spans="14:16" x14ac:dyDescent="0.25">
      <c r="N581" s="22"/>
      <c r="O581" s="22"/>
      <c r="P581" s="272"/>
    </row>
    <row r="582" spans="14:16" x14ac:dyDescent="0.25">
      <c r="N582" s="22"/>
      <c r="O582" s="22"/>
      <c r="P582" s="272"/>
    </row>
    <row r="583" spans="14:16" x14ac:dyDescent="0.25">
      <c r="N583" s="22"/>
      <c r="O583" s="22"/>
      <c r="P583" s="272"/>
    </row>
    <row r="584" spans="14:16" x14ac:dyDescent="0.25">
      <c r="N584" s="22"/>
      <c r="O584" s="22"/>
      <c r="P584" s="272"/>
    </row>
    <row r="585" spans="14:16" x14ac:dyDescent="0.25">
      <c r="N585" s="22"/>
      <c r="O585" s="22"/>
      <c r="P585" s="272"/>
    </row>
    <row r="586" spans="14:16" x14ac:dyDescent="0.25">
      <c r="N586" s="22"/>
      <c r="O586" s="22"/>
      <c r="P586" s="272"/>
    </row>
    <row r="587" spans="14:16" x14ac:dyDescent="0.25">
      <c r="N587" s="22"/>
      <c r="O587" s="22"/>
      <c r="P587" s="272"/>
    </row>
    <row r="588" spans="14:16" x14ac:dyDescent="0.25">
      <c r="N588" s="22"/>
      <c r="O588" s="22"/>
      <c r="P588" s="272"/>
    </row>
    <row r="589" spans="14:16" x14ac:dyDescent="0.25">
      <c r="N589" s="22"/>
      <c r="O589" s="22"/>
      <c r="P589" s="272"/>
    </row>
    <row r="590" spans="14:16" x14ac:dyDescent="0.25">
      <c r="N590" s="22"/>
      <c r="O590" s="22"/>
      <c r="P590" s="272"/>
    </row>
    <row r="591" spans="14:16" x14ac:dyDescent="0.25">
      <c r="N591" s="22"/>
      <c r="O591" s="22"/>
      <c r="P591" s="272"/>
    </row>
    <row r="592" spans="14:16" x14ac:dyDescent="0.25">
      <c r="N592" s="22"/>
      <c r="O592" s="22"/>
      <c r="P592" s="272"/>
    </row>
    <row r="593" spans="14:16" x14ac:dyDescent="0.25">
      <c r="N593" s="22"/>
      <c r="O593" s="22"/>
      <c r="P593" s="272"/>
    </row>
    <row r="594" spans="14:16" x14ac:dyDescent="0.25">
      <c r="N594" s="22"/>
      <c r="O594" s="22"/>
      <c r="P594" s="272"/>
    </row>
    <row r="595" spans="14:16" x14ac:dyDescent="0.25">
      <c r="N595" s="22"/>
      <c r="O595" s="22"/>
      <c r="P595" s="272"/>
    </row>
    <row r="596" spans="14:16" x14ac:dyDescent="0.25">
      <c r="N596" s="22"/>
      <c r="O596" s="22"/>
      <c r="P596" s="272"/>
    </row>
    <row r="597" spans="14:16" x14ac:dyDescent="0.25">
      <c r="N597" s="22"/>
      <c r="O597" s="22"/>
      <c r="P597" s="272"/>
    </row>
    <row r="598" spans="14:16" x14ac:dyDescent="0.25">
      <c r="N598" s="22"/>
      <c r="O598" s="22"/>
      <c r="P598" s="272"/>
    </row>
    <row r="599" spans="14:16" x14ac:dyDescent="0.25">
      <c r="N599" s="22"/>
      <c r="O599" s="22"/>
      <c r="P599" s="272"/>
    </row>
    <row r="600" spans="14:16" x14ac:dyDescent="0.25">
      <c r="N600" s="22"/>
      <c r="O600" s="22"/>
      <c r="P600" s="272"/>
    </row>
    <row r="601" spans="14:16" x14ac:dyDescent="0.25">
      <c r="N601" s="22"/>
      <c r="O601" s="22"/>
      <c r="P601" s="272"/>
    </row>
    <row r="602" spans="14:16" ht="18.75" customHeight="1" x14ac:dyDescent="0.25">
      <c r="N602" s="22"/>
      <c r="O602" s="22"/>
      <c r="P602" s="272"/>
    </row>
    <row r="603" spans="14:16" x14ac:dyDescent="0.25">
      <c r="N603" s="22"/>
      <c r="O603" s="22"/>
      <c r="P603" s="272"/>
    </row>
    <row r="604" spans="14:16" x14ac:dyDescent="0.25">
      <c r="N604" s="22"/>
      <c r="O604" s="22"/>
      <c r="P604" s="272"/>
    </row>
    <row r="605" spans="14:16" x14ac:dyDescent="0.25">
      <c r="N605" s="22"/>
      <c r="O605" s="22"/>
      <c r="P605" s="272"/>
    </row>
    <row r="606" spans="14:16" x14ac:dyDescent="0.25">
      <c r="N606" s="22"/>
      <c r="O606" s="22"/>
      <c r="P606" s="272"/>
    </row>
    <row r="607" spans="14:16" x14ac:dyDescent="0.25">
      <c r="N607" s="22"/>
      <c r="O607" s="22"/>
      <c r="P607" s="272"/>
    </row>
    <row r="608" spans="14:16" x14ac:dyDescent="0.25">
      <c r="N608" s="22"/>
      <c r="O608" s="22"/>
      <c r="P608" s="272"/>
    </row>
    <row r="609" spans="1:16" x14ac:dyDescent="0.25">
      <c r="N609" s="22"/>
      <c r="O609" s="22"/>
      <c r="P609" s="272"/>
    </row>
    <row r="610" spans="1:16" x14ac:dyDescent="0.25">
      <c r="N610" s="22"/>
      <c r="O610" s="22"/>
      <c r="P610" s="272"/>
    </row>
    <row r="611" spans="1:16" x14ac:dyDescent="0.25">
      <c r="N611" s="22"/>
      <c r="O611" s="22"/>
      <c r="P611" s="272"/>
    </row>
    <row r="612" spans="1:16" x14ac:dyDescent="0.25">
      <c r="N612" s="22"/>
      <c r="O612" s="22"/>
      <c r="P612" s="272"/>
    </row>
    <row r="613" spans="1:16" x14ac:dyDescent="0.25">
      <c r="N613" s="22"/>
      <c r="O613" s="22"/>
      <c r="P613" s="272"/>
    </row>
    <row r="614" spans="1:16" x14ac:dyDescent="0.25">
      <c r="N614" s="22"/>
      <c r="O614" s="22"/>
      <c r="P614" s="272"/>
    </row>
    <row r="615" spans="1:16" x14ac:dyDescent="0.25">
      <c r="N615" s="22"/>
      <c r="O615" s="22"/>
      <c r="P615" s="272"/>
    </row>
    <row r="616" spans="1:16" x14ac:dyDescent="0.25">
      <c r="N616" s="22"/>
      <c r="O616" s="22"/>
      <c r="P616" s="272"/>
    </row>
    <row r="617" spans="1:16" x14ac:dyDescent="0.25">
      <c r="N617" s="22"/>
      <c r="O617" s="22"/>
      <c r="P617" s="272"/>
    </row>
    <row r="618" spans="1:16" x14ac:dyDescent="0.25">
      <c r="N618" s="22"/>
      <c r="O618" s="22"/>
      <c r="P618" s="272"/>
    </row>
    <row r="621" spans="1:16" x14ac:dyDescent="0.25">
      <c r="A621" s="956"/>
      <c r="B621" s="956"/>
      <c r="C621" s="956"/>
      <c r="D621" s="956"/>
      <c r="E621" s="956"/>
      <c r="F621" s="956"/>
      <c r="G621" s="956"/>
      <c r="H621" s="956"/>
      <c r="I621" s="956"/>
      <c r="J621" s="956"/>
      <c r="K621" s="956"/>
      <c r="L621" s="956"/>
      <c r="M621" s="956"/>
      <c r="N621" s="956"/>
    </row>
    <row r="622" spans="1:16" x14ac:dyDescent="0.25">
      <c r="A622" s="956"/>
      <c r="B622" s="956"/>
      <c r="C622" s="956"/>
      <c r="D622" s="956"/>
      <c r="E622" s="956"/>
      <c r="F622" s="956"/>
      <c r="G622" s="956"/>
      <c r="H622" s="956"/>
      <c r="I622" s="956"/>
      <c r="J622" s="956"/>
      <c r="K622" s="956"/>
      <c r="L622" s="956"/>
      <c r="M622" s="956"/>
      <c r="N622" s="956"/>
    </row>
  </sheetData>
  <mergeCells count="1">
    <mergeCell ref="A621:N62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A3" sqref="A3"/>
    </sheetView>
  </sheetViews>
  <sheetFormatPr defaultColWidth="9.7109375" defaultRowHeight="15" x14ac:dyDescent="0.25"/>
  <cols>
    <col min="1" max="1" width="10" style="592" bestFit="1" customWidth="1"/>
    <col min="2" max="7" width="15" style="594" bestFit="1" customWidth="1"/>
    <col min="8" max="8" width="15" style="591" bestFit="1" customWidth="1"/>
    <col min="9" max="10" width="8.42578125" style="591" bestFit="1" customWidth="1"/>
    <col min="11" max="16384" width="9.7109375" style="591"/>
  </cols>
  <sheetData>
    <row r="1" spans="1:10" s="701" customFormat="1" ht="32.25" customHeight="1" x14ac:dyDescent="0.25">
      <c r="A1" s="707" t="s">
        <v>246</v>
      </c>
      <c r="B1" s="706" t="s">
        <v>232</v>
      </c>
      <c r="C1" s="706" t="s">
        <v>233</v>
      </c>
      <c r="D1" s="706" t="s">
        <v>234</v>
      </c>
      <c r="E1" s="706" t="s">
        <v>235</v>
      </c>
      <c r="F1" s="706" t="s">
        <v>236</v>
      </c>
      <c r="G1" s="706" t="s">
        <v>237</v>
      </c>
      <c r="H1" s="706" t="s">
        <v>238</v>
      </c>
      <c r="I1" s="708" t="s">
        <v>226</v>
      </c>
      <c r="J1" s="708" t="s">
        <v>231</v>
      </c>
    </row>
    <row r="2" spans="1:10" x14ac:dyDescent="0.25">
      <c r="A2" s="703">
        <v>41822</v>
      </c>
      <c r="B2" s="704">
        <f ca="1">VLOOKUP(A2,'Used GB Charts'!A:BE,30,FALSE)</f>
        <v>244.15859374999999</v>
      </c>
      <c r="C2" s="704">
        <f ca="1">VLOOKUP(A2,'Used GB Charts'!A:BE,31,FALSE)</f>
        <v>146.98896484375001</v>
      </c>
      <c r="D2" s="704">
        <f ca="1">VLOOKUP(A2,'Used GB Charts'!A:BE,32,FALSE)+VLOOKUP(A2,'Used GB Charts'!A:BE,34,FALSE)+VLOOKUP(A2,'Used GB Charts'!A:BE,36,FALSE)+VLOOKUP(A2,'Used GB Charts'!A:BE,37,FALSE)+VLOOKUP(A2,'Used GB Charts'!A:BE,38,FALSE)+VLOOKUP(A2,'Used GB Charts'!A:BE,50,FALSE)+VLOOKUP(A2,'Used GB Charts'!A:BE,51,FALSE)+VLOOKUP(A2,'Used GB Charts'!A:BE,53,FALSE)</f>
        <v>1164.3013671875001</v>
      </c>
      <c r="E2" s="704">
        <f ca="1">VLOOKUP(A2,'Used GB Charts'!A:BE,33,FALSE)+VLOOKUP(A2,'Used GB Charts'!A:BE,35,FALSE)+VLOOKUP(A2,'Used GB Charts'!A:BE,39,FALSE)</f>
        <v>776.9287109375</v>
      </c>
      <c r="F2" s="704">
        <f ca="1">VLOOKUP(A2,'Used GB Charts'!A:BE,40,FALSE)+VLOOKUP(A2,'Used GB Charts'!A:BE,41,FALSE)+VLOOKUP(A2,'Used GB Charts'!A:BE,46,FALSE)+VLOOKUP(A2,'Used GB Charts'!A:BE,55,FALSE)+VLOOKUP(A2,'Used GB Charts'!A:BE,56,FALSE)</f>
        <v>1375.6854492187499</v>
      </c>
      <c r="G2" s="704">
        <f ca="1">VLOOKUP(A2,'Used GB Charts'!A:BE,42,FALSE)+VLOOKUP(A2,'Used GB Charts'!A:BE,43,FALSE)+VLOOKUP(A2,'Used GB Charts'!A:BE,44,FALSE)++VLOOKUP(A2,'Used GB Charts'!A:BE,45,FALSE)+VLOOKUP(A2,'Used GB Charts'!A:BE,49,FALSE)+VLOOKUP(A2,'Used GB Charts'!A:BE,52,FALSE)+VLOOKUP(A2,'Used GB Charts'!A:BE,54,FALSE)</f>
        <v>1127.94501953125</v>
      </c>
      <c r="H2" s="704">
        <f ca="1">VLOOKUP(A2,'Used GB Charts'!A:BE,47,FALSE)+VLOOKUP(A2,'Used GB Charts'!A:BE,48,FALSE)</f>
        <v>86.17333984375</v>
      </c>
      <c r="I2" s="704">
        <f t="shared" ref="I2" ca="1" si="0">SUM(B2:H2)</f>
        <v>4922.1814453124998</v>
      </c>
      <c r="J2" s="704">
        <f ca="1">I2-I16</f>
        <v>1149.1873046874998</v>
      </c>
    </row>
    <row r="3" spans="1:10" s="743" customFormat="1" x14ac:dyDescent="0.25">
      <c r="A3" s="703">
        <v>41815</v>
      </c>
      <c r="B3" s="704">
        <f ca="1">VLOOKUP(A3,'Used GB Charts'!A:BE,30,FALSE)</f>
        <v>244.15859374999999</v>
      </c>
      <c r="C3" s="704">
        <f ca="1">VLOOKUP(A3,'Used GB Charts'!A:BE,31,FALSE)</f>
        <v>146.98896484375001</v>
      </c>
      <c r="D3" s="704">
        <f ca="1">VLOOKUP(A3,'Used GB Charts'!A:BE,32,FALSE)+VLOOKUP(A3,'Used GB Charts'!A:BE,34,FALSE)+VLOOKUP(A3,'Used GB Charts'!A:BE,36,FALSE)+VLOOKUP(A3,'Used GB Charts'!A:BE,37,FALSE)+VLOOKUP(A3,'Used GB Charts'!A:BE,38,FALSE)+VLOOKUP(A3,'Used GB Charts'!A:BE,50,FALSE)+VLOOKUP(A3,'Used GB Charts'!A:BE,51,FALSE)+VLOOKUP(A3,'Used GB Charts'!A:BE,53,FALSE)</f>
        <v>1164.3013671875001</v>
      </c>
      <c r="E3" s="704">
        <f ca="1">VLOOKUP(A3,'Used GB Charts'!A:BE,33,FALSE)+VLOOKUP(A3,'Used GB Charts'!A:BE,35,FALSE)+VLOOKUP(A3,'Used GB Charts'!A:BE,39,FALSE)</f>
        <v>776.9287109375</v>
      </c>
      <c r="F3" s="704">
        <f ca="1">VLOOKUP(A3,'Used GB Charts'!A:BE,40,FALSE)+VLOOKUP(A3,'Used GB Charts'!A:BE,41,FALSE)+VLOOKUP(A3,'Used GB Charts'!A:BE,46,FALSE)+VLOOKUP(A3,'Used GB Charts'!A:BE,55,FALSE)+VLOOKUP(A3,'Used GB Charts'!A:BE,56,FALSE)</f>
        <v>1375.6854492187499</v>
      </c>
      <c r="G3" s="704">
        <f ca="1">VLOOKUP(A3,'Used GB Charts'!A:BE,42,FALSE)+VLOOKUP(A3,'Used GB Charts'!A:BE,43,FALSE)+VLOOKUP(A3,'Used GB Charts'!A:BE,44,FALSE)++VLOOKUP(A3,'Used GB Charts'!A:BE,45,FALSE)+VLOOKUP(A3,'Used GB Charts'!A:BE,49,FALSE)+VLOOKUP(A3,'Used GB Charts'!A:BE,52,FALSE)+VLOOKUP(A3,'Used GB Charts'!A:BE,54,FALSE)</f>
        <v>1127.94501953125</v>
      </c>
      <c r="H3" s="704">
        <f ca="1">VLOOKUP(A3,'Used GB Charts'!A:BE,47,FALSE)+VLOOKUP(A3,'Used GB Charts'!A:BE,48,FALSE)</f>
        <v>86.17333984375</v>
      </c>
      <c r="I3" s="704">
        <f t="shared" ref="I3" ca="1" si="1">SUM(B3:H3)</f>
        <v>4922.1814453124998</v>
      </c>
      <c r="J3" s="704">
        <f ca="1">I3-I17</f>
        <v>1149.1873046874998</v>
      </c>
    </row>
    <row r="4" spans="1:10" s="743" customFormat="1" x14ac:dyDescent="0.25">
      <c r="A4" s="703">
        <v>41808</v>
      </c>
      <c r="B4" s="704">
        <f ca="1">VLOOKUP(A4,'Used GB Charts'!A:BE,30,FALSE)</f>
        <v>244.15859374999999</v>
      </c>
      <c r="C4" s="704">
        <f ca="1">VLOOKUP(A4,'Used GB Charts'!A:BE,31,FALSE)</f>
        <v>146.98896484375001</v>
      </c>
      <c r="D4" s="704">
        <f ca="1">VLOOKUP(A4,'Used GB Charts'!A:BE,32,FALSE)+VLOOKUP(A4,'Used GB Charts'!A:BE,34,FALSE)+VLOOKUP(A4,'Used GB Charts'!A:BE,36,FALSE)+VLOOKUP(A4,'Used GB Charts'!A:BE,37,FALSE)+VLOOKUP(A4,'Used GB Charts'!A:BE,38,FALSE)+VLOOKUP(A4,'Used GB Charts'!A:BE,50,FALSE)+VLOOKUP(A4,'Used GB Charts'!A:BE,51,FALSE)+VLOOKUP(A4,'Used GB Charts'!A:BE,53,FALSE)</f>
        <v>1164.3013671875001</v>
      </c>
      <c r="E4" s="704">
        <f ca="1">VLOOKUP(A4,'Used GB Charts'!A:BE,33,FALSE)+VLOOKUP(A4,'Used GB Charts'!A:BE,35,FALSE)+VLOOKUP(A4,'Used GB Charts'!A:BE,39,FALSE)</f>
        <v>776.9287109375</v>
      </c>
      <c r="F4" s="704">
        <f ca="1">VLOOKUP(A4,'Used GB Charts'!A:BE,40,FALSE)+VLOOKUP(A4,'Used GB Charts'!A:BE,41,FALSE)+VLOOKUP(A4,'Used GB Charts'!A:BE,46,FALSE)+VLOOKUP(A4,'Used GB Charts'!A:BE,55,FALSE)+VLOOKUP(A4,'Used GB Charts'!A:BE,56,FALSE)</f>
        <v>1311.1958984374999</v>
      </c>
      <c r="G4" s="704">
        <f ca="1">VLOOKUP(A4,'Used GB Charts'!A:BE,42,FALSE)+VLOOKUP(A4,'Used GB Charts'!A:BE,43,FALSE)+VLOOKUP(A4,'Used GB Charts'!A:BE,44,FALSE)++VLOOKUP(A4,'Used GB Charts'!A:BE,45,FALSE)+VLOOKUP(A4,'Used GB Charts'!A:BE,49,FALSE)+VLOOKUP(A4,'Used GB Charts'!A:BE,52,FALSE)+VLOOKUP(A4,'Used GB Charts'!A:BE,54,FALSE)</f>
        <v>1127.94501953125</v>
      </c>
      <c r="H4" s="704">
        <f ca="1">VLOOKUP(A4,'Used GB Charts'!A:BE,47,FALSE)+VLOOKUP(A4,'Used GB Charts'!A:BE,48,FALSE)</f>
        <v>86.17333984375</v>
      </c>
      <c r="I4" s="704">
        <f t="shared" ref="I4" ca="1" si="2">SUM(B4:H4)</f>
        <v>4857.69189453125</v>
      </c>
      <c r="J4" s="704">
        <f ca="1">I4-I17</f>
        <v>1084.69775390625</v>
      </c>
    </row>
    <row r="5" spans="1:10" s="743" customFormat="1" x14ac:dyDescent="0.25">
      <c r="A5" s="703">
        <v>41801</v>
      </c>
      <c r="B5" s="704">
        <f ca="1">VLOOKUP(A5,'Used GB Charts'!A:BE,30,FALSE)</f>
        <v>244.15859374999999</v>
      </c>
      <c r="C5" s="704">
        <f ca="1">VLOOKUP(A5,'Used GB Charts'!A:BE,31,FALSE)</f>
        <v>146.98896484375001</v>
      </c>
      <c r="D5" s="704">
        <f ca="1">VLOOKUP(A5,'Used GB Charts'!A:BE,32,FALSE)+VLOOKUP(A5,'Used GB Charts'!A:BE,34,FALSE)+VLOOKUP(A5,'Used GB Charts'!A:BE,36,FALSE)+VLOOKUP(A5,'Used GB Charts'!A:BE,37,FALSE)+VLOOKUP(A5,'Used GB Charts'!A:BE,38,FALSE)+VLOOKUP(A5,'Used GB Charts'!A:BE,50,FALSE)+VLOOKUP(A5,'Used GB Charts'!A:BE,51,FALSE)+VLOOKUP(A5,'Used GB Charts'!A:BE,53,FALSE)</f>
        <v>1164.3013671875001</v>
      </c>
      <c r="E5" s="704">
        <f ca="1">VLOOKUP(A5,'Used GB Charts'!A:BE,33,FALSE)+VLOOKUP(A5,'Used GB Charts'!A:BE,35,FALSE)+VLOOKUP(A5,'Used GB Charts'!A:BE,39,FALSE)</f>
        <v>776.9287109375</v>
      </c>
      <c r="F5" s="704">
        <f ca="1">VLOOKUP(A5,'Used GB Charts'!A:BE,40,FALSE)+VLOOKUP(A5,'Used GB Charts'!A:BE,41,FALSE)+VLOOKUP(A5,'Used GB Charts'!A:BE,46,FALSE)+VLOOKUP(A5,'Used GB Charts'!A:BE,55,FALSE)+VLOOKUP(A5,'Used GB Charts'!A:BE,56,FALSE)</f>
        <v>1091.4151367187501</v>
      </c>
      <c r="G5" s="704">
        <f ca="1">VLOOKUP(A5,'Used GB Charts'!A:BE,42,FALSE)+VLOOKUP(A5,'Used GB Charts'!A:BE,43,FALSE)+VLOOKUP(A5,'Used GB Charts'!A:BE,44,FALSE)++VLOOKUP(A5,'Used GB Charts'!A:BE,45,FALSE)+VLOOKUP(A5,'Used GB Charts'!A:BE,49,FALSE)+VLOOKUP(A5,'Used GB Charts'!A:BE,52,FALSE)+VLOOKUP(A5,'Used GB Charts'!A:BE,54,FALSE)</f>
        <v>1127.94501953125</v>
      </c>
      <c r="H5" s="704">
        <f ca="1">VLOOKUP(A5,'Used GB Charts'!A:BE,47,FALSE)+VLOOKUP(A5,'Used GB Charts'!A:BE,48,FALSE)</f>
        <v>86.17333984375</v>
      </c>
      <c r="I5" s="704">
        <f t="shared" ref="I5" ca="1" si="3">SUM(B5:H5)</f>
        <v>4637.9111328125</v>
      </c>
      <c r="J5" s="704">
        <f ca="1">I5-I17</f>
        <v>864.9169921875</v>
      </c>
    </row>
    <row r="6" spans="1:10" s="743" customFormat="1" x14ac:dyDescent="0.25">
      <c r="A6" s="703">
        <v>41794</v>
      </c>
      <c r="B6" s="704">
        <f ca="1">VLOOKUP(A6,'Used GB Charts'!A:BE,30,FALSE)</f>
        <v>244.15859374999999</v>
      </c>
      <c r="C6" s="704">
        <f ca="1">VLOOKUP(A6,'Used GB Charts'!A:BE,31,FALSE)</f>
        <v>146.98896484375001</v>
      </c>
      <c r="D6" s="704">
        <f ca="1">VLOOKUP(A6,'Used GB Charts'!A:BE,32,FALSE)+VLOOKUP(A6,'Used GB Charts'!A:BE,34,FALSE)+VLOOKUP(A6,'Used GB Charts'!A:BE,36,FALSE)+VLOOKUP(A6,'Used GB Charts'!A:BE,37,FALSE)+VLOOKUP(A6,'Used GB Charts'!A:BE,38,FALSE)+VLOOKUP(A6,'Used GB Charts'!A:BE,50,FALSE)+VLOOKUP(A6,'Used GB Charts'!A:BE,51,FALSE)+VLOOKUP(A6,'Used GB Charts'!A:BE,53,FALSE)</f>
        <v>1164.3013671875001</v>
      </c>
      <c r="E6" s="704">
        <f ca="1">VLOOKUP(A6,'Used GB Charts'!A:BE,33,FALSE)+VLOOKUP(A6,'Used GB Charts'!A:BE,35,FALSE)+VLOOKUP(A6,'Used GB Charts'!A:BE,39,FALSE)</f>
        <v>776.9287109375</v>
      </c>
      <c r="F6" s="704">
        <f ca="1">VLOOKUP(A6,'Used GB Charts'!A:BE,40,FALSE)+VLOOKUP(A6,'Used GB Charts'!A:BE,41,FALSE)+VLOOKUP(A6,'Used GB Charts'!A:BE,46,FALSE)+VLOOKUP(A6,'Used GB Charts'!A:BE,55,FALSE)+VLOOKUP(A6,'Used GB Charts'!A:BE,56,FALSE)</f>
        <v>1091.4151367187501</v>
      </c>
      <c r="G6" s="704">
        <f ca="1">VLOOKUP(A6,'Used GB Charts'!A:BE,42,FALSE)+VLOOKUP(A6,'Used GB Charts'!A:BE,43,FALSE)+VLOOKUP(A6,'Used GB Charts'!A:BE,44,FALSE)++VLOOKUP(A6,'Used GB Charts'!A:BE,45,FALSE)+VLOOKUP(A6,'Used GB Charts'!A:BE,49,FALSE)+VLOOKUP(A6,'Used GB Charts'!A:BE,52,FALSE)+VLOOKUP(A6,'Used GB Charts'!A:BE,54,FALSE)</f>
        <v>1127.94501953125</v>
      </c>
      <c r="H6" s="704">
        <f ca="1">VLOOKUP(A6,'Used GB Charts'!A:BE,47,FALSE)+VLOOKUP(A6,'Used GB Charts'!A:BE,48,FALSE)</f>
        <v>86.17333984375</v>
      </c>
      <c r="I6" s="704">
        <f t="shared" ref="I6" ca="1" si="4">SUM(B6:H6)</f>
        <v>4637.9111328125</v>
      </c>
      <c r="J6" s="704">
        <f ca="1">I6-I17</f>
        <v>864.9169921875</v>
      </c>
    </row>
    <row r="7" spans="1:10" s="743" customFormat="1" x14ac:dyDescent="0.25">
      <c r="A7" s="703">
        <v>41787</v>
      </c>
      <c r="B7" s="704">
        <f ca="1">VLOOKUP(A7,'Used GB Charts'!A:BE,30,FALSE)</f>
        <v>244.15859374999999</v>
      </c>
      <c r="C7" s="704">
        <f ca="1">VLOOKUP(A7,'Used GB Charts'!A:BE,31,FALSE)</f>
        <v>146.98896484375001</v>
      </c>
      <c r="D7" s="704">
        <f ca="1">VLOOKUP(A7,'Used GB Charts'!A:BE,32,FALSE)+VLOOKUP(A7,'Used GB Charts'!A:BE,34,FALSE)+VLOOKUP(A7,'Used GB Charts'!A:BE,36,FALSE)+VLOOKUP(A7,'Used GB Charts'!A:BE,37,FALSE)+VLOOKUP(A7,'Used GB Charts'!A:BE,38,FALSE)+VLOOKUP(A7,'Used GB Charts'!A:BE,50,FALSE)+VLOOKUP(A7,'Used GB Charts'!A:BE,51,FALSE)+VLOOKUP(A7,'Used GB Charts'!A:BE,53,FALSE)</f>
        <v>1164.3013671875001</v>
      </c>
      <c r="E7" s="704">
        <f ca="1">VLOOKUP(A7,'Used GB Charts'!A:BE,33,FALSE)+VLOOKUP(A7,'Used GB Charts'!A:BE,35,FALSE)+VLOOKUP(A7,'Used GB Charts'!A:BE,39,FALSE)</f>
        <v>776.9287109375</v>
      </c>
      <c r="F7" s="704">
        <f ca="1">VLOOKUP(A7,'Used GB Charts'!A:BE,40,FALSE)+VLOOKUP(A7,'Used GB Charts'!A:BE,41,FALSE)+VLOOKUP(A7,'Used GB Charts'!A:BE,46,FALSE)+VLOOKUP(A7,'Used GB Charts'!A:BE,55,FALSE)+VLOOKUP(A7,'Used GB Charts'!A:BE,56,FALSE)</f>
        <v>1091.4151367187501</v>
      </c>
      <c r="G7" s="704">
        <f ca="1">VLOOKUP(A7,'Used GB Charts'!A:BE,42,FALSE)+VLOOKUP(A7,'Used GB Charts'!A:BE,43,FALSE)+VLOOKUP(A7,'Used GB Charts'!A:BE,44,FALSE)++VLOOKUP(A7,'Used GB Charts'!A:BE,45,FALSE)+VLOOKUP(A7,'Used GB Charts'!A:BE,49,FALSE)+VLOOKUP(A7,'Used GB Charts'!A:BE,52,FALSE)+VLOOKUP(A7,'Used GB Charts'!A:BE,54,FALSE)</f>
        <v>1127.94501953125</v>
      </c>
      <c r="H7" s="704">
        <f ca="1">VLOOKUP(A7,'Used GB Charts'!A:BE,47,FALSE)+VLOOKUP(A7,'Used GB Charts'!A:BE,48,FALSE)</f>
        <v>86.17333984375</v>
      </c>
      <c r="I7" s="704">
        <f t="shared" ref="I7" ca="1" si="5">SUM(B7:H7)</f>
        <v>4637.9111328125</v>
      </c>
      <c r="J7" s="704">
        <f ca="1">I7-I17</f>
        <v>864.9169921875</v>
      </c>
    </row>
    <row r="8" spans="1:10" s="743" customFormat="1" x14ac:dyDescent="0.25">
      <c r="A8" s="703">
        <v>41780</v>
      </c>
      <c r="B8" s="704">
        <f ca="1">VLOOKUP(A8,'Used GB Charts'!A:BE,30,FALSE)</f>
        <v>244.15859374999999</v>
      </c>
      <c r="C8" s="704">
        <f ca="1">VLOOKUP(A8,'Used GB Charts'!A:BE,31,FALSE)</f>
        <v>146.98896484375001</v>
      </c>
      <c r="D8" s="704">
        <f ca="1">VLOOKUP(A8,'Used GB Charts'!A:BE,32,FALSE)+VLOOKUP(A8,'Used GB Charts'!A:BE,34,FALSE)+VLOOKUP(A8,'Used GB Charts'!A:BE,36,FALSE)+VLOOKUP(A8,'Used GB Charts'!A:BE,37,FALSE)+VLOOKUP(A8,'Used GB Charts'!A:BE,38,FALSE)+VLOOKUP(A8,'Used GB Charts'!A:BE,50,FALSE)+VLOOKUP(A8,'Used GB Charts'!A:BE,51,FALSE)+VLOOKUP(A8,'Used GB Charts'!A:BE,53,FALSE)</f>
        <v>1164.3013671875001</v>
      </c>
      <c r="E8" s="704">
        <f ca="1">VLOOKUP(A8,'Used GB Charts'!A:BE,33,FALSE)+VLOOKUP(A8,'Used GB Charts'!A:BE,35,FALSE)+VLOOKUP(A8,'Used GB Charts'!A:BE,39,FALSE)</f>
        <v>776.9287109375</v>
      </c>
      <c r="F8" s="704">
        <f ca="1">VLOOKUP(A8,'Used GB Charts'!A:BE,40,FALSE)+VLOOKUP(A8,'Used GB Charts'!A:BE,41,FALSE)+VLOOKUP(A8,'Used GB Charts'!A:BE,46,FALSE)+VLOOKUP(A8,'Used GB Charts'!A:BE,55,FALSE)+VLOOKUP(A8,'Used GB Charts'!A:BE,56,FALSE)</f>
        <v>1091.4151367187501</v>
      </c>
      <c r="G8" s="704">
        <f ca="1">VLOOKUP(A8,'Used GB Charts'!A:BE,42,FALSE)+VLOOKUP(A8,'Used GB Charts'!A:BE,43,FALSE)+VLOOKUP(A8,'Used GB Charts'!A:BE,44,FALSE)++VLOOKUP(A8,'Used GB Charts'!A:BE,45,FALSE)+VLOOKUP(A8,'Used GB Charts'!A:BE,49,FALSE)+VLOOKUP(A8,'Used GB Charts'!A:BE,52,FALSE)+VLOOKUP(A8,'Used GB Charts'!A:BE,54,FALSE)</f>
        <v>1127.94501953125</v>
      </c>
      <c r="H8" s="704">
        <f ca="1">VLOOKUP(A8,'Used GB Charts'!A:BE,47,FALSE)+VLOOKUP(A8,'Used GB Charts'!A:BE,48,FALSE)</f>
        <v>86.17333984375</v>
      </c>
      <c r="I8" s="704">
        <f t="shared" ref="I8" ca="1" si="6">SUM(B8:H8)</f>
        <v>4637.9111328125</v>
      </c>
      <c r="J8" s="704">
        <f ca="1">I8-I17</f>
        <v>864.9169921875</v>
      </c>
    </row>
    <row r="9" spans="1:10" s="743" customFormat="1" x14ac:dyDescent="0.25">
      <c r="A9" s="703">
        <v>41773</v>
      </c>
      <c r="B9" s="704">
        <f ca="1">VLOOKUP(A9,'Used GB Charts'!A:BE,30,FALSE)</f>
        <v>244.15859374999999</v>
      </c>
      <c r="C9" s="704">
        <f ca="1">VLOOKUP(A9,'Used GB Charts'!A:BE,31,FALSE)</f>
        <v>146.98896484375001</v>
      </c>
      <c r="D9" s="704">
        <f ca="1">VLOOKUP(A9,'Used GB Charts'!A:BE,32,FALSE)+VLOOKUP(A9,'Used GB Charts'!A:BE,34,FALSE)+VLOOKUP(A9,'Used GB Charts'!A:BE,36,FALSE)+VLOOKUP(A9,'Used GB Charts'!A:BE,37,FALSE)+VLOOKUP(A9,'Used GB Charts'!A:BE,38,FALSE)+VLOOKUP(A9,'Used GB Charts'!A:BE,50,FALSE)+VLOOKUP(A9,'Used GB Charts'!A:BE,51,FALSE)+VLOOKUP(A9,'Used GB Charts'!A:BE,53,FALSE)</f>
        <v>1164.3013671875001</v>
      </c>
      <c r="E9" s="704">
        <f ca="1">VLOOKUP(A9,'Used GB Charts'!A:BE,33,FALSE)+VLOOKUP(A9,'Used GB Charts'!A:BE,35,FALSE)+VLOOKUP(A9,'Used GB Charts'!A:BE,39,FALSE)</f>
        <v>776.9287109375</v>
      </c>
      <c r="F9" s="704">
        <f ca="1">VLOOKUP(A9,'Used GB Charts'!A:BE,40,FALSE)+VLOOKUP(A9,'Used GB Charts'!A:BE,41,FALSE)+VLOOKUP(A9,'Used GB Charts'!A:BE,46,FALSE)+VLOOKUP(A9,'Used GB Charts'!A:BE,55,FALSE)+VLOOKUP(A9,'Used GB Charts'!A:BE,56,FALSE)</f>
        <v>835.27363281249995</v>
      </c>
      <c r="G9" s="704">
        <f ca="1">VLOOKUP(A9,'Used GB Charts'!A:BE,42,FALSE)+VLOOKUP(A9,'Used GB Charts'!A:BE,43,FALSE)+VLOOKUP(A9,'Used GB Charts'!A:BE,44,FALSE)++VLOOKUP(A9,'Used GB Charts'!A:BE,45,FALSE)+VLOOKUP(A9,'Used GB Charts'!A:BE,49,FALSE)+VLOOKUP(A9,'Used GB Charts'!A:BE,52,FALSE)+VLOOKUP(A9,'Used GB Charts'!A:BE,54,FALSE)</f>
        <v>1127.94501953125</v>
      </c>
      <c r="H9" s="704">
        <f ca="1">VLOOKUP(A9,'Used GB Charts'!A:BE,47,FALSE)+VLOOKUP(A9,'Used GB Charts'!A:BE,48,FALSE)</f>
        <v>86.17333984375</v>
      </c>
      <c r="I9" s="704">
        <f t="shared" ref="I9" ca="1" si="7">SUM(B9:H9)</f>
        <v>4381.7696289062505</v>
      </c>
      <c r="J9" s="704">
        <f ca="1">I9-I17</f>
        <v>608.77548828125055</v>
      </c>
    </row>
    <row r="10" spans="1:10" s="743" customFormat="1" x14ac:dyDescent="0.25">
      <c r="A10" s="703">
        <v>41766</v>
      </c>
      <c r="B10" s="704">
        <f ca="1">VLOOKUP(A10,'Used GB Charts'!A:BE,30,FALSE)</f>
        <v>244.158203125</v>
      </c>
      <c r="C10" s="704">
        <f ca="1">VLOOKUP(A10,'Used GB Charts'!A:BE,31,FALSE)</f>
        <v>146.9892578125</v>
      </c>
      <c r="D10" s="704">
        <f ca="1">VLOOKUP(A10,'Used GB Charts'!A:BE,32,FALSE)+VLOOKUP(A10,'Used GB Charts'!A:BE,34,FALSE)+VLOOKUP(A10,'Used GB Charts'!A:BE,36,FALSE)+VLOOKUP(A10,'Used GB Charts'!A:BE,37,FALSE)+VLOOKUP(A10,'Used GB Charts'!A:BE,38,FALSE)+VLOOKUP(A10,'Used GB Charts'!A:BE,50,FALSE)+VLOOKUP(A10,'Used GB Charts'!A:BE,51,FALSE)+VLOOKUP(A10,'Used GB Charts'!A:BE,53,FALSE)</f>
        <v>1164.3037109375</v>
      </c>
      <c r="E10" s="704">
        <f ca="1">VLOOKUP(A10,'Used GB Charts'!A:BE,33,FALSE)+VLOOKUP(A10,'Used GB Charts'!A:BE,35,FALSE)+VLOOKUP(A10,'Used GB Charts'!A:BE,39,FALSE)</f>
        <v>776.9287109375</v>
      </c>
      <c r="F10" s="704">
        <f ca="1">VLOOKUP(A10,'Used GB Charts'!A:BE,40,FALSE)+VLOOKUP(A10,'Used GB Charts'!A:BE,41,FALSE)+VLOOKUP(A10,'Used GB Charts'!A:BE,46,FALSE)+VLOOKUP(A10,'Used GB Charts'!A:BE,55,FALSE)+VLOOKUP(A10,'Used GB Charts'!A:BE,56,FALSE)</f>
        <v>835.2734375</v>
      </c>
      <c r="G10" s="704">
        <f ca="1">VLOOKUP(A10,'Used GB Charts'!A:BE,42,FALSE)+VLOOKUP(A10,'Used GB Charts'!A:BE,43,FALSE)+VLOOKUP(A10,'Used GB Charts'!A:BE,44,FALSE)++VLOOKUP(A10,'Used GB Charts'!A:BE,45,FALSE)+VLOOKUP(A10,'Used GB Charts'!A:BE,49,FALSE)+VLOOKUP(A10,'Used GB Charts'!A:BE,52,FALSE)+VLOOKUP(A10,'Used GB Charts'!A:BE,54,FALSE)</f>
        <v>1127.9462890625</v>
      </c>
      <c r="H10" s="704">
        <f ca="1">VLOOKUP(A10,'Used GB Charts'!A:BE,47,FALSE)+VLOOKUP(A10,'Used GB Charts'!A:BE,48,FALSE)</f>
        <v>86.173828125</v>
      </c>
      <c r="I10" s="704">
        <f t="shared" ref="I10" ca="1" si="8">SUM(B10:H10)</f>
        <v>4381.7734375</v>
      </c>
      <c r="J10" s="704">
        <f ca="1">I10-I17</f>
        <v>608.779296875</v>
      </c>
    </row>
    <row r="11" spans="1:10" s="743" customFormat="1" x14ac:dyDescent="0.25">
      <c r="A11" s="703">
        <v>41752</v>
      </c>
      <c r="B11" s="704">
        <f ca="1">VLOOKUP(A11,'Used GB Charts'!A:BE,30,FALSE)</f>
        <v>244.15859374999999</v>
      </c>
      <c r="C11" s="704">
        <f ca="1">VLOOKUP(A11,'Used GB Charts'!A:BE,31,FALSE)</f>
        <v>146.98896484375001</v>
      </c>
      <c r="D11" s="704">
        <f ca="1">VLOOKUP(A11,'Used GB Charts'!A:BE,32,FALSE)+VLOOKUP(A11,'Used GB Charts'!A:BE,34,FALSE)+VLOOKUP(A11,'Used GB Charts'!A:BE,36,FALSE)+VLOOKUP(A11,'Used GB Charts'!A:BE,37,FALSE)+VLOOKUP(A11,'Used GB Charts'!A:BE,38,FALSE)+VLOOKUP(A11,'Used GB Charts'!A:BE,50,FALSE)+VLOOKUP(A11,'Used GB Charts'!A:BE,51,FALSE)+VLOOKUP(A11,'Used GB Charts'!A:BE,53,FALSE)</f>
        <v>1064.5</v>
      </c>
      <c r="E11" s="704">
        <f ca="1">VLOOKUP(A11,'Used GB Charts'!A:BE,33,FALSE)+VLOOKUP(A11,'Used GB Charts'!A:BE,35,FALSE)+VLOOKUP(A11,'Used GB Charts'!A:BE,39,FALSE)</f>
        <v>776.9287109375</v>
      </c>
      <c r="F11" s="704">
        <f ca="1">VLOOKUP(A11,'Used GB Charts'!A:BE,40,FALSE)+VLOOKUP(A11,'Used GB Charts'!A:BE,41,FALSE)+VLOOKUP(A11,'Used GB Charts'!A:BE,46,FALSE)+VLOOKUP(A11,'Used GB Charts'!A:BE,55,FALSE)+VLOOKUP(A11,'Used GB Charts'!A:BE,56,FALSE)</f>
        <v>835.27363281249995</v>
      </c>
      <c r="G11" s="704">
        <f ca="1">VLOOKUP(A11,'Used GB Charts'!A:BE,42,FALSE)+VLOOKUP(A11,'Used GB Charts'!A:BE,43,FALSE)+VLOOKUP(A11,'Used GB Charts'!A:BE,44,FALSE)++VLOOKUP(A11,'Used GB Charts'!A:BE,45,FALSE)+VLOOKUP(A11,'Used GB Charts'!A:BE,49,FALSE)+VLOOKUP(A11,'Used GB Charts'!A:BE,52,FALSE)+VLOOKUP(A11,'Used GB Charts'!A:BE,54,FALSE)</f>
        <v>923.35859374999995</v>
      </c>
      <c r="H11" s="704">
        <f ca="1">VLOOKUP(A11,'Used GB Charts'!A:BE,47,FALSE)+VLOOKUP(A11,'Used GB Charts'!A:BE,48,FALSE)</f>
        <v>86.17333984375</v>
      </c>
      <c r="I11" s="704">
        <f t="shared" ref="I11" ca="1" si="9">SUM(B11:H11)</f>
        <v>4077.3818359375</v>
      </c>
      <c r="J11" s="704">
        <f ca="1">I11-I17</f>
        <v>304.3876953125</v>
      </c>
    </row>
    <row r="12" spans="1:10" s="743" customFormat="1" x14ac:dyDescent="0.25">
      <c r="A12" s="703">
        <v>41745</v>
      </c>
      <c r="B12" s="704">
        <f ca="1">VLOOKUP(A12,'Used GB Charts'!A:BE,30,FALSE)</f>
        <v>244.15859374999999</v>
      </c>
      <c r="C12" s="704">
        <f ca="1">VLOOKUP(A12,'Used GB Charts'!A:BE,31,FALSE)</f>
        <v>146.98896484375001</v>
      </c>
      <c r="D12" s="704">
        <f ca="1">VLOOKUP(A12,'Used GB Charts'!A:BE,32,FALSE)+VLOOKUP(A12,'Used GB Charts'!A:BE,34,FALSE)+VLOOKUP(A12,'Used GB Charts'!A:BE,36,FALSE)+VLOOKUP(A12,'Used GB Charts'!A:BE,37,FALSE)+VLOOKUP(A12,'Used GB Charts'!A:BE,38,FALSE)+VLOOKUP(A12,'Used GB Charts'!A:BE,50,FALSE)+VLOOKUP(A12,'Used GB Charts'!A:BE,51,FALSE)+VLOOKUP(A12,'Used GB Charts'!A:BE,53,FALSE)</f>
        <v>1064.5</v>
      </c>
      <c r="E12" s="704">
        <f ca="1">VLOOKUP(A12,'Used GB Charts'!A:BE,33,FALSE)+VLOOKUP(A12,'Used GB Charts'!A:BE,35,FALSE)+VLOOKUP(A12,'Used GB Charts'!A:BE,39,FALSE)</f>
        <v>776.9287109375</v>
      </c>
      <c r="F12" s="704">
        <f ca="1">VLOOKUP(A12,'Used GB Charts'!A:BE,40,FALSE)+VLOOKUP(A12,'Used GB Charts'!A:BE,41,FALSE)+VLOOKUP(A12,'Used GB Charts'!A:BE,46,FALSE)+VLOOKUP(A12,'Used GB Charts'!A:BE,55,FALSE)+VLOOKUP(A12,'Used GB Charts'!A:BE,56,FALSE)</f>
        <v>835.27363281249995</v>
      </c>
      <c r="G12" s="704">
        <f ca="1">VLOOKUP(A12,'Used GB Charts'!A:BE,42,FALSE)+VLOOKUP(A12,'Used GB Charts'!A:BE,43,FALSE)+VLOOKUP(A12,'Used GB Charts'!A:BE,44,FALSE)++VLOOKUP(A12,'Used GB Charts'!A:BE,45,FALSE)+VLOOKUP(A12,'Used GB Charts'!A:BE,49,FALSE)+VLOOKUP(A12,'Used GB Charts'!A:BE,52,FALSE)+VLOOKUP(A12,'Used GB Charts'!A:BE,54,FALSE)</f>
        <v>923.35859374999995</v>
      </c>
      <c r="H12" s="704">
        <f ca="1">VLOOKUP(A12,'Used GB Charts'!A:BE,47,FALSE)+VLOOKUP(A12,'Used GB Charts'!A:BE,48,FALSE)</f>
        <v>86.17333984375</v>
      </c>
      <c r="I12" s="704">
        <f t="shared" ref="I12" ca="1" si="10">SUM(B12:H12)</f>
        <v>4077.3818359375</v>
      </c>
      <c r="J12" s="704">
        <f ca="1">I12-I17</f>
        <v>304.3876953125</v>
      </c>
    </row>
    <row r="13" spans="1:10" s="743" customFormat="1" x14ac:dyDescent="0.25">
      <c r="A13" s="703">
        <v>41739</v>
      </c>
      <c r="B13" s="704">
        <f ca="1">VLOOKUP(A13,'Used GB Charts'!A:BE,30,FALSE)</f>
        <v>244.15859374999999</v>
      </c>
      <c r="C13" s="704">
        <f ca="1">VLOOKUP(A13,'Used GB Charts'!A:BE,31,FALSE)</f>
        <v>146.98896484375001</v>
      </c>
      <c r="D13" s="704">
        <f ca="1">VLOOKUP(A13,'Used GB Charts'!A:BE,32,FALSE)+VLOOKUP(A13,'Used GB Charts'!A:BE,34,FALSE)+VLOOKUP(A13,'Used GB Charts'!A:BE,36,FALSE)+VLOOKUP(A13,'Used GB Charts'!A:BE,37,FALSE)+VLOOKUP(A13,'Used GB Charts'!A:BE,38,FALSE)+VLOOKUP(A13,'Used GB Charts'!A:BE,50,FALSE)+VLOOKUP(A13,'Used GB Charts'!A:BE,51,FALSE)+VLOOKUP(A13,'Used GB Charts'!A:BE,53,FALSE)</f>
        <v>964.69873046875</v>
      </c>
      <c r="E13" s="704">
        <f ca="1">VLOOKUP(A13,'Used GB Charts'!A:BE,33,FALSE)+VLOOKUP(A13,'Used GB Charts'!A:BE,35,FALSE)+VLOOKUP(A13,'Used GB Charts'!A:BE,39,FALSE)</f>
        <v>776.9287109375</v>
      </c>
      <c r="F13" s="704">
        <f ca="1">VLOOKUP(A13,'Used GB Charts'!A:BE,40,FALSE)+VLOOKUP(A13,'Used GB Charts'!A:BE,41,FALSE)+VLOOKUP(A13,'Used GB Charts'!A:BE,46,FALSE)+VLOOKUP(A13,'Used GB Charts'!A:BE,55,FALSE)+VLOOKUP(A13,'Used GB Charts'!A:BE,56,FALSE)</f>
        <v>835.27363281249995</v>
      </c>
      <c r="G13" s="704">
        <f ca="1">VLOOKUP(A13,'Used GB Charts'!A:BE,42,FALSE)+VLOOKUP(A13,'Used GB Charts'!A:BE,43,FALSE)+VLOOKUP(A13,'Used GB Charts'!A:BE,44,FALSE)++VLOOKUP(A13,'Used GB Charts'!A:BE,45,FALSE)+VLOOKUP(A13,'Used GB Charts'!A:BE,49,FALSE)+VLOOKUP(A13,'Used GB Charts'!A:BE,52,FALSE)+VLOOKUP(A13,'Used GB Charts'!A:BE,54,FALSE)</f>
        <v>718.77216796874995</v>
      </c>
      <c r="H13" s="704">
        <f ca="1">VLOOKUP(A13,'Used GB Charts'!A:BE,47,FALSE)+VLOOKUP(A13,'Used GB Charts'!A:BE,48,FALSE)</f>
        <v>86.17333984375</v>
      </c>
      <c r="I13" s="704">
        <f t="shared" ref="I13" ca="1" si="11">SUM(B13:H13)</f>
        <v>3772.994140625</v>
      </c>
      <c r="J13" s="704">
        <f ca="1">I13-I17</f>
        <v>0</v>
      </c>
    </row>
    <row r="14" spans="1:10" s="743" customFormat="1" x14ac:dyDescent="0.25">
      <c r="A14" s="703">
        <v>41732</v>
      </c>
      <c r="B14" s="704">
        <f ca="1">VLOOKUP(A14,'Used GB Charts'!A:BE,30,FALSE)</f>
        <v>244.15859374999999</v>
      </c>
      <c r="C14" s="704">
        <f ca="1">VLOOKUP(A14,'Used GB Charts'!A:BE,31,FALSE)</f>
        <v>146.98896484375001</v>
      </c>
      <c r="D14" s="704">
        <f ca="1">VLOOKUP(A14,'Used GB Charts'!A:BE,32,FALSE)+VLOOKUP(A14,'Used GB Charts'!A:BE,34,FALSE)+VLOOKUP(A14,'Used GB Charts'!A:BE,36,FALSE)+VLOOKUP(A14,'Used GB Charts'!A:BE,37,FALSE)+VLOOKUP(A14,'Used GB Charts'!A:BE,38,FALSE)+VLOOKUP(A14,'Used GB Charts'!A:BE,50,FALSE)+VLOOKUP(A14,'Used GB Charts'!A:BE,51,FALSE)+VLOOKUP(A14,'Used GB Charts'!A:BE,53,FALSE)</f>
        <v>964.69873046875</v>
      </c>
      <c r="E14" s="704">
        <f ca="1">VLOOKUP(A14,'Used GB Charts'!A:BE,33,FALSE)+VLOOKUP(A14,'Used GB Charts'!A:BE,35,FALSE)+VLOOKUP(A14,'Used GB Charts'!A:BE,39,FALSE)</f>
        <v>776.9287109375</v>
      </c>
      <c r="F14" s="704">
        <f ca="1">VLOOKUP(A14,'Used GB Charts'!A:BE,40,FALSE)+VLOOKUP(A14,'Used GB Charts'!A:BE,41,FALSE)+VLOOKUP(A14,'Used GB Charts'!A:BE,46,FALSE)+VLOOKUP(A14,'Used GB Charts'!A:BE,55,FALSE)+VLOOKUP(A14,'Used GB Charts'!A:BE,56,FALSE)</f>
        <v>835.27363281249995</v>
      </c>
      <c r="G14" s="704">
        <f ca="1">VLOOKUP(A14,'Used GB Charts'!A:BE,42,FALSE)+VLOOKUP(A14,'Used GB Charts'!A:BE,43,FALSE)+VLOOKUP(A14,'Used GB Charts'!A:BE,44,FALSE)++VLOOKUP(A14,'Used GB Charts'!A:BE,45,FALSE)+VLOOKUP(A14,'Used GB Charts'!A:BE,49,FALSE)+VLOOKUP(A14,'Used GB Charts'!A:BE,52,FALSE)+VLOOKUP(A14,'Used GB Charts'!A:BE,54,FALSE)</f>
        <v>718.77216796874995</v>
      </c>
      <c r="H14" s="704">
        <f ca="1">VLOOKUP(A14,'Used GB Charts'!A:BE,47,FALSE)+VLOOKUP(A14,'Used GB Charts'!A:BE,48,FALSE)</f>
        <v>86.17333984375</v>
      </c>
      <c r="I14" s="704">
        <f t="shared" ref="I14" ca="1" si="12">SUM(B14:H14)</f>
        <v>3772.994140625</v>
      </c>
      <c r="J14" s="704">
        <f ca="1">I14-I17</f>
        <v>0</v>
      </c>
    </row>
    <row r="15" spans="1:10" s="743" customFormat="1" x14ac:dyDescent="0.25">
      <c r="A15" s="703">
        <v>41725</v>
      </c>
      <c r="B15" s="704">
        <f ca="1">VLOOKUP(A15,'Used GB Charts'!A:BE,30,FALSE)</f>
        <v>244.15859374999999</v>
      </c>
      <c r="C15" s="704">
        <f ca="1">VLOOKUP(A15,'Used GB Charts'!A:BE,31,FALSE)</f>
        <v>146.98896484375001</v>
      </c>
      <c r="D15" s="704">
        <f ca="1">VLOOKUP(A15,'Used GB Charts'!A:BE,32,FALSE)+VLOOKUP(A15,'Used GB Charts'!A:BE,34,FALSE)+VLOOKUP(A15,'Used GB Charts'!A:BE,36,FALSE)+VLOOKUP(A15,'Used GB Charts'!A:BE,37,FALSE)+VLOOKUP(A15,'Used GB Charts'!A:BE,38,FALSE)+VLOOKUP(A15,'Used GB Charts'!A:BE,50,FALSE)+VLOOKUP(A15,'Used GB Charts'!A:BE,51,FALSE)+VLOOKUP(A15,'Used GB Charts'!A:BE,53,FALSE)</f>
        <v>964.69873046875</v>
      </c>
      <c r="E15" s="704">
        <f ca="1">VLOOKUP(A15,'Used GB Charts'!A:BE,33,FALSE)+VLOOKUP(A15,'Used GB Charts'!A:BE,35,FALSE)+VLOOKUP(A15,'Used GB Charts'!A:BE,39,FALSE)</f>
        <v>776.9287109375</v>
      </c>
      <c r="F15" s="704">
        <f ca="1">VLOOKUP(A15,'Used GB Charts'!A:BE,40,FALSE)+VLOOKUP(A15,'Used GB Charts'!A:BE,41,FALSE)+VLOOKUP(A15,'Used GB Charts'!A:BE,46,FALSE)+VLOOKUP(A15,'Used GB Charts'!A:BE,55,FALSE)+VLOOKUP(A15,'Used GB Charts'!A:BE,56,FALSE)</f>
        <v>835.27363281249995</v>
      </c>
      <c r="G15" s="704">
        <f ca="1">VLOOKUP(A15,'Used GB Charts'!A:BE,42,FALSE)+VLOOKUP(A15,'Used GB Charts'!A:BE,43,FALSE)+VLOOKUP(A15,'Used GB Charts'!A:BE,44,FALSE)++VLOOKUP(A15,'Used GB Charts'!A:BE,45,FALSE)+VLOOKUP(A15,'Used GB Charts'!A:BE,49,FALSE)+VLOOKUP(A15,'Used GB Charts'!A:BE,52,FALSE)+VLOOKUP(A15,'Used GB Charts'!A:BE,54,FALSE)</f>
        <v>718.77216796874995</v>
      </c>
      <c r="H15" s="704">
        <f ca="1">VLOOKUP(A15,'Used GB Charts'!A:BE,47,FALSE)+VLOOKUP(A15,'Used GB Charts'!A:BE,48,FALSE)</f>
        <v>86.17333984375</v>
      </c>
      <c r="I15" s="704">
        <f t="shared" ref="I15" ca="1" si="13">SUM(B15:H15)</f>
        <v>3772.994140625</v>
      </c>
      <c r="J15" s="704">
        <f ca="1">I15-I17</f>
        <v>0</v>
      </c>
    </row>
    <row r="16" spans="1:10" s="743" customFormat="1" x14ac:dyDescent="0.25">
      <c r="A16" s="703">
        <v>41709</v>
      </c>
      <c r="B16" s="704">
        <f ca="1">VLOOKUP(A16,'Used GB Charts'!A:BE,30,FALSE)</f>
        <v>244.15859374999999</v>
      </c>
      <c r="C16" s="704">
        <f ca="1">VLOOKUP(A16,'Used GB Charts'!A:BE,31,FALSE)</f>
        <v>146.98896484375001</v>
      </c>
      <c r="D16" s="704">
        <f ca="1">VLOOKUP(A16,'Used GB Charts'!A:BE,32,FALSE)+VLOOKUP(A16,'Used GB Charts'!A:BE,34,FALSE)+VLOOKUP(A16,'Used GB Charts'!A:BE,36,FALSE)+VLOOKUP(A16,'Used GB Charts'!A:BE,37,FALSE)+VLOOKUP(A16,'Used GB Charts'!A:BE,38,FALSE)+VLOOKUP(A16,'Used GB Charts'!A:BE,50,FALSE)+VLOOKUP(A16,'Used GB Charts'!A:BE,51,FALSE)+VLOOKUP(A16,'Used GB Charts'!A:BE,53,FALSE)</f>
        <v>964.69873046875</v>
      </c>
      <c r="E16" s="704">
        <f ca="1">VLOOKUP(A16,'Used GB Charts'!A:BE,33,FALSE)+VLOOKUP(A16,'Used GB Charts'!A:BE,35,FALSE)+VLOOKUP(A16,'Used GB Charts'!A:BE,39,FALSE)</f>
        <v>776.9287109375</v>
      </c>
      <c r="F16" s="704">
        <f ca="1">VLOOKUP(A16,'Used GB Charts'!A:BE,40,FALSE)+VLOOKUP(A16,'Used GB Charts'!A:BE,41,FALSE)+VLOOKUP(A16,'Used GB Charts'!A:BE,46,FALSE)+VLOOKUP(A16,'Used GB Charts'!A:BE,55,FALSE)+VLOOKUP(A16,'Used GB Charts'!A:BE,56,FALSE)</f>
        <v>835.27363281249995</v>
      </c>
      <c r="G16" s="704">
        <f ca="1">VLOOKUP(A16,'Used GB Charts'!A:BE,42,FALSE)+VLOOKUP(A16,'Used GB Charts'!A:BE,43,FALSE)+VLOOKUP(A16,'Used GB Charts'!A:BE,44,FALSE)++VLOOKUP(A16,'Used GB Charts'!A:BE,45,FALSE)+VLOOKUP(A16,'Used GB Charts'!A:BE,49,FALSE)+VLOOKUP(A16,'Used GB Charts'!A:BE,52,FALSE)+VLOOKUP(A16,'Used GB Charts'!A:BE,54,FALSE)</f>
        <v>718.77216796874995</v>
      </c>
      <c r="H16" s="704">
        <f ca="1">VLOOKUP(A16,'Used GB Charts'!A:BE,47,FALSE)+VLOOKUP(A16,'Used GB Charts'!A:BE,48,FALSE)</f>
        <v>86.17333984375</v>
      </c>
      <c r="I16" s="704">
        <f t="shared" ref="I16" ca="1" si="14">SUM(B16:H16)</f>
        <v>3772.994140625</v>
      </c>
      <c r="J16" s="704">
        <f t="shared" ref="J16:J50" ca="1" si="15">I16-I17</f>
        <v>0</v>
      </c>
    </row>
    <row r="17" spans="1:10" x14ac:dyDescent="0.25">
      <c r="A17" s="703">
        <v>41704</v>
      </c>
      <c r="B17" s="704">
        <f ca="1">VLOOKUP(A17,'Used GB Charts'!A:BE,30,FALSE)</f>
        <v>244.15859374999999</v>
      </c>
      <c r="C17" s="704">
        <f ca="1">VLOOKUP(A17,'Used GB Charts'!A:BE,31,FALSE)</f>
        <v>146.98896484375001</v>
      </c>
      <c r="D17" s="704">
        <f ca="1">VLOOKUP(A17,'Used GB Charts'!A:BE,32,FALSE)+VLOOKUP(A17,'Used GB Charts'!A:BE,34,FALSE)+VLOOKUP(A17,'Used GB Charts'!A:BE,36,FALSE)+VLOOKUP(A17,'Used GB Charts'!A:BE,37,FALSE)+VLOOKUP(A17,'Used GB Charts'!A:BE,38,FALSE)+VLOOKUP(A17,'Used GB Charts'!A:BE,50,FALSE)+VLOOKUP(A17,'Used GB Charts'!A:BE,51,FALSE)+VLOOKUP(A17,'Used GB Charts'!A:BE,53,FALSE)</f>
        <v>964.69873046875</v>
      </c>
      <c r="E17" s="704">
        <f ca="1">VLOOKUP(A17,'Used GB Charts'!A:BE,33,FALSE)+VLOOKUP(A17,'Used GB Charts'!A:BE,35,FALSE)+VLOOKUP(A17,'Used GB Charts'!A:BE,39,FALSE)</f>
        <v>776.9287109375</v>
      </c>
      <c r="F17" s="704">
        <f ca="1">VLOOKUP(A17,'Used GB Charts'!A:BE,40,FALSE)+VLOOKUP(A17,'Used GB Charts'!A:BE,41,FALSE)+VLOOKUP(A17,'Used GB Charts'!A:BE,46,FALSE)+VLOOKUP(A17,'Used GB Charts'!A:BE,55,FALSE)+VLOOKUP(A17,'Used GB Charts'!A:BE,56,FALSE)</f>
        <v>835.27363281249995</v>
      </c>
      <c r="G17" s="704">
        <f ca="1">VLOOKUP(A17,'Used GB Charts'!A:BE,42,FALSE)+VLOOKUP(A17,'Used GB Charts'!A:BE,43,FALSE)+VLOOKUP(A17,'Used GB Charts'!A:BE,44,FALSE)++VLOOKUP(A17,'Used GB Charts'!A:BE,45,FALSE)+VLOOKUP(A17,'Used GB Charts'!A:BE,49,FALSE)+VLOOKUP(A17,'Used GB Charts'!A:BE,52,FALSE)+VLOOKUP(A17,'Used GB Charts'!A:BE,54,FALSE)</f>
        <v>718.77216796874995</v>
      </c>
      <c r="H17" s="704">
        <f ca="1">VLOOKUP(A17,'Used GB Charts'!A:BE,47,FALSE)+VLOOKUP(A17,'Used GB Charts'!A:BE,48,FALSE)</f>
        <v>86.17333984375</v>
      </c>
      <c r="I17" s="704">
        <f t="shared" ref="I17" ca="1" si="16">SUM(B17:H17)</f>
        <v>3772.994140625</v>
      </c>
      <c r="J17" s="704">
        <f t="shared" ca="1" si="15"/>
        <v>0</v>
      </c>
    </row>
    <row r="18" spans="1:10" x14ac:dyDescent="0.25">
      <c r="A18" s="703">
        <v>41703</v>
      </c>
      <c r="B18" s="704">
        <f ca="1">VLOOKUP(A18,'Used GB Charts'!A:BE,30,FALSE)</f>
        <v>244.15859374999999</v>
      </c>
      <c r="C18" s="704">
        <f ca="1">VLOOKUP(A18,'Used GB Charts'!A:BE,31,FALSE)</f>
        <v>146.98896484375001</v>
      </c>
      <c r="D18" s="704">
        <f ca="1">VLOOKUP(A18,'Used GB Charts'!A:BE,32,FALSE)+VLOOKUP(A18,'Used GB Charts'!A:BE,34,FALSE)+VLOOKUP(A18,'Used GB Charts'!A:BE,36,FALSE)+VLOOKUP(A18,'Used GB Charts'!A:BE,37,FALSE)+VLOOKUP(A18,'Used GB Charts'!A:BE,38,FALSE)+VLOOKUP(A18,'Used GB Charts'!A:BE,50,FALSE)+VLOOKUP(A18,'Used GB Charts'!A:BE,51,FALSE)+VLOOKUP(A18,'Used GB Charts'!A:BE,53,FALSE)</f>
        <v>964.69873046875</v>
      </c>
      <c r="E18" s="704">
        <f ca="1">VLOOKUP(A18,'Used GB Charts'!A:BE,33,FALSE)+VLOOKUP(A18,'Used GB Charts'!A:BE,35,FALSE)+VLOOKUP(A18,'Used GB Charts'!A:BE,39,FALSE)</f>
        <v>776.9287109375</v>
      </c>
      <c r="F18" s="704">
        <f ca="1">VLOOKUP(A18,'Used GB Charts'!A:BE,40,FALSE)+VLOOKUP(A18,'Used GB Charts'!A:BE,41,FALSE)+VLOOKUP(A18,'Used GB Charts'!A:BE,46,FALSE)+VLOOKUP(A18,'Used GB Charts'!A:BE,55,FALSE)+VLOOKUP(A18,'Used GB Charts'!A:BE,56,FALSE)</f>
        <v>835.27363281249995</v>
      </c>
      <c r="G18" s="704">
        <f ca="1">VLOOKUP(A18,'Used GB Charts'!A:BE,42,FALSE)+VLOOKUP(A18,'Used GB Charts'!A:BE,43,FALSE)+VLOOKUP(A18,'Used GB Charts'!A:BE,44,FALSE)++VLOOKUP(A18,'Used GB Charts'!A:BE,45,FALSE)+VLOOKUP(A18,'Used GB Charts'!A:BE,49,FALSE)+VLOOKUP(A18,'Used GB Charts'!A:BE,52,FALSE)+VLOOKUP(A18,'Used GB Charts'!A:BE,54,FALSE)</f>
        <v>718.77216796874995</v>
      </c>
      <c r="H18" s="704">
        <f ca="1">VLOOKUP(A18,'Used GB Charts'!A:BE,47,FALSE)+VLOOKUP(A18,'Used GB Charts'!A:BE,48,FALSE)</f>
        <v>86.17333984375</v>
      </c>
      <c r="I18" s="704">
        <f t="shared" ref="I18:I51" ca="1" si="17">SUM(B18:H18)</f>
        <v>3772.994140625</v>
      </c>
      <c r="J18" s="704">
        <f t="shared" ca="1" si="15"/>
        <v>11.67919921875</v>
      </c>
    </row>
    <row r="19" spans="1:10" x14ac:dyDescent="0.25">
      <c r="A19" s="703">
        <v>41702</v>
      </c>
      <c r="B19" s="704">
        <f ca="1">VLOOKUP(A19,'Used GB Charts'!A:BE,30,FALSE)</f>
        <v>244.15859374999999</v>
      </c>
      <c r="C19" s="704">
        <f ca="1">VLOOKUP(A19,'Used GB Charts'!A:BE,31,FALSE)</f>
        <v>146.98896484375001</v>
      </c>
      <c r="D19" s="704">
        <f ca="1">VLOOKUP(A19,'Used GB Charts'!A:BE,32,FALSE)+VLOOKUP(A19,'Used GB Charts'!A:BE,34,FALSE)+VLOOKUP(A19,'Used GB Charts'!A:BE,36,FALSE)+VLOOKUP(A19,'Used GB Charts'!A:BE,37,FALSE)+VLOOKUP(A19,'Used GB Charts'!A:BE,38,FALSE)+VLOOKUP(A19,'Used GB Charts'!A:BE,50,FALSE)+VLOOKUP(A19,'Used GB Charts'!A:BE,51,FALSE)+VLOOKUP(A19,'Used GB Charts'!A:BE,53,FALSE)</f>
        <v>958.39833984375002</v>
      </c>
      <c r="E19" s="704">
        <f ca="1">VLOOKUP(A19,'Used GB Charts'!A:BE,33,FALSE)+VLOOKUP(A19,'Used GB Charts'!A:BE,35,FALSE)+VLOOKUP(A19,'Used GB Charts'!A:BE,39,FALSE)</f>
        <v>776.9287109375</v>
      </c>
      <c r="F19" s="704">
        <f ca="1">VLOOKUP(A19,'Used GB Charts'!A:BE,40,FALSE)+VLOOKUP(A19,'Used GB Charts'!A:BE,41,FALSE)+VLOOKUP(A19,'Used GB Charts'!A:BE,46,FALSE)+VLOOKUP(A19,'Used GB Charts'!A:BE,55,FALSE)+VLOOKUP(A19,'Used GB Charts'!A:BE,56,FALSE)</f>
        <v>835.27363281249995</v>
      </c>
      <c r="G19" s="704">
        <f ca="1">VLOOKUP(A19,'Used GB Charts'!A:BE,42,FALSE)+VLOOKUP(A19,'Used GB Charts'!A:BE,43,FALSE)+VLOOKUP(A19,'Used GB Charts'!A:BE,44,FALSE)++VLOOKUP(A19,'Used GB Charts'!A:BE,45,FALSE)+VLOOKUP(A19,'Used GB Charts'!A:BE,49,FALSE)+VLOOKUP(A19,'Used GB Charts'!A:BE,52,FALSE)+VLOOKUP(A19,'Used GB Charts'!A:BE,54,FALSE)</f>
        <v>713.39335937499993</v>
      </c>
      <c r="H19" s="704">
        <f ca="1">VLOOKUP(A19,'Used GB Charts'!A:BE,47,FALSE)+VLOOKUP(A19,'Used GB Charts'!A:BE,48,FALSE)</f>
        <v>86.17333984375</v>
      </c>
      <c r="I19" s="704">
        <f t="shared" ca="1" si="17"/>
        <v>3761.31494140625</v>
      </c>
      <c r="J19" s="704">
        <f t="shared" ca="1" si="15"/>
        <v>929.52607421875018</v>
      </c>
    </row>
    <row r="20" spans="1:10" x14ac:dyDescent="0.25">
      <c r="A20" s="703">
        <v>41695</v>
      </c>
      <c r="B20" s="704">
        <f ca="1">VLOOKUP(A20,'Used GB Charts'!A:BE,30,FALSE)</f>
        <v>140.0322265625</v>
      </c>
      <c r="C20" s="704">
        <f ca="1">VLOOKUP(A20,'Used GB Charts'!A:BE,31,FALSE)</f>
        <v>146.98896484375001</v>
      </c>
      <c r="D20" s="704">
        <f ca="1">VLOOKUP(A20,'Used GB Charts'!A:BE,32,FALSE)+VLOOKUP(A20,'Used GB Charts'!A:BE,34,FALSE)+VLOOKUP(A20,'Used GB Charts'!A:BE,36,FALSE)+VLOOKUP(A20,'Used GB Charts'!A:BE,37,FALSE)+VLOOKUP(A20,'Used GB Charts'!A:BE,38,FALSE)+VLOOKUP(A20,'Used GB Charts'!A:BE,50,FALSE)+VLOOKUP(A20,'Used GB Charts'!A:BE,51,FALSE)+VLOOKUP(A20,'Used GB Charts'!A:BE,53,FALSE)</f>
        <v>958.39833984375002</v>
      </c>
      <c r="E20" s="704">
        <f ca="1">VLOOKUP(A20,'Used GB Charts'!A:BE,33,FALSE)+VLOOKUP(A20,'Used GB Charts'!A:BE,35,FALSE)+VLOOKUP(A20,'Used GB Charts'!A:BE,39,FALSE)</f>
        <v>388.01542968749993</v>
      </c>
      <c r="F20" s="704">
        <f ca="1">VLOOKUP(A20,'Used GB Charts'!A:BE,40,FALSE)+VLOOKUP(A20,'Used GB Charts'!A:BE,41,FALSE)+VLOOKUP(A20,'Used GB Charts'!A:BE,46,FALSE)+VLOOKUP(A20,'Used GB Charts'!A:BE,55,FALSE)+VLOOKUP(A20,'Used GB Charts'!A:BE,56,FALSE)</f>
        <v>398.78720703124998</v>
      </c>
      <c r="G20" s="704">
        <f ca="1">VLOOKUP(A20,'Used GB Charts'!A:BE,42,FALSE)+VLOOKUP(A20,'Used GB Charts'!A:BE,43,FALSE)+VLOOKUP(A20,'Used GB Charts'!A:BE,44,FALSE)++VLOOKUP(A20,'Used GB Charts'!A:BE,45,FALSE)+VLOOKUP(A20,'Used GB Charts'!A:BE,49,FALSE)+VLOOKUP(A20,'Used GB Charts'!A:BE,52,FALSE)+VLOOKUP(A20,'Used GB Charts'!A:BE,54,FALSE)</f>
        <v>713.39335937499993</v>
      </c>
      <c r="H20" s="704">
        <f ca="1">VLOOKUP(A20,'Used GB Charts'!A:BE,47,FALSE)+VLOOKUP(A20,'Used GB Charts'!A:BE,48,FALSE)</f>
        <v>86.17333984375</v>
      </c>
      <c r="I20" s="704">
        <f t="shared" ca="1" si="17"/>
        <v>2831.7888671874998</v>
      </c>
      <c r="J20" s="704">
        <f t="shared" ca="1" si="15"/>
        <v>202.7587890625</v>
      </c>
    </row>
    <row r="21" spans="1:10" x14ac:dyDescent="0.25">
      <c r="A21" s="703">
        <v>41690</v>
      </c>
      <c r="B21" s="704">
        <f ca="1">VLOOKUP(A21,'Used GB Charts'!A:BE,30,FALSE)</f>
        <v>140.0322265625</v>
      </c>
      <c r="C21" s="704">
        <f ca="1">VLOOKUP(A21,'Used GB Charts'!A:BE,31,FALSE)</f>
        <v>146.98896484375001</v>
      </c>
      <c r="D21" s="704">
        <f ca="1">VLOOKUP(A21,'Used GB Charts'!A:BE,32,FALSE)+VLOOKUP(A21,'Used GB Charts'!A:BE,34,FALSE)+VLOOKUP(A21,'Used GB Charts'!A:BE,36,FALSE)+VLOOKUP(A21,'Used GB Charts'!A:BE,37,FALSE)+VLOOKUP(A21,'Used GB Charts'!A:BE,38,FALSE)+VLOOKUP(A21,'Used GB Charts'!A:BE,50,FALSE)+VLOOKUP(A21,'Used GB Charts'!A:BE,51,FALSE)+VLOOKUP(A21,'Used GB Charts'!A:BE,53,FALSE)</f>
        <v>755.63955078125002</v>
      </c>
      <c r="E21" s="704">
        <f ca="1">VLOOKUP(A21,'Used GB Charts'!A:BE,33,FALSE)+VLOOKUP(A21,'Used GB Charts'!A:BE,35,FALSE)+VLOOKUP(A21,'Used GB Charts'!A:BE,39,FALSE)</f>
        <v>388.01542968749993</v>
      </c>
      <c r="F21" s="704">
        <f ca="1">VLOOKUP(A21,'Used GB Charts'!A:BE,40,FALSE)+VLOOKUP(A21,'Used GB Charts'!A:BE,41,FALSE)+VLOOKUP(A21,'Used GB Charts'!A:BE,46,FALSE)+VLOOKUP(A21,'Used GB Charts'!A:BE,55,FALSE)+VLOOKUP(A21,'Used GB Charts'!A:BE,56,FALSE)</f>
        <v>398.78720703124998</v>
      </c>
      <c r="G21" s="704">
        <f ca="1">VLOOKUP(A21,'Used GB Charts'!A:BE,42,FALSE)+VLOOKUP(A21,'Used GB Charts'!A:BE,43,FALSE)+VLOOKUP(A21,'Used GB Charts'!A:BE,44,FALSE)++VLOOKUP(A21,'Used GB Charts'!A:BE,45,FALSE)+VLOOKUP(A21,'Used GB Charts'!A:BE,49,FALSE)+VLOOKUP(A21,'Used GB Charts'!A:BE,52,FALSE)+VLOOKUP(A21,'Used GB Charts'!A:BE,54,FALSE)</f>
        <v>713.39335937499993</v>
      </c>
      <c r="H21" s="704">
        <f ca="1">VLOOKUP(A21,'Used GB Charts'!A:BE,47,FALSE)+VLOOKUP(A21,'Used GB Charts'!A:BE,48,FALSE)</f>
        <v>86.17333984375</v>
      </c>
      <c r="I21" s="704">
        <f t="shared" ca="1" si="17"/>
        <v>2629.0300781249998</v>
      </c>
      <c r="J21" s="704">
        <f t="shared" ca="1" si="15"/>
        <v>97.9736328125</v>
      </c>
    </row>
    <row r="22" spans="1:10" x14ac:dyDescent="0.25">
      <c r="A22" s="703">
        <v>41684</v>
      </c>
      <c r="B22" s="704">
        <f ca="1">VLOOKUP(A22,'Used GB Charts'!A:BE,30,FALSE)</f>
        <v>140.0322265625</v>
      </c>
      <c r="C22" s="704">
        <f ca="1">VLOOKUP(A22,'Used GB Charts'!A:BE,31,FALSE)</f>
        <v>146.98896484375001</v>
      </c>
      <c r="D22" s="704">
        <f ca="1">VLOOKUP(A22,'Used GB Charts'!A:BE,32,FALSE)+VLOOKUP(A22,'Used GB Charts'!A:BE,34,FALSE)+VLOOKUP(A22,'Used GB Charts'!A:BE,36,FALSE)+VLOOKUP(A22,'Used GB Charts'!A:BE,37,FALSE)+VLOOKUP(A22,'Used GB Charts'!A:BE,38,FALSE)+VLOOKUP(A22,'Used GB Charts'!A:BE,50,FALSE)+VLOOKUP(A22,'Used GB Charts'!A:BE,51,FALSE)+VLOOKUP(A22,'Used GB Charts'!A:BE,53,FALSE)</f>
        <v>755.63955078125002</v>
      </c>
      <c r="E22" s="704">
        <f ca="1">VLOOKUP(A22,'Used GB Charts'!A:BE,33,FALSE)+VLOOKUP(A22,'Used GB Charts'!A:BE,35,FALSE)+VLOOKUP(A22,'Used GB Charts'!A:BE,39,FALSE)</f>
        <v>388.01542968749993</v>
      </c>
      <c r="F22" s="704">
        <f ca="1">VLOOKUP(A22,'Used GB Charts'!A:BE,40,FALSE)+VLOOKUP(A22,'Used GB Charts'!A:BE,41,FALSE)+VLOOKUP(A22,'Used GB Charts'!A:BE,46,FALSE)+VLOOKUP(A22,'Used GB Charts'!A:BE,55,FALSE)+VLOOKUP(A22,'Used GB Charts'!A:BE,56,FALSE)</f>
        <v>398.78720703124998</v>
      </c>
      <c r="G22" s="704">
        <f ca="1">VLOOKUP(A22,'Used GB Charts'!A:BE,42,FALSE)+VLOOKUP(A22,'Used GB Charts'!A:BE,43,FALSE)+VLOOKUP(A22,'Used GB Charts'!A:BE,44,FALSE)++VLOOKUP(A22,'Used GB Charts'!A:BE,45,FALSE)+VLOOKUP(A22,'Used GB Charts'!A:BE,49,FALSE)+VLOOKUP(A22,'Used GB Charts'!A:BE,52,FALSE)+VLOOKUP(A22,'Used GB Charts'!A:BE,54,FALSE)</f>
        <v>615.41972656249993</v>
      </c>
      <c r="H22" s="704">
        <f ca="1">VLOOKUP(A22,'Used GB Charts'!A:BE,47,FALSE)+VLOOKUP(A22,'Used GB Charts'!A:BE,48,FALSE)</f>
        <v>86.17333984375</v>
      </c>
      <c r="I22" s="704">
        <f t="shared" ca="1" si="17"/>
        <v>2531.0564453124998</v>
      </c>
      <c r="J22" s="704">
        <f t="shared" ca="1" si="15"/>
        <v>0</v>
      </c>
    </row>
    <row r="23" spans="1:10" x14ac:dyDescent="0.25">
      <c r="A23" s="703">
        <v>41676</v>
      </c>
      <c r="B23" s="704">
        <f ca="1">VLOOKUP(A23,'Used GB Charts'!A:BE,30,FALSE)</f>
        <v>140.0322265625</v>
      </c>
      <c r="C23" s="704">
        <f ca="1">VLOOKUP(A23,'Used GB Charts'!A:BE,31,FALSE)</f>
        <v>146.98896484375001</v>
      </c>
      <c r="D23" s="704">
        <f ca="1">VLOOKUP(A23,'Used GB Charts'!A:BE,32,FALSE)+VLOOKUP(A23,'Used GB Charts'!A:BE,34,FALSE)+VLOOKUP(A23,'Used GB Charts'!A:BE,36,FALSE)+VLOOKUP(A23,'Used GB Charts'!A:BE,37,FALSE)+VLOOKUP(A23,'Used GB Charts'!A:BE,38,FALSE)+VLOOKUP(A23,'Used GB Charts'!A:BE,50,FALSE)+VLOOKUP(A23,'Used GB Charts'!A:BE,51,FALSE)+VLOOKUP(A23,'Used GB Charts'!A:BE,53,FALSE)</f>
        <v>755.63955078125002</v>
      </c>
      <c r="E23" s="704">
        <f ca="1">VLOOKUP(A23,'Used GB Charts'!A:BE,33,FALSE)+VLOOKUP(A23,'Used GB Charts'!A:BE,35,FALSE)+VLOOKUP(A23,'Used GB Charts'!A:BE,39,FALSE)</f>
        <v>388.01542968749993</v>
      </c>
      <c r="F23" s="704">
        <f ca="1">VLOOKUP(A23,'Used GB Charts'!A:BE,40,FALSE)+VLOOKUP(A23,'Used GB Charts'!A:BE,41,FALSE)+VLOOKUP(A23,'Used GB Charts'!A:BE,46,FALSE)+VLOOKUP(A23,'Used GB Charts'!A:BE,55,FALSE)+VLOOKUP(A23,'Used GB Charts'!A:BE,56,FALSE)</f>
        <v>398.78720703124998</v>
      </c>
      <c r="G23" s="704">
        <f ca="1">VLOOKUP(A23,'Used GB Charts'!A:BE,42,FALSE)+VLOOKUP(A23,'Used GB Charts'!A:BE,43,FALSE)+VLOOKUP(A23,'Used GB Charts'!A:BE,44,FALSE)++VLOOKUP(A23,'Used GB Charts'!A:BE,45,FALSE)+VLOOKUP(A23,'Used GB Charts'!A:BE,49,FALSE)+VLOOKUP(A23,'Used GB Charts'!A:BE,52,FALSE)+VLOOKUP(A23,'Used GB Charts'!A:BE,54,FALSE)</f>
        <v>615.41972656249993</v>
      </c>
      <c r="H23" s="704">
        <f ca="1">VLOOKUP(A23,'Used GB Charts'!A:BE,47,FALSE)+VLOOKUP(A23,'Used GB Charts'!A:BE,48,FALSE)</f>
        <v>86.17333984375</v>
      </c>
      <c r="I23" s="704">
        <f t="shared" ca="1" si="17"/>
        <v>2531.0564453124998</v>
      </c>
      <c r="J23" s="704">
        <f t="shared" ca="1" si="15"/>
        <v>28.2919921875</v>
      </c>
    </row>
    <row r="24" spans="1:10" x14ac:dyDescent="0.25">
      <c r="A24" s="703">
        <v>41642</v>
      </c>
      <c r="B24" s="704">
        <f ca="1">VLOOKUP(A24,'Used GB Charts'!A:BE,30,FALSE)</f>
        <v>140.0322265625</v>
      </c>
      <c r="C24" s="704">
        <f ca="1">VLOOKUP(A24,'Used GB Charts'!A:BE,31,FALSE)</f>
        <v>146.98896484375001</v>
      </c>
      <c r="D24" s="704">
        <f ca="1">VLOOKUP(A24,'Used GB Charts'!A:BE,32,FALSE)+VLOOKUP(A24,'Used GB Charts'!A:BE,34,FALSE)+VLOOKUP(A24,'Used GB Charts'!A:BE,36,FALSE)+VLOOKUP(A24,'Used GB Charts'!A:BE,37,FALSE)+VLOOKUP(A24,'Used GB Charts'!A:BE,38,FALSE)+VLOOKUP(A24,'Used GB Charts'!A:BE,50,FALSE)+VLOOKUP(A24,'Used GB Charts'!A:BE,51,FALSE)+VLOOKUP(A24,'Used GB Charts'!A:BE,53,FALSE)</f>
        <v>727.34755859375002</v>
      </c>
      <c r="E24" s="704">
        <f ca="1">VLOOKUP(A24,'Used GB Charts'!A:BE,33,FALSE)+VLOOKUP(A24,'Used GB Charts'!A:BE,35,FALSE)+VLOOKUP(A24,'Used GB Charts'!A:BE,39,FALSE)</f>
        <v>388.01542968749993</v>
      </c>
      <c r="F24" s="704">
        <f ca="1">VLOOKUP(A24,'Used GB Charts'!A:BE,40,FALSE)+VLOOKUP(A24,'Used GB Charts'!A:BE,41,FALSE)+VLOOKUP(A24,'Used GB Charts'!A:BE,46,FALSE)+VLOOKUP(A24,'Used GB Charts'!A:BE,55,FALSE)+VLOOKUP(A24,'Used GB Charts'!A:BE,56,FALSE)</f>
        <v>398.78720703124998</v>
      </c>
      <c r="G24" s="704">
        <f ca="1">VLOOKUP(A24,'Used GB Charts'!A:BE,42,FALSE)+VLOOKUP(A24,'Used GB Charts'!A:BE,43,FALSE)+VLOOKUP(A24,'Used GB Charts'!A:BE,44,FALSE)++VLOOKUP(A24,'Used GB Charts'!A:BE,45,FALSE)+VLOOKUP(A24,'Used GB Charts'!A:BE,49,FALSE)+VLOOKUP(A24,'Used GB Charts'!A:BE,52,FALSE)+VLOOKUP(A24,'Used GB Charts'!A:BE,54,FALSE)</f>
        <v>615.41972656249993</v>
      </c>
      <c r="H24" s="704">
        <f ca="1">VLOOKUP(A24,'Used GB Charts'!A:BE,47,FALSE)+VLOOKUP(A24,'Used GB Charts'!A:BE,48,FALSE)</f>
        <v>86.17333984375</v>
      </c>
      <c r="I24" s="704">
        <f t="shared" ca="1" si="17"/>
        <v>2502.7644531249998</v>
      </c>
      <c r="J24" s="704">
        <f t="shared" ca="1" si="15"/>
        <v>0</v>
      </c>
    </row>
    <row r="25" spans="1:10" x14ac:dyDescent="0.25">
      <c r="A25" s="703">
        <v>41626</v>
      </c>
      <c r="B25" s="704">
        <f ca="1">VLOOKUP(A25,'Used GB Charts'!A:BE,30,FALSE)</f>
        <v>140.0322265625</v>
      </c>
      <c r="C25" s="704">
        <f ca="1">VLOOKUP(A25,'Used GB Charts'!A:BE,31,FALSE)</f>
        <v>146.98896484375001</v>
      </c>
      <c r="D25" s="704">
        <f ca="1">VLOOKUP(A25,'Used GB Charts'!A:BE,32,FALSE)+VLOOKUP(A25,'Used GB Charts'!A:BE,34,FALSE)+VLOOKUP(A25,'Used GB Charts'!A:BE,36,FALSE)+VLOOKUP(A25,'Used GB Charts'!A:BE,37,FALSE)+VLOOKUP(A25,'Used GB Charts'!A:BE,38,FALSE)+VLOOKUP(A25,'Used GB Charts'!A:BE,50,FALSE)+VLOOKUP(A25,'Used GB Charts'!A:BE,51,FALSE)+VLOOKUP(A25,'Used GB Charts'!A:BE,53,FALSE)</f>
        <v>727.34755859375002</v>
      </c>
      <c r="E25" s="704">
        <f ca="1">VLOOKUP(A25,'Used GB Charts'!A:BE,33,FALSE)+VLOOKUP(A25,'Used GB Charts'!A:BE,35,FALSE)+VLOOKUP(A25,'Used GB Charts'!A:BE,39,FALSE)</f>
        <v>388.01542968749993</v>
      </c>
      <c r="F25" s="704">
        <f ca="1">VLOOKUP(A25,'Used GB Charts'!A:BE,40,FALSE)+VLOOKUP(A25,'Used GB Charts'!A:BE,41,FALSE)+VLOOKUP(A25,'Used GB Charts'!A:BE,46,FALSE)+VLOOKUP(A25,'Used GB Charts'!A:BE,55,FALSE)+VLOOKUP(A25,'Used GB Charts'!A:BE,56,FALSE)</f>
        <v>398.78720703124998</v>
      </c>
      <c r="G25" s="704">
        <f ca="1">VLOOKUP(A25,'Used GB Charts'!A:BE,42,FALSE)+VLOOKUP(A25,'Used GB Charts'!A:BE,43,FALSE)+VLOOKUP(A25,'Used GB Charts'!A:BE,44,FALSE)++VLOOKUP(A25,'Used GB Charts'!A:BE,45,FALSE)+VLOOKUP(A25,'Used GB Charts'!A:BE,49,FALSE)+VLOOKUP(A25,'Used GB Charts'!A:BE,52,FALSE)+VLOOKUP(A25,'Used GB Charts'!A:BE,54,FALSE)</f>
        <v>615.41972656249993</v>
      </c>
      <c r="H25" s="704">
        <f ca="1">VLOOKUP(A25,'Used GB Charts'!A:BE,47,FALSE)+VLOOKUP(A25,'Used GB Charts'!A:BE,48,FALSE)</f>
        <v>86.17333984375</v>
      </c>
      <c r="I25" s="704">
        <f t="shared" ca="1" si="17"/>
        <v>2502.7644531249998</v>
      </c>
      <c r="J25" s="704">
        <f t="shared" ca="1" si="15"/>
        <v>-543.39853515625009</v>
      </c>
    </row>
    <row r="26" spans="1:10" x14ac:dyDescent="0.25">
      <c r="A26" s="703">
        <v>41617</v>
      </c>
      <c r="B26" s="704">
        <f ca="1">VLOOKUP(A26,'Used GB Charts'!A:BE,30,FALSE)</f>
        <v>140.0322265625</v>
      </c>
      <c r="C26" s="704">
        <f ca="1">VLOOKUP(A26,'Used GB Charts'!A:BE,31,FALSE)</f>
        <v>146.98896484375001</v>
      </c>
      <c r="D26" s="704">
        <f ca="1">VLOOKUP(A26,'Used GB Charts'!A:BE,32,FALSE)+VLOOKUP(A26,'Used GB Charts'!A:BE,34,FALSE)+VLOOKUP(A26,'Used GB Charts'!A:BE,36,FALSE)+VLOOKUP(A26,'Used GB Charts'!A:BE,37,FALSE)+VLOOKUP(A26,'Used GB Charts'!A:BE,38,FALSE)+VLOOKUP(A26,'Used GB Charts'!A:BE,50,FALSE)+VLOOKUP(A26,'Used GB Charts'!A:BE,51,FALSE)+VLOOKUP(A26,'Used GB Charts'!A:BE,53,FALSE)</f>
        <v>727.34755859375002</v>
      </c>
      <c r="E26" s="704">
        <f ca="1">VLOOKUP(A26,'Used GB Charts'!A:BE,33,FALSE)+VLOOKUP(A26,'Used GB Charts'!A:BE,35,FALSE)+VLOOKUP(A26,'Used GB Charts'!A:BE,39,FALSE)</f>
        <v>516.99042968749995</v>
      </c>
      <c r="F26" s="704">
        <f ca="1">VLOOKUP(A26,'Used GB Charts'!A:BE,40,FALSE)+VLOOKUP(A26,'Used GB Charts'!A:BE,41,FALSE)+VLOOKUP(A26,'Used GB Charts'!A:BE,46,FALSE)+VLOOKUP(A26,'Used GB Charts'!A:BE,55,FALSE)+VLOOKUP(A26,'Used GB Charts'!A:BE,56,FALSE)</f>
        <v>813.21074218749993</v>
      </c>
      <c r="G26" s="704">
        <f ca="1">VLOOKUP(A26,'Used GB Charts'!A:BE,42,FALSE)+VLOOKUP(A26,'Used GB Charts'!A:BE,43,FALSE)+VLOOKUP(A26,'Used GB Charts'!A:BE,44,FALSE)++VLOOKUP(A26,'Used GB Charts'!A:BE,45,FALSE)+VLOOKUP(A26,'Used GB Charts'!A:BE,49,FALSE)+VLOOKUP(A26,'Used GB Charts'!A:BE,52,FALSE)+VLOOKUP(A26,'Used GB Charts'!A:BE,54,FALSE)</f>
        <v>615.41972656249993</v>
      </c>
      <c r="H26" s="704">
        <f ca="1">VLOOKUP(A26,'Used GB Charts'!A:BE,47,FALSE)+VLOOKUP(A26,'Used GB Charts'!A:BE,48,FALSE)</f>
        <v>86.17333984375</v>
      </c>
      <c r="I26" s="704">
        <f t="shared" ca="1" si="17"/>
        <v>3046.1629882812499</v>
      </c>
      <c r="J26" s="704">
        <f t="shared" ca="1" si="15"/>
        <v>0</v>
      </c>
    </row>
    <row r="27" spans="1:10" x14ac:dyDescent="0.25">
      <c r="A27" s="703">
        <v>41610</v>
      </c>
      <c r="B27" s="704">
        <f ca="1">VLOOKUP(A27,'Used GB Charts'!A:BE,30,FALSE)</f>
        <v>140.0322265625</v>
      </c>
      <c r="C27" s="704">
        <f ca="1">VLOOKUP(A27,'Used GB Charts'!A:BE,31,FALSE)</f>
        <v>146.98896484375001</v>
      </c>
      <c r="D27" s="704">
        <f ca="1">VLOOKUP(A27,'Used GB Charts'!A:BE,32,FALSE)+VLOOKUP(A27,'Used GB Charts'!A:BE,34,FALSE)+VLOOKUP(A27,'Used GB Charts'!A:BE,36,FALSE)+VLOOKUP(A27,'Used GB Charts'!A:BE,37,FALSE)+VLOOKUP(A27,'Used GB Charts'!A:BE,38,FALSE)+VLOOKUP(A27,'Used GB Charts'!A:BE,50,FALSE)+VLOOKUP(A27,'Used GB Charts'!A:BE,51,FALSE)+VLOOKUP(A27,'Used GB Charts'!A:BE,53,FALSE)</f>
        <v>727.34755859375002</v>
      </c>
      <c r="E27" s="704">
        <f ca="1">VLOOKUP(A27,'Used GB Charts'!A:BE,33,FALSE)+VLOOKUP(A27,'Used GB Charts'!A:BE,35,FALSE)+VLOOKUP(A27,'Used GB Charts'!A:BE,39,FALSE)</f>
        <v>516.99042968749995</v>
      </c>
      <c r="F27" s="704">
        <f ca="1">VLOOKUP(A27,'Used GB Charts'!A:BE,40,FALSE)+VLOOKUP(A27,'Used GB Charts'!A:BE,41,FALSE)+VLOOKUP(A27,'Used GB Charts'!A:BE,46,FALSE)+VLOOKUP(A27,'Used GB Charts'!A:BE,55,FALSE)+VLOOKUP(A27,'Used GB Charts'!A:BE,56,FALSE)</f>
        <v>813.21074218749993</v>
      </c>
      <c r="G27" s="704">
        <f ca="1">VLOOKUP(A27,'Used GB Charts'!A:BE,42,FALSE)+VLOOKUP(A27,'Used GB Charts'!A:BE,43,FALSE)+VLOOKUP(A27,'Used GB Charts'!A:BE,44,FALSE)++VLOOKUP(A27,'Used GB Charts'!A:BE,45,FALSE)+VLOOKUP(A27,'Used GB Charts'!A:BE,49,FALSE)+VLOOKUP(A27,'Used GB Charts'!A:BE,52,FALSE)+VLOOKUP(A27,'Used GB Charts'!A:BE,54,FALSE)</f>
        <v>615.41972656249993</v>
      </c>
      <c r="H27" s="704">
        <f ca="1">VLOOKUP(A27,'Used GB Charts'!A:BE,47,FALSE)+VLOOKUP(A27,'Used GB Charts'!A:BE,48,FALSE)</f>
        <v>86.17333984375</v>
      </c>
      <c r="I27" s="704">
        <f t="shared" ca="1" si="17"/>
        <v>3046.1629882812499</v>
      </c>
      <c r="J27" s="704">
        <f t="shared" ca="1" si="15"/>
        <v>0</v>
      </c>
    </row>
    <row r="28" spans="1:10" x14ac:dyDescent="0.25">
      <c r="A28" s="703">
        <v>41603</v>
      </c>
      <c r="B28" s="704">
        <f ca="1">VLOOKUP(A28,'Used GB Charts'!A:BE,30,FALSE)</f>
        <v>140.0322265625</v>
      </c>
      <c r="C28" s="704">
        <f ca="1">VLOOKUP(A28,'Used GB Charts'!A:BE,31,FALSE)</f>
        <v>146.98896484375001</v>
      </c>
      <c r="D28" s="704">
        <f ca="1">VLOOKUP(A28,'Used GB Charts'!A:BE,32,FALSE)+VLOOKUP(A28,'Used GB Charts'!A:BE,34,FALSE)+VLOOKUP(A28,'Used GB Charts'!A:BE,36,FALSE)+VLOOKUP(A28,'Used GB Charts'!A:BE,37,FALSE)+VLOOKUP(A28,'Used GB Charts'!A:BE,38,FALSE)+VLOOKUP(A28,'Used GB Charts'!A:BE,50,FALSE)+VLOOKUP(A28,'Used GB Charts'!A:BE,51,FALSE)+VLOOKUP(A28,'Used GB Charts'!A:BE,53,FALSE)</f>
        <v>727.34755859375002</v>
      </c>
      <c r="E28" s="704">
        <f ca="1">VLOOKUP(A28,'Used GB Charts'!A:BE,33,FALSE)+VLOOKUP(A28,'Used GB Charts'!A:BE,35,FALSE)+VLOOKUP(A28,'Used GB Charts'!A:BE,39,FALSE)</f>
        <v>516.99042968749995</v>
      </c>
      <c r="F28" s="704">
        <f ca="1">VLOOKUP(A28,'Used GB Charts'!A:BE,40,FALSE)+VLOOKUP(A28,'Used GB Charts'!A:BE,41,FALSE)+VLOOKUP(A28,'Used GB Charts'!A:BE,46,FALSE)+VLOOKUP(A28,'Used GB Charts'!A:BE,55,FALSE)+VLOOKUP(A28,'Used GB Charts'!A:BE,56,FALSE)</f>
        <v>813.21074218749993</v>
      </c>
      <c r="G28" s="704">
        <f ca="1">VLOOKUP(A28,'Used GB Charts'!A:BE,42,FALSE)+VLOOKUP(A28,'Used GB Charts'!A:BE,43,FALSE)+VLOOKUP(A28,'Used GB Charts'!A:BE,44,FALSE)++VLOOKUP(A28,'Used GB Charts'!A:BE,45,FALSE)+VLOOKUP(A28,'Used GB Charts'!A:BE,49,FALSE)+VLOOKUP(A28,'Used GB Charts'!A:BE,52,FALSE)+VLOOKUP(A28,'Used GB Charts'!A:BE,54,FALSE)</f>
        <v>615.41972656249993</v>
      </c>
      <c r="H28" s="704">
        <f ca="1">VLOOKUP(A28,'Used GB Charts'!A:BE,47,FALSE)+VLOOKUP(A28,'Used GB Charts'!A:BE,48,FALSE)</f>
        <v>86.17333984375</v>
      </c>
      <c r="I28" s="704">
        <f t="shared" ca="1" si="17"/>
        <v>3046.1629882812499</v>
      </c>
      <c r="J28" s="704">
        <f t="shared" ca="1" si="15"/>
        <v>0</v>
      </c>
    </row>
    <row r="29" spans="1:10" x14ac:dyDescent="0.25">
      <c r="A29" s="703">
        <v>41596</v>
      </c>
      <c r="B29" s="704">
        <f ca="1">VLOOKUP(A29,'Used GB Charts'!A:BE,30,FALSE)</f>
        <v>140.0322265625</v>
      </c>
      <c r="C29" s="704">
        <f ca="1">VLOOKUP(A29,'Used GB Charts'!A:BE,31,FALSE)</f>
        <v>146.98896484375001</v>
      </c>
      <c r="D29" s="704">
        <f ca="1">VLOOKUP(A29,'Used GB Charts'!A:BE,32,FALSE)+VLOOKUP(A29,'Used GB Charts'!A:BE,34,FALSE)+VLOOKUP(A29,'Used GB Charts'!A:BE,36,FALSE)+VLOOKUP(A29,'Used GB Charts'!A:BE,37,FALSE)+VLOOKUP(A29,'Used GB Charts'!A:BE,38,FALSE)+VLOOKUP(A29,'Used GB Charts'!A:BE,50,FALSE)+VLOOKUP(A29,'Used GB Charts'!A:BE,51,FALSE)+VLOOKUP(A29,'Used GB Charts'!A:BE,53,FALSE)</f>
        <v>727.34755859375002</v>
      </c>
      <c r="E29" s="704">
        <f ca="1">VLOOKUP(A29,'Used GB Charts'!A:BE,33,FALSE)+VLOOKUP(A29,'Used GB Charts'!A:BE,35,FALSE)+VLOOKUP(A29,'Used GB Charts'!A:BE,39,FALSE)</f>
        <v>516.99042968749995</v>
      </c>
      <c r="F29" s="704">
        <f ca="1">VLOOKUP(A29,'Used GB Charts'!A:BE,40,FALSE)+VLOOKUP(A29,'Used GB Charts'!A:BE,41,FALSE)+VLOOKUP(A29,'Used GB Charts'!A:BE,46,FALSE)+VLOOKUP(A29,'Used GB Charts'!A:BE,55,FALSE)+VLOOKUP(A29,'Used GB Charts'!A:BE,56,FALSE)</f>
        <v>813.21074218749993</v>
      </c>
      <c r="G29" s="704">
        <f ca="1">VLOOKUP(A29,'Used GB Charts'!A:BE,42,FALSE)+VLOOKUP(A29,'Used GB Charts'!A:BE,43,FALSE)+VLOOKUP(A29,'Used GB Charts'!A:BE,44,FALSE)++VLOOKUP(A29,'Used GB Charts'!A:BE,45,FALSE)+VLOOKUP(A29,'Used GB Charts'!A:BE,49,FALSE)+VLOOKUP(A29,'Used GB Charts'!A:BE,52,FALSE)+VLOOKUP(A29,'Used GB Charts'!A:BE,54,FALSE)</f>
        <v>615.41972656249993</v>
      </c>
      <c r="H29" s="704">
        <f ca="1">VLOOKUP(A29,'Used GB Charts'!A:BE,47,FALSE)+VLOOKUP(A29,'Used GB Charts'!A:BE,48,FALSE)</f>
        <v>86.17333984375</v>
      </c>
      <c r="I29" s="704">
        <f t="shared" ca="1" si="17"/>
        <v>3046.1629882812499</v>
      </c>
      <c r="J29" s="704">
        <f t="shared" ca="1" si="15"/>
        <v>0</v>
      </c>
    </row>
    <row r="30" spans="1:10" x14ac:dyDescent="0.25">
      <c r="A30" s="703">
        <v>41589</v>
      </c>
      <c r="B30" s="704">
        <f ca="1">VLOOKUP(A30,'Used GB Charts'!A:BE,30,FALSE)</f>
        <v>140.0322265625</v>
      </c>
      <c r="C30" s="704">
        <f ca="1">VLOOKUP(A30,'Used GB Charts'!A:BE,31,FALSE)</f>
        <v>146.98896484375001</v>
      </c>
      <c r="D30" s="704">
        <f ca="1">VLOOKUP(A30,'Used GB Charts'!A:BE,32,FALSE)+VLOOKUP(A30,'Used GB Charts'!A:BE,34,FALSE)+VLOOKUP(A30,'Used GB Charts'!A:BE,36,FALSE)+VLOOKUP(A30,'Used GB Charts'!A:BE,37,FALSE)+VLOOKUP(A30,'Used GB Charts'!A:BE,38,FALSE)+VLOOKUP(A30,'Used GB Charts'!A:BE,50,FALSE)+VLOOKUP(A30,'Used GB Charts'!A:BE,51,FALSE)+VLOOKUP(A30,'Used GB Charts'!A:BE,53,FALSE)</f>
        <v>727.34755859375002</v>
      </c>
      <c r="E30" s="704">
        <f ca="1">VLOOKUP(A30,'Used GB Charts'!A:BE,33,FALSE)+VLOOKUP(A30,'Used GB Charts'!A:BE,35,FALSE)+VLOOKUP(A30,'Used GB Charts'!A:BE,39,FALSE)</f>
        <v>516.99042968749995</v>
      </c>
      <c r="F30" s="704">
        <f ca="1">VLOOKUP(A30,'Used GB Charts'!A:BE,40,FALSE)+VLOOKUP(A30,'Used GB Charts'!A:BE,41,FALSE)+VLOOKUP(A30,'Used GB Charts'!A:BE,46,FALSE)+VLOOKUP(A30,'Used GB Charts'!A:BE,55,FALSE)+VLOOKUP(A30,'Used GB Charts'!A:BE,56,FALSE)</f>
        <v>813.21074218749993</v>
      </c>
      <c r="G30" s="704">
        <f ca="1">VLOOKUP(A30,'Used GB Charts'!A:BE,42,FALSE)+VLOOKUP(A30,'Used GB Charts'!A:BE,43,FALSE)+VLOOKUP(A30,'Used GB Charts'!A:BE,44,FALSE)++VLOOKUP(A30,'Used GB Charts'!A:BE,45,FALSE)+VLOOKUP(A30,'Used GB Charts'!A:BE,49,FALSE)+VLOOKUP(A30,'Used GB Charts'!A:BE,52,FALSE)+VLOOKUP(A30,'Used GB Charts'!A:BE,54,FALSE)</f>
        <v>615.41972656249993</v>
      </c>
      <c r="H30" s="704">
        <f ca="1">VLOOKUP(A30,'Used GB Charts'!A:BE,47,FALSE)+VLOOKUP(A30,'Used GB Charts'!A:BE,48,FALSE)</f>
        <v>86.17333984375</v>
      </c>
      <c r="I30" s="704">
        <f t="shared" ca="1" si="17"/>
        <v>3046.1629882812499</v>
      </c>
      <c r="J30" s="704">
        <f t="shared" ca="1" si="15"/>
        <v>0</v>
      </c>
    </row>
    <row r="31" spans="1:10" x14ac:dyDescent="0.25">
      <c r="A31" s="703">
        <v>41561</v>
      </c>
      <c r="B31" s="704">
        <f ca="1">VLOOKUP(A31,'Used GB Charts'!A:BE,30,FALSE)</f>
        <v>140.0322265625</v>
      </c>
      <c r="C31" s="704">
        <f ca="1">VLOOKUP(A31,'Used GB Charts'!A:BE,31,FALSE)</f>
        <v>146.98896484375001</v>
      </c>
      <c r="D31" s="704">
        <f ca="1">VLOOKUP(A31,'Used GB Charts'!A:BE,32,FALSE)+VLOOKUP(A31,'Used GB Charts'!A:BE,34,FALSE)+VLOOKUP(A31,'Used GB Charts'!A:BE,36,FALSE)+VLOOKUP(A31,'Used GB Charts'!A:BE,37,FALSE)+VLOOKUP(A31,'Used GB Charts'!A:BE,38,FALSE)+VLOOKUP(A31,'Used GB Charts'!A:BE,50,FALSE)+VLOOKUP(A31,'Used GB Charts'!A:BE,51,FALSE)+VLOOKUP(A31,'Used GB Charts'!A:BE,53,FALSE)</f>
        <v>727.34755859375002</v>
      </c>
      <c r="E31" s="704">
        <f ca="1">VLOOKUP(A31,'Used GB Charts'!A:BE,33,FALSE)+VLOOKUP(A31,'Used GB Charts'!A:BE,35,FALSE)+VLOOKUP(A31,'Used GB Charts'!A:BE,39,FALSE)</f>
        <v>516.99042968749995</v>
      </c>
      <c r="F31" s="704">
        <f ca="1">VLOOKUP(A31,'Used GB Charts'!A:BE,40,FALSE)+VLOOKUP(A31,'Used GB Charts'!A:BE,41,FALSE)+VLOOKUP(A31,'Used GB Charts'!A:BE,46,FALSE)+VLOOKUP(A31,'Used GB Charts'!A:BE,55,FALSE)+VLOOKUP(A31,'Used GB Charts'!A:BE,56,FALSE)</f>
        <v>813.21074218749993</v>
      </c>
      <c r="G31" s="704">
        <f ca="1">VLOOKUP(A31,'Used GB Charts'!A:BE,42,FALSE)+VLOOKUP(A31,'Used GB Charts'!A:BE,43,FALSE)+VLOOKUP(A31,'Used GB Charts'!A:BE,44,FALSE)++VLOOKUP(A31,'Used GB Charts'!A:BE,45,FALSE)+VLOOKUP(A31,'Used GB Charts'!A:BE,49,FALSE)+VLOOKUP(A31,'Used GB Charts'!A:BE,52,FALSE)+VLOOKUP(A31,'Used GB Charts'!A:BE,54,FALSE)</f>
        <v>615.41972656249993</v>
      </c>
      <c r="H31" s="704">
        <f ca="1">VLOOKUP(A31,'Used GB Charts'!A:BE,47,FALSE)+VLOOKUP(A31,'Used GB Charts'!A:BE,48,FALSE)</f>
        <v>86.17333984375</v>
      </c>
      <c r="I31" s="704">
        <f t="shared" ca="1" si="17"/>
        <v>3046.1629882812499</v>
      </c>
      <c r="J31" s="704">
        <f t="shared" ca="1" si="15"/>
        <v>0</v>
      </c>
    </row>
    <row r="32" spans="1:10" x14ac:dyDescent="0.25">
      <c r="A32" s="703">
        <v>41548</v>
      </c>
      <c r="B32" s="704">
        <f ca="1">VLOOKUP(A32,'Used GB Charts'!A:BE,30,FALSE)</f>
        <v>140.0322265625</v>
      </c>
      <c r="C32" s="704">
        <f ca="1">VLOOKUP(A32,'Used GB Charts'!A:BE,31,FALSE)</f>
        <v>146.98896484375001</v>
      </c>
      <c r="D32" s="704">
        <f ca="1">VLOOKUP(A32,'Used GB Charts'!A:BE,32,FALSE)+VLOOKUP(A32,'Used GB Charts'!A:BE,34,FALSE)+VLOOKUP(A32,'Used GB Charts'!A:BE,36,FALSE)+VLOOKUP(A32,'Used GB Charts'!A:BE,37,FALSE)+VLOOKUP(A32,'Used GB Charts'!A:BE,38,FALSE)+VLOOKUP(A32,'Used GB Charts'!A:BE,50,FALSE)+VLOOKUP(A32,'Used GB Charts'!A:BE,51,FALSE)+VLOOKUP(A32,'Used GB Charts'!A:BE,53,FALSE)</f>
        <v>727.34755859375002</v>
      </c>
      <c r="E32" s="704">
        <f ca="1">VLOOKUP(A32,'Used GB Charts'!A:BE,33,FALSE)+VLOOKUP(A32,'Used GB Charts'!A:BE,35,FALSE)+VLOOKUP(A32,'Used GB Charts'!A:BE,39,FALSE)</f>
        <v>516.99042968749995</v>
      </c>
      <c r="F32" s="704">
        <f ca="1">VLOOKUP(A32,'Used GB Charts'!A:BE,40,FALSE)+VLOOKUP(A32,'Used GB Charts'!A:BE,41,FALSE)+VLOOKUP(A32,'Used GB Charts'!A:BE,46,FALSE)+VLOOKUP(A32,'Used GB Charts'!A:BE,55,FALSE)+VLOOKUP(A32,'Used GB Charts'!A:BE,56,FALSE)</f>
        <v>813.21074218749993</v>
      </c>
      <c r="G32" s="704">
        <f ca="1">VLOOKUP(A32,'Used GB Charts'!A:BE,42,FALSE)+VLOOKUP(A32,'Used GB Charts'!A:BE,43,FALSE)+VLOOKUP(A32,'Used GB Charts'!A:BE,44,FALSE)++VLOOKUP(A32,'Used GB Charts'!A:BE,45,FALSE)+VLOOKUP(A32,'Used GB Charts'!A:BE,49,FALSE)+VLOOKUP(A32,'Used GB Charts'!A:BE,52,FALSE)+VLOOKUP(A32,'Used GB Charts'!A:BE,54,FALSE)</f>
        <v>615.41972656249993</v>
      </c>
      <c r="H32" s="704">
        <f ca="1">VLOOKUP(A32,'Used GB Charts'!A:BE,47,FALSE)+VLOOKUP(A32,'Used GB Charts'!A:BE,48,FALSE)</f>
        <v>86.17333984375</v>
      </c>
      <c r="I32" s="704">
        <f t="shared" ca="1" si="17"/>
        <v>3046.1629882812499</v>
      </c>
      <c r="J32" s="704">
        <f t="shared" ca="1" si="15"/>
        <v>544.49423828125009</v>
      </c>
    </row>
    <row r="33" spans="1:10" x14ac:dyDescent="0.25">
      <c r="A33" s="703">
        <v>41541</v>
      </c>
      <c r="B33" s="704">
        <f ca="1">VLOOKUP(A33,'Used GB Charts'!A:BE,30,FALSE)</f>
        <v>140.0322265625</v>
      </c>
      <c r="C33" s="704">
        <f ca="1">VLOOKUP(A33,'Used GB Charts'!A:BE,31,FALSE)</f>
        <v>146.98896484375001</v>
      </c>
      <c r="D33" s="704">
        <f ca="1">VLOOKUP(A33,'Used GB Charts'!A:BE,32,FALSE)+VLOOKUP(A33,'Used GB Charts'!A:BE,34,FALSE)+VLOOKUP(A33,'Used GB Charts'!A:BE,36,FALSE)+VLOOKUP(A33,'Used GB Charts'!A:BE,37,FALSE)+VLOOKUP(A33,'Used GB Charts'!A:BE,38,FALSE)+VLOOKUP(A33,'Used GB Charts'!A:BE,50,FALSE)+VLOOKUP(A33,'Used GB Charts'!A:BE,51,FALSE)+VLOOKUP(A33,'Used GB Charts'!A:BE,53,FALSE)</f>
        <v>727.34755859375002</v>
      </c>
      <c r="E33" s="704">
        <f ca="1">VLOOKUP(A33,'Used GB Charts'!A:BE,33,FALSE)+VLOOKUP(A33,'Used GB Charts'!A:BE,35,FALSE)+VLOOKUP(A33,'Used GB Charts'!A:BE,39,FALSE)</f>
        <v>386.91972656249993</v>
      </c>
      <c r="F33" s="704">
        <f ca="1">VLOOKUP(A33,'Used GB Charts'!A:BE,40,FALSE)+VLOOKUP(A33,'Used GB Charts'!A:BE,41,FALSE)+VLOOKUP(A33,'Used GB Charts'!A:BE,46,FALSE)+VLOOKUP(A33,'Used GB Charts'!A:BE,55,FALSE)+VLOOKUP(A33,'Used GB Charts'!A:BE,56,FALSE)</f>
        <v>398.78720703124998</v>
      </c>
      <c r="G33" s="704">
        <f ca="1">VLOOKUP(A33,'Used GB Charts'!A:BE,42,FALSE)+VLOOKUP(A33,'Used GB Charts'!A:BE,43,FALSE)+VLOOKUP(A33,'Used GB Charts'!A:BE,44,FALSE)++VLOOKUP(A33,'Used GB Charts'!A:BE,45,FALSE)+VLOOKUP(A33,'Used GB Charts'!A:BE,49,FALSE)+VLOOKUP(A33,'Used GB Charts'!A:BE,52,FALSE)+VLOOKUP(A33,'Used GB Charts'!A:BE,54,FALSE)</f>
        <v>615.41972656249993</v>
      </c>
      <c r="H33" s="704">
        <f ca="1">VLOOKUP(A33,'Used GB Charts'!A:BE,47,FALSE)+VLOOKUP(A33,'Used GB Charts'!A:BE,48,FALSE)</f>
        <v>86.17333984375</v>
      </c>
      <c r="I33" s="704">
        <f t="shared" ca="1" si="17"/>
        <v>2501.6687499999998</v>
      </c>
      <c r="J33" s="704">
        <f t="shared" ca="1" si="15"/>
        <v>0</v>
      </c>
    </row>
    <row r="34" spans="1:10" x14ac:dyDescent="0.25">
      <c r="A34" s="703">
        <v>41534</v>
      </c>
      <c r="B34" s="704">
        <f ca="1">VLOOKUP(A34,'Used GB Charts'!A:BE,30,FALSE)</f>
        <v>140.0322265625</v>
      </c>
      <c r="C34" s="704">
        <f ca="1">VLOOKUP(A34,'Used GB Charts'!A:BE,31,FALSE)</f>
        <v>146.98896484375001</v>
      </c>
      <c r="D34" s="704">
        <f ca="1">VLOOKUP(A34,'Used GB Charts'!A:BE,32,FALSE)+VLOOKUP(A34,'Used GB Charts'!A:BE,34,FALSE)+VLOOKUP(A34,'Used GB Charts'!A:BE,36,FALSE)+VLOOKUP(A34,'Used GB Charts'!A:BE,37,FALSE)+VLOOKUP(A34,'Used GB Charts'!A:BE,38,FALSE)+VLOOKUP(A34,'Used GB Charts'!A:BE,50,FALSE)+VLOOKUP(A34,'Used GB Charts'!A:BE,51,FALSE)+VLOOKUP(A34,'Used GB Charts'!A:BE,53,FALSE)</f>
        <v>727.34755859375002</v>
      </c>
      <c r="E34" s="704">
        <f ca="1">VLOOKUP(A34,'Used GB Charts'!A:BE,33,FALSE)+VLOOKUP(A34,'Used GB Charts'!A:BE,35,FALSE)+VLOOKUP(A34,'Used GB Charts'!A:BE,39,FALSE)</f>
        <v>386.91972656249993</v>
      </c>
      <c r="F34" s="704">
        <f ca="1">VLOOKUP(A34,'Used GB Charts'!A:BE,40,FALSE)+VLOOKUP(A34,'Used GB Charts'!A:BE,41,FALSE)+VLOOKUP(A34,'Used GB Charts'!A:BE,46,FALSE)+VLOOKUP(A34,'Used GB Charts'!A:BE,55,FALSE)+VLOOKUP(A34,'Used GB Charts'!A:BE,56,FALSE)</f>
        <v>398.78720703124998</v>
      </c>
      <c r="G34" s="704">
        <f ca="1">VLOOKUP(A34,'Used GB Charts'!A:BE,42,FALSE)+VLOOKUP(A34,'Used GB Charts'!A:BE,43,FALSE)+VLOOKUP(A34,'Used GB Charts'!A:BE,44,FALSE)++VLOOKUP(A34,'Used GB Charts'!A:BE,45,FALSE)+VLOOKUP(A34,'Used GB Charts'!A:BE,49,FALSE)+VLOOKUP(A34,'Used GB Charts'!A:BE,52,FALSE)+VLOOKUP(A34,'Used GB Charts'!A:BE,54,FALSE)</f>
        <v>615.41972656249993</v>
      </c>
      <c r="H34" s="704">
        <f ca="1">VLOOKUP(A34,'Used GB Charts'!A:BE,47,FALSE)+VLOOKUP(A34,'Used GB Charts'!A:BE,48,FALSE)</f>
        <v>86.17333984375</v>
      </c>
      <c r="I34" s="704">
        <f t="shared" ca="1" si="17"/>
        <v>2501.6687499999998</v>
      </c>
      <c r="J34" s="704">
        <f t="shared" ca="1" si="15"/>
        <v>-259.04570312499982</v>
      </c>
    </row>
    <row r="35" spans="1:10" x14ac:dyDescent="0.25">
      <c r="A35" s="703">
        <v>41519</v>
      </c>
      <c r="B35" s="704">
        <f ca="1">VLOOKUP(A35,'Used GB Charts'!A:BE,30,FALSE)</f>
        <v>140.0322265625</v>
      </c>
      <c r="C35" s="704">
        <f ca="1">VLOOKUP(A35,'Used GB Charts'!A:BE,31,FALSE)</f>
        <v>146.98896484375001</v>
      </c>
      <c r="D35" s="704">
        <f ca="1">VLOOKUP(A35,'Used GB Charts'!A:BE,32,FALSE)+VLOOKUP(A35,'Used GB Charts'!A:BE,34,FALSE)+VLOOKUP(A35,'Used GB Charts'!A:BE,36,FALSE)+VLOOKUP(A35,'Used GB Charts'!A:BE,37,FALSE)+VLOOKUP(A35,'Used GB Charts'!A:BE,38,FALSE)+VLOOKUP(A35,'Used GB Charts'!A:BE,50,FALSE)+VLOOKUP(A35,'Used GB Charts'!A:BE,51,FALSE)+VLOOKUP(A35,'Used GB Charts'!A:BE,53,FALSE)</f>
        <v>727.34755859375002</v>
      </c>
      <c r="E35" s="704">
        <f ca="1">VLOOKUP(A35,'Used GB Charts'!A:BE,33,FALSE)+VLOOKUP(A35,'Used GB Charts'!A:BE,35,FALSE)+VLOOKUP(A35,'Used GB Charts'!A:BE,39,FALSE)</f>
        <v>516.99042968749995</v>
      </c>
      <c r="F35" s="704">
        <f ca="1">VLOOKUP(A35,'Used GB Charts'!A:BE,40,FALSE)+VLOOKUP(A35,'Used GB Charts'!A:BE,41,FALSE)+VLOOKUP(A35,'Used GB Charts'!A:BE,46,FALSE)+VLOOKUP(A35,'Used GB Charts'!A:BE,55,FALSE)+VLOOKUP(A35,'Used GB Charts'!A:BE,56,FALSE)</f>
        <v>527.76220703125</v>
      </c>
      <c r="G35" s="704">
        <f ca="1">VLOOKUP(A35,'Used GB Charts'!A:BE,42,FALSE)+VLOOKUP(A35,'Used GB Charts'!A:BE,43,FALSE)+VLOOKUP(A35,'Used GB Charts'!A:BE,44,FALSE)++VLOOKUP(A35,'Used GB Charts'!A:BE,45,FALSE)+VLOOKUP(A35,'Used GB Charts'!A:BE,49,FALSE)+VLOOKUP(A35,'Used GB Charts'!A:BE,52,FALSE)+VLOOKUP(A35,'Used GB Charts'!A:BE,54,FALSE)</f>
        <v>615.41972656249993</v>
      </c>
      <c r="H35" s="704">
        <f ca="1">VLOOKUP(A35,'Used GB Charts'!A:BE,47,FALSE)+VLOOKUP(A35,'Used GB Charts'!A:BE,48,FALSE)</f>
        <v>86.17333984375</v>
      </c>
      <c r="I35" s="704">
        <f t="shared" ca="1" si="17"/>
        <v>2760.7144531249996</v>
      </c>
      <c r="J35" s="704">
        <f t="shared" ca="1" si="15"/>
        <v>0</v>
      </c>
    </row>
    <row r="36" spans="1:10" x14ac:dyDescent="0.25">
      <c r="A36" s="703">
        <v>41513</v>
      </c>
      <c r="B36" s="704">
        <f ca="1">VLOOKUP(A36,'Used GB Charts'!A:BE,30,FALSE)</f>
        <v>140.0322265625</v>
      </c>
      <c r="C36" s="704">
        <f ca="1">VLOOKUP(A36,'Used GB Charts'!A:BE,31,FALSE)</f>
        <v>146.98896484375001</v>
      </c>
      <c r="D36" s="704">
        <f ca="1">VLOOKUP(A36,'Used GB Charts'!A:BE,32,FALSE)+VLOOKUP(A36,'Used GB Charts'!A:BE,34,FALSE)+VLOOKUP(A36,'Used GB Charts'!A:BE,36,FALSE)+VLOOKUP(A36,'Used GB Charts'!A:BE,37,FALSE)+VLOOKUP(A36,'Used GB Charts'!A:BE,38,FALSE)+VLOOKUP(A36,'Used GB Charts'!A:BE,50,FALSE)+VLOOKUP(A36,'Used GB Charts'!A:BE,51,FALSE)+VLOOKUP(A36,'Used GB Charts'!A:BE,53,FALSE)</f>
        <v>727.34755859375002</v>
      </c>
      <c r="E36" s="704">
        <f ca="1">VLOOKUP(A36,'Used GB Charts'!A:BE,33,FALSE)+VLOOKUP(A36,'Used GB Charts'!A:BE,35,FALSE)+VLOOKUP(A36,'Used GB Charts'!A:BE,39,FALSE)</f>
        <v>516.99042968749995</v>
      </c>
      <c r="F36" s="704">
        <f ca="1">VLOOKUP(A36,'Used GB Charts'!A:BE,40,FALSE)+VLOOKUP(A36,'Used GB Charts'!A:BE,41,FALSE)+VLOOKUP(A36,'Used GB Charts'!A:BE,46,FALSE)+VLOOKUP(A36,'Used GB Charts'!A:BE,55,FALSE)+VLOOKUP(A36,'Used GB Charts'!A:BE,56,FALSE)</f>
        <v>527.76220703125</v>
      </c>
      <c r="G36" s="704">
        <f ca="1">VLOOKUP(A36,'Used GB Charts'!A:BE,42,FALSE)+VLOOKUP(A36,'Used GB Charts'!A:BE,43,FALSE)+VLOOKUP(A36,'Used GB Charts'!A:BE,44,FALSE)++VLOOKUP(A36,'Used GB Charts'!A:BE,45,FALSE)+VLOOKUP(A36,'Used GB Charts'!A:BE,49,FALSE)+VLOOKUP(A36,'Used GB Charts'!A:BE,52,FALSE)+VLOOKUP(A36,'Used GB Charts'!A:BE,54,FALSE)</f>
        <v>615.41972656249993</v>
      </c>
      <c r="H36" s="704">
        <f ca="1">VLOOKUP(A36,'Used GB Charts'!A:BE,47,FALSE)+VLOOKUP(A36,'Used GB Charts'!A:BE,48,FALSE)</f>
        <v>86.17333984375</v>
      </c>
      <c r="I36" s="704">
        <f t="shared" ca="1" si="17"/>
        <v>2760.7144531249996</v>
      </c>
      <c r="J36" s="704">
        <f t="shared" ca="1" si="15"/>
        <v>0</v>
      </c>
    </row>
    <row r="37" spans="1:10" x14ac:dyDescent="0.25">
      <c r="A37" s="703">
        <v>41498</v>
      </c>
      <c r="B37" s="704">
        <f ca="1">VLOOKUP(A37,'Used GB Charts'!A:BE,30,FALSE)</f>
        <v>140.0322265625</v>
      </c>
      <c r="C37" s="704">
        <f ca="1">VLOOKUP(A37,'Used GB Charts'!A:BE,31,FALSE)</f>
        <v>146.98896484375001</v>
      </c>
      <c r="D37" s="704">
        <f ca="1">VLOOKUP(A37,'Used GB Charts'!A:BE,32,FALSE)+VLOOKUP(A37,'Used GB Charts'!A:BE,34,FALSE)+VLOOKUP(A37,'Used GB Charts'!A:BE,36,FALSE)+VLOOKUP(A37,'Used GB Charts'!A:BE,37,FALSE)+VLOOKUP(A37,'Used GB Charts'!A:BE,38,FALSE)+VLOOKUP(A37,'Used GB Charts'!A:BE,50,FALSE)+VLOOKUP(A37,'Used GB Charts'!A:BE,51,FALSE)+VLOOKUP(A37,'Used GB Charts'!A:BE,53,FALSE)</f>
        <v>727.34755859375002</v>
      </c>
      <c r="E37" s="704">
        <f ca="1">VLOOKUP(A37,'Used GB Charts'!A:BE,33,FALSE)+VLOOKUP(A37,'Used GB Charts'!A:BE,35,FALSE)+VLOOKUP(A37,'Used GB Charts'!A:BE,39,FALSE)</f>
        <v>516.99042968749995</v>
      </c>
      <c r="F37" s="704">
        <f ca="1">VLOOKUP(A37,'Used GB Charts'!A:BE,40,FALSE)+VLOOKUP(A37,'Used GB Charts'!A:BE,41,FALSE)+VLOOKUP(A37,'Used GB Charts'!A:BE,46,FALSE)+VLOOKUP(A37,'Used GB Charts'!A:BE,55,FALSE)+VLOOKUP(A37,'Used GB Charts'!A:BE,56,FALSE)</f>
        <v>527.76220703125</v>
      </c>
      <c r="G37" s="704">
        <f ca="1">VLOOKUP(A37,'Used GB Charts'!A:BE,42,FALSE)+VLOOKUP(A37,'Used GB Charts'!A:BE,43,FALSE)+VLOOKUP(A37,'Used GB Charts'!A:BE,44,FALSE)++VLOOKUP(A37,'Used GB Charts'!A:BE,45,FALSE)+VLOOKUP(A37,'Used GB Charts'!A:BE,49,FALSE)+VLOOKUP(A37,'Used GB Charts'!A:BE,52,FALSE)+VLOOKUP(A37,'Used GB Charts'!A:BE,54,FALSE)</f>
        <v>615.41972656249993</v>
      </c>
      <c r="H37" s="704">
        <f ca="1">VLOOKUP(A37,'Used GB Charts'!A:BE,47,FALSE)+VLOOKUP(A37,'Used GB Charts'!A:BE,48,FALSE)</f>
        <v>86.17333984375</v>
      </c>
      <c r="I37" s="704">
        <f t="shared" ca="1" si="17"/>
        <v>2760.7144531249996</v>
      </c>
      <c r="J37" s="704">
        <f t="shared" ca="1" si="15"/>
        <v>0</v>
      </c>
    </row>
    <row r="38" spans="1:10" x14ac:dyDescent="0.25">
      <c r="A38" s="703">
        <v>41491</v>
      </c>
      <c r="B38" s="704">
        <f ca="1">VLOOKUP(A38,'Used GB Charts'!A:BE,30,FALSE)</f>
        <v>140.0322265625</v>
      </c>
      <c r="C38" s="704">
        <f ca="1">VLOOKUP(A38,'Used GB Charts'!A:BE,31,FALSE)</f>
        <v>146.98896484375001</v>
      </c>
      <c r="D38" s="704">
        <f ca="1">VLOOKUP(A38,'Used GB Charts'!A:BE,32,FALSE)+VLOOKUP(A38,'Used GB Charts'!A:BE,34,FALSE)+VLOOKUP(A38,'Used GB Charts'!A:BE,36,FALSE)+VLOOKUP(A38,'Used GB Charts'!A:BE,37,FALSE)+VLOOKUP(A38,'Used GB Charts'!A:BE,38,FALSE)+VLOOKUP(A38,'Used GB Charts'!A:BE,50,FALSE)+VLOOKUP(A38,'Used GB Charts'!A:BE,51,FALSE)+VLOOKUP(A38,'Used GB Charts'!A:BE,53,FALSE)</f>
        <v>727.34755859375002</v>
      </c>
      <c r="E38" s="704">
        <f ca="1">VLOOKUP(A38,'Used GB Charts'!A:BE,33,FALSE)+VLOOKUP(A38,'Used GB Charts'!A:BE,35,FALSE)+VLOOKUP(A38,'Used GB Charts'!A:BE,39,FALSE)</f>
        <v>516.99042968749995</v>
      </c>
      <c r="F38" s="704">
        <f ca="1">VLOOKUP(A38,'Used GB Charts'!A:BE,40,FALSE)+VLOOKUP(A38,'Used GB Charts'!A:BE,41,FALSE)+VLOOKUP(A38,'Used GB Charts'!A:BE,46,FALSE)+VLOOKUP(A38,'Used GB Charts'!A:BE,55,FALSE)+VLOOKUP(A38,'Used GB Charts'!A:BE,56,FALSE)</f>
        <v>527.76220703125</v>
      </c>
      <c r="G38" s="704">
        <f ca="1">VLOOKUP(A38,'Used GB Charts'!A:BE,42,FALSE)+VLOOKUP(A38,'Used GB Charts'!A:BE,43,FALSE)+VLOOKUP(A38,'Used GB Charts'!A:BE,44,FALSE)++VLOOKUP(A38,'Used GB Charts'!A:BE,45,FALSE)+VLOOKUP(A38,'Used GB Charts'!A:BE,49,FALSE)+VLOOKUP(A38,'Used GB Charts'!A:BE,52,FALSE)+VLOOKUP(A38,'Used GB Charts'!A:BE,54,FALSE)</f>
        <v>615.41972656249993</v>
      </c>
      <c r="H38" s="704">
        <f ca="1">VLOOKUP(A38,'Used GB Charts'!A:BE,47,FALSE)+VLOOKUP(A38,'Used GB Charts'!A:BE,48,FALSE)</f>
        <v>86.17333984375</v>
      </c>
      <c r="I38" s="704">
        <f t="shared" ca="1" si="17"/>
        <v>2760.7144531249996</v>
      </c>
      <c r="J38" s="704">
        <f t="shared" ca="1" si="15"/>
        <v>0</v>
      </c>
    </row>
    <row r="39" spans="1:10" x14ac:dyDescent="0.25">
      <c r="A39" s="703">
        <v>41485</v>
      </c>
      <c r="B39" s="704">
        <f ca="1">VLOOKUP(A39,'Used GB Charts'!A:BE,30,FALSE)</f>
        <v>140.0322265625</v>
      </c>
      <c r="C39" s="704">
        <f ca="1">VLOOKUP(A39,'Used GB Charts'!A:BE,31,FALSE)</f>
        <v>146.98896484375001</v>
      </c>
      <c r="D39" s="704">
        <f ca="1">VLOOKUP(A39,'Used GB Charts'!A:BE,32,FALSE)+VLOOKUP(A39,'Used GB Charts'!A:BE,34,FALSE)+VLOOKUP(A39,'Used GB Charts'!A:BE,36,FALSE)+VLOOKUP(A39,'Used GB Charts'!A:BE,37,FALSE)+VLOOKUP(A39,'Used GB Charts'!A:BE,38,FALSE)+VLOOKUP(A39,'Used GB Charts'!A:BE,50,FALSE)+VLOOKUP(A39,'Used GB Charts'!A:BE,51,FALSE)+VLOOKUP(A39,'Used GB Charts'!A:BE,53,FALSE)</f>
        <v>727.34755859375002</v>
      </c>
      <c r="E39" s="704">
        <f ca="1">VLOOKUP(A39,'Used GB Charts'!A:BE,33,FALSE)+VLOOKUP(A39,'Used GB Charts'!A:BE,35,FALSE)+VLOOKUP(A39,'Used GB Charts'!A:BE,39,FALSE)</f>
        <v>516.99042968749995</v>
      </c>
      <c r="F39" s="704">
        <f ca="1">VLOOKUP(A39,'Used GB Charts'!A:BE,40,FALSE)+VLOOKUP(A39,'Used GB Charts'!A:BE,41,FALSE)+VLOOKUP(A39,'Used GB Charts'!A:BE,46,FALSE)+VLOOKUP(A39,'Used GB Charts'!A:BE,55,FALSE)+VLOOKUP(A39,'Used GB Charts'!A:BE,56,FALSE)</f>
        <v>527.76220703125</v>
      </c>
      <c r="G39" s="704">
        <f ca="1">VLOOKUP(A39,'Used GB Charts'!A:BE,42,FALSE)+VLOOKUP(A39,'Used GB Charts'!A:BE,43,FALSE)+VLOOKUP(A39,'Used GB Charts'!A:BE,44,FALSE)++VLOOKUP(A39,'Used GB Charts'!A:BE,45,FALSE)+VLOOKUP(A39,'Used GB Charts'!A:BE,49,FALSE)+VLOOKUP(A39,'Used GB Charts'!A:BE,52,FALSE)+VLOOKUP(A39,'Used GB Charts'!A:BE,54,FALSE)</f>
        <v>615.41972656249993</v>
      </c>
      <c r="H39" s="704">
        <f ca="1">VLOOKUP(A39,'Used GB Charts'!A:BE,47,FALSE)+VLOOKUP(A39,'Used GB Charts'!A:BE,48,FALSE)</f>
        <v>86.17333984375</v>
      </c>
      <c r="I39" s="704">
        <f t="shared" ca="1" si="17"/>
        <v>2760.7144531249996</v>
      </c>
      <c r="J39" s="704">
        <f t="shared" ca="1" si="15"/>
        <v>0</v>
      </c>
    </row>
    <row r="40" spans="1:10" x14ac:dyDescent="0.25">
      <c r="A40" s="703">
        <v>41478</v>
      </c>
      <c r="B40" s="704">
        <f ca="1">VLOOKUP(A40,'Used GB Charts'!A:BE,30,FALSE)</f>
        <v>140.0322265625</v>
      </c>
      <c r="C40" s="704">
        <f ca="1">VLOOKUP(A40,'Used GB Charts'!A:BE,31,FALSE)</f>
        <v>146.98896484375001</v>
      </c>
      <c r="D40" s="704">
        <f ca="1">VLOOKUP(A40,'Used GB Charts'!A:BE,32,FALSE)+VLOOKUP(A40,'Used GB Charts'!A:BE,34,FALSE)+VLOOKUP(A40,'Used GB Charts'!A:BE,36,FALSE)+VLOOKUP(A40,'Used GB Charts'!A:BE,37,FALSE)+VLOOKUP(A40,'Used GB Charts'!A:BE,38,FALSE)+VLOOKUP(A40,'Used GB Charts'!A:BE,50,FALSE)+VLOOKUP(A40,'Used GB Charts'!A:BE,51,FALSE)+VLOOKUP(A40,'Used GB Charts'!A:BE,53,FALSE)</f>
        <v>727.34755859375002</v>
      </c>
      <c r="E40" s="704">
        <f ca="1">VLOOKUP(A40,'Used GB Charts'!A:BE,33,FALSE)+VLOOKUP(A40,'Used GB Charts'!A:BE,35,FALSE)+VLOOKUP(A40,'Used GB Charts'!A:BE,39,FALSE)</f>
        <v>516.99042968749995</v>
      </c>
      <c r="F40" s="704">
        <f ca="1">VLOOKUP(A40,'Used GB Charts'!A:BE,40,FALSE)+VLOOKUP(A40,'Used GB Charts'!A:BE,41,FALSE)+VLOOKUP(A40,'Used GB Charts'!A:BE,46,FALSE)+VLOOKUP(A40,'Used GB Charts'!A:BE,55,FALSE)+VLOOKUP(A40,'Used GB Charts'!A:BE,56,FALSE)</f>
        <v>527.76220703125</v>
      </c>
      <c r="G40" s="704">
        <f ca="1">VLOOKUP(A40,'Used GB Charts'!A:BE,42,FALSE)+VLOOKUP(A40,'Used GB Charts'!A:BE,43,FALSE)+VLOOKUP(A40,'Used GB Charts'!A:BE,44,FALSE)++VLOOKUP(A40,'Used GB Charts'!A:BE,45,FALSE)+VLOOKUP(A40,'Used GB Charts'!A:BE,49,FALSE)+VLOOKUP(A40,'Used GB Charts'!A:BE,52,FALSE)+VLOOKUP(A40,'Used GB Charts'!A:BE,54,FALSE)</f>
        <v>615.41972656249993</v>
      </c>
      <c r="H40" s="704">
        <f ca="1">VLOOKUP(A40,'Used GB Charts'!A:BE,47,FALSE)+VLOOKUP(A40,'Used GB Charts'!A:BE,48,FALSE)</f>
        <v>86.17333984375</v>
      </c>
      <c r="I40" s="704">
        <f t="shared" ca="1" si="17"/>
        <v>2760.7144531249996</v>
      </c>
      <c r="J40" s="704">
        <f t="shared" ca="1" si="15"/>
        <v>0</v>
      </c>
    </row>
    <row r="41" spans="1:10" x14ac:dyDescent="0.25">
      <c r="A41" s="703">
        <v>41470</v>
      </c>
      <c r="B41" s="704">
        <f ca="1">VLOOKUP(A41,'Used GB Charts'!A:BE,30,FALSE)</f>
        <v>140.0322265625</v>
      </c>
      <c r="C41" s="704">
        <f ca="1">VLOOKUP(A41,'Used GB Charts'!A:BE,31,FALSE)</f>
        <v>146.98896484375001</v>
      </c>
      <c r="D41" s="704">
        <f ca="1">VLOOKUP(A41,'Used GB Charts'!A:BE,32,FALSE)+VLOOKUP(A41,'Used GB Charts'!A:BE,34,FALSE)+VLOOKUP(A41,'Used GB Charts'!A:BE,36,FALSE)+VLOOKUP(A41,'Used GB Charts'!A:BE,37,FALSE)+VLOOKUP(A41,'Used GB Charts'!A:BE,38,FALSE)+VLOOKUP(A41,'Used GB Charts'!A:BE,50,FALSE)+VLOOKUP(A41,'Used GB Charts'!A:BE,51,FALSE)+VLOOKUP(A41,'Used GB Charts'!A:BE,53,FALSE)</f>
        <v>727.34755859375002</v>
      </c>
      <c r="E41" s="704">
        <f ca="1">VLOOKUP(A41,'Used GB Charts'!A:BE,33,FALSE)+VLOOKUP(A41,'Used GB Charts'!A:BE,35,FALSE)+VLOOKUP(A41,'Used GB Charts'!A:BE,39,FALSE)</f>
        <v>516.99042968749995</v>
      </c>
      <c r="F41" s="704">
        <f ca="1">VLOOKUP(A41,'Used GB Charts'!A:BE,40,FALSE)+VLOOKUP(A41,'Used GB Charts'!A:BE,41,FALSE)+VLOOKUP(A41,'Used GB Charts'!A:BE,46,FALSE)+VLOOKUP(A41,'Used GB Charts'!A:BE,55,FALSE)+VLOOKUP(A41,'Used GB Charts'!A:BE,56,FALSE)</f>
        <v>527.76220703125</v>
      </c>
      <c r="G41" s="704">
        <f ca="1">VLOOKUP(A41,'Used GB Charts'!A:BE,42,FALSE)+VLOOKUP(A41,'Used GB Charts'!A:BE,43,FALSE)+VLOOKUP(A41,'Used GB Charts'!A:BE,44,FALSE)++VLOOKUP(A41,'Used GB Charts'!A:BE,45,FALSE)+VLOOKUP(A41,'Used GB Charts'!A:BE,49,FALSE)+VLOOKUP(A41,'Used GB Charts'!A:BE,52,FALSE)+VLOOKUP(A41,'Used GB Charts'!A:BE,54,FALSE)</f>
        <v>615.41972656249993</v>
      </c>
      <c r="H41" s="704">
        <f ca="1">VLOOKUP(A41,'Used GB Charts'!A:BE,47,FALSE)+VLOOKUP(A41,'Used GB Charts'!A:BE,48,FALSE)</f>
        <v>86.17333984375</v>
      </c>
      <c r="I41" s="704">
        <f t="shared" ca="1" si="17"/>
        <v>2760.7144531249996</v>
      </c>
      <c r="J41" s="704">
        <f t="shared" ca="1" si="15"/>
        <v>162.49511718749955</v>
      </c>
    </row>
    <row r="42" spans="1:10" x14ac:dyDescent="0.25">
      <c r="A42" s="703">
        <v>41464</v>
      </c>
      <c r="B42" s="704">
        <f ca="1">VLOOKUP(A42,'Used GB Charts'!A:BE,30,FALSE)</f>
        <v>140.0322265625</v>
      </c>
      <c r="C42" s="704">
        <f ca="1">VLOOKUP(A42,'Used GB Charts'!A:BE,31,FALSE)</f>
        <v>146.98896484375001</v>
      </c>
      <c r="D42" s="704">
        <f ca="1">VLOOKUP(A42,'Used GB Charts'!A:BE,32,FALSE)+VLOOKUP(A42,'Used GB Charts'!A:BE,34,FALSE)+VLOOKUP(A42,'Used GB Charts'!A:BE,36,FALSE)+VLOOKUP(A42,'Used GB Charts'!A:BE,37,FALSE)+VLOOKUP(A42,'Used GB Charts'!A:BE,38,FALSE)+VLOOKUP(A42,'Used GB Charts'!A:BE,50,FALSE)+VLOOKUP(A42,'Used GB Charts'!A:BE,51,FALSE)+VLOOKUP(A42,'Used GB Charts'!A:BE,53,FALSE)</f>
        <v>727.34658203125002</v>
      </c>
      <c r="E42" s="704">
        <f ca="1">VLOOKUP(A42,'Used GB Charts'!A:BE,33,FALSE)+VLOOKUP(A42,'Used GB Charts'!A:BE,35,FALSE)+VLOOKUP(A42,'Used GB Charts'!A:BE,39,FALSE)</f>
        <v>435.74287109374995</v>
      </c>
      <c r="F42" s="704">
        <f ca="1">VLOOKUP(A42,'Used GB Charts'!A:BE,40,FALSE)+VLOOKUP(A42,'Used GB Charts'!A:BE,41,FALSE)+VLOOKUP(A42,'Used GB Charts'!A:BE,46,FALSE)+VLOOKUP(A42,'Used GB Charts'!A:BE,55,FALSE)+VLOOKUP(A42,'Used GB Charts'!A:BE,56,FALSE)</f>
        <v>446.515625</v>
      </c>
      <c r="G42" s="704">
        <f ca="1">VLOOKUP(A42,'Used GB Charts'!A:BE,42,FALSE)+VLOOKUP(A42,'Used GB Charts'!A:BE,43,FALSE)+VLOOKUP(A42,'Used GB Charts'!A:BE,44,FALSE)++VLOOKUP(A42,'Used GB Charts'!A:BE,45,FALSE)+VLOOKUP(A42,'Used GB Charts'!A:BE,49,FALSE)+VLOOKUP(A42,'Used GB Charts'!A:BE,52,FALSE)+VLOOKUP(A42,'Used GB Charts'!A:BE,54,FALSE)</f>
        <v>615.41972656249993</v>
      </c>
      <c r="H42" s="704">
        <f ca="1">VLOOKUP(A42,'Used GB Charts'!A:BE,47,FALSE)+VLOOKUP(A42,'Used GB Charts'!A:BE,48,FALSE)</f>
        <v>86.17333984375</v>
      </c>
      <c r="I42" s="704">
        <f t="shared" ca="1" si="17"/>
        <v>2598.2193359375001</v>
      </c>
      <c r="J42" s="704">
        <f t="shared" ca="1" si="15"/>
        <v>-162.49511718749955</v>
      </c>
    </row>
    <row r="43" spans="1:10" x14ac:dyDescent="0.25">
      <c r="A43" s="703">
        <v>41491</v>
      </c>
      <c r="B43" s="704">
        <f ca="1">VLOOKUP(A43,'Used GB Charts'!A:BE,30,FALSE)</f>
        <v>140.0322265625</v>
      </c>
      <c r="C43" s="704">
        <f ca="1">VLOOKUP(A43,'Used GB Charts'!A:BE,31,FALSE)</f>
        <v>146.98896484375001</v>
      </c>
      <c r="D43" s="704">
        <f ca="1">VLOOKUP(A43,'Used GB Charts'!A:BE,32,FALSE)+VLOOKUP(A43,'Used GB Charts'!A:BE,34,FALSE)+VLOOKUP(A43,'Used GB Charts'!A:BE,36,FALSE)+VLOOKUP(A43,'Used GB Charts'!A:BE,37,FALSE)+VLOOKUP(A43,'Used GB Charts'!A:BE,38,FALSE)+VLOOKUP(A43,'Used GB Charts'!A:BE,50,FALSE)+VLOOKUP(A43,'Used GB Charts'!A:BE,51,FALSE)+VLOOKUP(A43,'Used GB Charts'!A:BE,53,FALSE)</f>
        <v>727.34755859375002</v>
      </c>
      <c r="E43" s="704">
        <f ca="1">VLOOKUP(A43,'Used GB Charts'!A:BE,33,FALSE)+VLOOKUP(A43,'Used GB Charts'!A:BE,35,FALSE)+VLOOKUP(A43,'Used GB Charts'!A:BE,39,FALSE)</f>
        <v>516.99042968749995</v>
      </c>
      <c r="F43" s="704">
        <f ca="1">VLOOKUP(A43,'Used GB Charts'!A:BE,40,FALSE)+VLOOKUP(A43,'Used GB Charts'!A:BE,41,FALSE)+VLOOKUP(A43,'Used GB Charts'!A:BE,46,FALSE)+VLOOKUP(A43,'Used GB Charts'!A:BE,55,FALSE)+VLOOKUP(A43,'Used GB Charts'!A:BE,56,FALSE)</f>
        <v>527.76220703125</v>
      </c>
      <c r="G43" s="704">
        <f ca="1">VLOOKUP(A43,'Used GB Charts'!A:BE,42,FALSE)+VLOOKUP(A43,'Used GB Charts'!A:BE,43,FALSE)+VLOOKUP(A43,'Used GB Charts'!A:BE,44,FALSE)++VLOOKUP(A43,'Used GB Charts'!A:BE,45,FALSE)+VLOOKUP(A43,'Used GB Charts'!A:BE,49,FALSE)+VLOOKUP(A43,'Used GB Charts'!A:BE,52,FALSE)+VLOOKUP(A43,'Used GB Charts'!A:BE,54,FALSE)</f>
        <v>615.41972656249993</v>
      </c>
      <c r="H43" s="704">
        <f ca="1">VLOOKUP(A43,'Used GB Charts'!A:BE,47,FALSE)+VLOOKUP(A43,'Used GB Charts'!A:BE,48,FALSE)</f>
        <v>86.17333984375</v>
      </c>
      <c r="I43" s="704">
        <f t="shared" ca="1" si="17"/>
        <v>2760.7144531249996</v>
      </c>
      <c r="J43" s="704">
        <f t="shared" ca="1" si="15"/>
        <v>0</v>
      </c>
    </row>
    <row r="44" spans="1:10" x14ac:dyDescent="0.25">
      <c r="A44" s="703">
        <v>41485</v>
      </c>
      <c r="B44" s="704">
        <f ca="1">VLOOKUP(A44,'Used GB Charts'!A:BE,30,FALSE)</f>
        <v>140.0322265625</v>
      </c>
      <c r="C44" s="704">
        <f ca="1">VLOOKUP(A44,'Used GB Charts'!A:BE,31,FALSE)</f>
        <v>146.98896484375001</v>
      </c>
      <c r="D44" s="704">
        <f ca="1">VLOOKUP(A44,'Used GB Charts'!A:BE,32,FALSE)+VLOOKUP(A44,'Used GB Charts'!A:BE,34,FALSE)+VLOOKUP(A44,'Used GB Charts'!A:BE,36,FALSE)+VLOOKUP(A44,'Used GB Charts'!A:BE,37,FALSE)+VLOOKUP(A44,'Used GB Charts'!A:BE,38,FALSE)+VLOOKUP(A44,'Used GB Charts'!A:BE,50,FALSE)+VLOOKUP(A44,'Used GB Charts'!A:BE,51,FALSE)+VLOOKUP(A44,'Used GB Charts'!A:BE,53,FALSE)</f>
        <v>727.34755859375002</v>
      </c>
      <c r="E44" s="704">
        <f ca="1">VLOOKUP(A44,'Used GB Charts'!A:BE,33,FALSE)+VLOOKUP(A44,'Used GB Charts'!A:BE,35,FALSE)+VLOOKUP(A44,'Used GB Charts'!A:BE,39,FALSE)</f>
        <v>516.99042968749995</v>
      </c>
      <c r="F44" s="704">
        <f ca="1">VLOOKUP(A44,'Used GB Charts'!A:BE,40,FALSE)+VLOOKUP(A44,'Used GB Charts'!A:BE,41,FALSE)+VLOOKUP(A44,'Used GB Charts'!A:BE,46,FALSE)+VLOOKUP(A44,'Used GB Charts'!A:BE,55,FALSE)+VLOOKUP(A44,'Used GB Charts'!A:BE,56,FALSE)</f>
        <v>527.76220703125</v>
      </c>
      <c r="G44" s="704">
        <f ca="1">VLOOKUP(A44,'Used GB Charts'!A:BE,42,FALSE)+VLOOKUP(A44,'Used GB Charts'!A:BE,43,FALSE)+VLOOKUP(A44,'Used GB Charts'!A:BE,44,FALSE)++VLOOKUP(A44,'Used GB Charts'!A:BE,45,FALSE)+VLOOKUP(A44,'Used GB Charts'!A:BE,49,FALSE)+VLOOKUP(A44,'Used GB Charts'!A:BE,52,FALSE)+VLOOKUP(A44,'Used GB Charts'!A:BE,54,FALSE)</f>
        <v>615.41972656249993</v>
      </c>
      <c r="H44" s="704">
        <f ca="1">VLOOKUP(A44,'Used GB Charts'!A:BE,47,FALSE)+VLOOKUP(A44,'Used GB Charts'!A:BE,48,FALSE)</f>
        <v>86.17333984375</v>
      </c>
      <c r="I44" s="704">
        <f t="shared" ca="1" si="17"/>
        <v>2760.7144531249996</v>
      </c>
      <c r="J44" s="704">
        <f t="shared" ca="1" si="15"/>
        <v>0</v>
      </c>
    </row>
    <row r="45" spans="1:10" x14ac:dyDescent="0.25">
      <c r="A45" s="703">
        <v>41478</v>
      </c>
      <c r="B45" s="704">
        <f ca="1">VLOOKUP(A45,'Used GB Charts'!A:BE,30,FALSE)</f>
        <v>140.0322265625</v>
      </c>
      <c r="C45" s="704">
        <f ca="1">VLOOKUP(A45,'Used GB Charts'!A:BE,31,FALSE)</f>
        <v>146.98896484375001</v>
      </c>
      <c r="D45" s="704">
        <f ca="1">VLOOKUP(A45,'Used GB Charts'!A:BE,32,FALSE)+VLOOKUP(A45,'Used GB Charts'!A:BE,34,FALSE)+VLOOKUP(A45,'Used GB Charts'!A:BE,36,FALSE)+VLOOKUP(A45,'Used GB Charts'!A:BE,37,FALSE)+VLOOKUP(A45,'Used GB Charts'!A:BE,38,FALSE)+VLOOKUP(A45,'Used GB Charts'!A:BE,50,FALSE)+VLOOKUP(A45,'Used GB Charts'!A:BE,51,FALSE)+VLOOKUP(A45,'Used GB Charts'!A:BE,53,FALSE)</f>
        <v>727.34755859375002</v>
      </c>
      <c r="E45" s="704">
        <f ca="1">VLOOKUP(A45,'Used GB Charts'!A:BE,33,FALSE)+VLOOKUP(A45,'Used GB Charts'!A:BE,35,FALSE)+VLOOKUP(A45,'Used GB Charts'!A:BE,39,FALSE)</f>
        <v>516.99042968749995</v>
      </c>
      <c r="F45" s="704">
        <f ca="1">VLOOKUP(A45,'Used GB Charts'!A:BE,40,FALSE)+VLOOKUP(A45,'Used GB Charts'!A:BE,41,FALSE)+VLOOKUP(A45,'Used GB Charts'!A:BE,46,FALSE)+VLOOKUP(A45,'Used GB Charts'!A:BE,55,FALSE)+VLOOKUP(A45,'Used GB Charts'!A:BE,56,FALSE)</f>
        <v>527.76220703125</v>
      </c>
      <c r="G45" s="704">
        <f ca="1">VLOOKUP(A45,'Used GB Charts'!A:BE,42,FALSE)+VLOOKUP(A45,'Used GB Charts'!A:BE,43,FALSE)+VLOOKUP(A45,'Used GB Charts'!A:BE,44,FALSE)++VLOOKUP(A45,'Used GB Charts'!A:BE,45,FALSE)+VLOOKUP(A45,'Used GB Charts'!A:BE,49,FALSE)+VLOOKUP(A45,'Used GB Charts'!A:BE,52,FALSE)+VLOOKUP(A45,'Used GB Charts'!A:BE,54,FALSE)</f>
        <v>615.41972656249993</v>
      </c>
      <c r="H45" s="704">
        <f ca="1">VLOOKUP(A45,'Used GB Charts'!A:BE,47,FALSE)+VLOOKUP(A45,'Used GB Charts'!A:BE,48,FALSE)</f>
        <v>86.17333984375</v>
      </c>
      <c r="I45" s="704">
        <f t="shared" ca="1" si="17"/>
        <v>2760.7144531249996</v>
      </c>
      <c r="J45" s="704">
        <f t="shared" ca="1" si="15"/>
        <v>0</v>
      </c>
    </row>
    <row r="46" spans="1:10" x14ac:dyDescent="0.25">
      <c r="A46" s="703">
        <v>41470</v>
      </c>
      <c r="B46" s="704">
        <f ca="1">VLOOKUP(A46,'Used GB Charts'!A:BE,30,FALSE)</f>
        <v>140.0322265625</v>
      </c>
      <c r="C46" s="704">
        <f ca="1">VLOOKUP(A46,'Used GB Charts'!A:BE,31,FALSE)</f>
        <v>146.98896484375001</v>
      </c>
      <c r="D46" s="704">
        <f ca="1">VLOOKUP(A46,'Used GB Charts'!A:BE,32,FALSE)+VLOOKUP(A46,'Used GB Charts'!A:BE,34,FALSE)+VLOOKUP(A46,'Used GB Charts'!A:BE,36,FALSE)+VLOOKUP(A46,'Used GB Charts'!A:BE,37,FALSE)+VLOOKUP(A46,'Used GB Charts'!A:BE,38,FALSE)+VLOOKUP(A46,'Used GB Charts'!A:BE,50,FALSE)+VLOOKUP(A46,'Used GB Charts'!A:BE,51,FALSE)+VLOOKUP(A46,'Used GB Charts'!A:BE,53,FALSE)</f>
        <v>727.34755859375002</v>
      </c>
      <c r="E46" s="704">
        <f ca="1">VLOOKUP(A46,'Used GB Charts'!A:BE,33,FALSE)+VLOOKUP(A46,'Used GB Charts'!A:BE,35,FALSE)+VLOOKUP(A46,'Used GB Charts'!A:BE,39,FALSE)</f>
        <v>516.99042968749995</v>
      </c>
      <c r="F46" s="704">
        <f ca="1">VLOOKUP(A46,'Used GB Charts'!A:BE,40,FALSE)+VLOOKUP(A46,'Used GB Charts'!A:BE,41,FALSE)+VLOOKUP(A46,'Used GB Charts'!A:BE,46,FALSE)+VLOOKUP(A46,'Used GB Charts'!A:BE,55,FALSE)+VLOOKUP(A46,'Used GB Charts'!A:BE,56,FALSE)</f>
        <v>527.76220703125</v>
      </c>
      <c r="G46" s="704">
        <f ca="1">VLOOKUP(A46,'Used GB Charts'!A:BE,42,FALSE)+VLOOKUP(A46,'Used GB Charts'!A:BE,43,FALSE)+VLOOKUP(A46,'Used GB Charts'!A:BE,44,FALSE)++VLOOKUP(A46,'Used GB Charts'!A:BE,45,FALSE)+VLOOKUP(A46,'Used GB Charts'!A:BE,49,FALSE)+VLOOKUP(A46,'Used GB Charts'!A:BE,52,FALSE)+VLOOKUP(A46,'Used GB Charts'!A:BE,54,FALSE)</f>
        <v>615.41972656249993</v>
      </c>
      <c r="H46" s="704">
        <f ca="1">VLOOKUP(A46,'Used GB Charts'!A:BE,47,FALSE)+VLOOKUP(A46,'Used GB Charts'!A:BE,48,FALSE)</f>
        <v>86.17333984375</v>
      </c>
      <c r="I46" s="704">
        <f t="shared" ca="1" si="17"/>
        <v>2760.7144531249996</v>
      </c>
      <c r="J46" s="704">
        <f t="shared" ca="1" si="15"/>
        <v>162.49511718749955</v>
      </c>
    </row>
    <row r="47" spans="1:10" x14ac:dyDescent="0.25">
      <c r="A47" s="703">
        <v>41464</v>
      </c>
      <c r="B47" s="704">
        <f ca="1">VLOOKUP(A47,'Used GB Charts'!A:BE,30,FALSE)</f>
        <v>140.0322265625</v>
      </c>
      <c r="C47" s="704">
        <f ca="1">VLOOKUP(A47,'Used GB Charts'!A:BE,31,FALSE)</f>
        <v>146.98896484375001</v>
      </c>
      <c r="D47" s="704">
        <f ca="1">VLOOKUP(A47,'Used GB Charts'!A:BE,32,FALSE)+VLOOKUP(A47,'Used GB Charts'!A:BE,34,FALSE)+VLOOKUP(A47,'Used GB Charts'!A:BE,36,FALSE)+VLOOKUP(A47,'Used GB Charts'!A:BE,37,FALSE)+VLOOKUP(A47,'Used GB Charts'!A:BE,38,FALSE)+VLOOKUP(A47,'Used GB Charts'!A:BE,50,FALSE)+VLOOKUP(A47,'Used GB Charts'!A:BE,51,FALSE)+VLOOKUP(A47,'Used GB Charts'!A:BE,53,FALSE)</f>
        <v>727.34658203125002</v>
      </c>
      <c r="E47" s="704">
        <f ca="1">VLOOKUP(A47,'Used GB Charts'!A:BE,33,FALSE)+VLOOKUP(A47,'Used GB Charts'!A:BE,35,FALSE)+VLOOKUP(A47,'Used GB Charts'!A:BE,39,FALSE)</f>
        <v>435.74287109374995</v>
      </c>
      <c r="F47" s="704">
        <f ca="1">VLOOKUP(A47,'Used GB Charts'!A:BE,40,FALSE)+VLOOKUP(A47,'Used GB Charts'!A:BE,41,FALSE)+VLOOKUP(A47,'Used GB Charts'!A:BE,46,FALSE)+VLOOKUP(A47,'Used GB Charts'!A:BE,55,FALSE)+VLOOKUP(A47,'Used GB Charts'!A:BE,56,FALSE)</f>
        <v>446.515625</v>
      </c>
      <c r="G47" s="704">
        <f ca="1">VLOOKUP(A47,'Used GB Charts'!A:BE,42,FALSE)+VLOOKUP(A47,'Used GB Charts'!A:BE,43,FALSE)+VLOOKUP(A47,'Used GB Charts'!A:BE,44,FALSE)++VLOOKUP(A47,'Used GB Charts'!A:BE,45,FALSE)+VLOOKUP(A47,'Used GB Charts'!A:BE,49,FALSE)+VLOOKUP(A47,'Used GB Charts'!A:BE,52,FALSE)+VLOOKUP(A47,'Used GB Charts'!A:BE,54,FALSE)</f>
        <v>615.41972656249993</v>
      </c>
      <c r="H47" s="704">
        <f ca="1">VLOOKUP(A47,'Used GB Charts'!A:BE,47,FALSE)+VLOOKUP(A47,'Used GB Charts'!A:BE,48,FALSE)</f>
        <v>86.17333984375</v>
      </c>
      <c r="I47" s="704">
        <f t="shared" ca="1" si="17"/>
        <v>2598.2193359375001</v>
      </c>
      <c r="J47" s="704">
        <f t="shared" ca="1" si="15"/>
        <v>0</v>
      </c>
    </row>
    <row r="48" spans="1:10" x14ac:dyDescent="0.25">
      <c r="A48" s="703">
        <v>41449</v>
      </c>
      <c r="B48" s="704">
        <f ca="1">VLOOKUP(A48,'Used GB Charts'!A:BE,30,FALSE)</f>
        <v>140.0322265625</v>
      </c>
      <c r="C48" s="704">
        <f ca="1">VLOOKUP(A48,'Used GB Charts'!A:BE,31,FALSE)</f>
        <v>146.98896484375001</v>
      </c>
      <c r="D48" s="704">
        <f ca="1">VLOOKUP(A48,'Used GB Charts'!A:BE,32,FALSE)+VLOOKUP(A48,'Used GB Charts'!A:BE,34,FALSE)+VLOOKUP(A48,'Used GB Charts'!A:BE,36,FALSE)+VLOOKUP(A48,'Used GB Charts'!A:BE,37,FALSE)+VLOOKUP(A48,'Used GB Charts'!A:BE,38,FALSE)+VLOOKUP(A48,'Used GB Charts'!A:BE,50,FALSE)+VLOOKUP(A48,'Used GB Charts'!A:BE,51,FALSE)+VLOOKUP(A48,'Used GB Charts'!A:BE,53,FALSE)</f>
        <v>727.34658203125002</v>
      </c>
      <c r="E48" s="704">
        <f ca="1">VLOOKUP(A48,'Used GB Charts'!A:BE,33,FALSE)+VLOOKUP(A48,'Used GB Charts'!A:BE,35,FALSE)+VLOOKUP(A48,'Used GB Charts'!A:BE,39,FALSE)</f>
        <v>435.74287109374995</v>
      </c>
      <c r="F48" s="704">
        <f ca="1">VLOOKUP(A48,'Used GB Charts'!A:BE,40,FALSE)+VLOOKUP(A48,'Used GB Charts'!A:BE,41,FALSE)+VLOOKUP(A48,'Used GB Charts'!A:BE,46,FALSE)+VLOOKUP(A48,'Used GB Charts'!A:BE,55,FALSE)+VLOOKUP(A48,'Used GB Charts'!A:BE,56,FALSE)</f>
        <v>446.515625</v>
      </c>
      <c r="G48" s="704">
        <f ca="1">VLOOKUP(A48,'Used GB Charts'!A:BE,42,FALSE)+VLOOKUP(A48,'Used GB Charts'!A:BE,43,FALSE)+VLOOKUP(A48,'Used GB Charts'!A:BE,44,FALSE)++VLOOKUP(A48,'Used GB Charts'!A:BE,45,FALSE)+VLOOKUP(A48,'Used GB Charts'!A:BE,49,FALSE)+VLOOKUP(A48,'Used GB Charts'!A:BE,52,FALSE)+VLOOKUP(A48,'Used GB Charts'!A:BE,54,FALSE)</f>
        <v>615.41972656249993</v>
      </c>
      <c r="H48" s="704">
        <f ca="1">VLOOKUP(A48,'Used GB Charts'!A:BE,47,FALSE)+VLOOKUP(A48,'Used GB Charts'!A:BE,48,FALSE)</f>
        <v>86.17333984375</v>
      </c>
      <c r="I48" s="704">
        <f t="shared" ca="1" si="17"/>
        <v>2598.2193359375001</v>
      </c>
      <c r="J48" s="704">
        <f t="shared" ca="1" si="15"/>
        <v>0</v>
      </c>
    </row>
    <row r="49" spans="1:10" x14ac:dyDescent="0.25">
      <c r="A49" s="703">
        <v>41445</v>
      </c>
      <c r="B49" s="704">
        <f ca="1">VLOOKUP(A49,'Used GB Charts'!A:BE,30,FALSE)</f>
        <v>140.0322265625</v>
      </c>
      <c r="C49" s="704">
        <f ca="1">VLOOKUP(A49,'Used GB Charts'!A:BE,31,FALSE)</f>
        <v>146.98896484375001</v>
      </c>
      <c r="D49" s="704">
        <f ca="1">VLOOKUP(A49,'Used GB Charts'!A:BE,32,FALSE)+VLOOKUP(A49,'Used GB Charts'!A:BE,34,FALSE)+VLOOKUP(A49,'Used GB Charts'!A:BE,36,FALSE)+VLOOKUP(A49,'Used GB Charts'!A:BE,37,FALSE)+VLOOKUP(A49,'Used GB Charts'!A:BE,38,FALSE)+VLOOKUP(A49,'Used GB Charts'!A:BE,50,FALSE)+VLOOKUP(A49,'Used GB Charts'!A:BE,51,FALSE)+VLOOKUP(A49,'Used GB Charts'!A:BE,53,FALSE)</f>
        <v>727.34658203125002</v>
      </c>
      <c r="E49" s="704">
        <f ca="1">VLOOKUP(A49,'Used GB Charts'!A:BE,33,FALSE)+VLOOKUP(A49,'Used GB Charts'!A:BE,35,FALSE)+VLOOKUP(A49,'Used GB Charts'!A:BE,39,FALSE)</f>
        <v>435.74287109374995</v>
      </c>
      <c r="F49" s="704">
        <f ca="1">VLOOKUP(A49,'Used GB Charts'!A:BE,40,FALSE)+VLOOKUP(A49,'Used GB Charts'!A:BE,41,FALSE)+VLOOKUP(A49,'Used GB Charts'!A:BE,46,FALSE)+VLOOKUP(A49,'Used GB Charts'!A:BE,55,FALSE)+VLOOKUP(A49,'Used GB Charts'!A:BE,56,FALSE)</f>
        <v>446.515625</v>
      </c>
      <c r="G49" s="704">
        <f ca="1">VLOOKUP(A49,'Used GB Charts'!A:BE,42,FALSE)+VLOOKUP(A49,'Used GB Charts'!A:BE,43,FALSE)+VLOOKUP(A49,'Used GB Charts'!A:BE,44,FALSE)++VLOOKUP(A49,'Used GB Charts'!A:BE,45,FALSE)+VLOOKUP(A49,'Used GB Charts'!A:BE,49,FALSE)+VLOOKUP(A49,'Used GB Charts'!A:BE,52,FALSE)+VLOOKUP(A49,'Used GB Charts'!A:BE,54,FALSE)</f>
        <v>615.41972656249993</v>
      </c>
      <c r="H49" s="704">
        <f ca="1">VLOOKUP(A49,'Used GB Charts'!A:BE,47,FALSE)+VLOOKUP(A49,'Used GB Charts'!A:BE,48,FALSE)</f>
        <v>86.17333984375</v>
      </c>
      <c r="I49" s="704">
        <f t="shared" ca="1" si="17"/>
        <v>2598.2193359375001</v>
      </c>
      <c r="J49" s="704">
        <f t="shared" ca="1" si="15"/>
        <v>0</v>
      </c>
    </row>
    <row r="50" spans="1:10" x14ac:dyDescent="0.25">
      <c r="A50" s="703">
        <v>41443</v>
      </c>
      <c r="B50" s="704">
        <f ca="1">VLOOKUP(A50,'Used GB Charts'!A:BE,30,FALSE)</f>
        <v>140.0322265625</v>
      </c>
      <c r="C50" s="704">
        <f ca="1">VLOOKUP(A50,'Used GB Charts'!A:BE,31,FALSE)</f>
        <v>146.98896484375001</v>
      </c>
      <c r="D50" s="704">
        <f ca="1">VLOOKUP(A50,'Used GB Charts'!A:BE,32,FALSE)+VLOOKUP(A50,'Used GB Charts'!A:BE,34,FALSE)+VLOOKUP(A50,'Used GB Charts'!A:BE,36,FALSE)+VLOOKUP(A50,'Used GB Charts'!A:BE,37,FALSE)+VLOOKUP(A50,'Used GB Charts'!A:BE,38,FALSE)+VLOOKUP(A50,'Used GB Charts'!A:BE,50,FALSE)+VLOOKUP(A50,'Used GB Charts'!A:BE,51,FALSE)+VLOOKUP(A50,'Used GB Charts'!A:BE,53,FALSE)</f>
        <v>727.34658203125002</v>
      </c>
      <c r="E50" s="704">
        <f ca="1">VLOOKUP(A50,'Used GB Charts'!A:BE,33,FALSE)+VLOOKUP(A50,'Used GB Charts'!A:BE,35,FALSE)+VLOOKUP(A50,'Used GB Charts'!A:BE,39,FALSE)</f>
        <v>435.74287109374995</v>
      </c>
      <c r="F50" s="704">
        <f ca="1">VLOOKUP(A50,'Used GB Charts'!A:BE,40,FALSE)+VLOOKUP(A50,'Used GB Charts'!A:BE,41,FALSE)+VLOOKUP(A50,'Used GB Charts'!A:BE,46,FALSE)+VLOOKUP(A50,'Used GB Charts'!A:BE,55,FALSE)+VLOOKUP(A50,'Used GB Charts'!A:BE,56,FALSE)</f>
        <v>446.515625</v>
      </c>
      <c r="G50" s="704">
        <f ca="1">VLOOKUP(A50,'Used GB Charts'!A:BE,42,FALSE)+VLOOKUP(A50,'Used GB Charts'!A:BE,43,FALSE)+VLOOKUP(A50,'Used GB Charts'!A:BE,44,FALSE)++VLOOKUP(A50,'Used GB Charts'!A:BE,45,FALSE)+VLOOKUP(A50,'Used GB Charts'!A:BE,49,FALSE)+VLOOKUP(A50,'Used GB Charts'!A:BE,52,FALSE)+VLOOKUP(A50,'Used GB Charts'!A:BE,54,FALSE)</f>
        <v>615.41972656249993</v>
      </c>
      <c r="H50" s="704">
        <f ca="1">VLOOKUP(A50,'Used GB Charts'!A:BE,47,FALSE)+VLOOKUP(A50,'Used GB Charts'!A:BE,48,FALSE)</f>
        <v>86.17333984375</v>
      </c>
      <c r="I50" s="704">
        <f t="shared" ca="1" si="17"/>
        <v>2598.2193359375001</v>
      </c>
      <c r="J50" s="704">
        <f t="shared" ca="1" si="15"/>
        <v>0</v>
      </c>
    </row>
    <row r="51" spans="1:10" x14ac:dyDescent="0.25">
      <c r="A51" s="703">
        <v>41437</v>
      </c>
      <c r="B51" s="704">
        <f ca="1">VLOOKUP(A51,'Used GB Charts'!A:BE,30,FALSE)</f>
        <v>140.0322265625</v>
      </c>
      <c r="C51" s="704">
        <f ca="1">VLOOKUP(A51,'Used GB Charts'!A:BE,31,FALSE)</f>
        <v>146.98896484375001</v>
      </c>
      <c r="D51" s="704">
        <f ca="1">VLOOKUP(A51,'Used GB Charts'!A:BE,32,FALSE)+VLOOKUP(A51,'Used GB Charts'!A:BE,34,FALSE)+VLOOKUP(A51,'Used GB Charts'!A:BE,36,FALSE)+VLOOKUP(A51,'Used GB Charts'!A:BE,37,FALSE)+VLOOKUP(A51,'Used GB Charts'!A:BE,38,FALSE)+VLOOKUP(A51,'Used GB Charts'!A:BE,50,FALSE)+VLOOKUP(A51,'Used GB Charts'!A:BE,51,FALSE)+VLOOKUP(A51,'Used GB Charts'!A:BE,53,FALSE)</f>
        <v>727.34658203125002</v>
      </c>
      <c r="E51" s="704">
        <f ca="1">VLOOKUP(A51,'Used GB Charts'!A:BE,33,FALSE)+VLOOKUP(A51,'Used GB Charts'!A:BE,35,FALSE)+VLOOKUP(A51,'Used GB Charts'!A:BE,39,FALSE)</f>
        <v>435.74287109374995</v>
      </c>
      <c r="F51" s="704">
        <f ca="1">VLOOKUP(A51,'Used GB Charts'!A:BE,40,FALSE)+VLOOKUP(A51,'Used GB Charts'!A:BE,41,FALSE)+VLOOKUP(A51,'Used GB Charts'!A:BE,46,FALSE)+VLOOKUP(A51,'Used GB Charts'!A:BE,55,FALSE)+VLOOKUP(A51,'Used GB Charts'!A:BE,56,FALSE)</f>
        <v>446.515625</v>
      </c>
      <c r="G51" s="704">
        <f ca="1">VLOOKUP(A51,'Used GB Charts'!A:BE,42,FALSE)+VLOOKUP(A51,'Used GB Charts'!A:BE,43,FALSE)+VLOOKUP(A51,'Used GB Charts'!A:BE,44,FALSE)++VLOOKUP(A51,'Used GB Charts'!A:BE,45,FALSE)+VLOOKUP(A51,'Used GB Charts'!A:BE,49,FALSE)+VLOOKUP(A51,'Used GB Charts'!A:BE,52,FALSE)+VLOOKUP(A51,'Used GB Charts'!A:BE,54,FALSE)</f>
        <v>615.41972656249993</v>
      </c>
      <c r="H51" s="704">
        <f ca="1">VLOOKUP(A51,'Used GB Charts'!A:BE,47,FALSE)+VLOOKUP(A51,'Used GB Charts'!A:BE,48,FALSE)</f>
        <v>86.17333984375</v>
      </c>
      <c r="I51" s="704">
        <f t="shared" ca="1" si="17"/>
        <v>2598.2193359375001</v>
      </c>
      <c r="J51" s="705"/>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A3" sqref="A3"/>
    </sheetView>
  </sheetViews>
  <sheetFormatPr defaultRowHeight="15" x14ac:dyDescent="0.25"/>
  <cols>
    <col min="1" max="1" width="10.140625" style="592" bestFit="1" customWidth="1"/>
    <col min="2" max="2" width="15.140625" style="594" customWidth="1"/>
    <col min="3" max="3" width="12" style="594" bestFit="1" customWidth="1"/>
    <col min="4" max="4" width="14.28515625" style="594" customWidth="1"/>
    <col min="5" max="5" width="13.140625" style="594" customWidth="1"/>
    <col min="6" max="6" width="12.85546875" style="594" customWidth="1"/>
    <col min="7" max="7" width="11.28515625" style="594" customWidth="1"/>
    <col min="8" max="8" width="12.7109375" style="591" customWidth="1"/>
    <col min="9" max="16384" width="9.140625" style="591"/>
  </cols>
  <sheetData>
    <row r="1" spans="1:10" ht="29.25" x14ac:dyDescent="0.25">
      <c r="A1" s="707" t="s">
        <v>246</v>
      </c>
      <c r="B1" s="706" t="s">
        <v>239</v>
      </c>
      <c r="C1" s="706" t="s">
        <v>240</v>
      </c>
      <c r="D1" s="706" t="s">
        <v>241</v>
      </c>
      <c r="E1" s="706" t="s">
        <v>242</v>
      </c>
      <c r="F1" s="706" t="s">
        <v>243</v>
      </c>
      <c r="G1" s="706" t="s">
        <v>244</v>
      </c>
      <c r="H1" s="706" t="s">
        <v>245</v>
      </c>
      <c r="I1" s="708" t="s">
        <v>226</v>
      </c>
      <c r="J1" s="708" t="s">
        <v>231</v>
      </c>
    </row>
    <row r="2" spans="1:10" x14ac:dyDescent="0.25">
      <c r="A2" s="703">
        <v>41822</v>
      </c>
      <c r="B2" s="704">
        <f ca="1">VLOOKUP(A2,'Used GB Charts'!A:AB,2,FALSE)</f>
        <v>100.90361328125</v>
      </c>
      <c r="C2" s="704">
        <f ca="1">VLOOKUP(A2,'Used GB Charts'!A:AB,3,FALSE)</f>
        <v>81.887597656249994</v>
      </c>
      <c r="D2" s="704">
        <f ca="1">VLOOKUP(A2,'Used GB Charts'!A:AB,4,FALSE)+VLOOKUP(A2,'Used GB Charts'!A:AB,6,FALSE)+VLOOKUP(A2,'Used GB Charts'!A:AB,8,FALSE)+VLOOKUP(A2,'Used GB Charts'!A:AB,9,FALSE)+VLOOKUP(A2,'Used GB Charts'!A:AB,10,FALSE)+VLOOKUP(A2,'Used GB Charts'!A:AB,22,FALSE)+VLOOKUP(A2,'Used GB Charts'!A:AB,23,FALSE)+VLOOKUP(A2,'Used GB Charts'!A:AB,25,FALSE)</f>
        <v>467.24326171874998</v>
      </c>
      <c r="E2" s="704">
        <f ca="1">VLOOKUP(A2,'Used GB Charts'!A:AB,5,FALSE)+VLOOKUP(A2,'Used GB Charts'!A:AB,7,FALSE)+VLOOKUP(A2,'Used GB Charts'!A:AB,11,FALSE)</f>
        <v>421.64257812500006</v>
      </c>
      <c r="F2" s="704">
        <f ca="1">VLOOKUP(A2,'Used GB Charts'!A:AB,12,FALSE)+VLOOKUP(A2,'Used GB Charts'!A:AB,13,FALSE)+VLOOKUP(A2,'Used GB Charts'!A:AB,18,FALSE)+VLOOKUP(A2,'Used GB Charts'!A:AB,27,FALSE)+VLOOKUP(A2,'Used GB Charts'!A:AB,28,FALSE)</f>
        <v>531.9091796875</v>
      </c>
      <c r="G2" s="704">
        <f ca="1">VLOOKUP(A2,'Used GB Charts'!A:AB,14,FALSE)+VLOOKUP(A2,'Used GB Charts'!A:AB,15,FALSE)+VLOOKUP(A2,'Used GB Charts'!A:AB,16,FALSE)+VLOOKUP(A2,'Used GB Charts'!A:AB,17,FALSE)+VLOOKUP(A2,'Used GB Charts'!A:AB,21,FALSE)+VLOOKUP(A2,'Used GB Charts'!A:AB,24,FALSE)+VLOOKUP(A2,'Used GB Charts'!A:AB,26,FALSE)</f>
        <v>502.36806640625008</v>
      </c>
      <c r="H2" s="704">
        <f ca="1">VLOOKUP(A2,'Used GB Charts'!A:AB,19,FALSE)+VLOOKUP(A2,'Used GB Charts'!A:AB,20,FALSE)</f>
        <v>26.191699218750003</v>
      </c>
      <c r="I2" s="704">
        <f t="shared" ref="I2:I51" ca="1" si="0">SUM(B2:H2)</f>
        <v>2132.14599609375</v>
      </c>
      <c r="J2" s="704">
        <f ca="1">I2-I16</f>
        <v>281.26767578125009</v>
      </c>
    </row>
    <row r="3" spans="1:10" s="743" customFormat="1" x14ac:dyDescent="0.25">
      <c r="A3" s="703">
        <v>41815</v>
      </c>
      <c r="B3" s="704">
        <f ca="1">VLOOKUP(A3,'Used GB Charts'!A:AB,2,FALSE)</f>
        <v>100.64873046875</v>
      </c>
      <c r="C3" s="704">
        <f ca="1">VLOOKUP(A3,'Used GB Charts'!A:AB,3,FALSE)</f>
        <v>81.83056640625</v>
      </c>
      <c r="D3" s="704">
        <f ca="1">VLOOKUP(A3,'Used GB Charts'!A:AB,4,FALSE)+VLOOKUP(A3,'Used GB Charts'!A:AB,6,FALSE)+VLOOKUP(A3,'Used GB Charts'!A:AB,8,FALSE)+VLOOKUP(A3,'Used GB Charts'!A:AB,9,FALSE)+VLOOKUP(A3,'Used GB Charts'!A:AB,10,FALSE)+VLOOKUP(A3,'Used GB Charts'!A:AB,22,FALSE)+VLOOKUP(A3,'Used GB Charts'!A:AB,23,FALSE)+VLOOKUP(A3,'Used GB Charts'!A:AB,25,FALSE)</f>
        <v>465.91787109374991</v>
      </c>
      <c r="E3" s="704">
        <f ca="1">VLOOKUP(A3,'Used GB Charts'!A:AB,5,FALSE)+VLOOKUP(A3,'Used GB Charts'!A:AB,7,FALSE)+VLOOKUP(A3,'Used GB Charts'!A:AB,11,FALSE)</f>
        <v>419.59550781250005</v>
      </c>
      <c r="F3" s="704">
        <f ca="1">VLOOKUP(A3,'Used GB Charts'!A:AB,12,FALSE)+VLOOKUP(A3,'Used GB Charts'!A:AB,13,FALSE)+VLOOKUP(A3,'Used GB Charts'!A:AB,18,FALSE)+VLOOKUP(A3,'Used GB Charts'!A:AB,27,FALSE)+VLOOKUP(A3,'Used GB Charts'!A:AB,28,FALSE)</f>
        <v>530.09628906249998</v>
      </c>
      <c r="G3" s="704">
        <f ca="1">VLOOKUP(A3,'Used GB Charts'!A:AB,14,FALSE)+VLOOKUP(A3,'Used GB Charts'!A:AB,15,FALSE)+VLOOKUP(A3,'Used GB Charts'!A:AB,16,FALSE)+VLOOKUP(A3,'Used GB Charts'!A:AB,17,FALSE)+VLOOKUP(A3,'Used GB Charts'!A:AB,21,FALSE)+VLOOKUP(A3,'Used GB Charts'!A:AB,24,FALSE)+VLOOKUP(A3,'Used GB Charts'!A:AB,26,FALSE)</f>
        <v>500.90175781250002</v>
      </c>
      <c r="H3" s="704">
        <f ca="1">VLOOKUP(A3,'Used GB Charts'!A:AB,19,FALSE)+VLOOKUP(A3,'Used GB Charts'!A:AB,20,FALSE)</f>
        <v>26.191699218750003</v>
      </c>
      <c r="I3" s="704">
        <f t="shared" ref="I3" ca="1" si="1">SUM(B3:H3)</f>
        <v>2125.1824218749998</v>
      </c>
      <c r="J3" s="704">
        <f ca="1">I3-I17</f>
        <v>265.46572265624968</v>
      </c>
    </row>
    <row r="4" spans="1:10" s="743" customFormat="1" x14ac:dyDescent="0.25">
      <c r="A4" s="703">
        <v>41808</v>
      </c>
      <c r="B4" s="704">
        <f ca="1">VLOOKUP(A4,'Used GB Charts'!A:AB,2,FALSE)</f>
        <v>100.29677734374999</v>
      </c>
      <c r="C4" s="704">
        <f ca="1">VLOOKUP(A4,'Used GB Charts'!A:AB,3,FALSE)</f>
        <v>81.599414062500003</v>
      </c>
      <c r="D4" s="704">
        <f ca="1">VLOOKUP(A4,'Used GB Charts'!A:AB,4,FALSE)+VLOOKUP(A4,'Used GB Charts'!A:AB,6,FALSE)+VLOOKUP(A4,'Used GB Charts'!A:AB,8,FALSE)+VLOOKUP(A4,'Used GB Charts'!A:AB,9,FALSE)+VLOOKUP(A4,'Used GB Charts'!A:AB,10,FALSE)+VLOOKUP(A4,'Used GB Charts'!A:AB,22,FALSE)+VLOOKUP(A4,'Used GB Charts'!A:AB,23,FALSE)+VLOOKUP(A4,'Used GB Charts'!A:AB,25,FALSE)</f>
        <v>464.51123046875</v>
      </c>
      <c r="E4" s="704">
        <f ca="1">VLOOKUP(A4,'Used GB Charts'!A:AB,5,FALSE)+VLOOKUP(A4,'Used GB Charts'!A:AB,7,FALSE)+VLOOKUP(A4,'Used GB Charts'!A:AB,11,FALSE)</f>
        <v>415.46318359374999</v>
      </c>
      <c r="F4" s="704">
        <f ca="1">VLOOKUP(A4,'Used GB Charts'!A:AB,12,FALSE)+VLOOKUP(A4,'Used GB Charts'!A:AB,13,FALSE)+VLOOKUP(A4,'Used GB Charts'!A:AB,18,FALSE)+VLOOKUP(A4,'Used GB Charts'!A:AB,27,FALSE)+VLOOKUP(A4,'Used GB Charts'!A:AB,28,FALSE)</f>
        <v>523.94248046874998</v>
      </c>
      <c r="G4" s="704">
        <f ca="1">VLOOKUP(A4,'Used GB Charts'!A:AB,14,FALSE)+VLOOKUP(A4,'Used GB Charts'!A:AB,15,FALSE)+VLOOKUP(A4,'Used GB Charts'!A:AB,16,FALSE)+VLOOKUP(A4,'Used GB Charts'!A:AB,17,FALSE)+VLOOKUP(A4,'Used GB Charts'!A:AB,21,FALSE)+VLOOKUP(A4,'Used GB Charts'!A:AB,24,FALSE)+VLOOKUP(A4,'Used GB Charts'!A:AB,26,FALSE)</f>
        <v>498.73261718750001</v>
      </c>
      <c r="H4" s="704">
        <f ca="1">VLOOKUP(A4,'Used GB Charts'!A:AB,19,FALSE)+VLOOKUP(A4,'Used GB Charts'!A:AB,20,FALSE)</f>
        <v>26.191699218750003</v>
      </c>
      <c r="I4" s="704">
        <f t="shared" ref="I4" ca="1" si="2">SUM(B4:H4)</f>
        <v>2110.7374023437501</v>
      </c>
      <c r="J4" s="704">
        <f ca="1">I4-I17</f>
        <v>251.02070312499995</v>
      </c>
    </row>
    <row r="5" spans="1:10" s="743" customFormat="1" x14ac:dyDescent="0.25">
      <c r="A5" s="703">
        <v>41801</v>
      </c>
      <c r="B5" s="704">
        <f ca="1">VLOOKUP(A5,'Used GB Charts'!A:AB,2,FALSE)</f>
        <v>100.29677734374999</v>
      </c>
      <c r="C5" s="704">
        <f ca="1">VLOOKUP(A5,'Used GB Charts'!A:AB,3,FALSE)</f>
        <v>81.599414062500003</v>
      </c>
      <c r="D5" s="704">
        <f ca="1">VLOOKUP(A5,'Used GB Charts'!A:AB,4,FALSE)+VLOOKUP(A5,'Used GB Charts'!A:AB,6,FALSE)+VLOOKUP(A5,'Used GB Charts'!A:AB,8,FALSE)+VLOOKUP(A5,'Used GB Charts'!A:AB,9,FALSE)+VLOOKUP(A5,'Used GB Charts'!A:AB,10,FALSE)+VLOOKUP(A5,'Used GB Charts'!A:AB,22,FALSE)+VLOOKUP(A5,'Used GB Charts'!A:AB,23,FALSE)+VLOOKUP(A5,'Used GB Charts'!A:AB,25,FALSE)</f>
        <v>455.29482421874997</v>
      </c>
      <c r="E5" s="704">
        <f ca="1">VLOOKUP(A5,'Used GB Charts'!A:AB,5,FALSE)+VLOOKUP(A5,'Used GB Charts'!A:AB,7,FALSE)+VLOOKUP(A5,'Used GB Charts'!A:AB,11,FALSE)</f>
        <v>423.41054687499997</v>
      </c>
      <c r="F5" s="704">
        <f ca="1">VLOOKUP(A5,'Used GB Charts'!A:AB,12,FALSE)+VLOOKUP(A5,'Used GB Charts'!A:AB,13,FALSE)+VLOOKUP(A5,'Used GB Charts'!A:AB,18,FALSE)+VLOOKUP(A5,'Used GB Charts'!A:AB,27,FALSE)+VLOOKUP(A5,'Used GB Charts'!A:AB,28,FALSE)</f>
        <v>531.34111328124993</v>
      </c>
      <c r="G5" s="704">
        <f ca="1">VLOOKUP(A5,'Used GB Charts'!A:AB,14,FALSE)+VLOOKUP(A5,'Used GB Charts'!A:AB,15,FALSE)+VLOOKUP(A5,'Used GB Charts'!A:AB,16,FALSE)++VLOOKUP(A5,'Used GB Charts'!A:AB,17,FALSE)+VLOOKUP(A5,'Used GB Charts'!A:AB,21,FALSE)+VLOOKUP(A5,'Used GB Charts'!A:AB,24,FALSE)+VLOOKUP(A5,'Used GB Charts'!A:AB,26,FALSE)</f>
        <v>478.10781250000002</v>
      </c>
      <c r="H5" s="704">
        <f ca="1">VLOOKUP(A5,'Used GB Charts'!A:AB,19,FALSE)+VLOOKUP(A5,'Used GB Charts'!A:AB,20,FALSE)</f>
        <v>26.191699218750003</v>
      </c>
      <c r="I5" s="704">
        <f t="shared" ref="I5" ca="1" si="3">SUM(B5:H5)</f>
        <v>2096.2421874999995</v>
      </c>
      <c r="J5" s="704">
        <f ca="1">I5-I17</f>
        <v>236.52548828124941</v>
      </c>
    </row>
    <row r="6" spans="1:10" s="743" customFormat="1" x14ac:dyDescent="0.25">
      <c r="A6" s="703">
        <v>41794</v>
      </c>
      <c r="B6" s="704">
        <f ca="1">VLOOKUP(A6,'Used GB Charts'!A:AB,2,FALSE)</f>
        <v>99.743945312500003</v>
      </c>
      <c r="C6" s="704">
        <f ca="1">VLOOKUP(A6,'Used GB Charts'!A:AB,3,FALSE)</f>
        <v>81.565624999999997</v>
      </c>
      <c r="D6" s="704">
        <f ca="1">VLOOKUP(A6,'Used GB Charts'!A:AB,4,FALSE)+VLOOKUP(A6,'Used GB Charts'!A:AB,6,FALSE)+VLOOKUP(A6,'Used GB Charts'!A:AB,8,FALSE)+VLOOKUP(A6,'Used GB Charts'!A:AB,9,FALSE)+VLOOKUP(A6,'Used GB Charts'!A:AB,10,FALSE)+VLOOKUP(A6,'Used GB Charts'!A:AB,22,FALSE)+VLOOKUP(A6,'Used GB Charts'!A:AB,23,FALSE)+VLOOKUP(A6,'Used GB Charts'!A:AB,25,FALSE)</f>
        <v>448.68671874999995</v>
      </c>
      <c r="E6" s="704">
        <f ca="1">VLOOKUP(A6,'Used GB Charts'!A:AB,5,FALSE)+VLOOKUP(A6,'Used GB Charts'!A:AB,7,FALSE)+VLOOKUP(A6,'Used GB Charts'!A:AB,11,FALSE)</f>
        <v>418.314453125</v>
      </c>
      <c r="F6" s="704">
        <f ca="1">VLOOKUP(A6,'Used GB Charts'!A:AB,12,FALSE)+VLOOKUP(A6,'Used GB Charts'!A:AB,13,FALSE)+VLOOKUP(A6,'Used GB Charts'!A:AB,18,FALSE)+VLOOKUP(A6,'Used GB Charts'!A:AB,27,FALSE)+VLOOKUP(A6,'Used GB Charts'!A:AB,28,FALSE)</f>
        <v>525.97314453124989</v>
      </c>
      <c r="G6" s="704">
        <f ca="1">VLOOKUP(A6,'Used GB Charts'!A:AB,14,FALSE)+VLOOKUP(A6,'Used GB Charts'!A:AB,15,FALSE)+VLOOKUP(A6,'Used GB Charts'!A:AB,16,FALSE)++VLOOKUP(A6,'Used GB Charts'!A:AB,17,FALSE)+VLOOKUP(A6,'Used GB Charts'!A:AB,21,FALSE)+VLOOKUP(A6,'Used GB Charts'!A:AB,24,FALSE)+VLOOKUP(A6,'Used GB Charts'!A:AB,26,FALSE)</f>
        <v>471.20830078125005</v>
      </c>
      <c r="H6" s="704">
        <f ca="1">VLOOKUP(A6,'Used GB Charts'!A:AB,19,FALSE)+VLOOKUP(A6,'Used GB Charts'!A:AB,20,FALSE)</f>
        <v>26.191699218750003</v>
      </c>
      <c r="I6" s="704">
        <f t="shared" ref="I6" ca="1" si="4">SUM(B6:H6)</f>
        <v>2071.6838867187498</v>
      </c>
      <c r="J6" s="704">
        <f ca="1">I6-I17</f>
        <v>211.96718749999968</v>
      </c>
    </row>
    <row r="7" spans="1:10" s="743" customFormat="1" x14ac:dyDescent="0.25">
      <c r="A7" s="703">
        <v>41787</v>
      </c>
      <c r="B7" s="704">
        <f ca="1">VLOOKUP(A7,'Used GB Charts'!A:AB,2,FALSE)</f>
        <v>101.85146484374999</v>
      </c>
      <c r="C7" s="704">
        <f ca="1">VLOOKUP(A7,'Used GB Charts'!A:AB,3,FALSE)</f>
        <v>81.4814453125</v>
      </c>
      <c r="D7" s="704">
        <f ca="1">VLOOKUP(A7,'Used GB Charts'!A:AB,4,FALSE)+VLOOKUP(A7,'Used GB Charts'!A:AB,6,FALSE)+VLOOKUP(A7,'Used GB Charts'!A:AB,8,FALSE)+VLOOKUP(A7,'Used GB Charts'!A:AB,9,FALSE)+VLOOKUP(A7,'Used GB Charts'!A:AB,10,FALSE)+VLOOKUP(A7,'Used GB Charts'!A:AB,22,FALSE)+VLOOKUP(A7,'Used GB Charts'!A:AB,23,FALSE)+VLOOKUP(A7,'Used GB Charts'!A:AB,25,FALSE)</f>
        <v>450.64277343749995</v>
      </c>
      <c r="E7" s="704">
        <f ca="1">VLOOKUP(A7,'Used GB Charts'!A:AB,5,FALSE)+VLOOKUP(A7,'Used GB Charts'!A:AB,7,FALSE)+VLOOKUP(A7,'Used GB Charts'!A:AB,11,FALSE)</f>
        <v>409.56826171875002</v>
      </c>
      <c r="F7" s="704">
        <f ca="1">VLOOKUP(A7,'Used GB Charts'!A:AB,12,FALSE)+VLOOKUP(A7,'Used GB Charts'!A:AB,13,FALSE)+VLOOKUP(A7,'Used GB Charts'!A:AB,18,FALSE)+VLOOKUP(A7,'Used GB Charts'!A:AB,27,FALSE)+VLOOKUP(A7,'Used GB Charts'!A:AB,28,FALSE)</f>
        <v>520.97617187500009</v>
      </c>
      <c r="G7" s="704">
        <f ca="1">VLOOKUP(A7,'Used GB Charts'!A:AB,14,FALSE)+VLOOKUP(A7,'Used GB Charts'!A:AB,15,FALSE)+VLOOKUP(A7,'Used GB Charts'!A:AB,16,FALSE)++VLOOKUP(A7,'Used GB Charts'!A:AB,17,FALSE)+VLOOKUP(A7,'Used GB Charts'!A:AB,21,FALSE)+VLOOKUP(A7,'Used GB Charts'!A:AB,24,FALSE)+VLOOKUP(A7,'Used GB Charts'!A:AB,26,FALSE)</f>
        <v>478.82041015624998</v>
      </c>
      <c r="H7" s="704">
        <f ca="1">VLOOKUP(A7,'Used GB Charts'!A:AB,19,FALSE)+VLOOKUP(A7,'Used GB Charts'!A:AB,20,FALSE)</f>
        <v>26.191699218750003</v>
      </c>
      <c r="I7" s="704">
        <f t="shared" ref="I7" ca="1" si="5">SUM(B7:H7)</f>
        <v>2069.5322265625</v>
      </c>
      <c r="J7" s="704">
        <f ca="1">I7-I17</f>
        <v>209.81552734374986</v>
      </c>
    </row>
    <row r="8" spans="1:10" s="743" customFormat="1" x14ac:dyDescent="0.25">
      <c r="A8" s="703">
        <v>41780</v>
      </c>
      <c r="B8" s="704">
        <f ca="1">VLOOKUP(A8,'Used GB Charts'!A:AB,2,FALSE)</f>
        <v>101.87138671875</v>
      </c>
      <c r="C8" s="704">
        <f ca="1">VLOOKUP(A8,'Used GB Charts'!A:AB,3,FALSE)</f>
        <v>82.491601562499994</v>
      </c>
      <c r="D8" s="704">
        <f ca="1">VLOOKUP(A8,'Used GB Charts'!A:AB,4,FALSE)+VLOOKUP(A8,'Used GB Charts'!A:AB,6,FALSE)+VLOOKUP(A8,'Used GB Charts'!A:AB,8,FALSE)+VLOOKUP(A8,'Used GB Charts'!A:AB,9,FALSE)+VLOOKUP(A8,'Used GB Charts'!A:AB,10,FALSE)+VLOOKUP(A8,'Used GB Charts'!A:AB,22,FALSE)+VLOOKUP(A8,'Used GB Charts'!A:AB,23,FALSE)+VLOOKUP(A8,'Used GB Charts'!A:AB,25,FALSE)</f>
        <v>450.22167968749989</v>
      </c>
      <c r="E8" s="704">
        <f ca="1">VLOOKUP(A8,'Used GB Charts'!A:AB,5,FALSE)+VLOOKUP(A8,'Used GB Charts'!A:AB,7,FALSE)+VLOOKUP(A8,'Used GB Charts'!A:AB,11,FALSE)</f>
        <v>411.93994140625</v>
      </c>
      <c r="F8" s="704">
        <f ca="1">VLOOKUP(A8,'Used GB Charts'!A:AB,12,FALSE)+VLOOKUP(A8,'Used GB Charts'!A:AB,13,FALSE)+VLOOKUP(A8,'Used GB Charts'!A:AB,18,FALSE)+VLOOKUP(A8,'Used GB Charts'!A:AB,27,FALSE)+VLOOKUP(A8,'Used GB Charts'!A:AB,28,FALSE)</f>
        <v>515.77509765624995</v>
      </c>
      <c r="G8" s="704">
        <f ca="1">VLOOKUP(A8,'Used GB Charts'!A:AB,14,FALSE)+VLOOKUP(A8,'Used GB Charts'!A:AB,15,FALSE)+VLOOKUP(A8,'Used GB Charts'!A:AB,16,FALSE)++VLOOKUP(A8,'Used GB Charts'!A:AB,17,FALSE)+VLOOKUP(A8,'Used GB Charts'!A:AB,21,FALSE)+VLOOKUP(A8,'Used GB Charts'!A:AB,24,FALSE)+VLOOKUP(A8,'Used GB Charts'!A:AB,26,FALSE)</f>
        <v>476.97158203125008</v>
      </c>
      <c r="H8" s="704">
        <f ca="1">VLOOKUP(A8,'Used GB Charts'!A:AB,19,FALSE)+VLOOKUP(A8,'Used GB Charts'!A:AB,20,FALSE)</f>
        <v>26.191699218750003</v>
      </c>
      <c r="I8" s="704">
        <f t="shared" ref="I8" ca="1" si="6">SUM(B8:H8)</f>
        <v>2065.4629882812501</v>
      </c>
      <c r="J8" s="704">
        <f ca="1">I8-I17</f>
        <v>205.74628906249995</v>
      </c>
    </row>
    <row r="9" spans="1:10" s="743" customFormat="1" x14ac:dyDescent="0.25">
      <c r="A9" s="703">
        <v>41773</v>
      </c>
      <c r="B9" s="704">
        <f ca="1">VLOOKUP(A9,'Used GB Charts'!A:AB,2,FALSE)</f>
        <v>101.54648437500001</v>
      </c>
      <c r="C9" s="704">
        <f ca="1">VLOOKUP(A9,'Used GB Charts'!A:AB,3,FALSE)</f>
        <v>82.464648437500003</v>
      </c>
      <c r="D9" s="704">
        <f ca="1">VLOOKUP(A9,'Used GB Charts'!A:AB,4,FALSE)+VLOOKUP(A9,'Used GB Charts'!A:AB,6,FALSE)+VLOOKUP(A9,'Used GB Charts'!A:AB,8,FALSE)+VLOOKUP(A9,'Used GB Charts'!A:AB,9,FALSE)+VLOOKUP(A9,'Used GB Charts'!A:AB,10,FALSE)+VLOOKUP(A9,'Used GB Charts'!A:AB,22,FALSE)+VLOOKUP(A9,'Used GB Charts'!A:AB,23,FALSE)+VLOOKUP(A9,'Used GB Charts'!A:AB,25,FALSE)</f>
        <v>444.19218749999999</v>
      </c>
      <c r="E9" s="704">
        <f ca="1">VLOOKUP(A9,'Used GB Charts'!A:AB,5,FALSE)+VLOOKUP(A9,'Used GB Charts'!A:AB,7,FALSE)+VLOOKUP(A9,'Used GB Charts'!A:AB,11,FALSE)</f>
        <v>407.21796875000001</v>
      </c>
      <c r="F9" s="704">
        <f ca="1">VLOOKUP(A9,'Used GB Charts'!A:AB,12,FALSE)+VLOOKUP(A9,'Used GB Charts'!A:AB,13,FALSE)+VLOOKUP(A9,'Used GB Charts'!A:AB,18,FALSE)+VLOOKUP(A9,'Used GB Charts'!A:AB,27,FALSE)+VLOOKUP(A9,'Used GB Charts'!A:AB,28,FALSE)</f>
        <v>508.98154296874998</v>
      </c>
      <c r="G9" s="704">
        <f ca="1">VLOOKUP(A9,'Used GB Charts'!A:AB,14,FALSE)+VLOOKUP(A9,'Used GB Charts'!A:AB,15,FALSE)+VLOOKUP(A9,'Used GB Charts'!A:AB,16,FALSE)++VLOOKUP(A9,'Used GB Charts'!A:AB,17,FALSE)+VLOOKUP(A9,'Used GB Charts'!A:AB,21,FALSE)+VLOOKUP(A9,'Used GB Charts'!A:AB,24,FALSE)+VLOOKUP(A9,'Used GB Charts'!A:AB,26,FALSE)</f>
        <v>466.51679687499995</v>
      </c>
      <c r="H9" s="704">
        <f ca="1">VLOOKUP(A9,'Used GB Charts'!A:AB,19,FALSE)+VLOOKUP(A9,'Used GB Charts'!A:AB,20,FALSE)</f>
        <v>24.850390624999999</v>
      </c>
      <c r="I9" s="704">
        <f t="shared" ref="I9" ca="1" si="7">SUM(B9:H9)</f>
        <v>2035.77001953125</v>
      </c>
      <c r="J9" s="704">
        <f ca="1">I9-I17</f>
        <v>176.05332031249986</v>
      </c>
    </row>
    <row r="10" spans="1:10" s="743" customFormat="1" x14ac:dyDescent="0.25">
      <c r="A10" s="703">
        <v>41766</v>
      </c>
      <c r="B10" s="704">
        <f ca="1">VLOOKUP(A10,'Used GB Charts'!A:AB,2,FALSE)</f>
        <v>101.45986328124999</v>
      </c>
      <c r="C10" s="704">
        <f ca="1">VLOOKUP(A10,'Used GB Charts'!A:AB,3,FALSE)</f>
        <v>82.121972656249994</v>
      </c>
      <c r="D10" s="704">
        <f ca="1">VLOOKUP(A10,'Used GB Charts'!A:AB,4,FALSE)+VLOOKUP(A10,'Used GB Charts'!A:AB,6,FALSE)+VLOOKUP(A10,'Used GB Charts'!A:AB,8,FALSE)+VLOOKUP(A10,'Used GB Charts'!A:AB,9,FALSE)+VLOOKUP(A10,'Used GB Charts'!A:AB,10,FALSE)+VLOOKUP(A10,'Used GB Charts'!A:AB,22,FALSE)+VLOOKUP(A10,'Used GB Charts'!A:AB,23,FALSE)+VLOOKUP(A10,'Used GB Charts'!A:AB,25,FALSE)</f>
        <v>437.73916015624991</v>
      </c>
      <c r="E10" s="704">
        <f ca="1">VLOOKUP(A10,'Used GB Charts'!A:AB,5,FALSE)+VLOOKUP(A10,'Used GB Charts'!A:AB,7,FALSE)+VLOOKUP(A10,'Used GB Charts'!A:AB,11,FALSE)</f>
        <v>404.03437499999995</v>
      </c>
      <c r="F10" s="704">
        <f ca="1">VLOOKUP(A10,'Used GB Charts'!A:AB,12,FALSE)+VLOOKUP(A10,'Used GB Charts'!A:AB,13,FALSE)+VLOOKUP(A10,'Used GB Charts'!A:AB,18,FALSE)+VLOOKUP(A10,'Used GB Charts'!A:AB,27,FALSE)+VLOOKUP(A10,'Used GB Charts'!A:AB,28,FALSE)</f>
        <v>505.79521484375005</v>
      </c>
      <c r="G10" s="704">
        <f ca="1">VLOOKUP(A10,'Used GB Charts'!A:AB,14,FALSE)+VLOOKUP(A10,'Used GB Charts'!A:AB,15,FALSE)+VLOOKUP(A10,'Used GB Charts'!A:AB,16,FALSE)++VLOOKUP(A10,'Used GB Charts'!A:AB,17,FALSE)+VLOOKUP(A10,'Used GB Charts'!A:AB,21,FALSE)+VLOOKUP(A10,'Used GB Charts'!A:AB,24,FALSE)+VLOOKUP(A10,'Used GB Charts'!A:AB,26,FALSE)</f>
        <v>462.35693359375011</v>
      </c>
      <c r="H10" s="704">
        <f ca="1">VLOOKUP(A10,'Used GB Charts'!A:AB,19,FALSE)+VLOOKUP(A10,'Used GB Charts'!A:AB,20,FALSE)</f>
        <v>24.850390624999999</v>
      </c>
      <c r="I10" s="704">
        <f t="shared" ref="I10" ca="1" si="8">SUM(B10:H10)</f>
        <v>2018.3579101562502</v>
      </c>
      <c r="J10" s="704">
        <f ca="1">I10-I17</f>
        <v>158.64121093750009</v>
      </c>
    </row>
    <row r="11" spans="1:10" s="743" customFormat="1" x14ac:dyDescent="0.25">
      <c r="A11" s="703">
        <v>41752</v>
      </c>
      <c r="B11" s="704">
        <f ca="1">VLOOKUP(A11,'Used GB Charts'!A:AB,2,FALSE)</f>
        <v>102.39833984374999</v>
      </c>
      <c r="C11" s="704">
        <f ca="1">VLOOKUP(A11,'Used GB Charts'!A:AB,3,FALSE)</f>
        <v>81.948046875000003</v>
      </c>
      <c r="D11" s="704">
        <f ca="1">VLOOKUP(A11,'Used GB Charts'!A:AB,4,FALSE)+VLOOKUP(A11,'Used GB Charts'!A:AB,6,FALSE)+VLOOKUP(A11,'Used GB Charts'!A:AB,8,FALSE)+VLOOKUP(A11,'Used GB Charts'!A:AB,9,FALSE)+VLOOKUP(A11,'Used GB Charts'!A:AB,10,FALSE)+VLOOKUP(A11,'Used GB Charts'!A:AB,22,FALSE)+VLOOKUP(A11,'Used GB Charts'!A:AB,23,FALSE)+VLOOKUP(A11,'Used GB Charts'!A:AB,25,FALSE)</f>
        <v>429.41650390625</v>
      </c>
      <c r="E11" s="704">
        <f ca="1">VLOOKUP(A11,'Used GB Charts'!A:AB,5,FALSE)+VLOOKUP(A11,'Used GB Charts'!A:AB,7,FALSE)+VLOOKUP(A11,'Used GB Charts'!A:AB,11,FALSE)</f>
        <v>395.46259765625001</v>
      </c>
      <c r="F11" s="704">
        <f ca="1">VLOOKUP(A11,'Used GB Charts'!A:AB,12,FALSE)+VLOOKUP(A11,'Used GB Charts'!A:AB,13,FALSE)+VLOOKUP(A11,'Used GB Charts'!A:AB,18,FALSE)+VLOOKUP(A11,'Used GB Charts'!A:AB,27,FALSE)+VLOOKUP(A11,'Used GB Charts'!A:AB,28,FALSE)</f>
        <v>498.95576171875001</v>
      </c>
      <c r="G11" s="704">
        <f ca="1">VLOOKUP(A11,'Used GB Charts'!A:AB,14,FALSE)+VLOOKUP(A11,'Used GB Charts'!A:AB,15,FALSE)+VLOOKUP(A11,'Used GB Charts'!A:AB,16,FALSE)++VLOOKUP(A11,'Used GB Charts'!A:AB,17,FALSE)+VLOOKUP(A11,'Used GB Charts'!A:AB,21,FALSE)+VLOOKUP(A11,'Used GB Charts'!A:AB,24,FALSE)+VLOOKUP(A11,'Used GB Charts'!A:AB,26,FALSE)</f>
        <v>450.71279296874997</v>
      </c>
      <c r="H11" s="704">
        <f ca="1">VLOOKUP(A11,'Used GB Charts'!A:AB,19,FALSE)+VLOOKUP(A11,'Used GB Charts'!A:AB,20,FALSE)</f>
        <v>24.850390624999999</v>
      </c>
      <c r="I11" s="704">
        <f t="shared" ref="I11" ca="1" si="9">SUM(B11:H11)</f>
        <v>1983.7444335937498</v>
      </c>
      <c r="J11" s="704">
        <f ca="1">I11-I17</f>
        <v>124.02773437499968</v>
      </c>
    </row>
    <row r="12" spans="1:10" s="743" customFormat="1" x14ac:dyDescent="0.25">
      <c r="A12" s="703">
        <v>41745</v>
      </c>
      <c r="B12" s="704">
        <f ca="1">VLOOKUP(A12,'Used GB Charts'!A:AB,2,FALSE)</f>
        <v>103.059765625</v>
      </c>
      <c r="C12" s="704">
        <f ca="1">VLOOKUP(A12,'Used GB Charts'!A:AB,3,FALSE)</f>
        <v>81.91845703125</v>
      </c>
      <c r="D12" s="704">
        <f ca="1">VLOOKUP(A12,'Used GB Charts'!A:AB,4,FALSE)+VLOOKUP(A12,'Used GB Charts'!A:AB,6,FALSE)+VLOOKUP(A12,'Used GB Charts'!A:AB,8,FALSE)+VLOOKUP(A12,'Used GB Charts'!A:AB,9,FALSE)+VLOOKUP(A12,'Used GB Charts'!A:AB,10,FALSE)+VLOOKUP(A12,'Used GB Charts'!A:AB,22,FALSE)+VLOOKUP(A12,'Used GB Charts'!A:AB,23,FALSE)+VLOOKUP(A12,'Used GB Charts'!A:AB,25,FALSE)</f>
        <v>424.75917968749997</v>
      </c>
      <c r="E12" s="704">
        <f ca="1">VLOOKUP(A12,'Used GB Charts'!A:AB,5,FALSE)+VLOOKUP(A12,'Used GB Charts'!A:AB,7,FALSE)+VLOOKUP(A12,'Used GB Charts'!A:AB,11,FALSE)</f>
        <v>391.58564453125001</v>
      </c>
      <c r="F12" s="704">
        <f ca="1">VLOOKUP(A12,'Used GB Charts'!A:AB,12,FALSE)+VLOOKUP(A12,'Used GB Charts'!A:AB,13,FALSE)+VLOOKUP(A12,'Used GB Charts'!A:AB,18,FALSE)+VLOOKUP(A12,'Used GB Charts'!A:AB,27,FALSE)+VLOOKUP(A12,'Used GB Charts'!A:AB,28,FALSE)</f>
        <v>496.0087890625</v>
      </c>
      <c r="G12" s="704">
        <f ca="1">VLOOKUP(A12,'Used GB Charts'!A:AB,14,FALSE)+VLOOKUP(A12,'Used GB Charts'!A:AB,15,FALSE)+VLOOKUP(A12,'Used GB Charts'!A:AB,16,FALSE)++VLOOKUP(A12,'Used GB Charts'!A:AB,17,FALSE)+VLOOKUP(A12,'Used GB Charts'!A:AB,21,FALSE)+VLOOKUP(A12,'Used GB Charts'!A:AB,24,FALSE)+VLOOKUP(A12,'Used GB Charts'!A:AB,26,FALSE)</f>
        <v>443.00976562500006</v>
      </c>
      <c r="H12" s="704">
        <f ca="1">VLOOKUP(A12,'Used GB Charts'!A:AB,19,FALSE)+VLOOKUP(A12,'Used GB Charts'!A:AB,20,FALSE)</f>
        <v>24.850390624999999</v>
      </c>
      <c r="I12" s="704">
        <f t="shared" ref="I12" ca="1" si="10">SUM(B12:H12)</f>
        <v>1965.1919921875001</v>
      </c>
      <c r="J12" s="704">
        <f ca="1">I12-I17</f>
        <v>105.47529296874995</v>
      </c>
    </row>
    <row r="13" spans="1:10" s="743" customFormat="1" x14ac:dyDescent="0.25">
      <c r="A13" s="703">
        <v>41739</v>
      </c>
      <c r="B13" s="704">
        <f ca="1">VLOOKUP(A13,'Used GB Charts'!A:AB,2,FALSE)</f>
        <v>102.97402343749999</v>
      </c>
      <c r="C13" s="704">
        <f ca="1">VLOOKUP(A13,'Used GB Charts'!A:AB,3,FALSE)</f>
        <v>81.835742187500003</v>
      </c>
      <c r="D13" s="704">
        <f ca="1">VLOOKUP(A13,'Used GB Charts'!A:AB,4,FALSE)+VLOOKUP(A13,'Used GB Charts'!A:AB,6,FALSE)+VLOOKUP(A13,'Used GB Charts'!A:AB,8,FALSE)+VLOOKUP(A13,'Used GB Charts'!A:AB,9,FALSE)+VLOOKUP(A13,'Used GB Charts'!A:AB,10,FALSE)+VLOOKUP(A13,'Used GB Charts'!A:AB,22,FALSE)+VLOOKUP(A13,'Used GB Charts'!A:AB,23,FALSE)+VLOOKUP(A13,'Used GB Charts'!A:AB,25,FALSE)</f>
        <v>425.74492187500005</v>
      </c>
      <c r="E13" s="704">
        <f ca="1">VLOOKUP(A13,'Used GB Charts'!A:AB,5,FALSE)+VLOOKUP(A13,'Used GB Charts'!A:AB,7,FALSE)+VLOOKUP(A13,'Used GB Charts'!A:AB,11,FALSE)</f>
        <v>383.015625</v>
      </c>
      <c r="F13" s="704">
        <f ca="1">VLOOKUP(A13,'Used GB Charts'!A:AB,12,FALSE)+VLOOKUP(A13,'Used GB Charts'!A:AB,13,FALSE)+VLOOKUP(A13,'Used GB Charts'!A:AB,18,FALSE)+VLOOKUP(A13,'Used GB Charts'!A:AB,27,FALSE)+VLOOKUP(A13,'Used GB Charts'!A:AB,28,FALSE)</f>
        <v>491.60625000000005</v>
      </c>
      <c r="G13" s="704">
        <f ca="1">VLOOKUP(A13,'Used GB Charts'!A:AB,14,FALSE)+VLOOKUP(A13,'Used GB Charts'!A:AB,15,FALSE)+VLOOKUP(A13,'Used GB Charts'!A:AB,16,FALSE)++VLOOKUP(A13,'Used GB Charts'!A:AB,17,FALSE)+VLOOKUP(A13,'Used GB Charts'!A:AB,21,FALSE)+VLOOKUP(A13,'Used GB Charts'!A:AB,24,FALSE)+VLOOKUP(A13,'Used GB Charts'!A:AB,26,FALSE)</f>
        <v>441.92871093750006</v>
      </c>
      <c r="H13" s="704">
        <f ca="1">VLOOKUP(A13,'Used GB Charts'!A:AB,19,FALSE)+VLOOKUP(A13,'Used GB Charts'!A:AB,20,FALSE)</f>
        <v>20.913671874999999</v>
      </c>
      <c r="I13" s="704">
        <f t="shared" ref="I13" ca="1" si="11">SUM(B13:H13)</f>
        <v>1948.0189453125001</v>
      </c>
      <c r="J13" s="704">
        <f ca="1">I13-I17</f>
        <v>88.30224609375</v>
      </c>
    </row>
    <row r="14" spans="1:10" s="743" customFormat="1" x14ac:dyDescent="0.25">
      <c r="A14" s="703">
        <v>41732</v>
      </c>
      <c r="B14" s="704">
        <f ca="1">VLOOKUP(A14,'Used GB Charts'!A:AB,2,FALSE)</f>
        <v>102.10400390625</v>
      </c>
      <c r="C14" s="704">
        <f ca="1">VLOOKUP(A14,'Used GB Charts'!A:AB,3,FALSE)</f>
        <v>81.38916015625</v>
      </c>
      <c r="D14" s="704">
        <f ca="1">VLOOKUP(A14,'Used GB Charts'!A:AB,4,FALSE)+VLOOKUP(A14,'Used GB Charts'!A:AB,6,FALSE)+VLOOKUP(A14,'Used GB Charts'!A:AB,8,FALSE)+VLOOKUP(A14,'Used GB Charts'!A:AB,9,FALSE)+VLOOKUP(A14,'Used GB Charts'!A:AB,10,FALSE)+VLOOKUP(A14,'Used GB Charts'!A:AB,22,FALSE)+VLOOKUP(A14,'Used GB Charts'!A:AB,23,FALSE)+VLOOKUP(A14,'Used GB Charts'!A:AB,25,FALSE)</f>
        <v>423.23554687500001</v>
      </c>
      <c r="E14" s="704">
        <f ca="1">VLOOKUP(A14,'Used GB Charts'!A:AB,5,FALSE)+VLOOKUP(A14,'Used GB Charts'!A:AB,7,FALSE)+VLOOKUP(A14,'Used GB Charts'!A:AB,11,FALSE)</f>
        <v>379.21249999999998</v>
      </c>
      <c r="F14" s="704">
        <f ca="1">VLOOKUP(A14,'Used GB Charts'!A:AB,12,FALSE)+VLOOKUP(A14,'Used GB Charts'!A:AB,13,FALSE)+VLOOKUP(A14,'Used GB Charts'!A:AB,18,FALSE)+VLOOKUP(A14,'Used GB Charts'!A:AB,27,FALSE)+VLOOKUP(A14,'Used GB Charts'!A:AB,28,FALSE)</f>
        <v>475.96191406250006</v>
      </c>
      <c r="G14" s="704">
        <f ca="1">VLOOKUP(A14,'Used GB Charts'!A:AB,14,FALSE)+VLOOKUP(A14,'Used GB Charts'!A:AB,15,FALSE)+VLOOKUP(A14,'Used GB Charts'!A:AB,16,FALSE)++VLOOKUP(A14,'Used GB Charts'!A:AB,17,FALSE)+VLOOKUP(A14,'Used GB Charts'!A:AB,21,FALSE)+VLOOKUP(A14,'Used GB Charts'!A:AB,24,FALSE)+VLOOKUP(A14,'Used GB Charts'!A:AB,26,FALSE)</f>
        <v>438.1728515625</v>
      </c>
      <c r="H14" s="704">
        <f ca="1">VLOOKUP(A14,'Used GB Charts'!A:AB,19,FALSE)+VLOOKUP(A14,'Used GB Charts'!A:AB,20,FALSE)</f>
        <v>20.913671874999999</v>
      </c>
      <c r="I14" s="704">
        <f t="shared" ref="I14" ca="1" si="12">SUM(B14:H14)</f>
        <v>1920.9896484375001</v>
      </c>
      <c r="J14" s="704">
        <f ca="1">I14-I17</f>
        <v>61.27294921875</v>
      </c>
    </row>
    <row r="15" spans="1:10" s="743" customFormat="1" x14ac:dyDescent="0.25">
      <c r="A15" s="703">
        <v>41725</v>
      </c>
      <c r="B15" s="704">
        <f ca="1">VLOOKUP(A15,'Used GB Charts'!A:AB,2,FALSE)</f>
        <v>101.59218749999999</v>
      </c>
      <c r="C15" s="704">
        <f ca="1">VLOOKUP(A15,'Used GB Charts'!A:AB,3,FALSE)</f>
        <v>81.294042968750006</v>
      </c>
      <c r="D15" s="704">
        <f ca="1">VLOOKUP(A15,'Used GB Charts'!A:AB,4,FALSE)+VLOOKUP(A15,'Used GB Charts'!A:AB,6,FALSE)+VLOOKUP(A15,'Used GB Charts'!A:AB,8,FALSE)+VLOOKUP(A15,'Used GB Charts'!A:AB,9,FALSE)+VLOOKUP(A15,'Used GB Charts'!A:AB,10,FALSE)+VLOOKUP(A15,'Used GB Charts'!A:AB,22,FALSE)+VLOOKUP(A15,'Used GB Charts'!A:AB,23,FALSE)+VLOOKUP(A15,'Used GB Charts'!A:AB,25,FALSE)</f>
        <v>419.50839843749998</v>
      </c>
      <c r="E15" s="704">
        <f ca="1">VLOOKUP(A15,'Used GB Charts'!A:AB,5,FALSE)+VLOOKUP(A15,'Used GB Charts'!A:AB,7,FALSE)+VLOOKUP(A15,'Used GB Charts'!A:AB,11,FALSE)</f>
        <v>378.03154296875005</v>
      </c>
      <c r="F15" s="704">
        <f ca="1">VLOOKUP(A15,'Used GB Charts'!A:AB,12,FALSE)+VLOOKUP(A15,'Used GB Charts'!A:AB,13,FALSE)+VLOOKUP(A15,'Used GB Charts'!A:AB,18,FALSE)+VLOOKUP(A15,'Used GB Charts'!A:AB,27,FALSE)+VLOOKUP(A15,'Used GB Charts'!A:AB,28,FALSE)</f>
        <v>470.43417968750003</v>
      </c>
      <c r="G15" s="704">
        <f ca="1">VLOOKUP(A15,'Used GB Charts'!A:AB,14,FALSE)+VLOOKUP(A15,'Used GB Charts'!A:AB,15,FALSE)+VLOOKUP(A15,'Used GB Charts'!A:AB,16,FALSE)++VLOOKUP(A15,'Used GB Charts'!A:AB,17,FALSE)+VLOOKUP(A15,'Used GB Charts'!A:AB,21,FALSE)+VLOOKUP(A15,'Used GB Charts'!A:AB,24,FALSE)+VLOOKUP(A15,'Used GB Charts'!A:AB,26,FALSE)</f>
        <v>434.94257812500001</v>
      </c>
      <c r="H15" s="704">
        <f ca="1">VLOOKUP(A15,'Used GB Charts'!A:AB,19,FALSE)+VLOOKUP(A15,'Used GB Charts'!A:AB,20,FALSE)</f>
        <v>20.913671874999999</v>
      </c>
      <c r="I15" s="704">
        <f t="shared" ref="I15" ca="1" si="13">SUM(B15:H15)</f>
        <v>1906.7166015625</v>
      </c>
      <c r="J15" s="704">
        <f ca="1">I15-I17</f>
        <v>46.999902343749909</v>
      </c>
    </row>
    <row r="16" spans="1:10" s="743" customFormat="1" x14ac:dyDescent="0.25">
      <c r="A16" s="703">
        <v>41709</v>
      </c>
      <c r="B16" s="704">
        <f ca="1">VLOOKUP(A16,'Used GB Charts'!A:AB,2,FALSE)</f>
        <v>98.920605468749997</v>
      </c>
      <c r="C16" s="704">
        <f ca="1">VLOOKUP(A16,'Used GB Charts'!A:AB,3,FALSE)</f>
        <v>81.162011718749994</v>
      </c>
      <c r="D16" s="704">
        <f ca="1">VLOOKUP(A16,'Used GB Charts'!A:AB,4,FALSE)+VLOOKUP(A16,'Used GB Charts'!A:AB,6,FALSE)+VLOOKUP(A16,'Used GB Charts'!A:AB,8,FALSE)+VLOOKUP(A16,'Used GB Charts'!A:AB,9,FALSE)+VLOOKUP(A16,'Used GB Charts'!A:AB,10,FALSE)+VLOOKUP(A16,'Used GB Charts'!A:AB,22,FALSE)+VLOOKUP(A16,'Used GB Charts'!A:AB,23,FALSE)+VLOOKUP(A16,'Used GB Charts'!A:AB,25,FALSE)</f>
        <v>400.84814453125</v>
      </c>
      <c r="E16" s="704">
        <f ca="1">VLOOKUP(A16,'Used GB Charts'!A:AB,5,FALSE)+VLOOKUP(A16,'Used GB Charts'!A:AB,7,FALSE)+VLOOKUP(A16,'Used GB Charts'!A:AB,11,FALSE)</f>
        <v>367.13984374999995</v>
      </c>
      <c r="F16" s="704">
        <f ca="1">VLOOKUP(A16,'Used GB Charts'!A:AB,12,FALSE)+VLOOKUP(A16,'Used GB Charts'!A:AB,13,FALSE)+VLOOKUP(A16,'Used GB Charts'!A:AB,18,FALSE)+VLOOKUP(A16,'Used GB Charts'!A:AB,27,FALSE)+VLOOKUP(A16,'Used GB Charts'!A:AB,28,FALSE)</f>
        <v>462.91904296874998</v>
      </c>
      <c r="G16" s="704">
        <f ca="1">VLOOKUP(A16,'Used GB Charts'!A:AB,14,FALSE)+VLOOKUP(A16,'Used GB Charts'!A:AB,15,FALSE)+VLOOKUP(A16,'Used GB Charts'!A:AB,16,FALSE)++VLOOKUP(A16,'Used GB Charts'!A:AB,17,FALSE)+VLOOKUP(A16,'Used GB Charts'!A:AB,21,FALSE)+VLOOKUP(A16,'Used GB Charts'!A:AB,24,FALSE)+VLOOKUP(A16,'Used GB Charts'!A:AB,26,FALSE)</f>
        <v>418.97500000000002</v>
      </c>
      <c r="H16" s="704">
        <f ca="1">VLOOKUP(A16,'Used GB Charts'!A:AB,19,FALSE)+VLOOKUP(A16,'Used GB Charts'!A:AB,20,FALSE)</f>
        <v>20.913671874999999</v>
      </c>
      <c r="I16" s="704">
        <f t="shared" ref="I16" ca="1" si="14">SUM(B16:H16)</f>
        <v>1850.8783203124999</v>
      </c>
      <c r="J16" s="704">
        <f t="shared" ref="J16:J49" ca="1" si="15">I16-I17</f>
        <v>-8.8383789062502274</v>
      </c>
    </row>
    <row r="17" spans="1:10" x14ac:dyDescent="0.25">
      <c r="A17" s="703">
        <v>41704</v>
      </c>
      <c r="B17" s="704">
        <f ca="1">VLOOKUP(A17,'Used GB Charts'!A:AB,2,FALSE)</f>
        <v>98.359667968750003</v>
      </c>
      <c r="C17" s="704">
        <f ca="1">VLOOKUP(A17,'Used GB Charts'!A:AB,3,FALSE)</f>
        <v>80.8115234375</v>
      </c>
      <c r="D17" s="704">
        <f ca="1">VLOOKUP(A17,'Used GB Charts'!A:AB,4,FALSE)+VLOOKUP(A17,'Used GB Charts'!A:AB,6,FALSE)+VLOOKUP(A17,'Used GB Charts'!A:AB,8,FALSE)+VLOOKUP(A17,'Used GB Charts'!A:AB,9,FALSE)+VLOOKUP(A17,'Used GB Charts'!A:AB,10,FALSE)+VLOOKUP(A17,'Used GB Charts'!A:AB,22,FALSE)</f>
        <v>398.84550781249999</v>
      </c>
      <c r="E17" s="704">
        <f ca="1">VLOOKUP(A17,'Used GB Charts'!A:AB,5,FALSE)+VLOOKUP(A17,'Used GB Charts'!A:AB,7,FALSE)+VLOOKUP(A17,'Used GB Charts'!A:AB,11,FALSE)</f>
        <v>374.67109375000001</v>
      </c>
      <c r="F17" s="704">
        <f ca="1">VLOOKUP(A17,'Used GB Charts'!A:AB,12,FALSE)+VLOOKUP(A17,'Used GB Charts'!A:AB,13,FALSE)+VLOOKUP(A17,'Used GB Charts'!A:AB,18,FALSE)</f>
        <v>469.97685546874999</v>
      </c>
      <c r="G17" s="704">
        <f ca="1">VLOOKUP(A17,'Used GB Charts'!A:AB,14,FALSE)+VLOOKUP(A17,'Used GB Charts'!A:AB,15,FALSE)+VLOOKUP(A17,'Used GB Charts'!A:AB,16,FALSE)++VLOOKUP(A17,'Used GB Charts'!A:AB,17,FALSE)+VLOOKUP(A17,'Used GB Charts'!A:AB,21,FALSE)</f>
        <v>416.13837890625001</v>
      </c>
      <c r="H17" s="704">
        <f ca="1">VLOOKUP(A17,'Used GB Charts'!A:AB,19,FALSE)+VLOOKUP(A17,'Used GB Charts'!A:AB,20,FALSE)</f>
        <v>20.913671874999999</v>
      </c>
      <c r="I17" s="704">
        <f t="shared" ref="I17" ca="1" si="16">SUM(B17:H17)</f>
        <v>1859.7166992187501</v>
      </c>
      <c r="J17" s="704">
        <f t="shared" ca="1" si="15"/>
        <v>5.68505859375</v>
      </c>
    </row>
    <row r="18" spans="1:10" x14ac:dyDescent="0.25">
      <c r="A18" s="703">
        <v>41703</v>
      </c>
      <c r="B18" s="704">
        <f ca="1">VLOOKUP(A18,'Used GB Charts'!A:AB,2,FALSE)</f>
        <v>98.325976562500003</v>
      </c>
      <c r="C18" s="704">
        <f ca="1">VLOOKUP(A18,'Used GB Charts'!A:AB,3,FALSE)</f>
        <v>80.810351562500003</v>
      </c>
      <c r="D18" s="704">
        <f ca="1">VLOOKUP(A18,'Used GB Charts'!A:AB,4,FALSE)+VLOOKUP(A18,'Used GB Charts'!A:AB,6,FALSE)+VLOOKUP(A18,'Used GB Charts'!A:AB,8,FALSE)+VLOOKUP(A18,'Used GB Charts'!A:AB,9,FALSE)+VLOOKUP(A18,'Used GB Charts'!A:AB,10,FALSE)+VLOOKUP(A18,'Used GB Charts'!A:AB,22,FALSE)</f>
        <v>398.41142578124999</v>
      </c>
      <c r="E18" s="704">
        <f ca="1">VLOOKUP(A18,'Used GB Charts'!A:AB,5,FALSE)+VLOOKUP(A18,'Used GB Charts'!A:AB,7,FALSE)+VLOOKUP(A18,'Used GB Charts'!A:AB,11,FALSE)</f>
        <v>373.67910156249997</v>
      </c>
      <c r="F18" s="704">
        <f ca="1">VLOOKUP(A18,'Used GB Charts'!A:AB,12,FALSE)+VLOOKUP(A18,'Used GB Charts'!A:AB,13,FALSE)+VLOOKUP(A18,'Used GB Charts'!A:AB,18,FALSE)</f>
        <v>466.25361328125001</v>
      </c>
      <c r="G18" s="704">
        <f ca="1">VLOOKUP(A18,'Used GB Charts'!A:AB,14,FALSE)+VLOOKUP(A18,'Used GB Charts'!A:AB,15,FALSE)+VLOOKUP(A18,'Used GB Charts'!A:AB,16,FALSE)++VLOOKUP(A18,'Used GB Charts'!A:AB,17,FALSE)+VLOOKUP(A18,'Used GB Charts'!A:AB,21,FALSE)</f>
        <v>415.63749999999999</v>
      </c>
      <c r="H18" s="704">
        <f ca="1">VLOOKUP(A18,'Used GB Charts'!A:AB,19,FALSE)+VLOOKUP(A18,'Used GB Charts'!A:AB,20,FALSE)</f>
        <v>20.913671874999999</v>
      </c>
      <c r="I18" s="704">
        <f t="shared" ref="I18" ca="1" si="17">SUM(B18:H18)</f>
        <v>1854.0316406250001</v>
      </c>
      <c r="J18" s="704">
        <f t="shared" ca="1" si="15"/>
        <v>-6.0742187500181899E-2</v>
      </c>
    </row>
    <row r="19" spans="1:10" x14ac:dyDescent="0.25">
      <c r="A19" s="703">
        <v>41702</v>
      </c>
      <c r="B19" s="704">
        <f ca="1">VLOOKUP(A19,'Used GB Charts'!A:AB,2,FALSE)</f>
        <v>98.328808593749997</v>
      </c>
      <c r="C19" s="704">
        <f ca="1">VLOOKUP(A19,'Used GB Charts'!A:AB,3,FALSE)</f>
        <v>80.810351562500003</v>
      </c>
      <c r="D19" s="704">
        <f ca="1">VLOOKUP(A19,'Used GB Charts'!A:AB,4,FALSE)+VLOOKUP(A19,'Used GB Charts'!A:AB,6,FALSE)+VLOOKUP(A19,'Used GB Charts'!A:AB,8,FALSE)+VLOOKUP(A19,'Used GB Charts'!A:AB,9,FALSE)+VLOOKUP(A19,'Used GB Charts'!A:AB,10,FALSE)+VLOOKUP(A19,'Used GB Charts'!A:AB,22,FALSE)</f>
        <v>398.41142578124999</v>
      </c>
      <c r="E19" s="704">
        <f ca="1">VLOOKUP(A19,'Used GB Charts'!A:AB,5,FALSE)+VLOOKUP(A19,'Used GB Charts'!A:AB,7,FALSE)+VLOOKUP(A19,'Used GB Charts'!A:AB,11,FALSE)</f>
        <v>373.70175781249998</v>
      </c>
      <c r="F19" s="704">
        <f ca="1">VLOOKUP(A19,'Used GB Charts'!A:AB,12,FALSE)+VLOOKUP(A19,'Used GB Charts'!A:AB,13,FALSE)+VLOOKUP(A19,'Used GB Charts'!A:AB,18,FALSE)</f>
        <v>466.28886718750005</v>
      </c>
      <c r="G19" s="704">
        <f ca="1">VLOOKUP(A19,'Used GB Charts'!A:AB,14,FALSE)+VLOOKUP(A19,'Used GB Charts'!A:AB,15,FALSE)+VLOOKUP(A19,'Used GB Charts'!A:AB,16,FALSE)++VLOOKUP(A19,'Used GB Charts'!A:AB,17,FALSE)+VLOOKUP(A19,'Used GB Charts'!A:AB,21,FALSE)</f>
        <v>415.63749999999999</v>
      </c>
      <c r="H19" s="704">
        <f ca="1">VLOOKUP(A19,'Used GB Charts'!A:AB,19,FALSE)+VLOOKUP(A19,'Used GB Charts'!A:AB,20,FALSE)</f>
        <v>20.913671874999999</v>
      </c>
      <c r="I19" s="704">
        <f t="shared" ca="1" si="0"/>
        <v>1854.0923828125003</v>
      </c>
      <c r="J19" s="704">
        <f t="shared" ca="1" si="15"/>
        <v>388.35136718750005</v>
      </c>
    </row>
    <row r="20" spans="1:10" x14ac:dyDescent="0.25">
      <c r="A20" s="703">
        <v>41695</v>
      </c>
      <c r="B20" s="704">
        <f ca="1">VLOOKUP(A20,'Used GB Charts'!A:AB,2,FALSE)</f>
        <v>51.736035156249997</v>
      </c>
      <c r="C20" s="704">
        <f ca="1">VLOOKUP(A20,'Used GB Charts'!A:AB,3,FALSE)</f>
        <v>80.800585937500003</v>
      </c>
      <c r="D20" s="704">
        <f ca="1">VLOOKUP(A20,'Used GB Charts'!A:AB,4,FALSE)+VLOOKUP(A20,'Used GB Charts'!A:AB,6,FALSE)+VLOOKUP(A20,'Used GB Charts'!A:AB,8,FALSE)+VLOOKUP(A20,'Used GB Charts'!A:AB,9,FALSE)+VLOOKUP(A20,'Used GB Charts'!A:AB,10,FALSE)+VLOOKUP(A20,'Used GB Charts'!A:AB,22,FALSE)</f>
        <v>389.43662109375003</v>
      </c>
      <c r="E20" s="704">
        <f ca="1">VLOOKUP(A20,'Used GB Charts'!A:AB,5,FALSE)+VLOOKUP(A20,'Used GB Charts'!A:AB,7,FALSE)+VLOOKUP(A20,'Used GB Charts'!A:AB,11,FALSE)</f>
        <v>226.26035156249998</v>
      </c>
      <c r="F20" s="704">
        <f ca="1">VLOOKUP(A20,'Used GB Charts'!A:AB,12,FALSE)+VLOOKUP(A20,'Used GB Charts'!A:AB,13,FALSE)+VLOOKUP(A20,'Used GB Charts'!A:AB,18,FALSE)</f>
        <v>290.70957031249998</v>
      </c>
      <c r="G20" s="704">
        <f ca="1">VLOOKUP(A20,'Used GB Charts'!A:AB,14,FALSE)+VLOOKUP(A20,'Used GB Charts'!A:AB,15,FALSE)+VLOOKUP(A20,'Used GB Charts'!A:AB,16,FALSE)++VLOOKUP(A20,'Used GB Charts'!A:AB,17,FALSE)+VLOOKUP(A20,'Used GB Charts'!A:AB,21,FALSE)</f>
        <v>405.88417968750002</v>
      </c>
      <c r="H20" s="704">
        <f ca="1">VLOOKUP(A20,'Used GB Charts'!A:AB,19,FALSE)+VLOOKUP(A20,'Used GB Charts'!A:AB,20,FALSE)</f>
        <v>20.913671874999999</v>
      </c>
      <c r="I20" s="704">
        <f t="shared" ca="1" si="0"/>
        <v>1465.7410156250003</v>
      </c>
      <c r="J20" s="704">
        <f t="shared" ca="1" si="15"/>
        <v>22.229687500000182</v>
      </c>
    </row>
    <row r="21" spans="1:10" x14ac:dyDescent="0.25">
      <c r="A21" s="703">
        <v>41690</v>
      </c>
      <c r="B21" s="704">
        <f ca="1">VLOOKUP(A21,'Used GB Charts'!A:AB,2,FALSE)</f>
        <v>51.684863281250003</v>
      </c>
      <c r="C21" s="704">
        <f ca="1">VLOOKUP(A21,'Used GB Charts'!A:AB,3,FALSE)</f>
        <v>80.777929687500006</v>
      </c>
      <c r="D21" s="704">
        <f ca="1">VLOOKUP(A21,'Used GB Charts'!A:AB,4,FALSE)+VLOOKUP(A21,'Used GB Charts'!A:AB,6,FALSE)+VLOOKUP(A21,'Used GB Charts'!A:AB,8,FALSE)+VLOOKUP(A21,'Used GB Charts'!A:AB,9,FALSE)+VLOOKUP(A21,'Used GB Charts'!A:AB,10,FALSE)+VLOOKUP(A21,'Used GB Charts'!A:AB,22,FALSE)</f>
        <v>384.24238281250001</v>
      </c>
      <c r="E21" s="704">
        <f ca="1">VLOOKUP(A21,'Used GB Charts'!A:AB,5,FALSE)+VLOOKUP(A21,'Used GB Charts'!A:AB,7,FALSE)+VLOOKUP(A21,'Used GB Charts'!A:AB,11,FALSE)</f>
        <v>222.46953125000002</v>
      </c>
      <c r="F21" s="704">
        <f ca="1">VLOOKUP(A21,'Used GB Charts'!A:AB,12,FALSE)+VLOOKUP(A21,'Used GB Charts'!A:AB,13,FALSE)+VLOOKUP(A21,'Used GB Charts'!A:AB,18,FALSE)</f>
        <v>282.88818359375</v>
      </c>
      <c r="G21" s="704">
        <f ca="1">VLOOKUP(A21,'Used GB Charts'!A:AB,14,FALSE)+VLOOKUP(A21,'Used GB Charts'!A:AB,15,FALSE)+VLOOKUP(A21,'Used GB Charts'!A:AB,16,FALSE)++VLOOKUP(A21,'Used GB Charts'!A:AB,17,FALSE)+VLOOKUP(A21,'Used GB Charts'!A:AB,21,FALSE)</f>
        <v>400.53476562499998</v>
      </c>
      <c r="H21" s="704">
        <f ca="1">VLOOKUP(A21,'Used GB Charts'!A:AB,19,FALSE)+VLOOKUP(A21,'Used GB Charts'!A:AB,20,FALSE)</f>
        <v>20.913671874999999</v>
      </c>
      <c r="I21" s="704">
        <f t="shared" ca="1" si="0"/>
        <v>1443.5113281250001</v>
      </c>
      <c r="J21" s="704">
        <f t="shared" ca="1" si="15"/>
        <v>6.2724609375</v>
      </c>
    </row>
    <row r="22" spans="1:10" x14ac:dyDescent="0.25">
      <c r="A22" s="703">
        <v>41684</v>
      </c>
      <c r="B22" s="704">
        <f ca="1">VLOOKUP(A22,'Used GB Charts'!A:AB,2,FALSE)</f>
        <v>51.684863281250003</v>
      </c>
      <c r="C22" s="704">
        <f ca="1">VLOOKUP(A22,'Used GB Charts'!A:AB,3,FALSE)</f>
        <v>80.777929687500006</v>
      </c>
      <c r="D22" s="704">
        <f ca="1">VLOOKUP(A22,'Used GB Charts'!A:AB,4,FALSE)+VLOOKUP(A22,'Used GB Charts'!A:AB,6,FALSE)+VLOOKUP(A22,'Used GB Charts'!A:AB,8,FALSE)+VLOOKUP(A22,'Used GB Charts'!A:AB,9,FALSE)+VLOOKUP(A22,'Used GB Charts'!A:AB,10,FALSE)+VLOOKUP(A22,'Used GB Charts'!A:AB,22,FALSE)</f>
        <v>383.96708984374999</v>
      </c>
      <c r="E22" s="704">
        <f ca="1">VLOOKUP(A22,'Used GB Charts'!A:AB,5,FALSE)+VLOOKUP(A22,'Used GB Charts'!A:AB,7,FALSE)+VLOOKUP(A22,'Used GB Charts'!A:AB,11,FALSE)</f>
        <v>222.46953125000002</v>
      </c>
      <c r="F22" s="704">
        <f ca="1">VLOOKUP(A22,'Used GB Charts'!A:AB,12,FALSE)+VLOOKUP(A22,'Used GB Charts'!A:AB,13,FALSE)+VLOOKUP(A22,'Used GB Charts'!A:AB,18,FALSE)</f>
        <v>278.70839843750002</v>
      </c>
      <c r="G22" s="704">
        <f ca="1">VLOOKUP(A22,'Used GB Charts'!A:AB,14,FALSE)+VLOOKUP(A22,'Used GB Charts'!A:AB,15,FALSE)+VLOOKUP(A22,'Used GB Charts'!A:AB,16,FALSE)++VLOOKUP(A22,'Used GB Charts'!A:AB,17,FALSE)</f>
        <v>398.71738281249998</v>
      </c>
      <c r="H22" s="704">
        <f ca="1">VLOOKUP(A22,'Used GB Charts'!A:AB,19,FALSE)+VLOOKUP(A22,'Used GB Charts'!A:AB,20,FALSE)</f>
        <v>20.913671874999999</v>
      </c>
      <c r="I22" s="704">
        <f t="shared" ca="1" si="0"/>
        <v>1437.2388671875001</v>
      </c>
      <c r="J22" s="704">
        <f t="shared" ca="1" si="15"/>
        <v>19.389355468749955</v>
      </c>
    </row>
    <row r="23" spans="1:10" x14ac:dyDescent="0.25">
      <c r="A23" s="703">
        <v>41676</v>
      </c>
      <c r="B23" s="704">
        <f ca="1">VLOOKUP(A23,'Used GB Charts'!A:AB,2,FALSE)</f>
        <v>51.081152343749999</v>
      </c>
      <c r="C23" s="704">
        <f ca="1">VLOOKUP(A23,'Used GB Charts'!A:AB,3,FALSE)</f>
        <v>80.741503906250003</v>
      </c>
      <c r="D23" s="704">
        <f ca="1">VLOOKUP(A23,'Used GB Charts'!A:AB,4,FALSE)+VLOOKUP(A23,'Used GB Charts'!A:AB,6,FALSE)+VLOOKUP(A23,'Used GB Charts'!A:AB,8,FALSE)+VLOOKUP(A23,'Used GB Charts'!A:AB,9,FALSE)+VLOOKUP(A23,'Used GB Charts'!A:AB,10,FALSE)+VLOOKUP(A23,'Used GB Charts'!A:AB,22,FALSE)</f>
        <v>380.10488281250002</v>
      </c>
      <c r="E23" s="704">
        <f ca="1">VLOOKUP(A23,'Used GB Charts'!A:AB,5,FALSE)+VLOOKUP(A23,'Used GB Charts'!A:AB,7,FALSE)+VLOOKUP(A23,'Used GB Charts'!A:AB,11,FALSE)</f>
        <v>222.25400390624998</v>
      </c>
      <c r="F23" s="704">
        <f ca="1">VLOOKUP(A23,'Used GB Charts'!A:AB,12,FALSE)+VLOOKUP(A23,'Used GB Charts'!A:AB,13,FALSE)+VLOOKUP(A23,'Used GB Charts'!A:AB,18,FALSE)</f>
        <v>273.82675781249998</v>
      </c>
      <c r="G23" s="704">
        <f ca="1">VLOOKUP(A23,'Used GB Charts'!A:AB,14,FALSE)+VLOOKUP(A23,'Used GB Charts'!A:AB,15,FALSE)+VLOOKUP(A23,'Used GB Charts'!A:AB,16,FALSE)++VLOOKUP(A23,'Used GB Charts'!A:AB,17,FALSE)</f>
        <v>388.92753906249999</v>
      </c>
      <c r="H23" s="704">
        <f ca="1">VLOOKUP(A23,'Used GB Charts'!A:AB,19,FALSE)+VLOOKUP(A23,'Used GB Charts'!A:AB,20,FALSE)</f>
        <v>20.913671874999999</v>
      </c>
      <c r="I23" s="704">
        <f t="shared" ca="1" si="0"/>
        <v>1417.8495117187501</v>
      </c>
      <c r="J23" s="704">
        <f t="shared" ca="1" si="15"/>
        <v>47.997265625000182</v>
      </c>
    </row>
    <row r="24" spans="1:10" x14ac:dyDescent="0.25">
      <c r="A24" s="703">
        <v>41642</v>
      </c>
      <c r="B24" s="704">
        <f ca="1">VLOOKUP(A24,'Used GB Charts'!A:AB,2,FALSE)</f>
        <v>50.74609375</v>
      </c>
      <c r="C24" s="704">
        <f ca="1">VLOOKUP(A24,'Used GB Charts'!A:AB,3,FALSE)</f>
        <v>80.017773437499997</v>
      </c>
      <c r="D24" s="704">
        <f ca="1">VLOOKUP(A24,'Used GB Charts'!A:AB,4,FALSE)+VLOOKUP(A24,'Used GB Charts'!A:AB,6,FALSE)+VLOOKUP(A24,'Used GB Charts'!A:AB,8,FALSE)+VLOOKUP(A24,'Used GB Charts'!A:AB,9,FALSE)+VLOOKUP(A24,'Used GB Charts'!A:AB,10,FALSE)+VLOOKUP(A24,'Used GB Charts'!A:AB,22,FALSE)</f>
        <v>367.84423828125</v>
      </c>
      <c r="E24" s="704">
        <f ca="1">VLOOKUP(A24,'Used GB Charts'!A:AB,5,FALSE)+VLOOKUP(A24,'Used GB Charts'!A:AB,7,FALSE)+VLOOKUP(A24,'Used GB Charts'!A:AB,11,FALSE)</f>
        <v>211.60683593749999</v>
      </c>
      <c r="F24" s="704">
        <f ca="1">VLOOKUP(A24,'Used GB Charts'!A:AB,12,FALSE)+VLOOKUP(A24,'Used GB Charts'!A:AB,13,FALSE)+VLOOKUP(A24,'Used GB Charts'!A:AB,18,FALSE)</f>
        <v>264.89248046875002</v>
      </c>
      <c r="G24" s="704">
        <f ca="1">VLOOKUP(A24,'Used GB Charts'!A:AB,14,FALSE)+VLOOKUP(A24,'Used GB Charts'!A:AB,15,FALSE)+VLOOKUP(A24,'Used GB Charts'!A:AB,16,FALSE)++VLOOKUP(A24,'Used GB Charts'!A:AB,17,FALSE)</f>
        <v>374.46357421875001</v>
      </c>
      <c r="H24" s="704">
        <f ca="1">VLOOKUP(A24,'Used GB Charts'!A:AB,19,FALSE)+VLOOKUP(A24,'Used GB Charts'!A:AB,20,FALSE)</f>
        <v>20.28125</v>
      </c>
      <c r="I24" s="704">
        <f t="shared" ca="1" si="0"/>
        <v>1369.85224609375</v>
      </c>
      <c r="J24" s="704">
        <f t="shared" ca="1" si="15"/>
        <v>-3.990234375</v>
      </c>
    </row>
    <row r="25" spans="1:10" x14ac:dyDescent="0.25">
      <c r="A25" s="703">
        <v>41626</v>
      </c>
      <c r="B25" s="704">
        <f ca="1">VLOOKUP(A25,'Used GB Charts'!A:AB,2,FALSE)</f>
        <v>49.7373046875</v>
      </c>
      <c r="C25" s="704">
        <f ca="1">VLOOKUP(A25,'Used GB Charts'!A:AB,3,FALSE)</f>
        <v>80.017773437499997</v>
      </c>
      <c r="D25" s="704">
        <f ca="1">VLOOKUP(A25,'Used GB Charts'!A:AB,4,FALSE)+VLOOKUP(A25,'Used GB Charts'!A:AB,6,FALSE)+VLOOKUP(A25,'Used GB Charts'!A:AB,8,FALSE)+VLOOKUP(A25,'Used GB Charts'!A:AB,9,FALSE)+VLOOKUP(A25,'Used GB Charts'!A:AB,10,FALSE)+VLOOKUP(A25,'Used GB Charts'!A:AB,22,FALSE)</f>
        <v>366.02763671875005</v>
      </c>
      <c r="E25" s="704">
        <f ca="1">VLOOKUP(A25,'Used GB Charts'!A:AB,5,FALSE)+VLOOKUP(A25,'Used GB Charts'!A:AB,7,FALSE)+VLOOKUP(A25,'Used GB Charts'!A:AB,11,FALSE)</f>
        <v>215.47207031249999</v>
      </c>
      <c r="F25" s="704">
        <f ca="1">VLOOKUP(A25,'Used GB Charts'!A:AB,12,FALSE)+VLOOKUP(A25,'Used GB Charts'!A:AB,13,FALSE)+VLOOKUP(A25,'Used GB Charts'!A:AB,18,FALSE)</f>
        <v>270.82929687500001</v>
      </c>
      <c r="G25" s="704">
        <f ca="1">VLOOKUP(A25,'Used GB Charts'!A:AB,14,FALSE)+VLOOKUP(A25,'Used GB Charts'!A:AB,15,FALSE)+VLOOKUP(A25,'Used GB Charts'!A:AB,16,FALSE)++VLOOKUP(A25,'Used GB Charts'!A:AB,17,FALSE)</f>
        <v>371.82490234375001</v>
      </c>
      <c r="H25" s="704">
        <f ca="1">VLOOKUP(A25,'Used GB Charts'!A:AB,19,FALSE)+VLOOKUP(A25,'Used GB Charts'!A:AB,20,FALSE)</f>
        <v>19.933496093750001</v>
      </c>
      <c r="I25" s="704">
        <f t="shared" ca="1" si="0"/>
        <v>1373.84248046875</v>
      </c>
      <c r="J25" s="704">
        <f t="shared" ca="1" si="15"/>
        <v>-47.068652343749818</v>
      </c>
    </row>
    <row r="26" spans="1:10" x14ac:dyDescent="0.25">
      <c r="A26" s="703">
        <v>41617</v>
      </c>
      <c r="B26" s="704">
        <f ca="1">VLOOKUP(A26,'Used GB Charts'!A:AB,2,FALSE)</f>
        <v>49.086328125000001</v>
      </c>
      <c r="C26" s="704">
        <f ca="1">VLOOKUP(A26,'Used GB Charts'!A:AB,3,FALSE)</f>
        <v>79.679492187500003</v>
      </c>
      <c r="D26" s="704">
        <f ca="1">VLOOKUP(A26,'Used GB Charts'!A:AB,4,FALSE)+VLOOKUP(A26,'Used GB Charts'!A:AB,6,FALSE)+VLOOKUP(A26,'Used GB Charts'!A:AB,8,FALSE)+VLOOKUP(A26,'Used GB Charts'!A:AB,9,FALSE)+VLOOKUP(A26,'Used GB Charts'!A:AB,10,FALSE)+VLOOKUP(A26,'Used GB Charts'!A:AB,22,FALSE)</f>
        <v>372.96005859374998</v>
      </c>
      <c r="E26" s="704">
        <f ca="1">VLOOKUP(A26,'Used GB Charts'!A:AB,5,FALSE)+VLOOKUP(A26,'Used GB Charts'!A:AB,7,FALSE)+VLOOKUP(A26,'Used GB Charts'!A:AB,11,FALSE)</f>
        <v>218.76845703125002</v>
      </c>
      <c r="F26" s="704">
        <f ca="1">VLOOKUP(A26,'Used GB Charts'!A:AB,12,FALSE)+VLOOKUP(A26,'Used GB Charts'!A:AB,13,FALSE)+VLOOKUP(A26,'Used GB Charts'!A:AB,18,FALSE)</f>
        <v>306.09345703125001</v>
      </c>
      <c r="G26" s="704">
        <f ca="1">VLOOKUP(A26,'Used GB Charts'!A:AB,14,FALSE)+VLOOKUP(A26,'Used GB Charts'!A:AB,15,FALSE)+VLOOKUP(A26,'Used GB Charts'!A:AB,16,FALSE)++VLOOKUP(A26,'Used GB Charts'!A:AB,17,FALSE)</f>
        <v>374.38984375000001</v>
      </c>
      <c r="H26" s="704">
        <f ca="1">VLOOKUP(A26,'Used GB Charts'!A:AB,19,FALSE)+VLOOKUP(A26,'Used GB Charts'!A:AB,20,FALSE)</f>
        <v>19.933496093750001</v>
      </c>
      <c r="I26" s="704">
        <f t="shared" ca="1" si="0"/>
        <v>1420.9111328124998</v>
      </c>
      <c r="J26" s="704">
        <f t="shared" ca="1" si="15"/>
        <v>16.402734374999682</v>
      </c>
    </row>
    <row r="27" spans="1:10" x14ac:dyDescent="0.25">
      <c r="A27" s="703">
        <v>41610</v>
      </c>
      <c r="B27" s="704">
        <f ca="1">VLOOKUP(A27,'Used GB Charts'!A:AB,2,FALSE)</f>
        <v>49.3544921875</v>
      </c>
      <c r="C27" s="704">
        <f ca="1">VLOOKUP(A27,'Used GB Charts'!A:AB,3,FALSE)</f>
        <v>79.467871093750006</v>
      </c>
      <c r="D27" s="704">
        <f ca="1">VLOOKUP(A27,'Used GB Charts'!A:AB,4,FALSE)+VLOOKUP(A27,'Used GB Charts'!A:AB,6,FALSE)+VLOOKUP(A27,'Used GB Charts'!A:AB,8,FALSE)+VLOOKUP(A27,'Used GB Charts'!A:AB,9,FALSE)+VLOOKUP(A27,'Used GB Charts'!A:AB,10,FALSE)+VLOOKUP(A27,'Used GB Charts'!A:AB,22,FALSE)</f>
        <v>369.69804687500005</v>
      </c>
      <c r="E27" s="704">
        <f ca="1">VLOOKUP(A27,'Used GB Charts'!A:AB,5,FALSE)+VLOOKUP(A27,'Used GB Charts'!A:AB,7,FALSE)+VLOOKUP(A27,'Used GB Charts'!A:AB,11,FALSE)</f>
        <v>217.26806640625</v>
      </c>
      <c r="F27" s="704">
        <f ca="1">VLOOKUP(A27,'Used GB Charts'!A:AB,12,FALSE)+VLOOKUP(A27,'Used GB Charts'!A:AB,13,FALSE)+VLOOKUP(A27,'Used GB Charts'!A:AB,18,FALSE)</f>
        <v>300.96044921875</v>
      </c>
      <c r="G27" s="704">
        <f ca="1">VLOOKUP(A27,'Used GB Charts'!A:AB,14,FALSE)+VLOOKUP(A27,'Used GB Charts'!A:AB,15,FALSE)+VLOOKUP(A27,'Used GB Charts'!A:AB,16,FALSE)++VLOOKUP(A27,'Used GB Charts'!A:AB,17,FALSE)</f>
        <v>368.22392578125005</v>
      </c>
      <c r="H27" s="704">
        <f ca="1">VLOOKUP(A27,'Used GB Charts'!A:AB,19,FALSE)+VLOOKUP(A27,'Used GB Charts'!A:AB,20,FALSE)</f>
        <v>19.535546875000001</v>
      </c>
      <c r="I27" s="704">
        <f t="shared" ca="1" si="0"/>
        <v>1404.5083984375001</v>
      </c>
      <c r="J27" s="704">
        <f t="shared" ca="1" si="15"/>
        <v>14.266699218750091</v>
      </c>
    </row>
    <row r="28" spans="1:10" x14ac:dyDescent="0.25">
      <c r="A28" s="703">
        <v>41603</v>
      </c>
      <c r="B28" s="704">
        <f ca="1">VLOOKUP(A28,'Used GB Charts'!A:AB,2,FALSE)</f>
        <v>48.391015625000001</v>
      </c>
      <c r="C28" s="704">
        <f ca="1">VLOOKUP(A28,'Used GB Charts'!A:AB,3,FALSE)</f>
        <v>79.280957031249997</v>
      </c>
      <c r="D28" s="704">
        <f ca="1">VLOOKUP(A28,'Used GB Charts'!A:AB,4,FALSE)+VLOOKUP(A28,'Used GB Charts'!A:AB,6,FALSE)+VLOOKUP(A28,'Used GB Charts'!A:AB,8,FALSE)+VLOOKUP(A28,'Used GB Charts'!A:AB,9,FALSE)+VLOOKUP(A28,'Used GB Charts'!A:AB,10,FALSE)+VLOOKUP(A28,'Used GB Charts'!A:AB,22,FALSE)</f>
        <v>365.37783203125002</v>
      </c>
      <c r="E28" s="704">
        <f ca="1">VLOOKUP(A28,'Used GB Charts'!A:AB,5,FALSE)+VLOOKUP(A28,'Used GB Charts'!A:AB,7,FALSE)+VLOOKUP(A28,'Used GB Charts'!A:AB,11,FALSE)</f>
        <v>218.63398437499998</v>
      </c>
      <c r="F28" s="704">
        <f ca="1">VLOOKUP(A28,'Used GB Charts'!A:AB,12,FALSE)+VLOOKUP(A28,'Used GB Charts'!A:AB,13,FALSE)+VLOOKUP(A28,'Used GB Charts'!A:AB,18,FALSE)</f>
        <v>298.23330078125002</v>
      </c>
      <c r="G28" s="704">
        <f ca="1">VLOOKUP(A28,'Used GB Charts'!A:AB,14,FALSE)+VLOOKUP(A28,'Used GB Charts'!A:AB,15,FALSE)+VLOOKUP(A28,'Used GB Charts'!A:AB,16,FALSE)++VLOOKUP(A28,'Used GB Charts'!A:AB,17,FALSE)</f>
        <v>360.7890625</v>
      </c>
      <c r="H28" s="704">
        <f ca="1">VLOOKUP(A28,'Used GB Charts'!A:AB,19,FALSE)+VLOOKUP(A28,'Used GB Charts'!A:AB,20,FALSE)</f>
        <v>19.535546875000001</v>
      </c>
      <c r="I28" s="704">
        <f t="shared" ca="1" si="0"/>
        <v>1390.24169921875</v>
      </c>
      <c r="J28" s="704">
        <f t="shared" ca="1" si="15"/>
        <v>13.884570312500273</v>
      </c>
    </row>
    <row r="29" spans="1:10" x14ac:dyDescent="0.25">
      <c r="A29" s="703">
        <v>41596</v>
      </c>
      <c r="B29" s="704">
        <f ca="1">VLOOKUP(A29,'Used GB Charts'!A:AB,2,FALSE)</f>
        <v>48.4384765625</v>
      </c>
      <c r="C29" s="704">
        <f ca="1">VLOOKUP(A29,'Used GB Charts'!A:AB,3,FALSE)</f>
        <v>79.24658203125</v>
      </c>
      <c r="D29" s="704">
        <f ca="1">VLOOKUP(A29,'Used GB Charts'!A:AB,4,FALSE)+VLOOKUP(A29,'Used GB Charts'!A:AB,6,FALSE)+VLOOKUP(A29,'Used GB Charts'!A:AB,8,FALSE)+VLOOKUP(A29,'Used GB Charts'!A:AB,9,FALSE)+VLOOKUP(A29,'Used GB Charts'!A:AB,10,FALSE)+VLOOKUP(A29,'Used GB Charts'!A:AB,22,FALSE)</f>
        <v>360.56806640625001</v>
      </c>
      <c r="E29" s="704">
        <f ca="1">VLOOKUP(A29,'Used GB Charts'!A:AB,5,FALSE)+VLOOKUP(A29,'Used GB Charts'!A:AB,7,FALSE)+VLOOKUP(A29,'Used GB Charts'!A:AB,11,FALSE)</f>
        <v>217.7255859375</v>
      </c>
      <c r="F29" s="704">
        <f ca="1">VLOOKUP(A29,'Used GB Charts'!A:AB,12,FALSE)+VLOOKUP(A29,'Used GB Charts'!A:AB,13,FALSE)+VLOOKUP(A29,'Used GB Charts'!A:AB,18,FALSE)</f>
        <v>296.43798828125</v>
      </c>
      <c r="G29" s="704">
        <f ca="1">VLOOKUP(A29,'Used GB Charts'!A:AB,14,FALSE)+VLOOKUP(A29,'Used GB Charts'!A:AB,15,FALSE)+VLOOKUP(A29,'Used GB Charts'!A:AB,16,FALSE)++VLOOKUP(A29,'Used GB Charts'!A:AB,17,FALSE)</f>
        <v>354.40488281249998</v>
      </c>
      <c r="H29" s="704">
        <f ca="1">VLOOKUP(A29,'Used GB Charts'!A:AB,19,FALSE)+VLOOKUP(A29,'Used GB Charts'!A:AB,20,FALSE)</f>
        <v>19.535546875000001</v>
      </c>
      <c r="I29" s="704">
        <f t="shared" ca="1" si="0"/>
        <v>1376.3571289062497</v>
      </c>
      <c r="J29" s="704">
        <f t="shared" ca="1" si="15"/>
        <v>-61.231250000000273</v>
      </c>
    </row>
    <row r="30" spans="1:10" x14ac:dyDescent="0.25">
      <c r="A30" s="703">
        <v>41589</v>
      </c>
      <c r="B30" s="704">
        <f ca="1">VLOOKUP(A30,'Used GB Charts'!A:AB,2,FALSE)</f>
        <v>48.048535156249997</v>
      </c>
      <c r="C30" s="704">
        <f ca="1">VLOOKUP(A30,'Used GB Charts'!A:AB,3,FALSE)</f>
        <v>79.209667968749997</v>
      </c>
      <c r="D30" s="704">
        <f ca="1">VLOOKUP(A30,'Used GB Charts'!A:AB,4,FALSE)+VLOOKUP(A30,'Used GB Charts'!A:AB,6,FALSE)+VLOOKUP(A30,'Used GB Charts'!A:AB,8,FALSE)+VLOOKUP(A30,'Used GB Charts'!A:AB,9,FALSE)+VLOOKUP(A30,'Used GB Charts'!A:AB,10,FALSE)+VLOOKUP(A30,'Used GB Charts'!A:AB,22,FALSE)</f>
        <v>359.69619140625002</v>
      </c>
      <c r="E30" s="704">
        <f ca="1">VLOOKUP(A30,'Used GB Charts'!A:AB,5,FALSE)+VLOOKUP(A30,'Used GB Charts'!A:AB,7,FALSE)+VLOOKUP(A30,'Used GB Charts'!A:AB,11,FALSE)</f>
        <v>215.21757812499999</v>
      </c>
      <c r="F30" s="704">
        <f ca="1">VLOOKUP(A30,'Used GB Charts'!A:AB,12,FALSE)+VLOOKUP(A30,'Used GB Charts'!A:AB,13,FALSE)+VLOOKUP(A30,'Used GB Charts'!A:AB,18,FALSE)</f>
        <v>366.94492187500003</v>
      </c>
      <c r="G30" s="704">
        <f ca="1">VLOOKUP(A30,'Used GB Charts'!A:AB,14,FALSE)+VLOOKUP(A30,'Used GB Charts'!A:AB,15,FALSE)+VLOOKUP(A30,'Used GB Charts'!A:AB,16,FALSE)++VLOOKUP(A30,'Used GB Charts'!A:AB,17,FALSE)</f>
        <v>348.93593750000002</v>
      </c>
      <c r="H30" s="704">
        <f ca="1">VLOOKUP(A30,'Used GB Charts'!A:AB,19,FALSE)+VLOOKUP(A30,'Used GB Charts'!A:AB,20,FALSE)</f>
        <v>19.535546875000001</v>
      </c>
      <c r="I30" s="704">
        <f t="shared" ca="1" si="0"/>
        <v>1437.58837890625</v>
      </c>
      <c r="J30" s="704">
        <f t="shared" ca="1" si="15"/>
        <v>49.29541015625</v>
      </c>
    </row>
    <row r="31" spans="1:10" x14ac:dyDescent="0.25">
      <c r="A31" s="703">
        <v>41561</v>
      </c>
      <c r="B31" s="704">
        <f ca="1">VLOOKUP(A31,'Used GB Charts'!A:AB,2,FALSE)</f>
        <v>47.148730468750003</v>
      </c>
      <c r="C31" s="704">
        <f ca="1">VLOOKUP(A31,'Used GB Charts'!A:AB,3,FALSE)</f>
        <v>78.768945312499994</v>
      </c>
      <c r="D31" s="704">
        <f ca="1">VLOOKUP(A31,'Used GB Charts'!A:AB,4,FALSE)+VLOOKUP(A31,'Used GB Charts'!A:AB,6,FALSE)+VLOOKUP(A31,'Used GB Charts'!A:AB,8,FALSE)+VLOOKUP(A31,'Used GB Charts'!A:AB,9,FALSE)+VLOOKUP(A31,'Used GB Charts'!A:AB,10,FALSE)+VLOOKUP(A31,'Used GB Charts'!A:AB,22,FALSE)</f>
        <v>353.38124999999997</v>
      </c>
      <c r="E31" s="704">
        <f ca="1">VLOOKUP(A31,'Used GB Charts'!A:AB,5,FALSE)+VLOOKUP(A31,'Used GB Charts'!A:AB,7,FALSE)+VLOOKUP(A31,'Used GB Charts'!A:AB,11,FALSE)</f>
        <v>211.06806640625001</v>
      </c>
      <c r="F31" s="704">
        <f ca="1">VLOOKUP(A31,'Used GB Charts'!A:AB,12,FALSE)+VLOOKUP(A31,'Used GB Charts'!A:AB,13,FALSE)+VLOOKUP(A31,'Used GB Charts'!A:AB,18,FALSE)</f>
        <v>347.197265625</v>
      </c>
      <c r="G31" s="704">
        <f ca="1">VLOOKUP(A31,'Used GB Charts'!A:AB,14,FALSE)+VLOOKUP(A31,'Used GB Charts'!A:AB,15,FALSE)+VLOOKUP(A31,'Used GB Charts'!A:AB,16,FALSE)++VLOOKUP(A31,'Used GB Charts'!A:AB,17,FALSE)</f>
        <v>332.47968750000001</v>
      </c>
      <c r="H31" s="704">
        <f ca="1">VLOOKUP(A31,'Used GB Charts'!A:AB,19,FALSE)+VLOOKUP(A31,'Used GB Charts'!A:AB,20,FALSE)</f>
        <v>18.2490234375</v>
      </c>
      <c r="I31" s="704">
        <f t="shared" ca="1" si="0"/>
        <v>1388.29296875</v>
      </c>
      <c r="J31" s="704">
        <f t="shared" ca="1" si="15"/>
        <v>18.490527343750045</v>
      </c>
    </row>
    <row r="32" spans="1:10" x14ac:dyDescent="0.25">
      <c r="A32" s="703">
        <v>41548</v>
      </c>
      <c r="B32" s="704">
        <f ca="1">VLOOKUP(A32,'Used GB Charts'!A:AB,2,FALSE)</f>
        <v>47.033886718749997</v>
      </c>
      <c r="C32" s="704">
        <f ca="1">VLOOKUP(A32,'Used GB Charts'!A:AB,3,FALSE)</f>
        <v>78.558203125000006</v>
      </c>
      <c r="D32" s="704">
        <f ca="1">VLOOKUP(A32,'Used GB Charts'!A:AB,4,FALSE)+VLOOKUP(A32,'Used GB Charts'!A:AB,6,FALSE)+VLOOKUP(A32,'Used GB Charts'!A:AB,8,FALSE)+VLOOKUP(A32,'Used GB Charts'!A:AB,9,FALSE)+VLOOKUP(A32,'Used GB Charts'!A:AB,10,FALSE)+VLOOKUP(A32,'Used GB Charts'!A:AB,22,FALSE)</f>
        <v>348.85917968750005</v>
      </c>
      <c r="E32" s="704">
        <f ca="1">VLOOKUP(A32,'Used GB Charts'!A:AB,5,FALSE)+VLOOKUP(A32,'Used GB Charts'!A:AB,7,FALSE)+VLOOKUP(A32,'Used GB Charts'!A:AB,11,FALSE)</f>
        <v>206.80703125000002</v>
      </c>
      <c r="F32" s="704">
        <f ca="1">VLOOKUP(A32,'Used GB Charts'!A:AB,12,FALSE)+VLOOKUP(A32,'Used GB Charts'!A:AB,13,FALSE)+VLOOKUP(A32,'Used GB Charts'!A:AB,18,FALSE)</f>
        <v>343.76787109374999</v>
      </c>
      <c r="G32" s="704">
        <f ca="1">VLOOKUP(A32,'Used GB Charts'!A:AB,14,FALSE)+VLOOKUP(A32,'Used GB Charts'!A:AB,15,FALSE)+VLOOKUP(A32,'Used GB Charts'!A:AB,16,FALSE)++VLOOKUP(A32,'Used GB Charts'!A:AB,17,FALSE)</f>
        <v>326.8994140625</v>
      </c>
      <c r="H32" s="704">
        <f ca="1">VLOOKUP(A32,'Used GB Charts'!A:AB,19,FALSE)+VLOOKUP(A32,'Used GB Charts'!A:AB,20,FALSE)</f>
        <v>17.876855468750001</v>
      </c>
      <c r="I32" s="704">
        <f t="shared" ca="1" si="0"/>
        <v>1369.80244140625</v>
      </c>
      <c r="J32" s="704">
        <f t="shared" ca="1" si="15"/>
        <v>106.09072265624968</v>
      </c>
    </row>
    <row r="33" spans="1:10" x14ac:dyDescent="0.25">
      <c r="A33" s="703">
        <v>41541</v>
      </c>
      <c r="B33" s="704">
        <f ca="1">VLOOKUP(A33,'Used GB Charts'!A:AB,2,FALSE)</f>
        <v>46.930761718749999</v>
      </c>
      <c r="C33" s="704">
        <f ca="1">VLOOKUP(A33,'Used GB Charts'!A:AB,3,FALSE)</f>
        <v>78.530371093750006</v>
      </c>
      <c r="D33" s="704">
        <f ca="1">VLOOKUP(A33,'Used GB Charts'!A:AB,4,FALSE)+VLOOKUP(A33,'Used GB Charts'!A:AB,6,FALSE)+VLOOKUP(A33,'Used GB Charts'!A:AB,8,FALSE)+VLOOKUP(A33,'Used GB Charts'!A:AB,9,FALSE)+VLOOKUP(A33,'Used GB Charts'!A:AB,10,FALSE)+VLOOKUP(A33,'Used GB Charts'!A:AB,22,FALSE)</f>
        <v>347.08505859374998</v>
      </c>
      <c r="E33" s="704">
        <f ca="1">VLOOKUP(A33,'Used GB Charts'!A:AB,5,FALSE)+VLOOKUP(A33,'Used GB Charts'!A:AB,7,FALSE)+VLOOKUP(A33,'Used GB Charts'!A:AB,11,FALSE)</f>
        <v>205.01923828125001</v>
      </c>
      <c r="F33" s="704">
        <f ca="1">VLOOKUP(A33,'Used GB Charts'!A:AB,12,FALSE)+VLOOKUP(A33,'Used GB Charts'!A:AB,13,FALSE)+VLOOKUP(A33,'Used GB Charts'!A:AB,18,FALSE)</f>
        <v>241.46376953124999</v>
      </c>
      <c r="G33" s="704">
        <f ca="1">VLOOKUP(A33,'Used GB Charts'!A:AB,14,FALSE)+VLOOKUP(A33,'Used GB Charts'!A:AB,15,FALSE)+VLOOKUP(A33,'Used GB Charts'!A:AB,16,FALSE)++VLOOKUP(A33,'Used GB Charts'!A:AB,17,FALSE)</f>
        <v>326.90166015625005</v>
      </c>
      <c r="H33" s="704">
        <f ca="1">VLOOKUP(A33,'Used GB Charts'!A:AB,19,FALSE)+VLOOKUP(A33,'Used GB Charts'!A:AB,20,FALSE)</f>
        <v>17.780859374999999</v>
      </c>
      <c r="I33" s="704">
        <f t="shared" ca="1" si="0"/>
        <v>1263.7117187500003</v>
      </c>
      <c r="J33" s="704">
        <f t="shared" ca="1" si="15"/>
        <v>11.371289062500182</v>
      </c>
    </row>
    <row r="34" spans="1:10" x14ac:dyDescent="0.25">
      <c r="A34" s="703">
        <v>41534</v>
      </c>
      <c r="B34" s="704">
        <f ca="1">VLOOKUP(A34,'Used GB Charts'!A:AB,2,FALSE)</f>
        <v>46.769921875000001</v>
      </c>
      <c r="C34" s="704">
        <f ca="1">VLOOKUP(A34,'Used GB Charts'!A:AB,3,FALSE)</f>
        <v>78.435156250000006</v>
      </c>
      <c r="D34" s="704">
        <f ca="1">VLOOKUP(A34,'Used GB Charts'!A:AB,4,FALSE)+VLOOKUP(A34,'Used GB Charts'!A:AB,6,FALSE)+VLOOKUP(A34,'Used GB Charts'!A:AB,8,FALSE)+VLOOKUP(A34,'Used GB Charts'!A:AB,9,FALSE)+VLOOKUP(A34,'Used GB Charts'!A:AB,10,FALSE)+VLOOKUP(A34,'Used GB Charts'!A:AB,22,FALSE)</f>
        <v>345.16289062500005</v>
      </c>
      <c r="E34" s="704">
        <f ca="1">VLOOKUP(A34,'Used GB Charts'!A:AB,5,FALSE)+VLOOKUP(A34,'Used GB Charts'!A:AB,7,FALSE)+VLOOKUP(A34,'Used GB Charts'!A:AB,11,FALSE)</f>
        <v>204.51972656249998</v>
      </c>
      <c r="F34" s="704">
        <f ca="1">VLOOKUP(A34,'Used GB Charts'!A:AB,12,FALSE)+VLOOKUP(A34,'Used GB Charts'!A:AB,13,FALSE)+VLOOKUP(A34,'Used GB Charts'!A:AB,18,FALSE)</f>
        <v>236.05947265624999</v>
      </c>
      <c r="G34" s="704">
        <f ca="1">VLOOKUP(A34,'Used GB Charts'!A:AB,14,FALSE)+VLOOKUP(A34,'Used GB Charts'!A:AB,15,FALSE)+VLOOKUP(A34,'Used GB Charts'!A:AB,16,FALSE)++VLOOKUP(A34,'Used GB Charts'!A:AB,17,FALSE)</f>
        <v>323.77041015625002</v>
      </c>
      <c r="H34" s="704">
        <f ca="1">VLOOKUP(A34,'Used GB Charts'!A:AB,19,FALSE)+VLOOKUP(A34,'Used GB Charts'!A:AB,20,FALSE)</f>
        <v>17.622851562500003</v>
      </c>
      <c r="I34" s="704">
        <f t="shared" ca="1" si="0"/>
        <v>1252.3404296875001</v>
      </c>
      <c r="J34" s="704">
        <f t="shared" ca="1" si="15"/>
        <v>29.82958984375</v>
      </c>
    </row>
    <row r="35" spans="1:10" x14ac:dyDescent="0.25">
      <c r="A35" s="703">
        <v>41519</v>
      </c>
      <c r="B35" s="704">
        <f ca="1">VLOOKUP(A35,'Used GB Charts'!A:AB,2,FALSE)</f>
        <v>45.914257812499997</v>
      </c>
      <c r="C35" s="704">
        <f ca="1">VLOOKUP(A35,'Used GB Charts'!A:AB,3,FALSE)</f>
        <v>77.705273437499997</v>
      </c>
      <c r="D35" s="704">
        <f ca="1">VLOOKUP(A35,'Used GB Charts'!A:AB,4,FALSE)+VLOOKUP(A35,'Used GB Charts'!A:AB,6,FALSE)+VLOOKUP(A35,'Used GB Charts'!A:AB,8,FALSE)+VLOOKUP(A35,'Used GB Charts'!A:AB,9,FALSE)+VLOOKUP(A35,'Used GB Charts'!A:AB,10,FALSE)+VLOOKUP(A35,'Used GB Charts'!A:AB,22,FALSE)</f>
        <v>329.58212890624998</v>
      </c>
      <c r="E35" s="704">
        <f ca="1">VLOOKUP(A35,'Used GB Charts'!A:AB,5,FALSE)+VLOOKUP(A35,'Used GB Charts'!A:AB,7,FALSE)+VLOOKUP(A35,'Used GB Charts'!A:AB,11,FALSE)</f>
        <v>203.99912109375003</v>
      </c>
      <c r="F35" s="704">
        <f ca="1">VLOOKUP(A35,'Used GB Charts'!A:AB,12,FALSE)+VLOOKUP(A35,'Used GB Charts'!A:AB,13,FALSE)+VLOOKUP(A35,'Used GB Charts'!A:AB,18,FALSE)</f>
        <v>242.294921875</v>
      </c>
      <c r="G35" s="704">
        <f ca="1">VLOOKUP(A35,'Used GB Charts'!A:AB,14,FALSE)+VLOOKUP(A35,'Used GB Charts'!A:AB,15,FALSE)+VLOOKUP(A35,'Used GB Charts'!A:AB,16,FALSE)++VLOOKUP(A35,'Used GB Charts'!A:AB,17,FALSE)</f>
        <v>305.53642578124999</v>
      </c>
      <c r="H35" s="704">
        <f ca="1">VLOOKUP(A35,'Used GB Charts'!A:AB,19,FALSE)+VLOOKUP(A35,'Used GB Charts'!A:AB,20,FALSE)</f>
        <v>17.478710937500001</v>
      </c>
      <c r="I35" s="704">
        <f t="shared" ca="1" si="0"/>
        <v>1222.5108398437501</v>
      </c>
      <c r="J35" s="704">
        <f t="shared" ca="1" si="15"/>
        <v>8.3845703125002728</v>
      </c>
    </row>
    <row r="36" spans="1:10" x14ac:dyDescent="0.25">
      <c r="A36" s="703">
        <v>41513</v>
      </c>
      <c r="B36" s="704">
        <f ca="1">VLOOKUP(A36,'Used GB Charts'!A:AB,2,FALSE)</f>
        <v>45.476269531249997</v>
      </c>
      <c r="C36" s="704">
        <f ca="1">VLOOKUP(A36,'Used GB Charts'!A:AB,3,FALSE)</f>
        <v>77.598730468750006</v>
      </c>
      <c r="D36" s="704">
        <f ca="1">VLOOKUP(A36,'Used GB Charts'!A:AB,4,FALSE)+VLOOKUP(A36,'Used GB Charts'!A:AB,6,FALSE)+VLOOKUP(A36,'Used GB Charts'!A:AB,8,FALSE)+VLOOKUP(A36,'Used GB Charts'!A:AB,9,FALSE)+VLOOKUP(A36,'Used GB Charts'!A:AB,10,FALSE)+VLOOKUP(A36,'Used GB Charts'!A:AB,22,FALSE)</f>
        <v>328.32499999999999</v>
      </c>
      <c r="E36" s="704">
        <f ca="1">VLOOKUP(A36,'Used GB Charts'!A:AB,5,FALSE)+VLOOKUP(A36,'Used GB Charts'!A:AB,7,FALSE)+VLOOKUP(A36,'Used GB Charts'!A:AB,11,FALSE)</f>
        <v>202.33027343750001</v>
      </c>
      <c r="F36" s="704">
        <f ca="1">VLOOKUP(A36,'Used GB Charts'!A:AB,12,FALSE)+VLOOKUP(A36,'Used GB Charts'!A:AB,13,FALSE)+VLOOKUP(A36,'Used GB Charts'!A:AB,18,FALSE)</f>
        <v>239.40371093749999</v>
      </c>
      <c r="G36" s="704">
        <f ca="1">VLOOKUP(A36,'Used GB Charts'!A:AB,14,FALSE)+VLOOKUP(A36,'Used GB Charts'!A:AB,15,FALSE)+VLOOKUP(A36,'Used GB Charts'!A:AB,16,FALSE)++VLOOKUP(A36,'Used GB Charts'!A:AB,17,FALSE)</f>
        <v>303.56367187499995</v>
      </c>
      <c r="H36" s="704">
        <f ca="1">VLOOKUP(A36,'Used GB Charts'!A:AB,19,FALSE)+VLOOKUP(A36,'Used GB Charts'!A:AB,20,FALSE)</f>
        <v>17.428613281250001</v>
      </c>
      <c r="I36" s="704">
        <f t="shared" ca="1" si="0"/>
        <v>1214.1262695312498</v>
      </c>
      <c r="J36" s="704">
        <f t="shared" ca="1" si="15"/>
        <v>28.682031249999909</v>
      </c>
    </row>
    <row r="37" spans="1:10" x14ac:dyDescent="0.25">
      <c r="A37" s="703">
        <v>41498</v>
      </c>
      <c r="B37" s="704">
        <f ca="1">VLOOKUP(A37,'Used GB Charts'!A:AB,2,FALSE)</f>
        <v>44.67431640625</v>
      </c>
      <c r="C37" s="704">
        <f ca="1">VLOOKUP(A37,'Used GB Charts'!A:AB,3,FALSE)</f>
        <v>77.346972656250003</v>
      </c>
      <c r="D37" s="704">
        <f ca="1">VLOOKUP(A37,'Used GB Charts'!A:AB,4,FALSE)+VLOOKUP(A37,'Used GB Charts'!A:AB,6,FALSE)+VLOOKUP(A37,'Used GB Charts'!A:AB,8,FALSE)+VLOOKUP(A37,'Used GB Charts'!A:AB,9,FALSE)+VLOOKUP(A37,'Used GB Charts'!A:AB,10,FALSE)+VLOOKUP(A37,'Used GB Charts'!A:AB,22,FALSE)</f>
        <v>317.123046875</v>
      </c>
      <c r="E37" s="704">
        <f ca="1">VLOOKUP(A37,'Used GB Charts'!A:AB,5,FALSE)+VLOOKUP(A37,'Used GB Charts'!A:AB,7,FALSE)+VLOOKUP(A37,'Used GB Charts'!A:AB,11,FALSE)</f>
        <v>198.84541015625001</v>
      </c>
      <c r="F37" s="704">
        <f ca="1">VLOOKUP(A37,'Used GB Charts'!A:AB,12,FALSE)+VLOOKUP(A37,'Used GB Charts'!A:AB,13,FALSE)+VLOOKUP(A37,'Used GB Charts'!A:AB,18,FALSE)</f>
        <v>246.39130859374998</v>
      </c>
      <c r="G37" s="704">
        <f ca="1">VLOOKUP(A37,'Used GB Charts'!A:AB,14,FALSE)+VLOOKUP(A37,'Used GB Charts'!A:AB,15,FALSE)+VLOOKUP(A37,'Used GB Charts'!A:AB,16,FALSE)++VLOOKUP(A37,'Used GB Charts'!A:AB,17,FALSE)</f>
        <v>283.81806640624995</v>
      </c>
      <c r="H37" s="704">
        <f ca="1">VLOOKUP(A37,'Used GB Charts'!A:AB,19,FALSE)+VLOOKUP(A37,'Used GB Charts'!A:AB,20,FALSE)</f>
        <v>17.2451171875</v>
      </c>
      <c r="I37" s="704">
        <f t="shared" ca="1" si="0"/>
        <v>1185.4442382812499</v>
      </c>
      <c r="J37" s="704">
        <f t="shared" ca="1" si="15"/>
        <v>0.3538085937498181</v>
      </c>
    </row>
    <row r="38" spans="1:10" x14ac:dyDescent="0.25">
      <c r="A38" s="703">
        <v>41491</v>
      </c>
      <c r="B38" s="704">
        <f ca="1">VLOOKUP(A38,'Used GB Charts'!A:AB,2,FALSE)</f>
        <v>44.549023437499997</v>
      </c>
      <c r="C38" s="704">
        <f ca="1">VLOOKUP(A38,'Used GB Charts'!A:AB,3,FALSE)</f>
        <v>77.274707031250003</v>
      </c>
      <c r="D38" s="704">
        <f ca="1">VLOOKUP(A38,'Used GB Charts'!A:AB,4,FALSE)+VLOOKUP(A38,'Used GB Charts'!A:AB,6,FALSE)+VLOOKUP(A38,'Used GB Charts'!A:AB,8,FALSE)+VLOOKUP(A38,'Used GB Charts'!A:AB,9,FALSE)+VLOOKUP(A38,'Used GB Charts'!A:AB,10,FALSE)+VLOOKUP(A38,'Used GB Charts'!A:AB,22,FALSE)</f>
        <v>315.29316406249995</v>
      </c>
      <c r="E38" s="704">
        <f ca="1">VLOOKUP(A38,'Used GB Charts'!A:AB,5,FALSE)+VLOOKUP(A38,'Used GB Charts'!A:AB,7,FALSE)+VLOOKUP(A38,'Used GB Charts'!A:AB,11,FALSE)</f>
        <v>198.29765625000002</v>
      </c>
      <c r="F38" s="704">
        <f ca="1">VLOOKUP(A38,'Used GB Charts'!A:AB,12,FALSE)+VLOOKUP(A38,'Used GB Charts'!A:AB,13,FALSE)+VLOOKUP(A38,'Used GB Charts'!A:AB,18,FALSE)</f>
        <v>250.41982421874999</v>
      </c>
      <c r="G38" s="704">
        <f ca="1">VLOOKUP(A38,'Used GB Charts'!A:AB,14,FALSE)+VLOOKUP(A38,'Used GB Charts'!A:AB,15,FALSE)+VLOOKUP(A38,'Used GB Charts'!A:AB,16,FALSE)++VLOOKUP(A38,'Used GB Charts'!A:AB,17,FALSE)</f>
        <v>282.12519531250001</v>
      </c>
      <c r="H38" s="704">
        <f ca="1">VLOOKUP(A38,'Used GB Charts'!A:AB,19,FALSE)+VLOOKUP(A38,'Used GB Charts'!A:AB,20,FALSE)</f>
        <v>17.130859375</v>
      </c>
      <c r="I38" s="704">
        <f t="shared" ca="1" si="0"/>
        <v>1185.0904296875001</v>
      </c>
      <c r="J38" s="704">
        <f t="shared" ca="1" si="15"/>
        <v>8.9410156250000909</v>
      </c>
    </row>
    <row r="39" spans="1:10" x14ac:dyDescent="0.25">
      <c r="A39" s="703">
        <v>41485</v>
      </c>
      <c r="B39" s="704">
        <f ca="1">VLOOKUP(A39,'Used GB Charts'!A:AB,2,FALSE)</f>
        <v>44.630761718750001</v>
      </c>
      <c r="C39" s="704">
        <f ca="1">VLOOKUP(A39,'Used GB Charts'!A:AB,3,FALSE)</f>
        <v>77.111328125</v>
      </c>
      <c r="D39" s="704">
        <f ca="1">VLOOKUP(A39,'Used GB Charts'!A:AB,4,FALSE)+VLOOKUP(A39,'Used GB Charts'!A:AB,6,FALSE)+VLOOKUP(A39,'Used GB Charts'!A:AB,8,FALSE)+VLOOKUP(A39,'Used GB Charts'!A:AB,9,FALSE)+VLOOKUP(A39,'Used GB Charts'!A:AB,10,FALSE)+VLOOKUP(A39,'Used GB Charts'!A:AB,22,FALSE)</f>
        <v>311.8251953125</v>
      </c>
      <c r="E39" s="704">
        <f ca="1">VLOOKUP(A39,'Used GB Charts'!A:AB,5,FALSE)+VLOOKUP(A39,'Used GB Charts'!A:AB,7,FALSE)+VLOOKUP(A39,'Used GB Charts'!A:AB,11,FALSE)</f>
        <v>197.68203124999999</v>
      </c>
      <c r="F39" s="704">
        <f ca="1">VLOOKUP(A39,'Used GB Charts'!A:AB,12,FALSE)+VLOOKUP(A39,'Used GB Charts'!A:AB,13,FALSE)+VLOOKUP(A39,'Used GB Charts'!A:AB,18,FALSE)</f>
        <v>251.80771484375001</v>
      </c>
      <c r="G39" s="704">
        <f ca="1">VLOOKUP(A39,'Used GB Charts'!A:AB,14,FALSE)+VLOOKUP(A39,'Used GB Charts'!A:AB,15,FALSE)+VLOOKUP(A39,'Used GB Charts'!A:AB,16,FALSE)++VLOOKUP(A39,'Used GB Charts'!A:AB,17,FALSE)</f>
        <v>276.09511718750002</v>
      </c>
      <c r="H39" s="704">
        <f ca="1">VLOOKUP(A39,'Used GB Charts'!A:AB,19,FALSE)+VLOOKUP(A39,'Used GB Charts'!A:AB,20,FALSE)</f>
        <v>16.997265625000001</v>
      </c>
      <c r="I39" s="704">
        <f t="shared" ca="1" si="0"/>
        <v>1176.1494140625</v>
      </c>
      <c r="J39" s="704">
        <f t="shared" ca="1" si="15"/>
        <v>18.499218749999955</v>
      </c>
    </row>
    <row r="40" spans="1:10" x14ac:dyDescent="0.25">
      <c r="A40" s="703">
        <v>41478</v>
      </c>
      <c r="B40" s="704">
        <f ca="1">VLOOKUP(A40,'Used GB Charts'!A:AB,2,FALSE)</f>
        <v>44.386328124999999</v>
      </c>
      <c r="C40" s="704">
        <f ca="1">VLOOKUP(A40,'Used GB Charts'!A:AB,3,FALSE)</f>
        <v>77.057324218749997</v>
      </c>
      <c r="D40" s="704">
        <f ca="1">VLOOKUP(A40,'Used GB Charts'!A:AB,4,FALSE)+VLOOKUP(A40,'Used GB Charts'!A:AB,6,FALSE)+VLOOKUP(A40,'Used GB Charts'!A:AB,8,FALSE)+VLOOKUP(A40,'Used GB Charts'!A:AB,9,FALSE)+VLOOKUP(A40,'Used GB Charts'!A:AB,10,FALSE)+VLOOKUP(A40,'Used GB Charts'!A:AB,22,FALSE)</f>
        <v>308.77822265625002</v>
      </c>
      <c r="E40" s="704">
        <f ca="1">VLOOKUP(A40,'Used GB Charts'!A:AB,5,FALSE)+VLOOKUP(A40,'Used GB Charts'!A:AB,7,FALSE)+VLOOKUP(A40,'Used GB Charts'!A:AB,11,FALSE)</f>
        <v>200.05673828125001</v>
      </c>
      <c r="F40" s="704">
        <f ca="1">VLOOKUP(A40,'Used GB Charts'!A:AB,12,FALSE)+VLOOKUP(A40,'Used GB Charts'!A:AB,13,FALSE)+VLOOKUP(A40,'Used GB Charts'!A:AB,18,FALSE)</f>
        <v>239.23339843749997</v>
      </c>
      <c r="G40" s="704">
        <f ca="1">VLOOKUP(A40,'Used GB Charts'!A:AB,14,FALSE)+VLOOKUP(A40,'Used GB Charts'!A:AB,15,FALSE)+VLOOKUP(A40,'Used GB Charts'!A:AB,16,FALSE)++VLOOKUP(A40,'Used GB Charts'!A:AB,17,FALSE)</f>
        <v>271.30283203125003</v>
      </c>
      <c r="H40" s="704">
        <f ca="1">VLOOKUP(A40,'Used GB Charts'!A:AB,19,FALSE)+VLOOKUP(A40,'Used GB Charts'!A:AB,20,FALSE)</f>
        <v>16.835351562500001</v>
      </c>
      <c r="I40" s="704">
        <f t="shared" ca="1" si="0"/>
        <v>1157.6501953125</v>
      </c>
      <c r="J40" s="704">
        <f t="shared" ca="1" si="15"/>
        <v>-17.993261718749864</v>
      </c>
    </row>
    <row r="41" spans="1:10" x14ac:dyDescent="0.25">
      <c r="A41" s="703">
        <v>41470</v>
      </c>
      <c r="B41" s="704">
        <f ca="1">VLOOKUP(A41,'Used GB Charts'!A:AB,2,FALSE)</f>
        <v>43.751074218749999</v>
      </c>
      <c r="C41" s="704">
        <f ca="1">VLOOKUP(A41,'Used GB Charts'!A:AB,3,FALSE)</f>
        <v>76.949804687500006</v>
      </c>
      <c r="D41" s="704">
        <f ca="1">VLOOKUP(A41,'Used GB Charts'!A:AB,4,FALSE)+VLOOKUP(A41,'Used GB Charts'!A:AB,6,FALSE)+VLOOKUP(A41,'Used GB Charts'!A:AB,8,FALSE)+VLOOKUP(A41,'Used GB Charts'!A:AB,9,FALSE)+VLOOKUP(A41,'Used GB Charts'!A:AB,10,FALSE)+VLOOKUP(A41,'Used GB Charts'!A:AB,22,FALSE)</f>
        <v>356.33964843749999</v>
      </c>
      <c r="E41" s="704">
        <f ca="1">VLOOKUP(A41,'Used GB Charts'!A:AB,5,FALSE)+VLOOKUP(A41,'Used GB Charts'!A:AB,7,FALSE)+VLOOKUP(A41,'Used GB Charts'!A:AB,11,FALSE)</f>
        <v>199.64257812499997</v>
      </c>
      <c r="F41" s="704">
        <f ca="1">VLOOKUP(A41,'Used GB Charts'!A:AB,12,FALSE)+VLOOKUP(A41,'Used GB Charts'!A:AB,13,FALSE)+VLOOKUP(A41,'Used GB Charts'!A:AB,18,FALSE)</f>
        <v>226.62265625000001</v>
      </c>
      <c r="G41" s="704">
        <f ca="1">VLOOKUP(A41,'Used GB Charts'!A:AB,14,FALSE)+VLOOKUP(A41,'Used GB Charts'!A:AB,15,FALSE)+VLOOKUP(A41,'Used GB Charts'!A:AB,16,FALSE)++VLOOKUP(A41,'Used GB Charts'!A:AB,17,FALSE)</f>
        <v>255.73447265624998</v>
      </c>
      <c r="H41" s="704">
        <f ca="1">VLOOKUP(A41,'Used GB Charts'!A:AB,19,FALSE)+VLOOKUP(A41,'Used GB Charts'!A:AB,20,FALSE)</f>
        <v>16.603222656250001</v>
      </c>
      <c r="I41" s="704">
        <f t="shared" ca="1" si="0"/>
        <v>1175.6434570312499</v>
      </c>
      <c r="J41" s="704">
        <f t="shared" ca="1" si="15"/>
        <v>107.81230468750005</v>
      </c>
    </row>
    <row r="42" spans="1:10" x14ac:dyDescent="0.25">
      <c r="A42" s="703">
        <v>41464</v>
      </c>
      <c r="B42" s="704">
        <f ca="1">VLOOKUP(A42,'Used GB Charts'!A:AB,2,FALSE)</f>
        <v>42.384570312500003</v>
      </c>
      <c r="C42" s="704">
        <f ca="1">VLOOKUP(A42,'Used GB Charts'!A:AB,3,FALSE)</f>
        <v>76.84765625</v>
      </c>
      <c r="D42" s="704">
        <f ca="1">VLOOKUP(A42,'Used GB Charts'!A:AB,4,FALSE)+VLOOKUP(A42,'Used GB Charts'!A:AB,6,FALSE)+VLOOKUP(A42,'Used GB Charts'!A:AB,8,FALSE)+VLOOKUP(A42,'Used GB Charts'!A:AB,9,FALSE)+VLOOKUP(A42,'Used GB Charts'!A:AB,10,FALSE)+VLOOKUP(A42,'Used GB Charts'!A:AB,22,FALSE)</f>
        <v>284.48623046874997</v>
      </c>
      <c r="E42" s="704">
        <f ca="1">VLOOKUP(A42,'Used GB Charts'!A:AB,5,FALSE)+VLOOKUP(A42,'Used GB Charts'!A:AB,7,FALSE)+VLOOKUP(A42,'Used GB Charts'!A:AB,11,FALSE)</f>
        <v>197.73310546875001</v>
      </c>
      <c r="F42" s="704">
        <f ca="1">VLOOKUP(A42,'Used GB Charts'!A:AB,12,FALSE)+VLOOKUP(A42,'Used GB Charts'!A:AB,13,FALSE)+VLOOKUP(A42,'Used GB Charts'!A:AB,18,FALSE)</f>
        <v>212.08144531249999</v>
      </c>
      <c r="G42" s="704">
        <f ca="1">VLOOKUP(A42,'Used GB Charts'!A:AB,14,FALSE)+VLOOKUP(A42,'Used GB Charts'!A:AB,15,FALSE)+VLOOKUP(A42,'Used GB Charts'!A:AB,16,FALSE)++VLOOKUP(A42,'Used GB Charts'!A:AB,17,FALSE)</f>
        <v>240.83378906249999</v>
      </c>
      <c r="H42" s="704">
        <f ca="1">VLOOKUP(A42,'Used GB Charts'!A:AB,19,FALSE)+VLOOKUP(A42,'Used GB Charts'!A:AB,20,FALSE)</f>
        <v>13.46435546875</v>
      </c>
      <c r="I42" s="704">
        <f t="shared" ca="1" si="0"/>
        <v>1067.8311523437499</v>
      </c>
      <c r="J42" s="704">
        <f t="shared" ca="1" si="15"/>
        <v>-117.25927734375023</v>
      </c>
    </row>
    <row r="43" spans="1:10" x14ac:dyDescent="0.25">
      <c r="A43" s="703">
        <v>41491</v>
      </c>
      <c r="B43" s="704">
        <f ca="1">VLOOKUP(A43,'Used GB Charts'!A:AB,2,FALSE)</f>
        <v>44.549023437499997</v>
      </c>
      <c r="C43" s="704">
        <f ca="1">VLOOKUP(A43,'Used GB Charts'!A:AB,3,FALSE)</f>
        <v>77.274707031250003</v>
      </c>
      <c r="D43" s="704">
        <f ca="1">VLOOKUP(A43,'Used GB Charts'!A:AB,4,FALSE)+VLOOKUP(A43,'Used GB Charts'!A:AB,6,FALSE)+VLOOKUP(A43,'Used GB Charts'!A:AB,8,FALSE)+VLOOKUP(A43,'Used GB Charts'!A:AB,9,FALSE)+VLOOKUP(A43,'Used GB Charts'!A:AB,10,FALSE)+VLOOKUP(A43,'Used GB Charts'!A:AB,22,FALSE)</f>
        <v>315.29316406249995</v>
      </c>
      <c r="E43" s="704">
        <f ca="1">VLOOKUP(A43,'Used GB Charts'!A:AB,5,FALSE)+VLOOKUP(A43,'Used GB Charts'!A:AB,7,FALSE)+VLOOKUP(A43,'Used GB Charts'!A:AB,11,FALSE)</f>
        <v>198.29765625000002</v>
      </c>
      <c r="F43" s="704">
        <f ca="1">VLOOKUP(A43,'Used GB Charts'!A:AB,12,FALSE)+VLOOKUP(A43,'Used GB Charts'!A:AB,13,FALSE)+VLOOKUP(A43,'Used GB Charts'!A:AB,18,FALSE)</f>
        <v>250.41982421874999</v>
      </c>
      <c r="G43" s="704">
        <f ca="1">VLOOKUP(A43,'Used GB Charts'!A:AB,14,FALSE)+VLOOKUP(A43,'Used GB Charts'!A:AB,15,FALSE)+VLOOKUP(A43,'Used GB Charts'!A:AB,16,FALSE)++VLOOKUP(A43,'Used GB Charts'!A:AB,17,FALSE)</f>
        <v>282.12519531250001</v>
      </c>
      <c r="H43" s="704">
        <f ca="1">VLOOKUP(A43,'Used GB Charts'!A:AB,19,FALSE)+VLOOKUP(A43,'Used GB Charts'!A:AB,20,FALSE)</f>
        <v>17.130859375</v>
      </c>
      <c r="I43" s="704">
        <f t="shared" ca="1" si="0"/>
        <v>1185.0904296875001</v>
      </c>
      <c r="J43" s="704">
        <f t="shared" ca="1" si="15"/>
        <v>8.9410156250000909</v>
      </c>
    </row>
    <row r="44" spans="1:10" x14ac:dyDescent="0.25">
      <c r="A44" s="703">
        <v>41485</v>
      </c>
      <c r="B44" s="704">
        <f ca="1">VLOOKUP(A44,'Used GB Charts'!A:AB,2,FALSE)</f>
        <v>44.630761718750001</v>
      </c>
      <c r="C44" s="704">
        <f ca="1">VLOOKUP(A44,'Used GB Charts'!A:AB,3,FALSE)</f>
        <v>77.111328125</v>
      </c>
      <c r="D44" s="704">
        <f ca="1">VLOOKUP(A44,'Used GB Charts'!A:AB,4,FALSE)+VLOOKUP(A44,'Used GB Charts'!A:AB,6,FALSE)+VLOOKUP(A44,'Used GB Charts'!A:AB,8,FALSE)+VLOOKUP(A44,'Used GB Charts'!A:AB,9,FALSE)+VLOOKUP(A44,'Used GB Charts'!A:AB,10,FALSE)+VLOOKUP(A44,'Used GB Charts'!A:AB,22,FALSE)</f>
        <v>311.8251953125</v>
      </c>
      <c r="E44" s="704">
        <f ca="1">VLOOKUP(A44,'Used GB Charts'!A:AB,5,FALSE)+VLOOKUP(A44,'Used GB Charts'!A:AB,7,FALSE)+VLOOKUP(A44,'Used GB Charts'!A:AB,11,FALSE)</f>
        <v>197.68203124999999</v>
      </c>
      <c r="F44" s="704">
        <f ca="1">VLOOKUP(A44,'Used GB Charts'!A:AB,12,FALSE)+VLOOKUP(A44,'Used GB Charts'!A:AB,13,FALSE)+VLOOKUP(A44,'Used GB Charts'!A:AB,18,FALSE)</f>
        <v>251.80771484375001</v>
      </c>
      <c r="G44" s="704">
        <f ca="1">VLOOKUP(A44,'Used GB Charts'!A:AB,14,FALSE)+VLOOKUP(A44,'Used GB Charts'!A:AB,15,FALSE)+VLOOKUP(A44,'Used GB Charts'!A:AB,16,FALSE)++VLOOKUP(A44,'Used GB Charts'!A:AB,17,FALSE)</f>
        <v>276.09511718750002</v>
      </c>
      <c r="H44" s="704">
        <f ca="1">VLOOKUP(A44,'Used GB Charts'!A:AB,19,FALSE)+VLOOKUP(A44,'Used GB Charts'!A:AB,20,FALSE)</f>
        <v>16.997265625000001</v>
      </c>
      <c r="I44" s="704">
        <f t="shared" ca="1" si="0"/>
        <v>1176.1494140625</v>
      </c>
      <c r="J44" s="704">
        <f t="shared" ca="1" si="15"/>
        <v>18.499218749999955</v>
      </c>
    </row>
    <row r="45" spans="1:10" x14ac:dyDescent="0.25">
      <c r="A45" s="703">
        <v>41478</v>
      </c>
      <c r="B45" s="704">
        <f ca="1">VLOOKUP(A45,'Used GB Charts'!A:AB,2,FALSE)</f>
        <v>44.386328124999999</v>
      </c>
      <c r="C45" s="704">
        <f ca="1">VLOOKUP(A45,'Used GB Charts'!A:AB,3,FALSE)</f>
        <v>77.057324218749997</v>
      </c>
      <c r="D45" s="704">
        <f ca="1">VLOOKUP(A45,'Used GB Charts'!A:AB,4,FALSE)+VLOOKUP(A45,'Used GB Charts'!A:AB,6,FALSE)+VLOOKUP(A45,'Used GB Charts'!A:AB,8,FALSE)+VLOOKUP(A45,'Used GB Charts'!A:AB,9,FALSE)+VLOOKUP(A45,'Used GB Charts'!A:AB,10,FALSE)+VLOOKUP(A45,'Used GB Charts'!A:AB,22,FALSE)</f>
        <v>308.77822265625002</v>
      </c>
      <c r="E45" s="704">
        <f ca="1">VLOOKUP(A45,'Used GB Charts'!A:AB,5,FALSE)+VLOOKUP(A45,'Used GB Charts'!A:AB,7,FALSE)+VLOOKUP(A45,'Used GB Charts'!A:AB,11,FALSE)</f>
        <v>200.05673828125001</v>
      </c>
      <c r="F45" s="704">
        <f ca="1">VLOOKUP(A45,'Used GB Charts'!A:AB,12,FALSE)+VLOOKUP(A45,'Used GB Charts'!A:AB,13,FALSE)+VLOOKUP(A45,'Used GB Charts'!A:AB,18,FALSE)</f>
        <v>239.23339843749997</v>
      </c>
      <c r="G45" s="704">
        <f ca="1">VLOOKUP(A45,'Used GB Charts'!A:AB,14,FALSE)+VLOOKUP(A45,'Used GB Charts'!A:AB,15,FALSE)+VLOOKUP(A45,'Used GB Charts'!A:AB,16,FALSE)++VLOOKUP(A45,'Used GB Charts'!A:AB,17,FALSE)</f>
        <v>271.30283203125003</v>
      </c>
      <c r="H45" s="704">
        <f ca="1">VLOOKUP(A45,'Used GB Charts'!A:AB,19,FALSE)+VLOOKUP(A45,'Used GB Charts'!A:AB,20,FALSE)</f>
        <v>16.835351562500001</v>
      </c>
      <c r="I45" s="704">
        <f t="shared" ca="1" si="0"/>
        <v>1157.6501953125</v>
      </c>
      <c r="J45" s="704">
        <f t="shared" ca="1" si="15"/>
        <v>-17.993261718749864</v>
      </c>
    </row>
    <row r="46" spans="1:10" x14ac:dyDescent="0.25">
      <c r="A46" s="703">
        <v>41470</v>
      </c>
      <c r="B46" s="704">
        <f ca="1">VLOOKUP(A46,'Used GB Charts'!A:AB,2,FALSE)</f>
        <v>43.751074218749999</v>
      </c>
      <c r="C46" s="704">
        <f ca="1">VLOOKUP(A46,'Used GB Charts'!A:AB,3,FALSE)</f>
        <v>76.949804687500006</v>
      </c>
      <c r="D46" s="704">
        <f ca="1">VLOOKUP(A46,'Used GB Charts'!A:AB,4,FALSE)+VLOOKUP(A46,'Used GB Charts'!A:AB,6,FALSE)+VLOOKUP(A46,'Used GB Charts'!A:AB,8,FALSE)+VLOOKUP(A46,'Used GB Charts'!A:AB,9,FALSE)+VLOOKUP(A46,'Used GB Charts'!A:AB,10,FALSE)+VLOOKUP(A46,'Used GB Charts'!A:AB,22,FALSE)</f>
        <v>356.33964843749999</v>
      </c>
      <c r="E46" s="704">
        <f ca="1">VLOOKUP(A46,'Used GB Charts'!A:AB,5,FALSE)+VLOOKUP(A46,'Used GB Charts'!A:AB,7,FALSE)+VLOOKUP(A46,'Used GB Charts'!A:AB,11,FALSE)</f>
        <v>199.64257812499997</v>
      </c>
      <c r="F46" s="704">
        <f ca="1">VLOOKUP(A46,'Used GB Charts'!A:AB,12,FALSE)+VLOOKUP(A46,'Used GB Charts'!A:AB,13,FALSE)+VLOOKUP(A46,'Used GB Charts'!A:AB,18,FALSE)</f>
        <v>226.62265625000001</v>
      </c>
      <c r="G46" s="704">
        <f ca="1">VLOOKUP(A46,'Used GB Charts'!A:AB,14,FALSE)+VLOOKUP(A46,'Used GB Charts'!A:AB,15,FALSE)+VLOOKUP(A46,'Used GB Charts'!A:AB,16,FALSE)++VLOOKUP(A46,'Used GB Charts'!A:AB,17,FALSE)</f>
        <v>255.73447265624998</v>
      </c>
      <c r="H46" s="704">
        <f ca="1">VLOOKUP(A46,'Used GB Charts'!A:AB,19,FALSE)+VLOOKUP(A46,'Used GB Charts'!A:AB,20,FALSE)</f>
        <v>16.603222656250001</v>
      </c>
      <c r="I46" s="704">
        <f t="shared" ca="1" si="0"/>
        <v>1175.6434570312499</v>
      </c>
      <c r="J46" s="704">
        <f t="shared" ca="1" si="15"/>
        <v>107.81230468750005</v>
      </c>
    </row>
    <row r="47" spans="1:10" x14ac:dyDescent="0.25">
      <c r="A47" s="703">
        <v>41464</v>
      </c>
      <c r="B47" s="704">
        <f ca="1">VLOOKUP(A47,'Used GB Charts'!A:AB,2,FALSE)</f>
        <v>42.384570312500003</v>
      </c>
      <c r="C47" s="704">
        <f ca="1">VLOOKUP(A47,'Used GB Charts'!A:AB,3,FALSE)</f>
        <v>76.84765625</v>
      </c>
      <c r="D47" s="704">
        <f ca="1">VLOOKUP(A47,'Used GB Charts'!A:AB,4,FALSE)+VLOOKUP(A47,'Used GB Charts'!A:AB,6,FALSE)+VLOOKUP(A47,'Used GB Charts'!A:AB,8,FALSE)+VLOOKUP(A47,'Used GB Charts'!A:AB,9,FALSE)+VLOOKUP(A47,'Used GB Charts'!A:AB,10,FALSE)+VLOOKUP(A47,'Used GB Charts'!A:AB,22,FALSE)</f>
        <v>284.48623046874997</v>
      </c>
      <c r="E47" s="704">
        <f ca="1">VLOOKUP(A47,'Used GB Charts'!A:AB,5,FALSE)+VLOOKUP(A47,'Used GB Charts'!A:AB,7,FALSE)+VLOOKUP(A47,'Used GB Charts'!A:AB,11,FALSE)</f>
        <v>197.73310546875001</v>
      </c>
      <c r="F47" s="704">
        <f ca="1">VLOOKUP(A47,'Used GB Charts'!A:AB,12,FALSE)+VLOOKUP(A47,'Used GB Charts'!A:AB,13,FALSE)+VLOOKUP(A47,'Used GB Charts'!A:AB,18,FALSE)</f>
        <v>212.08144531249999</v>
      </c>
      <c r="G47" s="704">
        <f ca="1">VLOOKUP(A47,'Used GB Charts'!A:AB,14,FALSE)+VLOOKUP(A47,'Used GB Charts'!A:AB,15,FALSE)+VLOOKUP(A47,'Used GB Charts'!A:AB,16,FALSE)++VLOOKUP(A47,'Used GB Charts'!A:AB,17,FALSE)</f>
        <v>240.83378906249999</v>
      </c>
      <c r="H47" s="704">
        <f ca="1">VLOOKUP(A47,'Used GB Charts'!A:AB,19,FALSE)+VLOOKUP(A47,'Used GB Charts'!A:AB,20,FALSE)</f>
        <v>13.46435546875</v>
      </c>
      <c r="I47" s="704">
        <f t="shared" ca="1" si="0"/>
        <v>1067.8311523437499</v>
      </c>
      <c r="J47" s="704">
        <f t="shared" ca="1" si="15"/>
        <v>0</v>
      </c>
    </row>
    <row r="48" spans="1:10" x14ac:dyDescent="0.25">
      <c r="A48" s="703">
        <v>41449</v>
      </c>
      <c r="B48" s="704">
        <f ca="1">VLOOKUP(A48,'Used GB Charts'!A:AB,2,FALSE)</f>
        <v>42.384570312500003</v>
      </c>
      <c r="C48" s="704">
        <f ca="1">VLOOKUP(A48,'Used GB Charts'!A:AB,3,FALSE)</f>
        <v>76.84765625</v>
      </c>
      <c r="D48" s="704">
        <f ca="1">VLOOKUP(A48,'Used GB Charts'!A:AB,4,FALSE)+VLOOKUP(A48,'Used GB Charts'!A:AB,6,FALSE)+VLOOKUP(A48,'Used GB Charts'!A:AB,8,FALSE)+VLOOKUP(A48,'Used GB Charts'!A:AB,9,FALSE)+VLOOKUP(A48,'Used GB Charts'!A:AB,10,FALSE)+VLOOKUP(A48,'Used GB Charts'!A:AB,22,FALSE)</f>
        <v>284.48623046874997</v>
      </c>
      <c r="E48" s="704">
        <f ca="1">VLOOKUP(A48,'Used GB Charts'!A:AB,5,FALSE)+VLOOKUP(A48,'Used GB Charts'!A:AB,7,FALSE)+VLOOKUP(A48,'Used GB Charts'!A:AB,11,FALSE)</f>
        <v>197.73310546875001</v>
      </c>
      <c r="F48" s="704">
        <f ca="1">VLOOKUP(A48,'Used GB Charts'!A:AB,12,FALSE)+VLOOKUP(A48,'Used GB Charts'!A:AB,13,FALSE)+VLOOKUP(A48,'Used GB Charts'!A:AB,18,FALSE)</f>
        <v>212.08144531249999</v>
      </c>
      <c r="G48" s="704">
        <f ca="1">VLOOKUP(A48,'Used GB Charts'!A:AB,14,FALSE)+VLOOKUP(A48,'Used GB Charts'!A:AB,15,FALSE)+VLOOKUP(A48,'Used GB Charts'!A:AB,16,FALSE)++VLOOKUP(A48,'Used GB Charts'!A:AB,17,FALSE)</f>
        <v>240.83378906249999</v>
      </c>
      <c r="H48" s="704">
        <f ca="1">VLOOKUP(A48,'Used GB Charts'!A:AB,19,FALSE)+VLOOKUP(A48,'Used GB Charts'!A:AB,20,FALSE)</f>
        <v>13.46435546875</v>
      </c>
      <c r="I48" s="704">
        <f t="shared" ca="1" si="0"/>
        <v>1067.8311523437499</v>
      </c>
      <c r="J48" s="704">
        <f t="shared" ca="1" si="15"/>
        <v>22.212207031250045</v>
      </c>
    </row>
    <row r="49" spans="1:10" x14ac:dyDescent="0.25">
      <c r="A49" s="703">
        <v>41445</v>
      </c>
      <c r="B49" s="704">
        <f ca="1">VLOOKUP(A49,'Used GB Charts'!A:AB,2,FALSE)</f>
        <v>42.542871093750001</v>
      </c>
      <c r="C49" s="704">
        <f ca="1">VLOOKUP(A49,'Used GB Charts'!A:AB,3,FALSE)</f>
        <v>76.749218749999997</v>
      </c>
      <c r="D49" s="704">
        <f ca="1">VLOOKUP(A49,'Used GB Charts'!A:AB,4,FALSE)+VLOOKUP(A49,'Used GB Charts'!A:AB,6,FALSE)+VLOOKUP(A49,'Used GB Charts'!A:AB,8,FALSE)+VLOOKUP(A49,'Used GB Charts'!A:AB,9,FALSE)+VLOOKUP(A49,'Used GB Charts'!A:AB,10,FALSE)+VLOOKUP(A49,'Used GB Charts'!A:AB,22,FALSE)</f>
        <v>276.17060546875001</v>
      </c>
      <c r="E49" s="704">
        <f ca="1">VLOOKUP(A49,'Used GB Charts'!A:AB,5,FALSE)+VLOOKUP(A49,'Used GB Charts'!A:AB,7,FALSE)+VLOOKUP(A49,'Used GB Charts'!A:AB,11,FALSE)</f>
        <v>196.24335937500001</v>
      </c>
      <c r="F49" s="704">
        <f ca="1">VLOOKUP(A49,'Used GB Charts'!A:AB,12,FALSE)+VLOOKUP(A49,'Used GB Charts'!A:AB,13,FALSE)+VLOOKUP(A49,'Used GB Charts'!A:AB,18,FALSE)</f>
        <v>212.9326171875</v>
      </c>
      <c r="G49" s="704">
        <f ca="1">VLOOKUP(A49,'Used GB Charts'!A:AB,14,FALSE)+VLOOKUP(A49,'Used GB Charts'!A:AB,15,FALSE)+VLOOKUP(A49,'Used GB Charts'!A:AB,16,FALSE)++VLOOKUP(A49,'Used GB Charts'!A:AB,17,FALSE)</f>
        <v>227.59658203124999</v>
      </c>
      <c r="H49" s="704">
        <f ca="1">VLOOKUP(A49,'Used GB Charts'!A:AB,19,FALSE)+VLOOKUP(A49,'Used GB Charts'!A:AB,20,FALSE)</f>
        <v>13.383691406250001</v>
      </c>
      <c r="I49" s="704">
        <f t="shared" ca="1" si="0"/>
        <v>1045.6189453124998</v>
      </c>
      <c r="J49" s="704">
        <f t="shared" ca="1" si="15"/>
        <v>1.6484375</v>
      </c>
    </row>
    <row r="50" spans="1:10" x14ac:dyDescent="0.25">
      <c r="A50" s="703">
        <v>41443</v>
      </c>
      <c r="B50" s="704">
        <f ca="1">VLOOKUP(A50,'Used GB Charts'!A:AB,2,FALSE)</f>
        <v>40.8876953125</v>
      </c>
      <c r="C50" s="704">
        <f ca="1">VLOOKUP(A50,'Used GB Charts'!A:AB,3,FALSE)</f>
        <v>76.744531249999994</v>
      </c>
      <c r="D50" s="704">
        <f ca="1">VLOOKUP(A50,'Used GB Charts'!A:AB,4,FALSE)+VLOOKUP(A50,'Used GB Charts'!A:AB,6,FALSE)+VLOOKUP(A50,'Used GB Charts'!A:AB,8,FALSE)+VLOOKUP(A50,'Used GB Charts'!A:AB,9,FALSE)+VLOOKUP(A50,'Used GB Charts'!A:AB,10,FALSE)+VLOOKUP(A50,'Used GB Charts'!A:AB,22,FALSE)</f>
        <v>275.72158203124997</v>
      </c>
      <c r="E50" s="704">
        <f ca="1">VLOOKUP(A50,'Used GB Charts'!A:AB,5,FALSE)+VLOOKUP(A50,'Used GB Charts'!A:AB,7,FALSE)+VLOOKUP(A50,'Used GB Charts'!A:AB,11,FALSE)</f>
        <v>196.01552734375002</v>
      </c>
      <c r="F50" s="704">
        <f ca="1">VLOOKUP(A50,'Used GB Charts'!A:AB,12,FALSE)+VLOOKUP(A50,'Used GB Charts'!A:AB,13,FALSE)+VLOOKUP(A50,'Used GB Charts'!A:AB,18,FALSE)</f>
        <v>214.34443359375001</v>
      </c>
      <c r="G50" s="704">
        <f ca="1">VLOOKUP(A50,'Used GB Charts'!A:AB,14,FALSE)+VLOOKUP(A50,'Used GB Charts'!A:AB,15,FALSE)+VLOOKUP(A50,'Used GB Charts'!A:AB,16,FALSE)++VLOOKUP(A50,'Used GB Charts'!A:AB,17,FALSE)</f>
        <v>227.06298828125</v>
      </c>
      <c r="H50" s="704">
        <f ca="1">VLOOKUP(A50,'Used GB Charts'!A:AB,19,FALSE)+VLOOKUP(A50,'Used GB Charts'!A:AB,20,FALSE)</f>
        <v>13.193750000000001</v>
      </c>
      <c r="I50" s="704">
        <f t="shared" ca="1" si="0"/>
        <v>1043.9705078124998</v>
      </c>
      <c r="J50" s="705"/>
    </row>
    <row r="51" spans="1:10" x14ac:dyDescent="0.25">
      <c r="A51" s="703">
        <v>41437</v>
      </c>
      <c r="B51" s="704">
        <f ca="1">VLOOKUP(A51,'Used GB Charts'!A:AB,2,FALSE)</f>
        <v>40.69482421875</v>
      </c>
      <c r="C51" s="704">
        <f ca="1">VLOOKUP(A51,'Used GB Charts'!A:AB,3,FALSE)</f>
        <v>76.722363281249997</v>
      </c>
      <c r="D51" s="704">
        <f ca="1">VLOOKUP(A51,'Used GB Charts'!A:AB,4,FALSE)+VLOOKUP(A51,'Used GB Charts'!A:AB,6,FALSE)+VLOOKUP(A51,'Used GB Charts'!A:AB,8,FALSE)+VLOOKUP(A51,'Used GB Charts'!A:AB,9,FALSE)+VLOOKUP(A51,'Used GB Charts'!A:AB,10,FALSE)+VLOOKUP(A51,'Used GB Charts'!A:AB,22,FALSE)</f>
        <v>273.49833984374999</v>
      </c>
      <c r="E51" s="704">
        <f ca="1">VLOOKUP(A51,'Used GB Charts'!A:AB,5,FALSE)+VLOOKUP(A51,'Used GB Charts'!A:AB,7,FALSE)+VLOOKUP(A51,'Used GB Charts'!A:AB,11,FALSE)</f>
        <v>211.11230468750003</v>
      </c>
      <c r="F51" s="704">
        <f ca="1">VLOOKUP(A51,'Used GB Charts'!A:AB,12,FALSE)+VLOOKUP(A51,'Used GB Charts'!A:AB,13,FALSE)+VLOOKUP(A51,'Used GB Charts'!A:AB,18,FALSE)</f>
        <v>212.4443359375</v>
      </c>
      <c r="G51" s="704">
        <f ca="1">VLOOKUP(A51,'Used GB Charts'!A:AB,14,FALSE)+VLOOKUP(A51,'Used GB Charts'!A:AB,15,FALSE)+VLOOKUP(A51,'Used GB Charts'!A:AB,16,FALSE)++VLOOKUP(A51,'Used GB Charts'!A:AB,17,FALSE)</f>
        <v>224.57197265625001</v>
      </c>
      <c r="H51" s="704">
        <f ca="1">VLOOKUP(A51,'Used GB Charts'!A:AB,19,FALSE)+VLOOKUP(A51,'Used GB Charts'!A:AB,20,FALSE)</f>
        <v>12.579687499999999</v>
      </c>
      <c r="I51" s="704">
        <f t="shared" ca="1" si="0"/>
        <v>1051.623828125</v>
      </c>
      <c r="J51" s="705"/>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V51"/>
  <sheetViews>
    <sheetView workbookViewId="0">
      <selection activeCell="M36" sqref="M36"/>
    </sheetView>
  </sheetViews>
  <sheetFormatPr defaultColWidth="12.5703125" defaultRowHeight="15" x14ac:dyDescent="0.25"/>
  <cols>
    <col min="1" max="1" width="10" style="4" bestFit="1" customWidth="1"/>
    <col min="2" max="7" width="12.5703125" style="10"/>
    <col min="13" max="21" width="16.28515625" bestFit="1" customWidth="1"/>
    <col min="22" max="22" width="11.28515625" customWidth="1"/>
  </cols>
  <sheetData>
    <row r="1" spans="1:22" ht="29.25" x14ac:dyDescent="0.25">
      <c r="A1" s="707" t="s">
        <v>246</v>
      </c>
      <c r="B1" s="706" t="s">
        <v>277</v>
      </c>
      <c r="C1" s="706" t="s">
        <v>271</v>
      </c>
      <c r="D1" s="706" t="s">
        <v>272</v>
      </c>
      <c r="E1" s="706" t="s">
        <v>273</v>
      </c>
      <c r="F1" s="706" t="s">
        <v>274</v>
      </c>
      <c r="G1" s="706" t="s">
        <v>275</v>
      </c>
      <c r="H1" s="706" t="s">
        <v>276</v>
      </c>
      <c r="I1" s="708" t="s">
        <v>226</v>
      </c>
      <c r="J1" s="708" t="s">
        <v>231</v>
      </c>
    </row>
    <row r="2" spans="1:22" s="591" customFormat="1" x14ac:dyDescent="0.25">
      <c r="A2" s="703">
        <v>41822</v>
      </c>
      <c r="B2" s="704">
        <f ca="1">VLOOKUP(A2,'Allocated charts'!A:AB,2,FALSE)</f>
        <v>174.34718261718749</v>
      </c>
      <c r="C2" s="704">
        <f ca="1">VLOOKUP(A2,'Allocated charts'!A:AB,3,FALSE)</f>
        <v>99.076614257812494</v>
      </c>
      <c r="D2" s="704">
        <f ca="1">VLOOKUP(A2,'Allocated charts'!A:AB,4,FALSE)+VLOOKUP(A2,'Allocated charts'!A:AB,6,FALSE)+VLOOKUP(A2,'Allocated charts'!A:AB,8,FALSE)+VLOOKUP(A2,'Allocated charts'!A:AB,9,FALSE)+VLOOKUP(A2,'Allocated charts'!A:AB,10,FALSE)+VLOOKUP(A2,'Allocated charts'!A:AB,22,FALSE)+VLOOKUP(A2,'Allocated charts'!A:AB,23,FALSE)+VLOOKUP(A2,'Allocated charts'!A:AB,25,FALSE)</f>
        <v>818.16407812499983</v>
      </c>
      <c r="E2" s="704">
        <f ca="1">VLOOKUP(A2,'Allocated charts'!A:AB,5,FALSE)+VLOOKUP(A2,'Allocated charts'!A:AB,7,FALSE)+VLOOKUP(A2,'Allocated charts'!A:AB,11,FALSE)</f>
        <v>893.23708593749996</v>
      </c>
      <c r="F2" s="704">
        <f ca="1">VLOOKUP(A2,'Allocated charts'!A:AB,12,FALSE)+VLOOKUP(A2,'Allocated charts'!A:AB,13,FALSE)+VLOOKUP(A2,'Allocated charts'!A:AB,18,FALSE)+VLOOKUP(A2,'Allocated charts'!A:AB,27,FALSE)+VLOOKUP(A2,'Allocated charts'!A:AB,28,FALSE)</f>
        <v>966.69668261718743</v>
      </c>
      <c r="G2" s="704">
        <f ca="1">VLOOKUP(A2,'Allocated charts'!A:AB,14,FALSE)+VLOOKUP(A2,'Allocated charts'!A:AB,15,FALSE)+VLOOKUP(A2,'Allocated charts'!A:AB,16,FALSE)++VLOOKUP(A2,'Allocated charts'!A:AB,17,FALSE)+VLOOKUP(A2,'Allocated charts'!A:AB,21,FALSE)+VLOOKUP(A2,'Allocated charts'!A:AB,24,FALSE)+VLOOKUP(A2,'Allocated charts'!A:AB,26,FALSE)</f>
        <v>638.21934667968731</v>
      </c>
      <c r="H2" s="704">
        <f ca="1">VLOOKUP(A2,'Allocated charts'!A:AB,19,FALSE)+VLOOKUP(A2,'Allocated charts'!A:AB,20,FALSE)</f>
        <v>92.820530273437498</v>
      </c>
      <c r="I2" s="704">
        <f t="shared" ref="I2" ca="1" si="0">SUM(B2:H2)</f>
        <v>3682.561520507812</v>
      </c>
      <c r="J2" s="704">
        <f ca="1">I2-I16</f>
        <v>385.11135937499967</v>
      </c>
      <c r="M2"/>
      <c r="N2"/>
      <c r="O2"/>
      <c r="P2"/>
      <c r="Q2"/>
      <c r="R2"/>
      <c r="S2"/>
      <c r="T2"/>
      <c r="U2"/>
      <c r="V2"/>
    </row>
    <row r="3" spans="1:22" s="743" customFormat="1" x14ac:dyDescent="0.25">
      <c r="A3" s="703">
        <v>41815</v>
      </c>
      <c r="B3" s="704">
        <f ca="1">VLOOKUP(A3,'Allocated charts'!A:AB,2,FALSE)</f>
        <v>174.34718261718749</v>
      </c>
      <c r="C3" s="704">
        <f ca="1">VLOOKUP(A3,'Allocated charts'!A:AB,3,FALSE)</f>
        <v>99.076614257812494</v>
      </c>
      <c r="D3" s="704">
        <f ca="1">VLOOKUP(A3,'Allocated charts'!A:AB,4,FALSE)+VLOOKUP(A3,'Allocated charts'!A:AB,6,FALSE)+VLOOKUP(A3,'Allocated charts'!A:AB,8,FALSE)+VLOOKUP(A3,'Allocated charts'!A:AB,9,FALSE)+VLOOKUP(A3,'Allocated charts'!A:AB,10,FALSE)+VLOOKUP(A3,'Allocated charts'!A:AB,22,FALSE)+VLOOKUP(A3,'Allocated charts'!A:AB,23,FALSE)+VLOOKUP(A3,'Allocated charts'!A:AB,25,FALSE)</f>
        <v>818.16407812499983</v>
      </c>
      <c r="E3" s="704">
        <f ca="1">VLOOKUP(A3,'Allocated charts'!A:AB,5,FALSE)+VLOOKUP(A3,'Allocated charts'!A:AB,7,FALSE)+VLOOKUP(A3,'Allocated charts'!A:AB,11,FALSE)</f>
        <v>893.23708593749996</v>
      </c>
      <c r="F3" s="704">
        <f ca="1">VLOOKUP(A3,'Allocated charts'!A:AB,12,FALSE)+VLOOKUP(A3,'Allocated charts'!A:AB,13,FALSE)+VLOOKUP(A3,'Allocated charts'!A:AB,18,FALSE)+VLOOKUP(A3,'Allocated charts'!A:AB,27,FALSE)+VLOOKUP(A3,'Allocated charts'!A:AB,28,FALSE)</f>
        <v>966.69668261718743</v>
      </c>
      <c r="G3" s="704">
        <f ca="1">VLOOKUP(A3,'Allocated charts'!A:AB,14,FALSE)+VLOOKUP(A3,'Allocated charts'!A:AB,15,FALSE)+VLOOKUP(A3,'Allocated charts'!A:AB,16,FALSE)++VLOOKUP(A3,'Allocated charts'!A:AB,17,FALSE)+VLOOKUP(A3,'Allocated charts'!A:AB,21,FALSE)+VLOOKUP(A3,'Allocated charts'!A:AB,24,FALSE)+VLOOKUP(A3,'Allocated charts'!A:AB,26,FALSE)</f>
        <v>638.21934667968731</v>
      </c>
      <c r="H3" s="704">
        <f ca="1">VLOOKUP(A3,'Allocated charts'!A:AB,19,FALSE)+VLOOKUP(A3,'Allocated charts'!A:AB,20,FALSE)</f>
        <v>92.820530273437498</v>
      </c>
      <c r="I3" s="704">
        <f t="shared" ref="I3" ca="1" si="1">SUM(B3:H3)</f>
        <v>3682.561520507812</v>
      </c>
      <c r="J3" s="704">
        <f ca="1">I3-I17</f>
        <v>393.47475585937491</v>
      </c>
    </row>
    <row r="4" spans="1:22" s="743" customFormat="1" x14ac:dyDescent="0.25">
      <c r="A4" s="703">
        <v>41808</v>
      </c>
      <c r="B4" s="704">
        <f ca="1">VLOOKUP(A4,'Allocated charts'!A:AB,2,FALSE)</f>
        <v>175.20327832031251</v>
      </c>
      <c r="C4" s="704">
        <f ca="1">VLOOKUP(A4,'Allocated charts'!A:AB,3,FALSE)</f>
        <v>97.06808203125</v>
      </c>
      <c r="D4" s="704">
        <f ca="1">VLOOKUP(A4,'Allocated charts'!A:AB,4,FALSE)+VLOOKUP(A4,'Allocated charts'!A:AB,6,FALSE)+VLOOKUP(A4,'Allocated charts'!A:AB,8,FALSE)+VLOOKUP(A4,'Allocated charts'!A:AB,9,FALSE)+VLOOKUP(A4,'Allocated charts'!A:AB,10,FALSE)+VLOOKUP(A4,'Allocated charts'!A:AB,22,FALSE)+VLOOKUP(A4,'Allocated charts'!A:AB,23,FALSE)+VLOOKUP(A4,'Allocated charts'!A:AB,25,FALSE)</f>
        <v>810.39336328124989</v>
      </c>
      <c r="E4" s="704">
        <f ca="1">VLOOKUP(A4,'Allocated charts'!A:AB,5,FALSE)+VLOOKUP(A4,'Allocated charts'!A:AB,7,FALSE)+VLOOKUP(A4,'Allocated charts'!A:AB,11,FALSE)</f>
        <v>901.43584863281251</v>
      </c>
      <c r="F4" s="704">
        <f ca="1">VLOOKUP(A4,'Allocated charts'!A:AB,12,FALSE)+VLOOKUP(A4,'Allocated charts'!A:AB,13,FALSE)+VLOOKUP(A4,'Allocated charts'!A:AB,18,FALSE)+VLOOKUP(A4,'Allocated charts'!A:AB,27,FALSE)+VLOOKUP(A4,'Allocated charts'!A:AB,28,FALSE)</f>
        <v>933.63821777343753</v>
      </c>
      <c r="G4" s="704">
        <f ca="1">VLOOKUP(A4,'Allocated charts'!A:AB,14,FALSE)+VLOOKUP(A4,'Allocated charts'!A:AB,15,FALSE)+VLOOKUP(A4,'Allocated charts'!A:AB,16,FALSE)++VLOOKUP(A4,'Allocated charts'!A:AB,17,FALSE)+VLOOKUP(A4,'Allocated charts'!A:AB,21,FALSE)+VLOOKUP(A4,'Allocated charts'!A:AB,24,FALSE)+VLOOKUP(A4,'Allocated charts'!A:AB,26,FALSE)</f>
        <v>633.60960058593741</v>
      </c>
      <c r="H4" s="704">
        <f ca="1">VLOOKUP(A4,'Allocated charts'!A:AB,19,FALSE)+VLOOKUP(A4,'Allocated charts'!A:AB,20,FALSE)</f>
        <v>92.820530273437498</v>
      </c>
      <c r="I4" s="704">
        <f t="shared" ref="I4" ca="1" si="2">SUM(B4:H4)</f>
        <v>3644.168920898438</v>
      </c>
      <c r="J4" s="704">
        <f ca="1">I4-I17</f>
        <v>355.08215625000093</v>
      </c>
    </row>
    <row r="5" spans="1:22" s="743" customFormat="1" x14ac:dyDescent="0.25">
      <c r="A5" s="703">
        <v>41801</v>
      </c>
      <c r="B5" s="704">
        <f ca="1">VLOOKUP(A5,'Allocated charts'!A:AB,2,FALSE)</f>
        <v>175.20327832031251</v>
      </c>
      <c r="C5" s="704">
        <f ca="1">VLOOKUP(A5,'Allocated charts'!A:AB,3,FALSE)</f>
        <v>97.06808203125</v>
      </c>
      <c r="D5" s="704">
        <f ca="1">VLOOKUP(A5,'Allocated charts'!A:AB,4,FALSE)+VLOOKUP(A5,'Allocated charts'!A:AB,6,FALSE)+VLOOKUP(A5,'Allocated charts'!A:AB,8,FALSE)+VLOOKUP(A5,'Allocated charts'!A:AB,9,FALSE)+VLOOKUP(A5,'Allocated charts'!A:AB,10,FALSE)+VLOOKUP(A5,'Allocated charts'!A:AB,22,FALSE)</f>
        <v>759.29103515625002</v>
      </c>
      <c r="E5" s="704">
        <f ca="1">VLOOKUP(A5,'Allocated charts'!A:AB,5,FALSE)+VLOOKUP(A5,'Allocated charts'!A:AB,7,FALSE)+VLOOKUP(A5,'Allocated charts'!A:AB,11,FALSE)</f>
        <v>912.99314062499991</v>
      </c>
      <c r="F5" s="704">
        <f ca="1">VLOOKUP(A5,'Allocated charts'!A:AB,12,FALSE)+VLOOKUP(A5,'Allocated charts'!A:AB,13,FALSE)+VLOOKUP(A5,'Allocated charts'!A:AB,18,FALSE)</f>
        <v>919.57849218749993</v>
      </c>
      <c r="G5" s="704">
        <f ca="1">VLOOKUP(A5,'Allocated charts'!A:AB,14,FALSE)+VLOOKUP(A5,'Allocated charts'!A:AB,15,FALSE)+VLOOKUP(A5,'Allocated charts'!A:AB,16,FALSE)++VLOOKUP(A5,'Allocated charts'!A:AB,17,FALSE)+VLOOKUP(A5,'Allocated charts'!A:AB,21,FALSE)</f>
        <v>564.26584863281244</v>
      </c>
      <c r="H5" s="704">
        <f ca="1">VLOOKUP(A5,'Allocated charts'!A:AB,19,FALSE)+VLOOKUP(A5,'Allocated charts'!A:AB,20,FALSE)</f>
        <v>92.820530273437498</v>
      </c>
      <c r="I5" s="704">
        <f t="shared" ref="I5" ca="1" si="3">SUM(B5:H5)</f>
        <v>3521.2204072265622</v>
      </c>
      <c r="J5" s="704">
        <f ca="1">I5-I17</f>
        <v>232.13364257812509</v>
      </c>
      <c r="M5"/>
      <c r="N5"/>
      <c r="O5"/>
      <c r="P5"/>
      <c r="Q5"/>
      <c r="R5"/>
      <c r="S5"/>
      <c r="T5"/>
      <c r="U5"/>
      <c r="V5"/>
    </row>
    <row r="6" spans="1:22" s="743" customFormat="1" x14ac:dyDescent="0.25">
      <c r="A6" s="703">
        <v>41794</v>
      </c>
      <c r="B6" s="704">
        <f ca="1">VLOOKUP(A6,'Allocated charts'!A:AB,2,FALSE)</f>
        <v>175.20327832031251</v>
      </c>
      <c r="C6" s="704">
        <f ca="1">VLOOKUP(A6,'Allocated charts'!A:AB,3,FALSE)</f>
        <v>97.06808203125</v>
      </c>
      <c r="D6" s="704">
        <f ca="1">VLOOKUP(A6,'Allocated charts'!A:AB,4,FALSE)+VLOOKUP(A6,'Allocated charts'!A:AB,6,FALSE)+VLOOKUP(A6,'Allocated charts'!A:AB,8,FALSE)+VLOOKUP(A6,'Allocated charts'!A:AB,9,FALSE)+VLOOKUP(A6,'Allocated charts'!A:AB,10,FALSE)+VLOOKUP(A6,'Allocated charts'!A:AB,22,FALSE)</f>
        <v>758.92884082031253</v>
      </c>
      <c r="E6" s="704">
        <f ca="1">VLOOKUP(A6,'Allocated charts'!A:AB,5,FALSE)+VLOOKUP(A6,'Allocated charts'!A:AB,7,FALSE)+VLOOKUP(A6,'Allocated charts'!A:AB,11,FALSE)</f>
        <v>912.59801953124986</v>
      </c>
      <c r="F6" s="704">
        <f ca="1">VLOOKUP(A6,'Allocated charts'!A:AB,12,FALSE)+VLOOKUP(A6,'Allocated charts'!A:AB,13,FALSE)+VLOOKUP(A6,'Allocated charts'!A:AB,18,FALSE)</f>
        <v>918.19556835937499</v>
      </c>
      <c r="G6" s="704">
        <f ca="1">VLOOKUP(A6,'Allocated charts'!A:AB,14,FALSE)+VLOOKUP(A6,'Allocated charts'!A:AB,15,FALSE)+VLOOKUP(A6,'Allocated charts'!A:AB,16,FALSE)++VLOOKUP(A6,'Allocated charts'!A:AB,17,FALSE)+VLOOKUP(A6,'Allocated charts'!A:AB,21,FALSE)</f>
        <v>563.90365429687495</v>
      </c>
      <c r="H6" s="704">
        <f ca="1">VLOOKUP(A6,'Allocated charts'!A:AB,19,FALSE)+VLOOKUP(A6,'Allocated charts'!A:AB,20,FALSE)</f>
        <v>92.820530273437498</v>
      </c>
      <c r="I6" s="704">
        <f t="shared" ref="I6" ca="1" si="4">SUM(B6:H6)</f>
        <v>3518.7179736328126</v>
      </c>
      <c r="J6" s="704">
        <f ca="1">I6-I17</f>
        <v>229.63120898437546</v>
      </c>
    </row>
    <row r="7" spans="1:22" s="743" customFormat="1" x14ac:dyDescent="0.25">
      <c r="A7" s="703">
        <v>41787</v>
      </c>
      <c r="B7" s="704">
        <f ca="1">VLOOKUP(A7,'Allocated charts'!A:AB,2,FALSE)</f>
        <v>176.65205566406249</v>
      </c>
      <c r="C7" s="704">
        <f ca="1">VLOOKUP(A7,'Allocated charts'!A:AB,3,FALSE)</f>
        <v>97.06808203125</v>
      </c>
      <c r="D7" s="704">
        <f ca="1">VLOOKUP(A7,'Allocated charts'!A:AB,4,FALSE)+VLOOKUP(A7,'Allocated charts'!A:AB,6,FALSE)+VLOOKUP(A7,'Allocated charts'!A:AB,8,FALSE)+VLOOKUP(A7,'Allocated charts'!A:AB,9,FALSE)+VLOOKUP(A7,'Allocated charts'!A:AB,10,FALSE)+VLOOKUP(A7,'Allocated charts'!A:AB,22,FALSE)</f>
        <v>761.06908007812501</v>
      </c>
      <c r="E7" s="704">
        <f ca="1">VLOOKUP(A7,'Allocated charts'!A:AB,5,FALSE)+VLOOKUP(A7,'Allocated charts'!A:AB,7,FALSE)+VLOOKUP(A7,'Allocated charts'!A:AB,11,FALSE)</f>
        <v>893.36879296874986</v>
      </c>
      <c r="F7" s="704">
        <f ca="1">VLOOKUP(A7,'Allocated charts'!A:AB,12,FALSE)+VLOOKUP(A7,'Allocated charts'!A:AB,13,FALSE)+VLOOKUP(A7,'Allocated charts'!A:AB,18,FALSE)</f>
        <v>917.405326171875</v>
      </c>
      <c r="G7" s="704">
        <f ca="1">VLOOKUP(A7,'Allocated charts'!A:AB,14,FALSE)+VLOOKUP(A7,'Allocated charts'!A:AB,15,FALSE)+VLOOKUP(A7,'Allocated charts'!A:AB,16,FALSE)++VLOOKUP(A7,'Allocated charts'!A:AB,17,FALSE)+VLOOKUP(A7,'Allocated charts'!A:AB,21,FALSE)</f>
        <v>567.52559765624994</v>
      </c>
      <c r="H7" s="704">
        <f ca="1">VLOOKUP(A7,'Allocated charts'!A:AB,19,FALSE)+VLOOKUP(A7,'Allocated charts'!A:AB,20,FALSE)</f>
        <v>92.820530273437498</v>
      </c>
      <c r="I7" s="704">
        <f t="shared" ref="I7" ca="1" si="5">SUM(B7:H7)</f>
        <v>3505.9094648437494</v>
      </c>
      <c r="J7" s="704">
        <f ca="1">I7-I17</f>
        <v>216.82270019531234</v>
      </c>
    </row>
    <row r="8" spans="1:22" s="743" customFormat="1" x14ac:dyDescent="0.25">
      <c r="A8" s="703">
        <v>41780</v>
      </c>
      <c r="B8" s="704">
        <f ca="1">VLOOKUP(A8,'Allocated charts'!A:AB,2,FALSE)</f>
        <v>177.7057119140625</v>
      </c>
      <c r="C8" s="704">
        <f ca="1">VLOOKUP(A8,'Allocated charts'!A:AB,3,FALSE)</f>
        <v>98.154665039062493</v>
      </c>
      <c r="D8" s="704">
        <f ca="1">VLOOKUP(A8,'Allocated charts'!A:AB,4,FALSE)+VLOOKUP(A8,'Allocated charts'!A:AB,6,FALSE)+VLOOKUP(A8,'Allocated charts'!A:AB,8,FALSE)+VLOOKUP(A8,'Allocated charts'!A:AB,9,FALSE)+VLOOKUP(A8,'Allocated charts'!A:AB,10,FALSE)+VLOOKUP(A8,'Allocated charts'!A:AB,22,FALSE)</f>
        <v>762.68249121093754</v>
      </c>
      <c r="E8" s="704">
        <f ca="1">VLOOKUP(A8,'Allocated charts'!A:AB,5,FALSE)+VLOOKUP(A8,'Allocated charts'!A:AB,7,FALSE)+VLOOKUP(A8,'Allocated charts'!A:AB,11,FALSE)</f>
        <v>887.87002441406241</v>
      </c>
      <c r="F8" s="704">
        <f ca="1">VLOOKUP(A8,'Allocated charts'!A:AB,12,FALSE)+VLOOKUP(A8,'Allocated charts'!A:AB,13,FALSE)+VLOOKUP(A8,'Allocated charts'!A:AB,18,FALSE)</f>
        <v>926.42725781249987</v>
      </c>
      <c r="G8" s="704">
        <f ca="1">VLOOKUP(A8,'Allocated charts'!A:AB,14,FALSE)+VLOOKUP(A8,'Allocated charts'!A:AB,15,FALSE)+VLOOKUP(A8,'Allocated charts'!A:AB,16,FALSE)++VLOOKUP(A8,'Allocated charts'!A:AB,17,FALSE)+VLOOKUP(A8,'Allocated charts'!A:AB,21,FALSE)</f>
        <v>564.49633593749991</v>
      </c>
      <c r="H8" s="704">
        <f ca="1">VLOOKUP(A8,'Allocated charts'!A:AB,19,FALSE)+VLOOKUP(A8,'Allocated charts'!A:AB,20,FALSE)</f>
        <v>92.820530273437498</v>
      </c>
      <c r="I8" s="704">
        <f t="shared" ref="I8" ca="1" si="6">SUM(B8:H8)</f>
        <v>3510.1570166015626</v>
      </c>
      <c r="J8" s="704">
        <f ca="1">I8-I17</f>
        <v>221.07025195312553</v>
      </c>
    </row>
    <row r="9" spans="1:22" s="743" customFormat="1" x14ac:dyDescent="0.25">
      <c r="A9" s="703">
        <v>41773</v>
      </c>
      <c r="B9" s="704">
        <f ca="1">VLOOKUP(A9,'Allocated charts'!A:AB,2,FALSE)</f>
        <v>177.7057119140625</v>
      </c>
      <c r="C9" s="704">
        <f ca="1">VLOOKUP(A9,'Allocated charts'!A:AB,3,FALSE)</f>
        <v>97.858324218749999</v>
      </c>
      <c r="D9" s="704">
        <f ca="1">VLOOKUP(A9,'Allocated charts'!A:AB,4,FALSE)+VLOOKUP(A9,'Allocated charts'!A:AB,6,FALSE)+VLOOKUP(A9,'Allocated charts'!A:AB,8,FALSE)+VLOOKUP(A9,'Allocated charts'!A:AB,9,FALSE)+VLOOKUP(A9,'Allocated charts'!A:AB,10,FALSE)+VLOOKUP(A9,'Allocated charts'!A:AB,22,FALSE)</f>
        <v>762.38615039062495</v>
      </c>
      <c r="E9" s="704">
        <f ca="1">VLOOKUP(A9,'Allocated charts'!A:AB,5,FALSE)+VLOOKUP(A9,'Allocated charts'!A:AB,7,FALSE)+VLOOKUP(A9,'Allocated charts'!A:AB,11,FALSE)</f>
        <v>880.790771484375</v>
      </c>
      <c r="F9" s="704">
        <f ca="1">VLOOKUP(A9,'Allocated charts'!A:AB,12,FALSE)+VLOOKUP(A9,'Allocated charts'!A:AB,13,FALSE)+VLOOKUP(A9,'Allocated charts'!A:AB,18,FALSE)</f>
        <v>921.22483007812502</v>
      </c>
      <c r="G9" s="704">
        <f ca="1">VLOOKUP(A9,'Allocated charts'!A:AB,14,FALSE)+VLOOKUP(A9,'Allocated charts'!A:AB,15,FALSE)+VLOOKUP(A9,'Allocated charts'!A:AB,16,FALSE)++VLOOKUP(A9,'Allocated charts'!A:AB,17,FALSE)+VLOOKUP(A9,'Allocated charts'!A:AB,21,FALSE)</f>
        <v>566.93291601562487</v>
      </c>
      <c r="H9" s="704">
        <f ca="1">VLOOKUP(A9,'Allocated charts'!A:AB,19,FALSE)+VLOOKUP(A9,'Allocated charts'!A:AB,20,FALSE)</f>
        <v>92.820530273437498</v>
      </c>
      <c r="I9" s="704">
        <f t="shared" ref="I9" ca="1" si="7">SUM(B9:H9)</f>
        <v>3499.7192343750003</v>
      </c>
      <c r="J9" s="704">
        <f ca="1">I9-I17</f>
        <v>210.63246972656316</v>
      </c>
    </row>
    <row r="10" spans="1:22" s="743" customFormat="1" x14ac:dyDescent="0.25">
      <c r="A10" s="703">
        <v>41766</v>
      </c>
      <c r="B10" s="704">
        <f ca="1">VLOOKUP(A10,'Allocated charts'!A:AB,2,FALSE)</f>
        <v>177.7060546875</v>
      </c>
      <c r="C10" s="704">
        <f ca="1">VLOOKUP(A10,'Allocated charts'!A:AB,3,FALSE)</f>
        <v>97.529296875</v>
      </c>
      <c r="D10" s="704">
        <f ca="1">VLOOKUP(A10,'Allocated charts'!A:AB,4,FALSE)+VLOOKUP(A10,'Allocated charts'!A:AB,6,FALSE)+VLOOKUP(A10,'Allocated charts'!A:AB,8,FALSE)+VLOOKUP(A10,'Allocated charts'!A:AB,9,FALSE)+VLOOKUP(A10,'Allocated charts'!A:AB,10,FALSE)+VLOOKUP(A10,'Allocated charts'!A:AB,22,FALSE)</f>
        <v>719.6142578125</v>
      </c>
      <c r="E10" s="704">
        <f ca="1">VLOOKUP(A10,'Allocated charts'!A:AB,5,FALSE)+VLOOKUP(A10,'Allocated charts'!A:AB,7,FALSE)+VLOOKUP(A10,'Allocated charts'!A:AB,11,FALSE)</f>
        <v>876.279296875</v>
      </c>
      <c r="F10" s="704">
        <f ca="1">VLOOKUP(A10,'Allocated charts'!A:AB,12,FALSE)+VLOOKUP(A10,'Allocated charts'!A:AB,13,FALSE)+VLOOKUP(A10,'Allocated charts'!A:AB,18,FALSE)</f>
        <v>918.6240234375</v>
      </c>
      <c r="G10" s="704">
        <f ca="1">VLOOKUP(A10,'Allocated charts'!A:AB,14,FALSE)+VLOOKUP(A10,'Allocated charts'!A:AB,15,FALSE)+VLOOKUP(A10,'Allocated charts'!A:AB,16,FALSE)++VLOOKUP(A10,'Allocated charts'!A:AB,17,FALSE)+VLOOKUP(A10,'Allocated charts'!A:AB,21,FALSE)</f>
        <v>545.2998046875</v>
      </c>
      <c r="H10" s="704">
        <f ca="1">VLOOKUP(A10,'Allocated charts'!A:AB,19,FALSE)+VLOOKUP(A10,'Allocated charts'!A:AB,20,FALSE)</f>
        <v>92.8203125</v>
      </c>
      <c r="I10" s="704">
        <f t="shared" ref="I10" ca="1" si="8">SUM(B10:H10)</f>
        <v>3427.873046875</v>
      </c>
      <c r="J10" s="704">
        <f ca="1">I10-I17</f>
        <v>138.78628222656289</v>
      </c>
    </row>
    <row r="11" spans="1:22" s="743" customFormat="1" x14ac:dyDescent="0.25">
      <c r="A11" s="703">
        <v>41752</v>
      </c>
      <c r="B11" s="704">
        <f ca="1">VLOOKUP(A11,'Allocated charts'!A:AB,2,FALSE)</f>
        <v>181.7886298828125</v>
      </c>
      <c r="C11" s="704">
        <f ca="1">VLOOKUP(A11,'Allocated charts'!A:AB,3,FALSE)</f>
        <v>97.430276367187503</v>
      </c>
      <c r="D11" s="704">
        <f ca="1">VLOOKUP(A11,'Allocated charts'!A:AB,4,FALSE)+VLOOKUP(A11,'Allocated charts'!A:AB,6,FALSE)+VLOOKUP(A11,'Allocated charts'!A:AB,8,FALSE)+VLOOKUP(A11,'Allocated charts'!A:AB,9,FALSE)+VLOOKUP(A11,'Allocated charts'!A:AB,10,FALSE)+VLOOKUP(A11,'Allocated charts'!A:AB,22,FALSE)</f>
        <v>661.56441796874992</v>
      </c>
      <c r="E11" s="704">
        <f ca="1">VLOOKUP(A11,'Allocated charts'!A:AB,5,FALSE)+VLOOKUP(A11,'Allocated charts'!A:AB,7,FALSE)+VLOOKUP(A11,'Allocated charts'!A:AB,11,FALSE)</f>
        <v>865.87495019531241</v>
      </c>
      <c r="F11" s="704">
        <f ca="1">VLOOKUP(A11,'Allocated charts'!A:AB,12,FALSE)+VLOOKUP(A11,'Allocated charts'!A:AB,13,FALSE)+VLOOKUP(A11,'Allocated charts'!A:AB,18,FALSE)</f>
        <v>912.56509277343741</v>
      </c>
      <c r="G11" s="704">
        <f ca="1">VLOOKUP(A11,'Allocated charts'!A:AB,14,FALSE)+VLOOKUP(A11,'Allocated charts'!A:AB,15,FALSE)+VLOOKUP(A11,'Allocated charts'!A:AB,16,FALSE)++VLOOKUP(A11,'Allocated charts'!A:AB,17,FALSE)+VLOOKUP(A11,'Allocated charts'!A:AB,21,FALSE)</f>
        <v>548.98783300781247</v>
      </c>
      <c r="H11" s="704">
        <f ca="1">VLOOKUP(A11,'Allocated charts'!A:AB,19,FALSE)+VLOOKUP(A11,'Allocated charts'!A:AB,20,FALSE)</f>
        <v>92.820530273437498</v>
      </c>
      <c r="I11" s="704">
        <f t="shared" ref="I11" ca="1" si="9">SUM(B11:H11)</f>
        <v>3361.0317304687496</v>
      </c>
      <c r="J11" s="704">
        <f ca="1">I11-I17</f>
        <v>71.944965820312518</v>
      </c>
    </row>
    <row r="12" spans="1:22" s="743" customFormat="1" x14ac:dyDescent="0.25">
      <c r="A12" s="703">
        <v>41745</v>
      </c>
      <c r="B12" s="704">
        <f ca="1">VLOOKUP(A12,'Allocated charts'!A:AB,2,FALSE)</f>
        <v>181.755703125</v>
      </c>
      <c r="C12" s="704">
        <f ca="1">VLOOKUP(A12,'Allocated charts'!A:AB,3,FALSE)</f>
        <v>96.771741210937492</v>
      </c>
      <c r="D12" s="704">
        <f ca="1">VLOOKUP(A12,'Allocated charts'!A:AB,4,FALSE)+VLOOKUP(A12,'Allocated charts'!A:AB,6,FALSE)+VLOOKUP(A12,'Allocated charts'!A:AB,8,FALSE)+VLOOKUP(A12,'Allocated charts'!A:AB,9,FALSE)+VLOOKUP(A12,'Allocated charts'!A:AB,10,FALSE)+VLOOKUP(A12,'Allocated charts'!A:AB,22,FALSE)</f>
        <v>663.01319531249999</v>
      </c>
      <c r="E12" s="704">
        <f ca="1">VLOOKUP(A12,'Allocated charts'!A:AB,5,FALSE)+VLOOKUP(A12,'Allocated charts'!A:AB,7,FALSE)+VLOOKUP(A12,'Allocated charts'!A:AB,11,FALSE)</f>
        <v>864.8871474609374</v>
      </c>
      <c r="F12" s="704">
        <f ca="1">VLOOKUP(A12,'Allocated charts'!A:AB,12,FALSE)+VLOOKUP(A12,'Allocated charts'!A:AB,13,FALSE)+VLOOKUP(A12,'Allocated charts'!A:AB,18,FALSE)</f>
        <v>911.74192382812498</v>
      </c>
      <c r="G12" s="704">
        <f ca="1">VLOOKUP(A12,'Allocated charts'!A:AB,14,FALSE)+VLOOKUP(A12,'Allocated charts'!A:AB,15,FALSE)+VLOOKUP(A12,'Allocated charts'!A:AB,16,FALSE)++VLOOKUP(A12,'Allocated charts'!A:AB,17,FALSE)+VLOOKUP(A12,'Allocated charts'!A:AB,21,FALSE)</f>
        <v>555.01342968749998</v>
      </c>
      <c r="H12" s="704">
        <f ca="1">VLOOKUP(A12,'Allocated charts'!A:AB,19,FALSE)+VLOOKUP(A12,'Allocated charts'!A:AB,20,FALSE)</f>
        <v>92.820530273437498</v>
      </c>
      <c r="I12" s="704">
        <f t="shared" ref="I12" ca="1" si="10">SUM(B12:H12)</f>
        <v>3366.0036708984371</v>
      </c>
      <c r="J12" s="704">
        <f ca="1">I12-I17</f>
        <v>76.916906250000011</v>
      </c>
    </row>
    <row r="13" spans="1:22" s="743" customFormat="1" x14ac:dyDescent="0.25">
      <c r="A13" s="703">
        <v>41739</v>
      </c>
      <c r="B13" s="704">
        <f ca="1">VLOOKUP(A13,'Allocated charts'!A:AB,2,FALSE)</f>
        <v>181.72277636718749</v>
      </c>
      <c r="C13" s="704">
        <f ca="1">VLOOKUP(A13,'Allocated charts'!A:AB,3,FALSE)</f>
        <v>96.771741210937492</v>
      </c>
      <c r="D13" s="704">
        <f ca="1">VLOOKUP(A13,'Allocated charts'!A:AB,4,FALSE)+VLOOKUP(A13,'Allocated charts'!A:AB,6,FALSE)+VLOOKUP(A13,'Allocated charts'!A:AB,8,FALSE)+VLOOKUP(A13,'Allocated charts'!A:AB,9,FALSE)+VLOOKUP(A13,'Allocated charts'!A:AB,10,FALSE)+VLOOKUP(A13,'Allocated charts'!A:AB,22,FALSE)</f>
        <v>655.83516210937501</v>
      </c>
      <c r="E13" s="704">
        <f ca="1">VLOOKUP(A13,'Allocated charts'!A:AB,5,FALSE)+VLOOKUP(A13,'Allocated charts'!A:AB,7,FALSE)+VLOOKUP(A13,'Allocated charts'!A:AB,11,FALSE)</f>
        <v>864.55787988281247</v>
      </c>
      <c r="F13" s="704">
        <f ca="1">VLOOKUP(A13,'Allocated charts'!A:AB,12,FALSE)+VLOOKUP(A13,'Allocated charts'!A:AB,13,FALSE)+VLOOKUP(A13,'Allocated charts'!A:AB,18,FALSE)</f>
        <v>911.74192382812498</v>
      </c>
      <c r="G13" s="704">
        <f ca="1">VLOOKUP(A13,'Allocated charts'!A:AB,14,FALSE)+VLOOKUP(A13,'Allocated charts'!A:AB,15,FALSE)+VLOOKUP(A13,'Allocated charts'!A:AB,16,FALSE)++VLOOKUP(A13,'Allocated charts'!A:AB,17,FALSE)+VLOOKUP(A13,'Allocated charts'!A:AB,21,FALSE)</f>
        <v>551.55612011718756</v>
      </c>
      <c r="H13" s="704">
        <f ca="1">VLOOKUP(A13,'Allocated charts'!A:AB,19,FALSE)+VLOOKUP(A13,'Allocated charts'!A:AB,20,FALSE)</f>
        <v>91.404679687499993</v>
      </c>
      <c r="I13" s="704">
        <f t="shared" ref="I13" ca="1" si="11">SUM(B13:H13)</f>
        <v>3353.5902832031252</v>
      </c>
      <c r="J13" s="704">
        <f ca="1">I13-I17</f>
        <v>64.503518554688071</v>
      </c>
    </row>
    <row r="14" spans="1:22" s="743" customFormat="1" x14ac:dyDescent="0.25">
      <c r="A14" s="703">
        <v>41732</v>
      </c>
      <c r="B14" s="704">
        <f ca="1">VLOOKUP(A14,'Allocated charts'!A:AB,2,FALSE)</f>
        <v>181.45936230468749</v>
      </c>
      <c r="C14" s="704">
        <f ca="1">VLOOKUP(A14,'Allocated charts'!A:AB,3,FALSE)</f>
        <v>96.771741210937492</v>
      </c>
      <c r="D14" s="704">
        <f ca="1">VLOOKUP(A14,'Allocated charts'!A:AB,4,FALSE)+VLOOKUP(A14,'Allocated charts'!A:AB,6,FALSE)+VLOOKUP(A14,'Allocated charts'!A:AB,8,FALSE)+VLOOKUP(A14,'Allocated charts'!A:AB,9,FALSE)+VLOOKUP(A14,'Allocated charts'!A:AB,10,FALSE)+VLOOKUP(A14,'Allocated charts'!A:AB,22,FALSE)</f>
        <v>654.38638476562494</v>
      </c>
      <c r="E14" s="704">
        <f ca="1">VLOOKUP(A14,'Allocated charts'!A:AB,5,FALSE)+VLOOKUP(A14,'Allocated charts'!A:AB,7,FALSE)+VLOOKUP(A14,'Allocated charts'!A:AB,11,FALSE)</f>
        <v>862.41764062499988</v>
      </c>
      <c r="F14" s="704">
        <f ca="1">VLOOKUP(A14,'Allocated charts'!A:AB,12,FALSE)+VLOOKUP(A14,'Allocated charts'!A:AB,13,FALSE)+VLOOKUP(A14,'Allocated charts'!A:AB,18,FALSE)</f>
        <v>894.55415625000001</v>
      </c>
      <c r="G14" s="704">
        <f ca="1">VLOOKUP(A14,'Allocated charts'!A:AB,14,FALSE)+VLOOKUP(A14,'Allocated charts'!A:AB,15,FALSE)+VLOOKUP(A14,'Allocated charts'!A:AB,16,FALSE)++VLOOKUP(A14,'Allocated charts'!A:AB,17,FALSE)+VLOOKUP(A14,'Allocated charts'!A:AB,21,FALSE)</f>
        <v>549.28417382812495</v>
      </c>
      <c r="H14" s="704">
        <f ca="1">VLOOKUP(A14,'Allocated charts'!A:AB,19,FALSE)+VLOOKUP(A14,'Allocated charts'!A:AB,20,FALSE)</f>
        <v>91.404679687499993</v>
      </c>
      <c r="I14" s="704">
        <f t="shared" ref="I14" ca="1" si="12">SUM(B14:H14)</f>
        <v>3330.2781386718748</v>
      </c>
      <c r="J14" s="704">
        <f ca="1">I14-I17</f>
        <v>41.191374023437675</v>
      </c>
    </row>
    <row r="15" spans="1:22" s="743" customFormat="1" x14ac:dyDescent="0.25">
      <c r="A15" s="703">
        <v>41725</v>
      </c>
      <c r="B15" s="704">
        <f ca="1">VLOOKUP(A15,'Allocated charts'!A:AB,2,FALSE)</f>
        <v>181.45936230468749</v>
      </c>
      <c r="C15" s="704">
        <f ca="1">VLOOKUP(A15,'Allocated charts'!A:AB,3,FALSE)</f>
        <v>96.771741210937492</v>
      </c>
      <c r="D15" s="704">
        <f ca="1">VLOOKUP(A15,'Allocated charts'!A:AB,4,FALSE)+VLOOKUP(A15,'Allocated charts'!A:AB,6,FALSE)+VLOOKUP(A15,'Allocated charts'!A:AB,8,FALSE)+VLOOKUP(A15,'Allocated charts'!A:AB,9,FALSE)+VLOOKUP(A15,'Allocated charts'!A:AB,10,FALSE)+VLOOKUP(A15,'Allocated charts'!A:AB,22,FALSE)</f>
        <v>654.38638476562494</v>
      </c>
      <c r="E15" s="704">
        <f ca="1">VLOOKUP(A15,'Allocated charts'!A:AB,5,FALSE)+VLOOKUP(A15,'Allocated charts'!A:AB,7,FALSE)+VLOOKUP(A15,'Allocated charts'!A:AB,11,FALSE)</f>
        <v>862.41764062499988</v>
      </c>
      <c r="F15" s="704">
        <f ca="1">VLOOKUP(A15,'Allocated charts'!A:AB,12,FALSE)+VLOOKUP(A15,'Allocated charts'!A:AB,13,FALSE)+VLOOKUP(A15,'Allocated charts'!A:AB,18,FALSE)</f>
        <v>894.55415625000001</v>
      </c>
      <c r="G15" s="704">
        <f ca="1">VLOOKUP(A15,'Allocated charts'!A:AB,14,FALSE)+VLOOKUP(A15,'Allocated charts'!A:AB,15,FALSE)+VLOOKUP(A15,'Allocated charts'!A:AB,16,FALSE)++VLOOKUP(A15,'Allocated charts'!A:AB,17,FALSE)+VLOOKUP(A15,'Allocated charts'!A:AB,21,FALSE)</f>
        <v>549.28417382812495</v>
      </c>
      <c r="H15" s="704">
        <f ca="1">VLOOKUP(A15,'Allocated charts'!A:AB,19,FALSE)+VLOOKUP(A15,'Allocated charts'!A:AB,20,FALSE)</f>
        <v>91.404679687499993</v>
      </c>
      <c r="I15" s="704">
        <f t="shared" ref="I15" ca="1" si="13">SUM(B15:H15)</f>
        <v>3330.2781386718748</v>
      </c>
      <c r="J15" s="704">
        <f ca="1">I15-I17</f>
        <v>41.191374023437675</v>
      </c>
    </row>
    <row r="16" spans="1:22" s="743" customFormat="1" x14ac:dyDescent="0.25">
      <c r="A16" s="703">
        <v>41709</v>
      </c>
      <c r="B16" s="704">
        <f ca="1">VLOOKUP(A16,'Allocated charts'!A:AB,2,FALSE)</f>
        <v>182.4471650390625</v>
      </c>
      <c r="C16" s="704">
        <f ca="1">VLOOKUP(A16,'Allocated charts'!A:AB,3,FALSE)</f>
        <v>96.771741210937492</v>
      </c>
      <c r="D16" s="704">
        <f ca="1">VLOOKUP(A16,'Allocated charts'!A:AB,4,FALSE)+VLOOKUP(A16,'Allocated charts'!A:AB,6,FALSE)+VLOOKUP(A16,'Allocated charts'!A:AB,8,FALSE)+VLOOKUP(A16,'Allocated charts'!A:AB,9,FALSE)+VLOOKUP(A16,'Allocated charts'!A:AB,10,FALSE)+VLOOKUP(A16,'Allocated charts'!A:AB,22,FALSE)</f>
        <v>638.68032128906236</v>
      </c>
      <c r="E16" s="704">
        <f ca="1">VLOOKUP(A16,'Allocated charts'!A:AB,5,FALSE)+VLOOKUP(A16,'Allocated charts'!A:AB,7,FALSE)+VLOOKUP(A16,'Allocated charts'!A:AB,11,FALSE)</f>
        <v>862.15422656250007</v>
      </c>
      <c r="F16" s="704">
        <f ca="1">VLOOKUP(A16,'Allocated charts'!A:AB,12,FALSE)+VLOOKUP(A16,'Allocated charts'!A:AB,13,FALSE)+VLOOKUP(A16,'Allocated charts'!A:AB,18,FALSE)</f>
        <v>891.39318749999995</v>
      </c>
      <c r="G16" s="704">
        <f ca="1">VLOOKUP(A16,'Allocated charts'!A:AB,14,FALSE)+VLOOKUP(A16,'Allocated charts'!A:AB,15,FALSE)+VLOOKUP(A16,'Allocated charts'!A:AB,16,FALSE)++VLOOKUP(A16,'Allocated charts'!A:AB,17,FALSE)+VLOOKUP(A16,'Allocated charts'!A:AB,21,FALSE)</f>
        <v>534.59883984374994</v>
      </c>
      <c r="H16" s="704">
        <f ca="1">VLOOKUP(A16,'Allocated charts'!A:AB,19,FALSE)+VLOOKUP(A16,'Allocated charts'!A:AB,20,FALSE)</f>
        <v>91.404679687499993</v>
      </c>
      <c r="I16" s="704">
        <f t="shared" ref="I16" ca="1" si="14">SUM(B16:H16)</f>
        <v>3297.4501611328124</v>
      </c>
      <c r="J16" s="704">
        <f t="shared" ref="J16:J50" ca="1" si="15">I16-I17</f>
        <v>8.3633964843752437</v>
      </c>
    </row>
    <row r="17" spans="1:10" s="591" customFormat="1" x14ac:dyDescent="0.25">
      <c r="A17" s="703">
        <v>41704</v>
      </c>
      <c r="B17" s="704">
        <f ca="1">VLOOKUP(A17,'Allocated charts'!A:AB,2,FALSE)</f>
        <v>184.88374511718749</v>
      </c>
      <c r="C17" s="704">
        <f ca="1">VLOOKUP(A17,'Allocated charts'!A:AB,3,FALSE)</f>
        <v>96.771741210937492</v>
      </c>
      <c r="D17" s="704">
        <f ca="1">VLOOKUP(A17,'Allocated charts'!A:AB,4,FALSE)+VLOOKUP(A17,'Allocated charts'!A:AB,6,FALSE)+VLOOKUP(A17,'Allocated charts'!A:AB,8,FALSE)+VLOOKUP(A17,'Allocated charts'!A:AB,9,FALSE)+VLOOKUP(A17,'Allocated charts'!A:AB,10,FALSE)+VLOOKUP(A17,'Allocated charts'!A:AB,22,FALSE)</f>
        <v>635.84862011718747</v>
      </c>
      <c r="E17" s="704">
        <f ca="1">VLOOKUP(A17,'Allocated charts'!A:AB,5,FALSE)+VLOOKUP(A17,'Allocated charts'!A:AB,7,FALSE)+VLOOKUP(A17,'Allocated charts'!A:AB,11,FALSE)</f>
        <v>870.71518359375</v>
      </c>
      <c r="F17" s="704">
        <f ca="1">VLOOKUP(A17,'Allocated charts'!A:AB,12,FALSE)+VLOOKUP(A17,'Allocated charts'!A:AB,13,FALSE)+VLOOKUP(A17,'Allocated charts'!A:AB,18,FALSE)</f>
        <v>878.35419140624992</v>
      </c>
      <c r="G17" s="704">
        <f ca="1">VLOOKUP(A17,'Allocated charts'!A:AB,14,FALSE)+VLOOKUP(A17,'Allocated charts'!A:AB,15,FALSE)+VLOOKUP(A17,'Allocated charts'!A:AB,16,FALSE)++VLOOKUP(A17,'Allocated charts'!A:AB,17,FALSE)+VLOOKUP(A17,'Allocated charts'!A:AB,21,FALSE)</f>
        <v>531.10860351562496</v>
      </c>
      <c r="H17" s="704">
        <f ca="1">VLOOKUP(A17,'Allocated charts'!A:AB,19,FALSE)+VLOOKUP(A17,'Allocated charts'!A:AB,20,FALSE)</f>
        <v>91.404679687499993</v>
      </c>
      <c r="I17" s="704">
        <f t="shared" ref="I17" ca="1" si="16">SUM(B17:H17)</f>
        <v>3289.0867646484371</v>
      </c>
      <c r="J17" s="704">
        <f t="shared" ca="1" si="15"/>
        <v>23.707265624999764</v>
      </c>
    </row>
    <row r="18" spans="1:10" x14ac:dyDescent="0.25">
      <c r="A18" s="703">
        <v>41703</v>
      </c>
      <c r="B18" s="704">
        <f ca="1">VLOOKUP(A18,'Allocated charts'!A:AB,2,FALSE)</f>
        <v>184.88374511718749</v>
      </c>
      <c r="C18" s="704">
        <f ca="1">VLOOKUP(A18,'Allocated charts'!A:AB,3,FALSE)</f>
        <v>96.771741210937492</v>
      </c>
      <c r="D18" s="704">
        <f ca="1">VLOOKUP(A18,'Allocated charts'!A:AB,4,FALSE)+VLOOKUP(A18,'Allocated charts'!A:AB,6,FALSE)+VLOOKUP(A18,'Allocated charts'!A:AB,8,FALSE)+VLOOKUP(A18,'Allocated charts'!A:AB,9,FALSE)+VLOOKUP(A18,'Allocated charts'!A:AB,10,FALSE)+VLOOKUP(A18,'Allocated charts'!A:AB,22,FALSE)</f>
        <v>634.92667089843746</v>
      </c>
      <c r="E18" s="704">
        <f ca="1">VLOOKUP(A18,'Allocated charts'!A:AB,5,FALSE)+VLOOKUP(A18,'Allocated charts'!A:AB,7,FALSE)+VLOOKUP(A18,'Allocated charts'!A:AB,11,FALSE)</f>
        <v>849.01645019531247</v>
      </c>
      <c r="F18" s="704">
        <f ca="1">VLOOKUP(A18,'Allocated charts'!A:AB,12,FALSE)+VLOOKUP(A18,'Allocated charts'!A:AB,13,FALSE)+VLOOKUP(A18,'Allocated charts'!A:AB,18,FALSE)</f>
        <v>878.18955761718735</v>
      </c>
      <c r="G18" s="704">
        <f ca="1">VLOOKUP(A18,'Allocated charts'!A:AB,14,FALSE)+VLOOKUP(A18,'Allocated charts'!A:AB,15,FALSE)+VLOOKUP(A18,'Allocated charts'!A:AB,16,FALSE)++VLOOKUP(A18,'Allocated charts'!A:AB,17,FALSE)+VLOOKUP(A18,'Allocated charts'!A:AB,21,FALSE)</f>
        <v>530.18665429687496</v>
      </c>
      <c r="H18" s="704">
        <f ca="1">VLOOKUP(A18,'Allocated charts'!A:AB,19,FALSE)+VLOOKUP(A18,'Allocated charts'!A:AB,20,FALSE)</f>
        <v>91.404679687499993</v>
      </c>
      <c r="I18" s="704">
        <f t="shared" ref="I18:I51" ca="1" si="17">SUM(B18:H18)</f>
        <v>3265.3794990234373</v>
      </c>
      <c r="J18" s="704">
        <f t="shared" ca="1" si="15"/>
        <v>39.314548828125226</v>
      </c>
    </row>
    <row r="19" spans="1:10" s="591" customFormat="1" x14ac:dyDescent="0.25">
      <c r="A19" s="703">
        <v>41702</v>
      </c>
      <c r="B19" s="704">
        <f ca="1">VLOOKUP(A19,'Allocated charts'!A:AB,2,FALSE)</f>
        <v>184.88374511718749</v>
      </c>
      <c r="C19" s="704">
        <f ca="1">VLOOKUP(A19,'Allocated charts'!A:AB,3,FALSE)</f>
        <v>86.235178710937504</v>
      </c>
      <c r="D19" s="704">
        <f ca="1">VLOOKUP(A19,'Allocated charts'!A:AB,4,FALSE)+VLOOKUP(A19,'Allocated charts'!A:AB,6,FALSE)+VLOOKUP(A19,'Allocated charts'!A:AB,8,FALSE)+VLOOKUP(A19,'Allocated charts'!A:AB,9,FALSE)+VLOOKUP(A19,'Allocated charts'!A:AB,10,FALSE)+VLOOKUP(A19,'Allocated charts'!A:AB,22,FALSE)</f>
        <v>611.21940527343747</v>
      </c>
      <c r="E19" s="704">
        <f ca="1">VLOOKUP(A19,'Allocated charts'!A:AB,5,FALSE)+VLOOKUP(A19,'Allocated charts'!A:AB,7,FALSE)+VLOOKUP(A19,'Allocated charts'!A:AB,11,FALSE)</f>
        <v>850.82742187500003</v>
      </c>
      <c r="F19" s="704">
        <f ca="1">VLOOKUP(A19,'Allocated charts'!A:AB,12,FALSE)+VLOOKUP(A19,'Allocated charts'!A:AB,13,FALSE)+VLOOKUP(A19,'Allocated charts'!A:AB,18,FALSE)</f>
        <v>884.478568359375</v>
      </c>
      <c r="G19" s="704">
        <f ca="1">VLOOKUP(A19,'Allocated charts'!A:AB,14,FALSE)+VLOOKUP(A19,'Allocated charts'!A:AB,15,FALSE)+VLOOKUP(A19,'Allocated charts'!A:AB,16,FALSE)++VLOOKUP(A19,'Allocated charts'!A:AB,17,FALSE)+VLOOKUP(A19,'Allocated charts'!A:AB,21,FALSE)</f>
        <v>517.01595117187492</v>
      </c>
      <c r="H19" s="704">
        <f ca="1">VLOOKUP(A19,'Allocated charts'!A:AB,19,FALSE)+VLOOKUP(A19,'Allocated charts'!A:AB,20,FALSE)</f>
        <v>91.404679687499993</v>
      </c>
      <c r="I19" s="704">
        <f t="shared" ca="1" si="17"/>
        <v>3226.0649501953121</v>
      </c>
      <c r="J19" s="704">
        <f t="shared" ca="1" si="15"/>
        <v>43.957221679687336</v>
      </c>
    </row>
    <row r="20" spans="1:10" x14ac:dyDescent="0.25">
      <c r="A20" s="703">
        <v>41695</v>
      </c>
      <c r="B20" s="704">
        <f ca="1">VLOOKUP(A20,'Allocated charts'!A:AB,2,FALSE)</f>
        <v>184.88374511718749</v>
      </c>
      <c r="C20" s="704">
        <f ca="1">VLOOKUP(A20,'Allocated charts'!A:AB,3,FALSE)</f>
        <v>86.235178710937504</v>
      </c>
      <c r="D20" s="704">
        <f ca="1">VLOOKUP(A20,'Allocated charts'!A:AB,4,FALSE)+VLOOKUP(A20,'Allocated charts'!A:AB,6,FALSE)+VLOOKUP(A20,'Allocated charts'!A:AB,8,FALSE)+VLOOKUP(A20,'Allocated charts'!A:AB,9,FALSE)+VLOOKUP(A20,'Allocated charts'!A:AB,10,FALSE)+VLOOKUP(A20,'Allocated charts'!A:AB,22,FALSE)</f>
        <v>608.74989843749995</v>
      </c>
      <c r="E20" s="704">
        <f ca="1">VLOOKUP(A20,'Allocated charts'!A:AB,5,FALSE)+VLOOKUP(A20,'Allocated charts'!A:AB,7,FALSE)+VLOOKUP(A20,'Allocated charts'!A:AB,11,FALSE)</f>
        <v>841.64085644531247</v>
      </c>
      <c r="F20" s="704">
        <f ca="1">VLOOKUP(A20,'Allocated charts'!A:AB,12,FALSE)+VLOOKUP(A20,'Allocated charts'!A:AB,13,FALSE)+VLOOKUP(A20,'Allocated charts'!A:AB,18,FALSE)</f>
        <v>873.48103125</v>
      </c>
      <c r="G20" s="704">
        <f ca="1">VLOOKUP(A20,'Allocated charts'!A:AB,14,FALSE)+VLOOKUP(A20,'Allocated charts'!A:AB,15,FALSE)+VLOOKUP(A20,'Allocated charts'!A:AB,16,FALSE)++VLOOKUP(A20,'Allocated charts'!A:AB,17,FALSE)+VLOOKUP(A20,'Allocated charts'!A:AB,21,FALSE)</f>
        <v>495.71233886718744</v>
      </c>
      <c r="H20" s="704">
        <f ca="1">VLOOKUP(A20,'Allocated charts'!A:AB,19,FALSE)+VLOOKUP(A20,'Allocated charts'!A:AB,20,FALSE)</f>
        <v>91.404679687499993</v>
      </c>
      <c r="I20" s="704">
        <f t="shared" ca="1" si="17"/>
        <v>3182.1077285156248</v>
      </c>
      <c r="J20" s="704">
        <f t="shared" ca="1" si="15"/>
        <v>69.113264648437507</v>
      </c>
    </row>
    <row r="21" spans="1:10" x14ac:dyDescent="0.25">
      <c r="A21" s="703">
        <v>41690</v>
      </c>
      <c r="B21" s="704">
        <f ca="1">VLOOKUP(A21,'Allocated charts'!A:AB,2,FALSE)</f>
        <v>183.5996015625</v>
      </c>
      <c r="C21" s="704">
        <f ca="1">VLOOKUP(A21,'Allocated charts'!A:AB,3,FALSE)</f>
        <v>83.963232421874991</v>
      </c>
      <c r="D21" s="704">
        <f ca="1">VLOOKUP(A21,'Allocated charts'!A:AB,4,FALSE)+VLOOKUP(A21,'Allocated charts'!A:AB,6,FALSE)+VLOOKUP(A21,'Allocated charts'!A:AB,8,FALSE)+VLOOKUP(A21,'Allocated charts'!A:AB,9,FALSE)+VLOOKUP(A21,'Allocated charts'!A:AB,10,FALSE)</f>
        <v>582.30971191406252</v>
      </c>
      <c r="E21" s="704">
        <f ca="1">VLOOKUP(A21,'Allocated charts'!A:AB,5,FALSE)+VLOOKUP(A21,'Allocated charts'!A:AB,7,FALSE)+VLOOKUP(A21,'Allocated charts'!A:AB,11,FALSE)</f>
        <v>821.48968066406246</v>
      </c>
      <c r="F21" s="704">
        <f ca="1">VLOOKUP(A21,'Allocated charts'!A:AB,12,FALSE)+VLOOKUP(A21,'Allocated charts'!A:AB,13,FALSE)+VLOOKUP(A21,'Allocated charts'!A:AB,18,FALSE)</f>
        <v>855.6676552734375</v>
      </c>
      <c r="G21" s="704">
        <f ca="1">VLOOKUP(A21,'Allocated charts'!A:AB,14,FALSE)+VLOOKUP(A21,'Allocated charts'!A:AB,15,FALSE)+VLOOKUP(A21,'Allocated charts'!A:AB,16,FALSE)++VLOOKUP(A21,'Allocated charts'!A:AB,17,FALSE)+VLOOKUP(A21,'Allocated charts'!A:AB,21,FALSE)</f>
        <v>494.55990234374991</v>
      </c>
      <c r="H21" s="704">
        <f ca="1">VLOOKUP(A21,'Allocated charts'!A:AB,19,FALSE)+VLOOKUP(A21,'Allocated charts'!A:AB,20,FALSE)</f>
        <v>91.404679687499993</v>
      </c>
      <c r="I21" s="704">
        <f t="shared" ca="1" si="17"/>
        <v>3112.9944638671873</v>
      </c>
      <c r="J21" s="704">
        <f t="shared" ca="1" si="15"/>
        <v>75.138861328124676</v>
      </c>
    </row>
    <row r="22" spans="1:10" x14ac:dyDescent="0.25">
      <c r="A22" s="703">
        <v>41684</v>
      </c>
      <c r="B22" s="704">
        <f ca="1">VLOOKUP(A22,'Allocated charts'!A:AB,2,FALSE)</f>
        <v>183.5996015625</v>
      </c>
      <c r="C22" s="704">
        <f ca="1">VLOOKUP(A22,'Allocated charts'!A:AB,3,FALSE)</f>
        <v>83.963232421874991</v>
      </c>
      <c r="D22" s="704">
        <f ca="1">VLOOKUP(A22,'Allocated charts'!A:AB,4,FALSE)+VLOOKUP(A22,'Allocated charts'!A:AB,6,FALSE)+VLOOKUP(A22,'Allocated charts'!A:AB,8,FALSE)+VLOOKUP(A22,'Allocated charts'!A:AB,9,FALSE)+VLOOKUP(A22,'Allocated charts'!A:AB,10,FALSE)</f>
        <v>516.45619628906252</v>
      </c>
      <c r="E22" s="704">
        <f ca="1">VLOOKUP(A22,'Allocated charts'!A:AB,5,FALSE)+VLOOKUP(A22,'Allocated charts'!A:AB,7,FALSE)+VLOOKUP(A22,'Allocated charts'!A:AB,11,FALSE)</f>
        <v>821.48968066406246</v>
      </c>
      <c r="F22" s="704">
        <f ca="1">VLOOKUP(A22,'Allocated charts'!A:AB,12,FALSE)+VLOOKUP(A22,'Allocated charts'!A:AB,13,FALSE)+VLOOKUP(A22,'Allocated charts'!A:AB,18,FALSE)</f>
        <v>851.45303027343743</v>
      </c>
      <c r="G22" s="704">
        <f ca="1">VLOOKUP(A22,'Allocated charts'!A:AB,14,FALSE)+VLOOKUP(A22,'Allocated charts'!A:AB,15,FALSE)+VLOOKUP(A22,'Allocated charts'!A:AB,16,FALSE)++VLOOKUP(A22,'Allocated charts'!A:AB,17,FALSE)</f>
        <v>489.48918164062502</v>
      </c>
      <c r="H22" s="704">
        <f ca="1">VLOOKUP(A22,'Allocated charts'!A:AB,19,FALSE)+VLOOKUP(A22,'Allocated charts'!A:AB,20,FALSE)</f>
        <v>91.404679687499993</v>
      </c>
      <c r="I22" s="704">
        <f t="shared" ca="1" si="17"/>
        <v>3037.8556025390626</v>
      </c>
      <c r="J22" s="704">
        <f t="shared" ca="1" si="15"/>
        <v>-13.038996093750029</v>
      </c>
    </row>
    <row r="23" spans="1:10" x14ac:dyDescent="0.25">
      <c r="A23" s="703">
        <v>41676</v>
      </c>
      <c r="B23" s="704">
        <f ca="1">VLOOKUP(A23,'Allocated charts'!A:AB,2,FALSE)</f>
        <v>183.5996015625</v>
      </c>
      <c r="C23" s="704">
        <f ca="1">VLOOKUP(A23,'Allocated charts'!A:AB,3,FALSE)</f>
        <v>94.499794921874994</v>
      </c>
      <c r="D23" s="704">
        <f ca="1">VLOOKUP(A23,'Allocated charts'!A:AB,4,FALSE)+VLOOKUP(A23,'Allocated charts'!A:AB,6,FALSE)+VLOOKUP(A23,'Allocated charts'!A:AB,8,FALSE)+VLOOKUP(A23,'Allocated charts'!A:AB,9,FALSE)+VLOOKUP(A23,'Allocated charts'!A:AB,10,FALSE)</f>
        <v>525.70861523437497</v>
      </c>
      <c r="E23" s="704">
        <f ca="1">VLOOKUP(A23,'Allocated charts'!A:AB,5,FALSE)+VLOOKUP(A23,'Allocated charts'!A:AB,7,FALSE)+VLOOKUP(A23,'Allocated charts'!A:AB,11,FALSE)</f>
        <v>819.4811484375</v>
      </c>
      <c r="F23" s="704">
        <f ca="1">VLOOKUP(A23,'Allocated charts'!A:AB,12,FALSE)+VLOOKUP(A23,'Allocated charts'!A:AB,13,FALSE)+VLOOKUP(A23,'Allocated charts'!A:AB,18,FALSE)</f>
        <v>847.99572070312502</v>
      </c>
      <c r="G23" s="704">
        <f ca="1">VLOOKUP(A23,'Allocated charts'!A:AB,14,FALSE)+VLOOKUP(A23,'Allocated charts'!A:AB,15,FALSE)+VLOOKUP(A23,'Allocated charts'!A:AB,16,FALSE)++VLOOKUP(A23,'Allocated charts'!A:AB,17,FALSE)</f>
        <v>488.20503808593742</v>
      </c>
      <c r="H23" s="704">
        <f ca="1">VLOOKUP(A23,'Allocated charts'!A:AB,19,FALSE)+VLOOKUP(A23,'Allocated charts'!A:AB,20,FALSE)</f>
        <v>91.404679687499993</v>
      </c>
      <c r="I23" s="704">
        <f t="shared" ca="1" si="17"/>
        <v>3050.8945986328126</v>
      </c>
      <c r="J23" s="704">
        <f t="shared" ca="1" si="15"/>
        <v>108.92171484375012</v>
      </c>
    </row>
    <row r="24" spans="1:10" x14ac:dyDescent="0.25">
      <c r="A24" s="703">
        <v>41642</v>
      </c>
      <c r="B24" s="704">
        <f ca="1">VLOOKUP(A24,'Allocated charts'!A:AB,2,FALSE)</f>
        <v>182.216677734375</v>
      </c>
      <c r="C24" s="704">
        <f ca="1">VLOOKUP(A24,'Allocated charts'!A:AB,3,FALSE)</f>
        <v>94.335161132812502</v>
      </c>
      <c r="D24" s="704">
        <f ca="1">VLOOKUP(A24,'Allocated charts'!A:AB,4,FALSE)+VLOOKUP(A24,'Allocated charts'!A:AB,6,FALSE)+VLOOKUP(A24,'Allocated charts'!A:AB,8,FALSE)+VLOOKUP(A24,'Allocated charts'!A:AB,9,FALSE)+VLOOKUP(A24,'Allocated charts'!A:AB,10,FALSE)</f>
        <v>502.36354394531247</v>
      </c>
      <c r="E24" s="704">
        <f ca="1">VLOOKUP(A24,'Allocated charts'!A:AB,5,FALSE)+VLOOKUP(A24,'Allocated charts'!A:AB,7,FALSE)+VLOOKUP(A24,'Allocated charts'!A:AB,11,FALSE)</f>
        <v>796.56412499999988</v>
      </c>
      <c r="F24" s="704">
        <f ca="1">VLOOKUP(A24,'Allocated charts'!A:AB,12,FALSE)+VLOOKUP(A24,'Allocated charts'!A:AB,13,FALSE)+VLOOKUP(A24,'Allocated charts'!A:AB,18,FALSE)</f>
        <v>821.29212011718744</v>
      </c>
      <c r="G24" s="704">
        <f ca="1">VLOOKUP(A24,'Allocated charts'!A:AB,14,FALSE)+VLOOKUP(A24,'Allocated charts'!A:AB,15,FALSE)+VLOOKUP(A24,'Allocated charts'!A:AB,16,FALSE)++VLOOKUP(A24,'Allocated charts'!A:AB,17,FALSE)</f>
        <v>458.40632226562502</v>
      </c>
      <c r="H24" s="704">
        <f ca="1">VLOOKUP(A24,'Allocated charts'!A:AB,19,FALSE)+VLOOKUP(A24,'Allocated charts'!A:AB,20,FALSE)</f>
        <v>86.794933593749988</v>
      </c>
      <c r="I24" s="704">
        <f t="shared" ca="1" si="17"/>
        <v>2941.9728837890625</v>
      </c>
      <c r="J24" s="704">
        <f t="shared" ca="1" si="15"/>
        <v>2.4695068359378638</v>
      </c>
    </row>
    <row r="25" spans="1:10" x14ac:dyDescent="0.25">
      <c r="A25" s="703">
        <v>41626</v>
      </c>
      <c r="B25" s="704">
        <f ca="1">VLOOKUP(A25,'Allocated charts'!A:AB,2,FALSE)</f>
        <v>182.216677734375</v>
      </c>
      <c r="C25" s="704">
        <f ca="1">VLOOKUP(A25,'Allocated charts'!A:AB,3,FALSE)</f>
        <v>94.335161132812502</v>
      </c>
      <c r="D25" s="704">
        <f ca="1">VLOOKUP(A25,'Allocated charts'!A:AB,4,FALSE)+VLOOKUP(A25,'Allocated charts'!A:AB,6,FALSE)+VLOOKUP(A25,'Allocated charts'!A:AB,8,FALSE)+VLOOKUP(A25,'Allocated charts'!A:AB,9,FALSE)+VLOOKUP(A25,'Allocated charts'!A:AB,10,FALSE)</f>
        <v>501.14525390624999</v>
      </c>
      <c r="E25" s="704">
        <f ca="1">VLOOKUP(A25,'Allocated charts'!A:AB,5,FALSE)+VLOOKUP(A25,'Allocated charts'!A:AB,7,FALSE)+VLOOKUP(A25,'Allocated charts'!A:AB,11,FALSE)</f>
        <v>796.56412499999988</v>
      </c>
      <c r="F25" s="704">
        <f ca="1">VLOOKUP(A25,'Allocated charts'!A:AB,12,FALSE)+VLOOKUP(A25,'Allocated charts'!A:AB,13,FALSE)+VLOOKUP(A25,'Allocated charts'!A:AB,18,FALSE)</f>
        <v>821.25919335937499</v>
      </c>
      <c r="G25" s="704">
        <f ca="1">VLOOKUP(A25,'Allocated charts'!A:AB,14,FALSE)+VLOOKUP(A25,'Allocated charts'!A:AB,15,FALSE)+VLOOKUP(A25,'Allocated charts'!A:AB,16,FALSE)++VLOOKUP(A25,'Allocated charts'!A:AB,17,FALSE)</f>
        <v>457.18803222656254</v>
      </c>
      <c r="H25" s="704">
        <f ca="1">VLOOKUP(A25,'Allocated charts'!A:AB,19,FALSE)+VLOOKUP(A25,'Allocated charts'!A:AB,20,FALSE)</f>
        <v>86.794933593749988</v>
      </c>
      <c r="I25" s="704">
        <f t="shared" ca="1" si="17"/>
        <v>2939.5033769531246</v>
      </c>
      <c r="J25" s="704">
        <f t="shared" ca="1" si="15"/>
        <v>-98.813200195312675</v>
      </c>
    </row>
    <row r="26" spans="1:10" x14ac:dyDescent="0.25">
      <c r="A26" s="703">
        <v>41617</v>
      </c>
      <c r="B26" s="704">
        <f ca="1">VLOOKUP(A26,'Allocated charts'!A:AB,2,FALSE)</f>
        <v>182.216677734375</v>
      </c>
      <c r="C26" s="704">
        <f ca="1">VLOOKUP(A26,'Allocated charts'!A:AB,3,FALSE)</f>
        <v>94.335161132812502</v>
      </c>
      <c r="D26" s="704">
        <f ca="1">VLOOKUP(A26,'Allocated charts'!A:AB,4,FALSE)+VLOOKUP(A26,'Allocated charts'!A:AB,6,FALSE)+VLOOKUP(A26,'Allocated charts'!A:AB,8,FALSE)+VLOOKUP(A26,'Allocated charts'!A:AB,9,FALSE)+VLOOKUP(A26,'Allocated charts'!A:AB,10,FALSE)</f>
        <v>628.60473339843747</v>
      </c>
      <c r="E26" s="704">
        <f ca="1">VLOOKUP(A26,'Allocated charts'!A:AB,5,FALSE)+VLOOKUP(A26,'Allocated charts'!A:AB,7,FALSE)+VLOOKUP(A26,'Allocated charts'!A:AB,11,FALSE)</f>
        <v>793.76535058593743</v>
      </c>
      <c r="F26" s="704">
        <f ca="1">VLOOKUP(A26,'Allocated charts'!A:AB,12,FALSE)+VLOOKUP(A26,'Allocated charts'!A:AB,13,FALSE)+VLOOKUP(A26,'Allocated charts'!A:AB,18,FALSE)</f>
        <v>707.59602539062496</v>
      </c>
      <c r="G26" s="704">
        <f ca="1">VLOOKUP(A26,'Allocated charts'!A:AB,14,FALSE)+VLOOKUP(A26,'Allocated charts'!A:AB,15,FALSE)+VLOOKUP(A26,'Allocated charts'!A:AB,16,FALSE)++VLOOKUP(A26,'Allocated charts'!A:AB,17,FALSE)</f>
        <v>545.00369531249999</v>
      </c>
      <c r="H26" s="704">
        <f ca="1">VLOOKUP(A26,'Allocated charts'!A:AB,19,FALSE)+VLOOKUP(A26,'Allocated charts'!A:AB,20,FALSE)</f>
        <v>86.794933593749988</v>
      </c>
      <c r="I26" s="704">
        <f t="shared" ca="1" si="17"/>
        <v>3038.3165771484373</v>
      </c>
      <c r="J26" s="704">
        <f t="shared" ca="1" si="15"/>
        <v>14.12557910156238</v>
      </c>
    </row>
    <row r="27" spans="1:10" x14ac:dyDescent="0.25">
      <c r="A27" s="703">
        <v>41610</v>
      </c>
      <c r="B27" s="704">
        <f ca="1">VLOOKUP(A27,'Allocated charts'!A:AB,2,FALSE)</f>
        <v>184.65325781249999</v>
      </c>
      <c r="C27" s="704">
        <f ca="1">VLOOKUP(A27,'Allocated charts'!A:AB,3,FALSE)</f>
        <v>94.335161132812502</v>
      </c>
      <c r="D27" s="704">
        <f ca="1">VLOOKUP(A27,'Allocated charts'!A:AB,4,FALSE)+VLOOKUP(A27,'Allocated charts'!A:AB,6,FALSE)+VLOOKUP(A27,'Allocated charts'!A:AB,8,FALSE)+VLOOKUP(A27,'Allocated charts'!A:AB,9,FALSE)+VLOOKUP(A27,'Allocated charts'!A:AB,10,FALSE)</f>
        <v>628.60473339843747</v>
      </c>
      <c r="E27" s="704">
        <f ca="1">VLOOKUP(A27,'Allocated charts'!A:AB,5,FALSE)+VLOOKUP(A27,'Allocated charts'!A:AB,7,FALSE)+VLOOKUP(A27,'Allocated charts'!A:AB,11,FALSE)</f>
        <v>791.7238916015624</v>
      </c>
      <c r="F27" s="704">
        <f ca="1">VLOOKUP(A27,'Allocated charts'!A:AB,12,FALSE)+VLOOKUP(A27,'Allocated charts'!A:AB,13,FALSE)+VLOOKUP(A27,'Allocated charts'!A:AB,18,FALSE)</f>
        <v>700.31921191406241</v>
      </c>
      <c r="G27" s="704">
        <f ca="1">VLOOKUP(A27,'Allocated charts'!A:AB,14,FALSE)+VLOOKUP(A27,'Allocated charts'!A:AB,15,FALSE)+VLOOKUP(A27,'Allocated charts'!A:AB,16,FALSE)++VLOOKUP(A27,'Allocated charts'!A:AB,17,FALSE)</f>
        <v>542.13906738281253</v>
      </c>
      <c r="H27" s="704">
        <f ca="1">VLOOKUP(A27,'Allocated charts'!A:AB,19,FALSE)+VLOOKUP(A27,'Allocated charts'!A:AB,20,FALSE)</f>
        <v>82.415674804687498</v>
      </c>
      <c r="I27" s="704">
        <f t="shared" ca="1" si="17"/>
        <v>3024.1909980468749</v>
      </c>
      <c r="J27" s="704">
        <f t="shared" ca="1" si="15"/>
        <v>59.465724609375229</v>
      </c>
    </row>
    <row r="28" spans="1:10" x14ac:dyDescent="0.25">
      <c r="A28" s="703">
        <v>41603</v>
      </c>
      <c r="B28" s="704">
        <f ca="1">VLOOKUP(A28,'Allocated charts'!A:AB,2,FALSE)</f>
        <v>184.35691699218751</v>
      </c>
      <c r="C28" s="704">
        <f ca="1">VLOOKUP(A28,'Allocated charts'!A:AB,3,FALSE)</f>
        <v>94.335161132812502</v>
      </c>
      <c r="D28" s="704">
        <f ca="1">VLOOKUP(A28,'Allocated charts'!A:AB,4,FALSE)+VLOOKUP(A28,'Allocated charts'!A:AB,6,FALSE)+VLOOKUP(A28,'Allocated charts'!A:AB,8,FALSE)+VLOOKUP(A28,'Allocated charts'!A:AB,9,FALSE)+VLOOKUP(A28,'Allocated charts'!A:AB,10,FALSE)</f>
        <v>626.43156738281243</v>
      </c>
      <c r="E28" s="704">
        <f ca="1">VLOOKUP(A28,'Allocated charts'!A:AB,5,FALSE)+VLOOKUP(A28,'Allocated charts'!A:AB,7,FALSE)+VLOOKUP(A28,'Allocated charts'!A:AB,11,FALSE)</f>
        <v>781.78001074218741</v>
      </c>
      <c r="F28" s="704">
        <f ca="1">VLOOKUP(A28,'Allocated charts'!A:AB,12,FALSE)+VLOOKUP(A28,'Allocated charts'!A:AB,13,FALSE)+VLOOKUP(A28,'Allocated charts'!A:AB,18,FALSE)</f>
        <v>655.44004101562496</v>
      </c>
      <c r="G28" s="704">
        <f ca="1">VLOOKUP(A28,'Allocated charts'!A:AB,14,FALSE)+VLOOKUP(A28,'Allocated charts'!A:AB,15,FALSE)+VLOOKUP(A28,'Allocated charts'!A:AB,16,FALSE)++VLOOKUP(A28,'Allocated charts'!A:AB,17,FALSE)</f>
        <v>539.96590136718748</v>
      </c>
      <c r="H28" s="704">
        <f ca="1">VLOOKUP(A28,'Allocated charts'!A:AB,19,FALSE)+VLOOKUP(A28,'Allocated charts'!A:AB,20,FALSE)</f>
        <v>82.415674804687498</v>
      </c>
      <c r="I28" s="704">
        <f t="shared" ca="1" si="17"/>
        <v>2964.7252734374997</v>
      </c>
      <c r="J28" s="704">
        <f t="shared" ca="1" si="15"/>
        <v>-81.72421289062504</v>
      </c>
    </row>
    <row r="29" spans="1:10" x14ac:dyDescent="0.25">
      <c r="A29" s="703">
        <v>41596</v>
      </c>
      <c r="B29" s="704">
        <f ca="1">VLOOKUP(A29,'Allocated charts'!A:AB,2,FALSE)</f>
        <v>184.35691699218751</v>
      </c>
      <c r="C29" s="704">
        <f ca="1">VLOOKUP(A29,'Allocated charts'!A:AB,3,FALSE)</f>
        <v>94.335161132812502</v>
      </c>
      <c r="D29" s="704">
        <f ca="1">VLOOKUP(A29,'Allocated charts'!A:AB,4,FALSE)+VLOOKUP(A29,'Allocated charts'!A:AB,6,FALSE)+VLOOKUP(A29,'Allocated charts'!A:AB,8,FALSE)+VLOOKUP(A29,'Allocated charts'!A:AB,9,FALSE)+VLOOKUP(A29,'Allocated charts'!A:AB,10,FALSE)</f>
        <v>621.59133398437496</v>
      </c>
      <c r="E29" s="704">
        <f ca="1">VLOOKUP(A29,'Allocated charts'!A:AB,5,FALSE)+VLOOKUP(A29,'Allocated charts'!A:AB,7,FALSE)+VLOOKUP(A29,'Allocated charts'!A:AB,11,FALSE)</f>
        <v>776.05075488281238</v>
      </c>
      <c r="F29" s="704">
        <f ca="1">VLOOKUP(A29,'Allocated charts'!A:AB,12,FALSE)+VLOOKUP(A29,'Allocated charts'!A:AB,13,FALSE)+VLOOKUP(A29,'Allocated charts'!A:AB,18,FALSE)</f>
        <v>753.89104687499992</v>
      </c>
      <c r="G29" s="704">
        <f ca="1">VLOOKUP(A29,'Allocated charts'!A:AB,14,FALSE)+VLOOKUP(A29,'Allocated charts'!A:AB,15,FALSE)+VLOOKUP(A29,'Allocated charts'!A:AB,16,FALSE)++VLOOKUP(A29,'Allocated charts'!A:AB,17,FALSE)</f>
        <v>533.80859765624996</v>
      </c>
      <c r="H29" s="704">
        <f ca="1">VLOOKUP(A29,'Allocated charts'!A:AB,19,FALSE)+VLOOKUP(A29,'Allocated charts'!A:AB,20,FALSE)</f>
        <v>82.415674804687498</v>
      </c>
      <c r="I29" s="704">
        <f t="shared" ca="1" si="17"/>
        <v>3046.4494863281247</v>
      </c>
      <c r="J29" s="704">
        <f t="shared" ca="1" si="15"/>
        <v>8.7914443359372854</v>
      </c>
    </row>
    <row r="30" spans="1:10" x14ac:dyDescent="0.25">
      <c r="A30" s="703">
        <v>41589</v>
      </c>
      <c r="B30" s="704">
        <f ca="1">VLOOKUP(A30,'Allocated charts'!A:AB,2,FALSE)</f>
        <v>184.35691699218751</v>
      </c>
      <c r="C30" s="704">
        <f ca="1">VLOOKUP(A30,'Allocated charts'!A:AB,3,FALSE)</f>
        <v>94.335161132812502</v>
      </c>
      <c r="D30" s="704">
        <f ca="1">VLOOKUP(A30,'Allocated charts'!A:AB,4,FALSE)+VLOOKUP(A30,'Allocated charts'!A:AB,6,FALSE)+VLOOKUP(A30,'Allocated charts'!A:AB,8,FALSE)+VLOOKUP(A30,'Allocated charts'!A:AB,9,FALSE)+VLOOKUP(A30,'Allocated charts'!A:AB,10,FALSE)</f>
        <v>618.56207226562492</v>
      </c>
      <c r="E30" s="704">
        <f ca="1">VLOOKUP(A30,'Allocated charts'!A:AB,5,FALSE)+VLOOKUP(A30,'Allocated charts'!A:AB,7,FALSE)+VLOOKUP(A30,'Allocated charts'!A:AB,11,FALSE)</f>
        <v>774.86539160156235</v>
      </c>
      <c r="F30" s="704">
        <f ca="1">VLOOKUP(A30,'Allocated charts'!A:AB,12,FALSE)+VLOOKUP(A30,'Allocated charts'!A:AB,13,FALSE)+VLOOKUP(A30,'Allocated charts'!A:AB,18,FALSE)</f>
        <v>752.34348925781239</v>
      </c>
      <c r="G30" s="704">
        <f ca="1">VLOOKUP(A30,'Allocated charts'!A:AB,14,FALSE)+VLOOKUP(A30,'Allocated charts'!A:AB,15,FALSE)+VLOOKUP(A30,'Allocated charts'!A:AB,16,FALSE)++VLOOKUP(A30,'Allocated charts'!A:AB,17,FALSE)</f>
        <v>530.77933593750004</v>
      </c>
      <c r="H30" s="704">
        <f ca="1">VLOOKUP(A30,'Allocated charts'!A:AB,19,FALSE)+VLOOKUP(A30,'Allocated charts'!A:AB,20,FALSE)</f>
        <v>82.415674804687498</v>
      </c>
      <c r="I30" s="704">
        <f t="shared" ca="1" si="17"/>
        <v>3037.6580419921875</v>
      </c>
      <c r="J30" s="704">
        <f t="shared" ca="1" si="15"/>
        <v>76.027883789062798</v>
      </c>
    </row>
    <row r="31" spans="1:10" x14ac:dyDescent="0.25">
      <c r="A31" s="703">
        <v>41561</v>
      </c>
      <c r="B31" s="704">
        <f ca="1">VLOOKUP(A31,'Allocated charts'!A:AB,2,FALSE)</f>
        <v>183.56667480468749</v>
      </c>
      <c r="C31" s="704">
        <f ca="1">VLOOKUP(A31,'Allocated charts'!A:AB,3,FALSE)</f>
        <v>94.335161132812502</v>
      </c>
      <c r="D31" s="704">
        <f ca="1">VLOOKUP(A31,'Allocated charts'!A:AB,4,FALSE)+VLOOKUP(A31,'Allocated charts'!A:AB,6,FALSE)+VLOOKUP(A31,'Allocated charts'!A:AB,8,FALSE)+VLOOKUP(A31,'Allocated charts'!A:AB,9,FALSE)+VLOOKUP(A31,'Allocated charts'!A:AB,10,FALSE)</f>
        <v>605.75356347656236</v>
      </c>
      <c r="E31" s="704">
        <f ca="1">VLOOKUP(A31,'Allocated charts'!A:AB,5,FALSE)+VLOOKUP(A31,'Allocated charts'!A:AB,7,FALSE)+VLOOKUP(A31,'Allocated charts'!A:AB,11,FALSE)</f>
        <v>758.83006054687485</v>
      </c>
      <c r="F31" s="704">
        <f ca="1">VLOOKUP(A31,'Allocated charts'!A:AB,12,FALSE)+VLOOKUP(A31,'Allocated charts'!A:AB,13,FALSE)+VLOOKUP(A31,'Allocated charts'!A:AB,18,FALSE)</f>
        <v>726.7923251953124</v>
      </c>
      <c r="G31" s="704">
        <f ca="1">VLOOKUP(A31,'Allocated charts'!A:AB,14,FALSE)+VLOOKUP(A31,'Allocated charts'!A:AB,15,FALSE)+VLOOKUP(A31,'Allocated charts'!A:AB,16,FALSE)++VLOOKUP(A31,'Allocated charts'!A:AB,17,FALSE)</f>
        <v>512.96595996093743</v>
      </c>
      <c r="H31" s="704">
        <f ca="1">VLOOKUP(A31,'Allocated charts'!A:AB,19,FALSE)+VLOOKUP(A31,'Allocated charts'!A:AB,20,FALSE)</f>
        <v>79.386413085937505</v>
      </c>
      <c r="I31" s="704">
        <f t="shared" ca="1" si="17"/>
        <v>2961.6301582031247</v>
      </c>
      <c r="J31" s="704">
        <f t="shared" ca="1" si="15"/>
        <v>8.0670556640625364</v>
      </c>
    </row>
    <row r="32" spans="1:10" x14ac:dyDescent="0.25">
      <c r="A32" s="703">
        <v>41548</v>
      </c>
      <c r="B32" s="704">
        <f ca="1">VLOOKUP(A32,'Allocated charts'!A:AB,2,FALSE)</f>
        <v>183.56667480468749</v>
      </c>
      <c r="C32" s="704">
        <f ca="1">VLOOKUP(A32,'Allocated charts'!A:AB,3,FALSE)</f>
        <v>94.335161132812502</v>
      </c>
      <c r="D32" s="704">
        <f ca="1">VLOOKUP(A32,'Allocated charts'!A:AB,4,FALSE)+VLOOKUP(A32,'Allocated charts'!A:AB,6,FALSE)+VLOOKUP(A32,'Allocated charts'!A:AB,8,FALSE)+VLOOKUP(A32,'Allocated charts'!A:AB,9,FALSE)+VLOOKUP(A32,'Allocated charts'!A:AB,10,FALSE)</f>
        <v>609.34258007812491</v>
      </c>
      <c r="E32" s="704">
        <f ca="1">VLOOKUP(A32,'Allocated charts'!A:AB,5,FALSE)+VLOOKUP(A32,'Allocated charts'!A:AB,7,FALSE)+VLOOKUP(A32,'Allocated charts'!A:AB,11,FALSE)</f>
        <v>749.61056835937507</v>
      </c>
      <c r="F32" s="704">
        <f ca="1">VLOOKUP(A32,'Allocated charts'!A:AB,12,FALSE)+VLOOKUP(A32,'Allocated charts'!A:AB,13,FALSE)+VLOOKUP(A32,'Allocated charts'!A:AB,18,FALSE)</f>
        <v>731.59963183593743</v>
      </c>
      <c r="G32" s="704">
        <f ca="1">VLOOKUP(A32,'Allocated charts'!A:AB,14,FALSE)+VLOOKUP(A32,'Allocated charts'!A:AB,15,FALSE)+VLOOKUP(A32,'Allocated charts'!A:AB,16,FALSE)++VLOOKUP(A32,'Allocated charts'!A:AB,17,FALSE)</f>
        <v>505.72207324218749</v>
      </c>
      <c r="H32" s="704">
        <f ca="1">VLOOKUP(A32,'Allocated charts'!A:AB,19,FALSE)+VLOOKUP(A32,'Allocated charts'!A:AB,20,FALSE)</f>
        <v>79.386413085937505</v>
      </c>
      <c r="I32" s="704">
        <f t="shared" ca="1" si="17"/>
        <v>2953.5631025390621</v>
      </c>
      <c r="J32" s="704">
        <f t="shared" ca="1" si="15"/>
        <v>7.1451064453126492</v>
      </c>
    </row>
    <row r="33" spans="1:10" x14ac:dyDescent="0.25">
      <c r="A33" s="703">
        <v>41541</v>
      </c>
      <c r="B33" s="704">
        <f ca="1">VLOOKUP(A33,'Allocated charts'!A:AB,2,FALSE)</f>
        <v>183.56667480468749</v>
      </c>
      <c r="C33" s="704">
        <f ca="1">VLOOKUP(A33,'Allocated charts'!A:AB,3,FALSE)</f>
        <v>94.335161132812502</v>
      </c>
      <c r="D33" s="704">
        <f ca="1">VLOOKUP(A33,'Allocated charts'!A:AB,4,FALSE)+VLOOKUP(A33,'Allocated charts'!A:AB,6,FALSE)+VLOOKUP(A33,'Allocated charts'!A:AB,8,FALSE)+VLOOKUP(A33,'Allocated charts'!A:AB,9,FALSE)+VLOOKUP(A33,'Allocated charts'!A:AB,10,FALSE)</f>
        <v>606.14868457031253</v>
      </c>
      <c r="E33" s="704">
        <f ca="1">VLOOKUP(A33,'Allocated charts'!A:AB,5,FALSE)+VLOOKUP(A33,'Allocated charts'!A:AB,7,FALSE)+VLOOKUP(A33,'Allocated charts'!A:AB,11,FALSE)</f>
        <v>748.98495996093754</v>
      </c>
      <c r="F33" s="704">
        <f ca="1">VLOOKUP(A33,'Allocated charts'!A:AB,12,FALSE)+VLOOKUP(A33,'Allocated charts'!A:AB,13,FALSE)+VLOOKUP(A33,'Allocated charts'!A:AB,18,FALSE)</f>
        <v>731.46792480468741</v>
      </c>
      <c r="G33" s="704">
        <f ca="1">VLOOKUP(A33,'Allocated charts'!A:AB,14,FALSE)+VLOOKUP(A33,'Allocated charts'!A:AB,15,FALSE)+VLOOKUP(A33,'Allocated charts'!A:AB,16,FALSE)++VLOOKUP(A33,'Allocated charts'!A:AB,17,FALSE)</f>
        <v>502.52817773437499</v>
      </c>
      <c r="H33" s="704">
        <f ca="1">VLOOKUP(A33,'Allocated charts'!A:AB,19,FALSE)+VLOOKUP(A33,'Allocated charts'!A:AB,20,FALSE)</f>
        <v>79.386413085937505</v>
      </c>
      <c r="I33" s="704">
        <f t="shared" ca="1" si="17"/>
        <v>2946.4179960937495</v>
      </c>
      <c r="J33" s="704">
        <f t="shared" ca="1" si="15"/>
        <v>14.059725585937031</v>
      </c>
    </row>
    <row r="34" spans="1:10" x14ac:dyDescent="0.25">
      <c r="A34" s="703">
        <v>41534</v>
      </c>
      <c r="B34" s="704">
        <f ca="1">VLOOKUP(A34,'Allocated charts'!A:AB,2,FALSE)</f>
        <v>183.33618749999999</v>
      </c>
      <c r="C34" s="704">
        <f ca="1">VLOOKUP(A34,'Allocated charts'!A:AB,3,FALSE)</f>
        <v>94.335161132812502</v>
      </c>
      <c r="D34" s="704">
        <f ca="1">VLOOKUP(A34,'Allocated charts'!A:AB,4,FALSE)+VLOOKUP(A34,'Allocated charts'!A:AB,6,FALSE)+VLOOKUP(A34,'Allocated charts'!A:AB,8,FALSE)+VLOOKUP(A34,'Allocated charts'!A:AB,9,FALSE)+VLOOKUP(A34,'Allocated charts'!A:AB,10,FALSE)</f>
        <v>606.14868457031253</v>
      </c>
      <c r="E34" s="704">
        <f ca="1">VLOOKUP(A34,'Allocated charts'!A:AB,5,FALSE)+VLOOKUP(A34,'Allocated charts'!A:AB,7,FALSE)+VLOOKUP(A34,'Allocated charts'!A:AB,11,FALSE)</f>
        <v>743.15692382812506</v>
      </c>
      <c r="F34" s="704">
        <f ca="1">VLOOKUP(A34,'Allocated charts'!A:AB,12,FALSE)+VLOOKUP(A34,'Allocated charts'!A:AB,13,FALSE)+VLOOKUP(A34,'Allocated charts'!A:AB,18,FALSE)</f>
        <v>723.46672265625</v>
      </c>
      <c r="G34" s="704">
        <f ca="1">VLOOKUP(A34,'Allocated charts'!A:AB,14,FALSE)+VLOOKUP(A34,'Allocated charts'!A:AB,15,FALSE)+VLOOKUP(A34,'Allocated charts'!A:AB,16,FALSE)++VLOOKUP(A34,'Allocated charts'!A:AB,17,FALSE)</f>
        <v>502.52817773437499</v>
      </c>
      <c r="H34" s="704">
        <f ca="1">VLOOKUP(A34,'Allocated charts'!A:AB,19,FALSE)+VLOOKUP(A34,'Allocated charts'!A:AB,20,FALSE)</f>
        <v>79.386413085937505</v>
      </c>
      <c r="I34" s="704">
        <f t="shared" ca="1" si="17"/>
        <v>2932.3582705078124</v>
      </c>
      <c r="J34" s="704">
        <f t="shared" ca="1" si="15"/>
        <v>29.271887695312671</v>
      </c>
    </row>
    <row r="35" spans="1:10" x14ac:dyDescent="0.25">
      <c r="A35" s="703">
        <v>41519</v>
      </c>
      <c r="B35" s="704">
        <f ca="1">VLOOKUP(A35,'Allocated charts'!A:AB,2,FALSE)</f>
        <v>181.36058203125</v>
      </c>
      <c r="C35" s="704">
        <f ca="1">VLOOKUP(A35,'Allocated charts'!A:AB,3,FALSE)</f>
        <v>92.227848632812496</v>
      </c>
      <c r="D35" s="704">
        <f ca="1">VLOOKUP(A35,'Allocated charts'!A:AB,4,FALSE)+VLOOKUP(A35,'Allocated charts'!A:AB,6,FALSE)+VLOOKUP(A35,'Allocated charts'!A:AB,8,FALSE)+VLOOKUP(A35,'Allocated charts'!A:AB,9,FALSE)+VLOOKUP(A35,'Allocated charts'!A:AB,10,FALSE)</f>
        <v>597.19260644531244</v>
      </c>
      <c r="E35" s="704">
        <f ca="1">VLOOKUP(A35,'Allocated charts'!A:AB,5,FALSE)+VLOOKUP(A35,'Allocated charts'!A:AB,7,FALSE)+VLOOKUP(A35,'Allocated charts'!A:AB,11,FALSE)</f>
        <v>739.40327343749993</v>
      </c>
      <c r="F35" s="704">
        <f ca="1">VLOOKUP(A35,'Allocated charts'!A:AB,12,FALSE)+VLOOKUP(A35,'Allocated charts'!A:AB,13,FALSE)+VLOOKUP(A35,'Allocated charts'!A:AB,18,FALSE)</f>
        <v>721.58989746093755</v>
      </c>
      <c r="G35" s="704">
        <f ca="1">VLOOKUP(A35,'Allocated charts'!A:AB,14,FALSE)+VLOOKUP(A35,'Allocated charts'!A:AB,15,FALSE)+VLOOKUP(A35,'Allocated charts'!A:AB,16,FALSE)++VLOOKUP(A35,'Allocated charts'!A:AB,17,FALSE)</f>
        <v>495.28429101562494</v>
      </c>
      <c r="H35" s="704">
        <f ca="1">VLOOKUP(A35,'Allocated charts'!A:AB,19,FALSE)+VLOOKUP(A35,'Allocated charts'!A:AB,20,FALSE)</f>
        <v>76.0278837890625</v>
      </c>
      <c r="I35" s="704">
        <f t="shared" ca="1" si="17"/>
        <v>2903.0863828124998</v>
      </c>
      <c r="J35" s="704">
        <f t="shared" ca="1" si="15"/>
        <v>5.1036474609372817</v>
      </c>
    </row>
    <row r="36" spans="1:10" x14ac:dyDescent="0.25">
      <c r="A36" s="703">
        <v>41513</v>
      </c>
      <c r="B36" s="704">
        <f ca="1">VLOOKUP(A36,'Allocated charts'!A:AB,2,FALSE)</f>
        <v>180.57033984374999</v>
      </c>
      <c r="C36" s="704">
        <f ca="1">VLOOKUP(A36,'Allocated charts'!A:AB,3,FALSE)</f>
        <v>91.832727539062503</v>
      </c>
      <c r="D36" s="704">
        <f ca="1">VLOOKUP(A36,'Allocated charts'!A:AB,4,FALSE)+VLOOKUP(A36,'Allocated charts'!A:AB,6,FALSE)+VLOOKUP(A36,'Allocated charts'!A:AB,8,FALSE)+VLOOKUP(A36,'Allocated charts'!A:AB,9,FALSE)+VLOOKUP(A36,'Allocated charts'!A:AB,10,FALSE)</f>
        <v>594.82187988281248</v>
      </c>
      <c r="E36" s="704">
        <f ca="1">VLOOKUP(A36,'Allocated charts'!A:AB,5,FALSE)+VLOOKUP(A36,'Allocated charts'!A:AB,7,FALSE)+VLOOKUP(A36,'Allocated charts'!A:AB,11,FALSE)</f>
        <v>739.17278613281246</v>
      </c>
      <c r="F36" s="704">
        <f ca="1">VLOOKUP(A36,'Allocated charts'!A:AB,12,FALSE)+VLOOKUP(A36,'Allocated charts'!A:AB,13,FALSE)+VLOOKUP(A36,'Allocated charts'!A:AB,18,FALSE)</f>
        <v>721.35941015624996</v>
      </c>
      <c r="G36" s="704">
        <f ca="1">VLOOKUP(A36,'Allocated charts'!A:AB,14,FALSE)+VLOOKUP(A36,'Allocated charts'!A:AB,15,FALSE)+VLOOKUP(A36,'Allocated charts'!A:AB,16,FALSE)++VLOOKUP(A36,'Allocated charts'!A:AB,17,FALSE)</f>
        <v>494.19770800781248</v>
      </c>
      <c r="H36" s="704">
        <f ca="1">VLOOKUP(A36,'Allocated charts'!A:AB,19,FALSE)+VLOOKUP(A36,'Allocated charts'!A:AB,20,FALSE)</f>
        <v>76.0278837890625</v>
      </c>
      <c r="I36" s="704">
        <f t="shared" ca="1" si="17"/>
        <v>2897.9827353515625</v>
      </c>
      <c r="J36" s="704">
        <f t="shared" ca="1" si="15"/>
        <v>81.855919921875284</v>
      </c>
    </row>
    <row r="37" spans="1:10" x14ac:dyDescent="0.25">
      <c r="A37" s="703">
        <v>41498</v>
      </c>
      <c r="B37" s="704">
        <f ca="1">VLOOKUP(A37,'Allocated charts'!A:AB,2,FALSE)</f>
        <v>180.07643847656249</v>
      </c>
      <c r="C37" s="704">
        <f ca="1">VLOOKUP(A37,'Allocated charts'!A:AB,3,FALSE)</f>
        <v>91.240045898437501</v>
      </c>
      <c r="D37" s="704">
        <f ca="1">VLOOKUP(A37,'Allocated charts'!A:AB,4,FALSE)+VLOOKUP(A37,'Allocated charts'!A:AB,6,FALSE)+VLOOKUP(A37,'Allocated charts'!A:AB,8,FALSE)+VLOOKUP(A37,'Allocated charts'!A:AB,9,FALSE)+VLOOKUP(A37,'Allocated charts'!A:AB,10,FALSE)</f>
        <v>566.37316113281247</v>
      </c>
      <c r="E37" s="704">
        <f ca="1">VLOOKUP(A37,'Allocated charts'!A:AB,5,FALSE)+VLOOKUP(A37,'Allocated charts'!A:AB,7,FALSE)+VLOOKUP(A37,'Allocated charts'!A:AB,11,FALSE)</f>
        <v>731.07280371093748</v>
      </c>
      <c r="F37" s="704">
        <f ca="1">VLOOKUP(A37,'Allocated charts'!A:AB,12,FALSE)+VLOOKUP(A37,'Allocated charts'!A:AB,13,FALSE)+VLOOKUP(A37,'Allocated charts'!A:AB,18,FALSE)</f>
        <v>715.39966699218746</v>
      </c>
      <c r="G37" s="704">
        <f ca="1">VLOOKUP(A37,'Allocated charts'!A:AB,14,FALSE)+VLOOKUP(A37,'Allocated charts'!A:AB,15,FALSE)+VLOOKUP(A37,'Allocated charts'!A:AB,16,FALSE)++VLOOKUP(A37,'Allocated charts'!A:AB,17,FALSE)</f>
        <v>478.06359667968752</v>
      </c>
      <c r="H37" s="704">
        <f ca="1">VLOOKUP(A37,'Allocated charts'!A:AB,19,FALSE)+VLOOKUP(A37,'Allocated charts'!A:AB,20,FALSE)</f>
        <v>53.901102539062492</v>
      </c>
      <c r="I37" s="704">
        <f t="shared" ca="1" si="17"/>
        <v>2816.1268154296872</v>
      </c>
      <c r="J37" s="704">
        <f t="shared" ca="1" si="15"/>
        <v>31.609687499999836</v>
      </c>
    </row>
    <row r="38" spans="1:10" x14ac:dyDescent="0.25">
      <c r="A38" s="703">
        <v>41491</v>
      </c>
      <c r="B38" s="704">
        <f ca="1">VLOOKUP(A38,'Allocated charts'!A:AB,2,FALSE)</f>
        <v>180.07643847656249</v>
      </c>
      <c r="C38" s="704">
        <f ca="1">VLOOKUP(A38,'Allocated charts'!A:AB,3,FALSE)</f>
        <v>92.030288085937499</v>
      </c>
      <c r="D38" s="704">
        <f ca="1">VLOOKUP(A38,'Allocated charts'!A:AB,4,FALSE)+VLOOKUP(A38,'Allocated charts'!A:AB,6,FALSE)+VLOOKUP(A38,'Allocated charts'!A:AB,8,FALSE)+VLOOKUP(A38,'Allocated charts'!A:AB,9,FALSE)+VLOOKUP(A38,'Allocated charts'!A:AB,10,FALSE)</f>
        <v>557.41708300781249</v>
      </c>
      <c r="E38" s="704">
        <f ca="1">VLOOKUP(A38,'Allocated charts'!A:AB,5,FALSE)+VLOOKUP(A38,'Allocated charts'!A:AB,7,FALSE)+VLOOKUP(A38,'Allocated charts'!A:AB,11,FALSE)</f>
        <v>730.64475585937498</v>
      </c>
      <c r="F38" s="704">
        <f ca="1">VLOOKUP(A38,'Allocated charts'!A:AB,12,FALSE)+VLOOKUP(A38,'Allocated charts'!A:AB,13,FALSE)+VLOOKUP(A38,'Allocated charts'!A:AB,18,FALSE)</f>
        <v>701.93262304687494</v>
      </c>
      <c r="G38" s="704">
        <f ca="1">VLOOKUP(A38,'Allocated charts'!A:AB,14,FALSE)+VLOOKUP(A38,'Allocated charts'!A:AB,15,FALSE)+VLOOKUP(A38,'Allocated charts'!A:AB,16,FALSE)++VLOOKUP(A38,'Allocated charts'!A:AB,17,FALSE)</f>
        <v>468.51483691406241</v>
      </c>
      <c r="H38" s="704">
        <f ca="1">VLOOKUP(A38,'Allocated charts'!A:AB,19,FALSE)+VLOOKUP(A38,'Allocated charts'!A:AB,20,FALSE)</f>
        <v>53.901102539062492</v>
      </c>
      <c r="I38" s="704">
        <f t="shared" ca="1" si="17"/>
        <v>2784.5171279296874</v>
      </c>
      <c r="J38" s="704">
        <f t="shared" ca="1" si="15"/>
        <v>10.964610351562897</v>
      </c>
    </row>
    <row r="39" spans="1:10" x14ac:dyDescent="0.25">
      <c r="A39" s="703">
        <v>41485</v>
      </c>
      <c r="B39" s="704">
        <f ca="1">VLOOKUP(A39,'Allocated charts'!A:AB,2,FALSE)</f>
        <v>180.07643847656249</v>
      </c>
      <c r="C39" s="704">
        <f ca="1">VLOOKUP(A39,'Allocated charts'!A:AB,3,FALSE)</f>
        <v>91.832727539062503</v>
      </c>
      <c r="D39" s="704">
        <f ca="1">VLOOKUP(A39,'Allocated charts'!A:AB,4,FALSE)+VLOOKUP(A39,'Allocated charts'!A:AB,6,FALSE)+VLOOKUP(A39,'Allocated charts'!A:AB,8,FALSE)+VLOOKUP(A39,'Allocated charts'!A:AB,9,FALSE)+VLOOKUP(A39,'Allocated charts'!A:AB,10,FALSE)</f>
        <v>546.45247265625005</v>
      </c>
      <c r="E39" s="704">
        <f ca="1">VLOOKUP(A39,'Allocated charts'!A:AB,5,FALSE)+VLOOKUP(A39,'Allocated charts'!A:AB,7,FALSE)+VLOOKUP(A39,'Allocated charts'!A:AB,11,FALSE)</f>
        <v>729.4923193359374</v>
      </c>
      <c r="F39" s="704">
        <f ca="1">VLOOKUP(A39,'Allocated charts'!A:AB,12,FALSE)+VLOOKUP(A39,'Allocated charts'!A:AB,13,FALSE)+VLOOKUP(A39,'Allocated charts'!A:AB,18,FALSE)</f>
        <v>715.49844726562492</v>
      </c>
      <c r="G39" s="704">
        <f ca="1">VLOOKUP(A39,'Allocated charts'!A:AB,14,FALSE)+VLOOKUP(A39,'Allocated charts'!A:AB,15,FALSE)+VLOOKUP(A39,'Allocated charts'!A:AB,16,FALSE)++VLOOKUP(A39,'Allocated charts'!A:AB,17,FALSE)</f>
        <v>456.29900976562499</v>
      </c>
      <c r="H39" s="704">
        <f ca="1">VLOOKUP(A39,'Allocated charts'!A:AB,19,FALSE)+VLOOKUP(A39,'Allocated charts'!A:AB,20,FALSE)</f>
        <v>53.901102539062492</v>
      </c>
      <c r="I39" s="704">
        <f t="shared" ca="1" si="17"/>
        <v>2773.5525175781245</v>
      </c>
      <c r="J39" s="704">
        <f t="shared" ca="1" si="15"/>
        <v>15.541429687499658</v>
      </c>
    </row>
    <row r="40" spans="1:10" x14ac:dyDescent="0.25">
      <c r="A40" s="703">
        <v>41478</v>
      </c>
      <c r="B40" s="704">
        <f ca="1">VLOOKUP(A40,'Allocated charts'!A:AB,2,FALSE)</f>
        <v>180.07643847656249</v>
      </c>
      <c r="C40" s="704">
        <f ca="1">VLOOKUP(A40,'Allocated charts'!A:AB,3,FALSE)</f>
        <v>91.602240234375003</v>
      </c>
      <c r="D40" s="704">
        <f ca="1">VLOOKUP(A40,'Allocated charts'!A:AB,4,FALSE)+VLOOKUP(A40,'Allocated charts'!A:AB,6,FALSE)+VLOOKUP(A40,'Allocated charts'!A:AB,8,FALSE)+VLOOKUP(A40,'Allocated charts'!A:AB,9,FALSE)+VLOOKUP(A40,'Allocated charts'!A:AB,10,FALSE)</f>
        <v>537.89151562500001</v>
      </c>
      <c r="E40" s="704">
        <f ca="1">VLOOKUP(A40,'Allocated charts'!A:AB,5,FALSE)+VLOOKUP(A40,'Allocated charts'!A:AB,7,FALSE)+VLOOKUP(A40,'Allocated charts'!A:AB,11,FALSE)</f>
        <v>729.4923193359374</v>
      </c>
      <c r="F40" s="704">
        <f ca="1">VLOOKUP(A40,'Allocated charts'!A:AB,12,FALSE)+VLOOKUP(A40,'Allocated charts'!A:AB,13,FALSE)+VLOOKUP(A40,'Allocated charts'!A:AB,18,FALSE)</f>
        <v>715.33381347656245</v>
      </c>
      <c r="G40" s="704">
        <f ca="1">VLOOKUP(A40,'Allocated charts'!A:AB,14,FALSE)+VLOOKUP(A40,'Allocated charts'!A:AB,15,FALSE)+VLOOKUP(A40,'Allocated charts'!A:AB,16,FALSE)++VLOOKUP(A40,'Allocated charts'!A:AB,17,FALSE)</f>
        <v>449.74658496093747</v>
      </c>
      <c r="H40" s="704">
        <f ca="1">VLOOKUP(A40,'Allocated charts'!A:AB,19,FALSE)+VLOOKUP(A40,'Allocated charts'!A:AB,20,FALSE)</f>
        <v>53.868175781250002</v>
      </c>
      <c r="I40" s="704">
        <f t="shared" ca="1" si="17"/>
        <v>2758.0110878906248</v>
      </c>
      <c r="J40" s="704">
        <f t="shared" ca="1" si="15"/>
        <v>65.26083398437504</v>
      </c>
    </row>
    <row r="41" spans="1:10" x14ac:dyDescent="0.25">
      <c r="A41" s="703">
        <v>41470</v>
      </c>
      <c r="B41" s="704">
        <f ca="1">VLOOKUP(A41,'Allocated charts'!A:AB,2,FALSE)</f>
        <v>180.07643847656249</v>
      </c>
      <c r="C41" s="704">
        <f ca="1">VLOOKUP(A41,'Allocated charts'!A:AB,3,FALSE)</f>
        <v>91.602240234375003</v>
      </c>
      <c r="D41" s="704">
        <f ca="1">VLOOKUP(A41,'Allocated charts'!A:AB,4,FALSE)+VLOOKUP(A41,'Allocated charts'!A:AB,6,FALSE)+VLOOKUP(A41,'Allocated charts'!A:AB,8,FALSE)+VLOOKUP(A41,'Allocated charts'!A:AB,9,FALSE)+VLOOKUP(A41,'Allocated charts'!A:AB,10,FALSE)</f>
        <v>523.17325488281256</v>
      </c>
      <c r="E41" s="704">
        <f ca="1">VLOOKUP(A41,'Allocated charts'!A:AB,5,FALSE)+VLOOKUP(A41,'Allocated charts'!A:AB,7,FALSE)+VLOOKUP(A41,'Allocated charts'!A:AB,11,FALSE)</f>
        <v>726.72647167968751</v>
      </c>
      <c r="F41" s="704">
        <f ca="1">VLOOKUP(A41,'Allocated charts'!A:AB,12,FALSE)+VLOOKUP(A41,'Allocated charts'!A:AB,13,FALSE)+VLOOKUP(A41,'Allocated charts'!A:AB,18,FALSE)</f>
        <v>684.05339355468743</v>
      </c>
      <c r="G41" s="704">
        <f ca="1">VLOOKUP(A41,'Allocated charts'!A:AB,14,FALSE)+VLOOKUP(A41,'Allocated charts'!A:AB,15,FALSE)+VLOOKUP(A41,'Allocated charts'!A:AB,16,FALSE)++VLOOKUP(A41,'Allocated charts'!A:AB,17,FALSE)</f>
        <v>434.07344824218751</v>
      </c>
      <c r="H41" s="704">
        <f ca="1">VLOOKUP(A41,'Allocated charts'!A:AB,19,FALSE)+VLOOKUP(A41,'Allocated charts'!A:AB,20,FALSE)</f>
        <v>53.0450068359375</v>
      </c>
      <c r="I41" s="704">
        <f t="shared" ca="1" si="17"/>
        <v>2692.7502539062498</v>
      </c>
      <c r="J41" s="704">
        <f t="shared" ca="1" si="15"/>
        <v>48.204773437499625</v>
      </c>
    </row>
    <row r="42" spans="1:10" x14ac:dyDescent="0.25">
      <c r="A42" s="703">
        <v>41464</v>
      </c>
      <c r="B42" s="704">
        <f ca="1">VLOOKUP(A42,'Allocated charts'!A:AB,2,FALSE)</f>
        <v>178.98985546874999</v>
      </c>
      <c r="C42" s="704">
        <f ca="1">VLOOKUP(A42,'Allocated charts'!A:AB,3,FALSE)</f>
        <v>90.680291015625002</v>
      </c>
      <c r="D42" s="704">
        <f ca="1">VLOOKUP(A42,'Allocated charts'!A:AB,4,FALSE)+VLOOKUP(A42,'Allocated charts'!A:AB,6,FALSE)+VLOOKUP(A42,'Allocated charts'!A:AB,8,FALSE)+VLOOKUP(A42,'Allocated charts'!A:AB,9,FALSE)+VLOOKUP(A42,'Allocated charts'!A:AB,10,FALSE)</f>
        <v>518.76106933593758</v>
      </c>
      <c r="E42" s="704">
        <f ca="1">VLOOKUP(A42,'Allocated charts'!A:AB,5,FALSE)+VLOOKUP(A42,'Allocated charts'!A:AB,7,FALSE)+VLOOKUP(A42,'Allocated charts'!A:AB,11,FALSE)</f>
        <v>725.24476757812499</v>
      </c>
      <c r="F42" s="704">
        <f ca="1">VLOOKUP(A42,'Allocated charts'!A:AB,12,FALSE)+VLOOKUP(A42,'Allocated charts'!A:AB,13,FALSE)+VLOOKUP(A42,'Allocated charts'!A:AB,18,FALSE)</f>
        <v>648.13030078124996</v>
      </c>
      <c r="G42" s="704">
        <f ca="1">VLOOKUP(A42,'Allocated charts'!A:AB,14,FALSE)+VLOOKUP(A42,'Allocated charts'!A:AB,15,FALSE)+VLOOKUP(A42,'Allocated charts'!A:AB,16,FALSE)++VLOOKUP(A42,'Allocated charts'!A:AB,17,FALSE)</f>
        <v>430.48443164062496</v>
      </c>
      <c r="H42" s="704">
        <f ca="1">VLOOKUP(A42,'Allocated charts'!A:AB,19,FALSE)+VLOOKUP(A42,'Allocated charts'!A:AB,20,FALSE)</f>
        <v>52.254764648437501</v>
      </c>
      <c r="I42" s="704">
        <f t="shared" ca="1" si="17"/>
        <v>2644.5454804687502</v>
      </c>
      <c r="J42" s="704">
        <f t="shared" ca="1" si="15"/>
        <v>-139.97164746093722</v>
      </c>
    </row>
    <row r="43" spans="1:10" x14ac:dyDescent="0.25">
      <c r="A43" s="703">
        <v>41491</v>
      </c>
      <c r="B43" s="704">
        <f ca="1">VLOOKUP(A43,'Allocated charts'!A:AB,2,FALSE)</f>
        <v>180.07643847656249</v>
      </c>
      <c r="C43" s="704">
        <f ca="1">VLOOKUP(A43,'Allocated charts'!A:AB,3,FALSE)</f>
        <v>92.030288085937499</v>
      </c>
      <c r="D43" s="704">
        <f ca="1">VLOOKUP(A43,'Allocated charts'!A:AB,4,FALSE)+VLOOKUP(A43,'Allocated charts'!A:AB,6,FALSE)+VLOOKUP(A43,'Allocated charts'!A:AB,8,FALSE)+VLOOKUP(A43,'Allocated charts'!A:AB,9,FALSE)+VLOOKUP(A43,'Allocated charts'!A:AB,10,FALSE)</f>
        <v>557.41708300781249</v>
      </c>
      <c r="E43" s="704">
        <f ca="1">VLOOKUP(A43,'Allocated charts'!A:AB,5,FALSE)+VLOOKUP(A43,'Allocated charts'!A:AB,7,FALSE)+VLOOKUP(A43,'Allocated charts'!A:AB,11,FALSE)</f>
        <v>730.64475585937498</v>
      </c>
      <c r="F43" s="704">
        <f ca="1">VLOOKUP(A43,'Allocated charts'!A:AB,12,FALSE)+VLOOKUP(A43,'Allocated charts'!A:AB,13,FALSE)+VLOOKUP(A43,'Allocated charts'!A:AB,18,FALSE)</f>
        <v>701.93262304687494</v>
      </c>
      <c r="G43" s="704">
        <f ca="1">VLOOKUP(A43,'Allocated charts'!A:AB,14,FALSE)+VLOOKUP(A43,'Allocated charts'!A:AB,15,FALSE)+VLOOKUP(A43,'Allocated charts'!A:AB,16,FALSE)++VLOOKUP(A43,'Allocated charts'!A:AB,17,FALSE)</f>
        <v>468.51483691406241</v>
      </c>
      <c r="H43" s="704">
        <f ca="1">VLOOKUP(A43,'Allocated charts'!A:AB,19,FALSE)+VLOOKUP(A43,'Allocated charts'!A:AB,20,FALSE)</f>
        <v>53.901102539062492</v>
      </c>
      <c r="I43" s="704">
        <f t="shared" ca="1" si="17"/>
        <v>2784.5171279296874</v>
      </c>
      <c r="J43" s="704">
        <f t="shared" ca="1" si="15"/>
        <v>10.964610351562897</v>
      </c>
    </row>
    <row r="44" spans="1:10" x14ac:dyDescent="0.25">
      <c r="A44" s="703">
        <v>41485</v>
      </c>
      <c r="B44" s="704">
        <f ca="1">VLOOKUP(A44,'Allocated charts'!A:AB,2,FALSE)</f>
        <v>180.07643847656249</v>
      </c>
      <c r="C44" s="704">
        <f ca="1">VLOOKUP(A44,'Allocated charts'!A:AB,3,FALSE)</f>
        <v>91.832727539062503</v>
      </c>
      <c r="D44" s="704">
        <f ca="1">VLOOKUP(A44,'Allocated charts'!A:AB,4,FALSE)+VLOOKUP(A44,'Allocated charts'!A:AB,6,FALSE)+VLOOKUP(A44,'Allocated charts'!A:AB,8,FALSE)+VLOOKUP(A44,'Allocated charts'!A:AB,9,FALSE)+VLOOKUP(A44,'Allocated charts'!A:AB,10,FALSE)</f>
        <v>546.45247265625005</v>
      </c>
      <c r="E44" s="704">
        <f ca="1">VLOOKUP(A44,'Allocated charts'!A:AB,5,FALSE)+VLOOKUP(A44,'Allocated charts'!A:AB,7,FALSE)+VLOOKUP(A44,'Allocated charts'!A:AB,11,FALSE)</f>
        <v>729.4923193359374</v>
      </c>
      <c r="F44" s="704">
        <f ca="1">VLOOKUP(A44,'Allocated charts'!A:AB,12,FALSE)+VLOOKUP(A44,'Allocated charts'!A:AB,13,FALSE)+VLOOKUP(A44,'Allocated charts'!A:AB,18,FALSE)</f>
        <v>715.49844726562492</v>
      </c>
      <c r="G44" s="704">
        <f ca="1">VLOOKUP(A44,'Allocated charts'!A:AB,14,FALSE)+VLOOKUP(A44,'Allocated charts'!A:AB,15,FALSE)+VLOOKUP(A44,'Allocated charts'!A:AB,16,FALSE)++VLOOKUP(A44,'Allocated charts'!A:AB,17,FALSE)</f>
        <v>456.29900976562499</v>
      </c>
      <c r="H44" s="704">
        <f ca="1">VLOOKUP(A44,'Allocated charts'!A:AB,19,FALSE)+VLOOKUP(A44,'Allocated charts'!A:AB,20,FALSE)</f>
        <v>53.901102539062492</v>
      </c>
      <c r="I44" s="704">
        <f t="shared" ca="1" si="17"/>
        <v>2773.5525175781245</v>
      </c>
      <c r="J44" s="704">
        <f t="shared" ca="1" si="15"/>
        <v>15.541429687499658</v>
      </c>
    </row>
    <row r="45" spans="1:10" x14ac:dyDescent="0.25">
      <c r="A45" s="703">
        <v>41478</v>
      </c>
      <c r="B45" s="704">
        <f ca="1">VLOOKUP(A45,'Allocated charts'!A:AB,2,FALSE)</f>
        <v>180.07643847656249</v>
      </c>
      <c r="C45" s="704">
        <f ca="1">VLOOKUP(A45,'Allocated charts'!A:AB,3,FALSE)</f>
        <v>91.602240234375003</v>
      </c>
      <c r="D45" s="704">
        <f ca="1">VLOOKUP(A45,'Allocated charts'!A:AB,4,FALSE)+VLOOKUP(A45,'Allocated charts'!A:AB,6,FALSE)+VLOOKUP(A45,'Allocated charts'!A:AB,8,FALSE)+VLOOKUP(A45,'Allocated charts'!A:AB,9,FALSE)+VLOOKUP(A45,'Allocated charts'!A:AB,10,FALSE)</f>
        <v>537.89151562500001</v>
      </c>
      <c r="E45" s="704">
        <f ca="1">VLOOKUP(A45,'Allocated charts'!A:AB,5,FALSE)+VLOOKUP(A45,'Allocated charts'!A:AB,7,FALSE)+VLOOKUP(A45,'Allocated charts'!A:AB,11,FALSE)</f>
        <v>729.4923193359374</v>
      </c>
      <c r="F45" s="704">
        <f ca="1">VLOOKUP(A45,'Allocated charts'!A:AB,12,FALSE)+VLOOKUP(A45,'Allocated charts'!A:AB,13,FALSE)+VLOOKUP(A45,'Allocated charts'!A:AB,18,FALSE)</f>
        <v>715.33381347656245</v>
      </c>
      <c r="G45" s="704">
        <f ca="1">VLOOKUP(A45,'Allocated charts'!A:AB,14,FALSE)+VLOOKUP(A45,'Allocated charts'!A:AB,15,FALSE)+VLOOKUP(A45,'Allocated charts'!A:AB,16,FALSE)++VLOOKUP(A45,'Allocated charts'!A:AB,17,FALSE)</f>
        <v>449.74658496093747</v>
      </c>
      <c r="H45" s="704">
        <f ca="1">VLOOKUP(A45,'Allocated charts'!A:AB,19,FALSE)+VLOOKUP(A45,'Allocated charts'!A:AB,20,FALSE)</f>
        <v>53.868175781250002</v>
      </c>
      <c r="I45" s="704">
        <f t="shared" ca="1" si="17"/>
        <v>2758.0110878906248</v>
      </c>
      <c r="J45" s="704">
        <f t="shared" ca="1" si="15"/>
        <v>65.26083398437504</v>
      </c>
    </row>
    <row r="46" spans="1:10" x14ac:dyDescent="0.25">
      <c r="A46" s="703">
        <v>41470</v>
      </c>
      <c r="B46" s="704">
        <f ca="1">VLOOKUP(A46,'Allocated charts'!A:AB,2,FALSE)</f>
        <v>180.07643847656249</v>
      </c>
      <c r="C46" s="704">
        <f ca="1">VLOOKUP(A46,'Allocated charts'!A:AB,3,FALSE)</f>
        <v>91.602240234375003</v>
      </c>
      <c r="D46" s="704">
        <f ca="1">VLOOKUP(A46,'Allocated charts'!A:AB,4,FALSE)+VLOOKUP(A46,'Allocated charts'!A:AB,6,FALSE)+VLOOKUP(A46,'Allocated charts'!A:AB,8,FALSE)+VLOOKUP(A46,'Allocated charts'!A:AB,9,FALSE)+VLOOKUP(A46,'Allocated charts'!A:AB,10,FALSE)</f>
        <v>523.17325488281256</v>
      </c>
      <c r="E46" s="704">
        <f ca="1">VLOOKUP(A46,'Allocated charts'!A:AB,5,FALSE)+VLOOKUP(A46,'Allocated charts'!A:AB,7,FALSE)+VLOOKUP(A46,'Allocated charts'!A:AB,11,FALSE)</f>
        <v>726.72647167968751</v>
      </c>
      <c r="F46" s="704">
        <f ca="1">VLOOKUP(A46,'Allocated charts'!A:AB,12,FALSE)+VLOOKUP(A46,'Allocated charts'!A:AB,13,FALSE)+VLOOKUP(A46,'Allocated charts'!A:AB,18,FALSE)</f>
        <v>684.05339355468743</v>
      </c>
      <c r="G46" s="704">
        <f ca="1">VLOOKUP(A46,'Allocated charts'!A:AB,14,FALSE)+VLOOKUP(A46,'Allocated charts'!A:AB,15,FALSE)+VLOOKUP(A46,'Allocated charts'!A:AB,16,FALSE)++VLOOKUP(A46,'Allocated charts'!A:AB,17,FALSE)</f>
        <v>434.07344824218751</v>
      </c>
      <c r="H46" s="704">
        <f ca="1">VLOOKUP(A46,'Allocated charts'!A:AB,19,FALSE)+VLOOKUP(A46,'Allocated charts'!A:AB,20,FALSE)</f>
        <v>53.0450068359375</v>
      </c>
      <c r="I46" s="704">
        <f t="shared" ca="1" si="17"/>
        <v>2692.7502539062498</v>
      </c>
      <c r="J46" s="704">
        <f t="shared" ca="1" si="15"/>
        <v>48.204773437499625</v>
      </c>
    </row>
    <row r="47" spans="1:10" x14ac:dyDescent="0.25">
      <c r="A47" s="703">
        <v>41464</v>
      </c>
      <c r="B47" s="704">
        <f ca="1">VLOOKUP(A47,'Allocated charts'!A:AB,2,FALSE)</f>
        <v>178.98985546874999</v>
      </c>
      <c r="C47" s="704">
        <f ca="1">VLOOKUP(A47,'Allocated charts'!A:AB,3,FALSE)</f>
        <v>90.680291015625002</v>
      </c>
      <c r="D47" s="704">
        <f ca="1">VLOOKUP(A47,'Allocated charts'!A:AB,4,FALSE)+VLOOKUP(A47,'Allocated charts'!A:AB,6,FALSE)+VLOOKUP(A47,'Allocated charts'!A:AB,8,FALSE)+VLOOKUP(A47,'Allocated charts'!A:AB,9,FALSE)+VLOOKUP(A47,'Allocated charts'!A:AB,10,FALSE)</f>
        <v>518.76106933593758</v>
      </c>
      <c r="E47" s="704">
        <f ca="1">VLOOKUP(A47,'Allocated charts'!A:AB,5,FALSE)+VLOOKUP(A47,'Allocated charts'!A:AB,7,FALSE)+VLOOKUP(A47,'Allocated charts'!A:AB,11,FALSE)</f>
        <v>725.24476757812499</v>
      </c>
      <c r="F47" s="704">
        <f ca="1">VLOOKUP(A47,'Allocated charts'!A:AB,12,FALSE)+VLOOKUP(A47,'Allocated charts'!A:AB,13,FALSE)+VLOOKUP(A47,'Allocated charts'!A:AB,18,FALSE)</f>
        <v>648.13030078124996</v>
      </c>
      <c r="G47" s="704">
        <f ca="1">VLOOKUP(A47,'Allocated charts'!A:AB,14,FALSE)+VLOOKUP(A47,'Allocated charts'!A:AB,15,FALSE)+VLOOKUP(A47,'Allocated charts'!A:AB,16,FALSE)++VLOOKUP(A47,'Allocated charts'!A:AB,17,FALSE)</f>
        <v>430.48443164062496</v>
      </c>
      <c r="H47" s="704">
        <f ca="1">VLOOKUP(A47,'Allocated charts'!A:AB,19,FALSE)+VLOOKUP(A47,'Allocated charts'!A:AB,20,FALSE)</f>
        <v>52.254764648437501</v>
      </c>
      <c r="I47" s="704">
        <f t="shared" ca="1" si="17"/>
        <v>2644.5454804687502</v>
      </c>
      <c r="J47" s="704">
        <f t="shared" ca="1" si="15"/>
        <v>0</v>
      </c>
    </row>
    <row r="48" spans="1:10" x14ac:dyDescent="0.25">
      <c r="A48" s="703">
        <v>41449</v>
      </c>
      <c r="B48" s="704">
        <f ca="1">VLOOKUP(A48,'Allocated charts'!A:AB,2,FALSE)</f>
        <v>178.98985546874999</v>
      </c>
      <c r="C48" s="704">
        <f ca="1">VLOOKUP(A48,'Allocated charts'!A:AB,3,FALSE)</f>
        <v>90.680291015625002</v>
      </c>
      <c r="D48" s="704">
        <f ca="1">VLOOKUP(A48,'Allocated charts'!A:AB,4,FALSE)+VLOOKUP(A48,'Allocated charts'!A:AB,6,FALSE)+VLOOKUP(A48,'Allocated charts'!A:AB,8,FALSE)+VLOOKUP(A48,'Allocated charts'!A:AB,9,FALSE)+VLOOKUP(A48,'Allocated charts'!A:AB,10,FALSE)</f>
        <v>518.76106933593758</v>
      </c>
      <c r="E48" s="704">
        <f ca="1">VLOOKUP(A48,'Allocated charts'!A:AB,5,FALSE)+VLOOKUP(A48,'Allocated charts'!A:AB,7,FALSE)+VLOOKUP(A48,'Allocated charts'!A:AB,11,FALSE)</f>
        <v>725.24476757812499</v>
      </c>
      <c r="F48" s="704">
        <f ca="1">VLOOKUP(A48,'Allocated charts'!A:AB,12,FALSE)+VLOOKUP(A48,'Allocated charts'!A:AB,13,FALSE)+VLOOKUP(A48,'Allocated charts'!A:AB,18,FALSE)</f>
        <v>648.13030078124996</v>
      </c>
      <c r="G48" s="704">
        <f ca="1">VLOOKUP(A48,'Allocated charts'!A:AB,14,FALSE)+VLOOKUP(A48,'Allocated charts'!A:AB,15,FALSE)+VLOOKUP(A48,'Allocated charts'!A:AB,16,FALSE)++VLOOKUP(A48,'Allocated charts'!A:AB,17,FALSE)</f>
        <v>430.48443164062496</v>
      </c>
      <c r="H48" s="704">
        <f ca="1">VLOOKUP(A48,'Allocated charts'!A:AB,19,FALSE)+VLOOKUP(A48,'Allocated charts'!A:AB,20,FALSE)</f>
        <v>52.254764648437501</v>
      </c>
      <c r="I48" s="704">
        <f t="shared" ca="1" si="17"/>
        <v>2644.5454804687502</v>
      </c>
      <c r="J48" s="704">
        <f t="shared" ca="1" si="15"/>
        <v>18.899958984375189</v>
      </c>
    </row>
    <row r="49" spans="1:10" x14ac:dyDescent="0.25">
      <c r="A49" s="703">
        <v>41445</v>
      </c>
      <c r="B49" s="704">
        <f ca="1">VLOOKUP(A49,'Allocated charts'!A:AB,2,FALSE)</f>
        <v>178.00205273437498</v>
      </c>
      <c r="C49" s="704">
        <f ca="1">VLOOKUP(A49,'Allocated charts'!A:AB,3,FALSE)</f>
        <v>88.935172851562498</v>
      </c>
      <c r="D49" s="704">
        <f ca="1">VLOOKUP(A49,'Allocated charts'!A:AB,4,FALSE)+VLOOKUP(A49,'Allocated charts'!A:AB,6,FALSE)+VLOOKUP(A49,'Allocated charts'!A:AB,8,FALSE)+VLOOKUP(A49,'Allocated charts'!A:AB,9,FALSE)+VLOOKUP(A49,'Allocated charts'!A:AB,10,FALSE)</f>
        <v>512.14279101562499</v>
      </c>
      <c r="E49" s="704">
        <f ca="1">VLOOKUP(A49,'Allocated charts'!A:AB,5,FALSE)+VLOOKUP(A49,'Allocated charts'!A:AB,7,FALSE)+VLOOKUP(A49,'Allocated charts'!A:AB,11,FALSE)</f>
        <v>723.00574804687494</v>
      </c>
      <c r="F49" s="704">
        <f ca="1">VLOOKUP(A49,'Allocated charts'!A:AB,12,FALSE)+VLOOKUP(A49,'Allocated charts'!A:AB,13,FALSE)+VLOOKUP(A49,'Allocated charts'!A:AB,18,FALSE)</f>
        <v>648.13030078124996</v>
      </c>
      <c r="G49" s="704">
        <f ca="1">VLOOKUP(A49,'Allocated charts'!A:AB,14,FALSE)+VLOOKUP(A49,'Allocated charts'!A:AB,15,FALSE)+VLOOKUP(A49,'Allocated charts'!A:AB,16,FALSE)++VLOOKUP(A49,'Allocated charts'!A:AB,17,FALSE)</f>
        <v>423.17469140625002</v>
      </c>
      <c r="H49" s="704">
        <f ca="1">VLOOKUP(A49,'Allocated charts'!A:AB,19,FALSE)+VLOOKUP(A49,'Allocated charts'!A:AB,20,FALSE)</f>
        <v>52.254764648437501</v>
      </c>
      <c r="I49" s="704">
        <f t="shared" ca="1" si="17"/>
        <v>2625.645521484375</v>
      </c>
      <c r="J49" s="704">
        <f t="shared" ca="1" si="15"/>
        <v>8.7255908203123909</v>
      </c>
    </row>
    <row r="50" spans="1:10" x14ac:dyDescent="0.25">
      <c r="A50" s="703">
        <v>41443</v>
      </c>
      <c r="B50" s="704">
        <f ca="1">VLOOKUP(A50,'Allocated charts'!A:AB,2,FALSE)</f>
        <v>178.00205273437498</v>
      </c>
      <c r="C50" s="704">
        <f ca="1">VLOOKUP(A50,'Allocated charts'!A:AB,3,FALSE)</f>
        <v>88.935172851562498</v>
      </c>
      <c r="D50" s="704">
        <f ca="1">VLOOKUP(A50,'Allocated charts'!A:AB,4,FALSE)+VLOOKUP(A50,'Allocated charts'!A:AB,6,FALSE)+VLOOKUP(A50,'Allocated charts'!A:AB,8,FALSE)+VLOOKUP(A50,'Allocated charts'!A:AB,9,FALSE)+VLOOKUP(A50,'Allocated charts'!A:AB,10,FALSE)</f>
        <v>508.25743359375002</v>
      </c>
      <c r="E50" s="704">
        <f ca="1">VLOOKUP(A50,'Allocated charts'!A:AB,5,FALSE)+VLOOKUP(A50,'Allocated charts'!A:AB,7,FALSE)+VLOOKUP(A50,'Allocated charts'!A:AB,11,FALSE)</f>
        <v>723.00574804687494</v>
      </c>
      <c r="F50" s="704">
        <f ca="1">VLOOKUP(A50,'Allocated charts'!A:AB,12,FALSE)+VLOOKUP(A50,'Allocated charts'!A:AB,13,FALSE)+VLOOKUP(A50,'Allocated charts'!A:AB,18,FALSE)</f>
        <v>648.13030078124996</v>
      </c>
      <c r="G50" s="704">
        <f ca="1">VLOOKUP(A50,'Allocated charts'!A:AB,14,FALSE)+VLOOKUP(A50,'Allocated charts'!A:AB,15,FALSE)+VLOOKUP(A50,'Allocated charts'!A:AB,16,FALSE)++VLOOKUP(A50,'Allocated charts'!A:AB,17,FALSE)</f>
        <v>418.53201855468745</v>
      </c>
      <c r="H50" s="704">
        <f ca="1">VLOOKUP(A50,'Allocated charts'!A:AB,19,FALSE)+VLOOKUP(A50,'Allocated charts'!A:AB,20,FALSE)</f>
        <v>52.057204101562498</v>
      </c>
      <c r="I50" s="704">
        <f t="shared" ca="1" si="17"/>
        <v>2616.9199306640626</v>
      </c>
      <c r="J50" s="704">
        <f t="shared" ca="1" si="15"/>
        <v>27.888963867187613</v>
      </c>
    </row>
    <row r="51" spans="1:10" x14ac:dyDescent="0.25">
      <c r="A51" s="703">
        <v>41437</v>
      </c>
      <c r="B51" s="704">
        <f ca="1">VLOOKUP(A51,'Allocated charts'!A:AB,2,FALSE)</f>
        <v>175.79595996093749</v>
      </c>
      <c r="C51" s="704">
        <f ca="1">VLOOKUP(A51,'Allocated charts'!A:AB,3,FALSE)</f>
        <v>88.474198242187498</v>
      </c>
      <c r="D51" s="704">
        <f ca="1">VLOOKUP(A51,'Allocated charts'!A:AB,4,FALSE)+VLOOKUP(A51,'Allocated charts'!A:AB,6,FALSE)+VLOOKUP(A51,'Allocated charts'!A:AB,8,FALSE)+VLOOKUP(A51,'Allocated charts'!A:AB,9,FALSE)+VLOOKUP(A51,'Allocated charts'!A:AB,10,FALSE)</f>
        <v>498.64282031250002</v>
      </c>
      <c r="E51" s="704">
        <f ca="1">VLOOKUP(A51,'Allocated charts'!A:AB,5,FALSE)+VLOOKUP(A51,'Allocated charts'!A:AB,7,FALSE)+VLOOKUP(A51,'Allocated charts'!A:AB,11,FALSE)</f>
        <v>723.07160156249995</v>
      </c>
      <c r="F51" s="704">
        <f ca="1">VLOOKUP(A51,'Allocated charts'!A:AB,12,FALSE)+VLOOKUP(A51,'Allocated charts'!A:AB,13,FALSE)+VLOOKUP(A51,'Allocated charts'!A:AB,18,FALSE)</f>
        <v>643.1254335937499</v>
      </c>
      <c r="G51" s="704">
        <f ca="1">VLOOKUP(A51,'Allocated charts'!A:AB,14,FALSE)+VLOOKUP(A51,'Allocated charts'!A:AB,15,FALSE)+VLOOKUP(A51,'Allocated charts'!A:AB,16,FALSE)++VLOOKUP(A51,'Allocated charts'!A:AB,17,FALSE)</f>
        <v>411.38691210937492</v>
      </c>
      <c r="H51" s="704">
        <f ca="1">VLOOKUP(A51,'Allocated charts'!A:AB,19,FALSE)+VLOOKUP(A51,'Allocated charts'!A:AB,20,FALSE)</f>
        <v>48.534041015625</v>
      </c>
      <c r="I51" s="704">
        <f t="shared" ca="1" si="17"/>
        <v>2589.030966796875</v>
      </c>
      <c r="J51" s="705"/>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38"/>
  <sheetViews>
    <sheetView workbookViewId="0">
      <selection activeCell="B25" sqref="B25"/>
    </sheetView>
  </sheetViews>
  <sheetFormatPr defaultRowHeight="15" x14ac:dyDescent="0.25"/>
  <cols>
    <col min="1" max="1" width="82.42578125" bestFit="1" customWidth="1"/>
  </cols>
  <sheetData>
    <row r="1" spans="1:10" x14ac:dyDescent="0.25">
      <c r="A1" t="s">
        <v>17</v>
      </c>
    </row>
    <row r="3" spans="1:10" x14ac:dyDescent="0.25">
      <c r="A3" t="s">
        <v>164</v>
      </c>
    </row>
    <row r="4" spans="1:10" x14ac:dyDescent="0.25">
      <c r="A4" t="s">
        <v>78</v>
      </c>
    </row>
    <row r="5" spans="1:10" x14ac:dyDescent="0.25">
      <c r="A5" s="267" t="s">
        <v>23</v>
      </c>
      <c r="B5" t="s">
        <v>18</v>
      </c>
    </row>
    <row r="6" spans="1:10" ht="29.25" customHeight="1" x14ac:dyDescent="0.25">
      <c r="A6" s="5" t="s">
        <v>95</v>
      </c>
      <c r="B6" s="957" t="s">
        <v>19</v>
      </c>
      <c r="C6" s="957"/>
      <c r="D6" s="957"/>
      <c r="E6" s="957"/>
      <c r="F6" s="957"/>
      <c r="G6" s="957"/>
      <c r="H6" s="957"/>
      <c r="I6" s="957"/>
    </row>
    <row r="7" spans="1:10" x14ac:dyDescent="0.25">
      <c r="A7" t="s">
        <v>24</v>
      </c>
    </row>
    <row r="8" spans="1:10" x14ac:dyDescent="0.25">
      <c r="A8" t="s">
        <v>94</v>
      </c>
    </row>
    <row r="9" spans="1:10" x14ac:dyDescent="0.25">
      <c r="D9" s="10"/>
      <c r="E9" s="10"/>
      <c r="F9" s="10"/>
      <c r="G9" s="10"/>
      <c r="H9" s="10"/>
    </row>
    <row r="10" spans="1:10" x14ac:dyDescent="0.25">
      <c r="A10" s="267" t="s">
        <v>165</v>
      </c>
      <c r="D10" s="10"/>
      <c r="E10" s="10"/>
      <c r="F10" s="10"/>
      <c r="G10" s="10"/>
      <c r="H10" s="10"/>
    </row>
    <row r="11" spans="1:10" x14ac:dyDescent="0.25">
      <c r="A11" t="s">
        <v>82</v>
      </c>
      <c r="D11" s="10"/>
      <c r="E11" s="10"/>
      <c r="F11" s="10"/>
      <c r="G11" s="10"/>
      <c r="H11" s="10"/>
    </row>
    <row r="12" spans="1:10" x14ac:dyDescent="0.25">
      <c r="A12" t="s">
        <v>25</v>
      </c>
      <c r="B12" s="53"/>
      <c r="C12" s="53"/>
      <c r="D12" s="65"/>
      <c r="E12" s="65"/>
      <c r="F12" s="65"/>
      <c r="G12" s="65"/>
      <c r="H12" s="65"/>
      <c r="I12" s="53"/>
      <c r="J12" s="53"/>
    </row>
    <row r="13" spans="1:10" x14ac:dyDescent="0.25">
      <c r="A13" s="5" t="s">
        <v>93</v>
      </c>
      <c r="B13" s="53"/>
      <c r="C13" s="53"/>
      <c r="D13" s="53"/>
      <c r="E13" s="53"/>
      <c r="F13" s="53"/>
      <c r="G13" s="53"/>
      <c r="H13" s="53"/>
      <c r="I13" s="53"/>
      <c r="J13" s="53"/>
    </row>
    <row r="14" spans="1:10" x14ac:dyDescent="0.25">
      <c r="A14" t="s">
        <v>26</v>
      </c>
      <c r="B14" s="53"/>
      <c r="C14" s="53"/>
      <c r="D14" s="53"/>
      <c r="E14" s="53"/>
      <c r="F14" s="53"/>
      <c r="G14" s="53"/>
      <c r="H14" s="53"/>
      <c r="I14" s="53"/>
      <c r="J14" s="53"/>
    </row>
    <row r="15" spans="1:10" x14ac:dyDescent="0.25">
      <c r="A15" t="s">
        <v>92</v>
      </c>
      <c r="B15" s="53"/>
      <c r="C15" s="53"/>
      <c r="D15" s="53"/>
      <c r="E15" s="53"/>
      <c r="F15" s="53"/>
      <c r="G15" s="53"/>
      <c r="H15" s="53"/>
      <c r="I15" s="53"/>
      <c r="J15" s="53"/>
    </row>
    <row r="16" spans="1:10" x14ac:dyDescent="0.25">
      <c r="A16" t="s">
        <v>162</v>
      </c>
      <c r="B16" s="53"/>
      <c r="C16" s="53"/>
      <c r="D16" s="65"/>
      <c r="E16" s="65"/>
      <c r="F16" s="65"/>
      <c r="G16" s="65"/>
      <c r="H16" s="65"/>
      <c r="I16" s="53"/>
      <c r="J16" s="53"/>
    </row>
    <row r="17" spans="1:10" x14ac:dyDescent="0.25">
      <c r="A17" s="5" t="s">
        <v>163</v>
      </c>
      <c r="B17" s="53"/>
      <c r="C17" s="53"/>
      <c r="D17" s="53"/>
      <c r="E17" s="53"/>
      <c r="F17" s="53"/>
      <c r="G17" s="53"/>
      <c r="H17" s="53"/>
      <c r="I17" s="53"/>
      <c r="J17" s="53"/>
    </row>
    <row r="18" spans="1:10" x14ac:dyDescent="0.25">
      <c r="A18" t="s">
        <v>157</v>
      </c>
      <c r="D18" s="10"/>
      <c r="E18" s="10"/>
      <c r="F18" s="10"/>
      <c r="G18" s="10"/>
      <c r="H18" s="10"/>
    </row>
    <row r="19" spans="1:10" x14ac:dyDescent="0.25">
      <c r="A19" s="5" t="s">
        <v>154</v>
      </c>
    </row>
    <row r="20" spans="1:10" x14ac:dyDescent="0.25">
      <c r="A20" t="s">
        <v>156</v>
      </c>
    </row>
    <row r="21" spans="1:10" x14ac:dyDescent="0.25">
      <c r="A21" t="s">
        <v>155</v>
      </c>
    </row>
    <row r="23" spans="1:10" x14ac:dyDescent="0.25">
      <c r="A23" t="s">
        <v>20</v>
      </c>
    </row>
    <row r="24" spans="1:10" x14ac:dyDescent="0.25">
      <c r="A24" t="s">
        <v>82</v>
      </c>
    </row>
    <row r="25" spans="1:10" x14ac:dyDescent="0.25">
      <c r="A25" t="s">
        <v>83</v>
      </c>
    </row>
    <row r="26" spans="1:10" x14ac:dyDescent="0.25">
      <c r="A26" s="5" t="s">
        <v>91</v>
      </c>
    </row>
    <row r="27" spans="1:10" x14ac:dyDescent="0.25">
      <c r="A27" t="s">
        <v>161</v>
      </c>
    </row>
    <row r="28" spans="1:10" x14ac:dyDescent="0.25">
      <c r="A28" s="5" t="s">
        <v>158</v>
      </c>
    </row>
    <row r="29" spans="1:10" x14ac:dyDescent="0.25">
      <c r="A29" t="s">
        <v>160</v>
      </c>
    </row>
    <row r="30" spans="1:10" x14ac:dyDescent="0.25">
      <c r="A30" s="5" t="s">
        <v>159</v>
      </c>
      <c r="B30" s="5"/>
      <c r="G30">
        <f>SUM(288*229)</f>
        <v>65952</v>
      </c>
    </row>
    <row r="31" spans="1:10" x14ac:dyDescent="0.25">
      <c r="A31" t="s">
        <v>84</v>
      </c>
    </row>
    <row r="32" spans="1:10" x14ac:dyDescent="0.25">
      <c r="A32" s="5" t="s">
        <v>90</v>
      </c>
    </row>
    <row r="33" spans="1:7" x14ac:dyDescent="0.25">
      <c r="A33" t="s">
        <v>85</v>
      </c>
    </row>
    <row r="34" spans="1:7" x14ac:dyDescent="0.25">
      <c r="A34" s="5" t="s">
        <v>89</v>
      </c>
      <c r="B34" s="5"/>
      <c r="G34">
        <f>SUM(288*229)</f>
        <v>65952</v>
      </c>
    </row>
    <row r="36" spans="1:7" x14ac:dyDescent="0.25">
      <c r="A36" s="5" t="s">
        <v>87</v>
      </c>
      <c r="G36">
        <f>SUM(1047*33.7)</f>
        <v>35283.9</v>
      </c>
    </row>
    <row r="37" spans="1:7" x14ac:dyDescent="0.25">
      <c r="A37" t="s">
        <v>78</v>
      </c>
    </row>
    <row r="38" spans="1:7" x14ac:dyDescent="0.25">
      <c r="A38" t="s">
        <v>88</v>
      </c>
    </row>
  </sheetData>
  <mergeCells count="1">
    <mergeCell ref="B6:I6"/>
  </mergeCells>
  <phoneticPr fontId="2"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X32"/>
  <sheetViews>
    <sheetView topLeftCell="A7" workbookViewId="0">
      <selection activeCell="D35" sqref="D35"/>
    </sheetView>
  </sheetViews>
  <sheetFormatPr defaultRowHeight="15" x14ac:dyDescent="0.25"/>
  <cols>
    <col min="1" max="1" width="71.28515625" bestFit="1" customWidth="1"/>
    <col min="2" max="2" width="18.85546875" customWidth="1"/>
  </cols>
  <sheetData>
    <row r="1" spans="1:24" x14ac:dyDescent="0.25">
      <c r="A1" s="37" t="s">
        <v>151</v>
      </c>
      <c r="B1" s="28" t="s">
        <v>99</v>
      </c>
      <c r="C1" s="28"/>
      <c r="D1" s="28"/>
      <c r="E1" s="28"/>
      <c r="F1" s="28"/>
      <c r="G1" s="28"/>
      <c r="H1" s="28"/>
      <c r="I1" s="28"/>
      <c r="J1" s="28"/>
      <c r="K1" s="28"/>
      <c r="L1" s="28"/>
      <c r="M1" s="28"/>
      <c r="Q1" s="32"/>
      <c r="R1" s="32"/>
      <c r="S1" s="32"/>
      <c r="T1" s="32"/>
      <c r="U1" s="32"/>
      <c r="V1" s="32"/>
    </row>
    <row r="2" spans="1:24" x14ac:dyDescent="0.25">
      <c r="A2" s="4"/>
      <c r="B2" s="32" t="s">
        <v>14</v>
      </c>
      <c r="C2" s="32"/>
      <c r="D2" s="32"/>
      <c r="E2" s="32"/>
      <c r="F2" s="32"/>
      <c r="G2" s="32"/>
      <c r="H2" s="32"/>
      <c r="I2" s="32"/>
      <c r="J2" s="32"/>
      <c r="K2" s="32"/>
      <c r="L2" s="32"/>
      <c r="M2" s="32"/>
      <c r="Q2" s="32" t="s">
        <v>96</v>
      </c>
      <c r="R2" s="32" t="s">
        <v>3</v>
      </c>
      <c r="S2" s="32">
        <f>MATCH(R2,Table!$B:$B,0)</f>
        <v>6</v>
      </c>
      <c r="T2" s="32"/>
      <c r="U2" s="32" t="s">
        <v>96</v>
      </c>
      <c r="V2" s="32" t="s">
        <v>0</v>
      </c>
      <c r="W2" s="32">
        <f>MATCH(V2,Table!$A:$A,0)</f>
        <v>3</v>
      </c>
      <c r="X2" t="s">
        <v>113</v>
      </c>
    </row>
    <row r="3" spans="1:24" x14ac:dyDescent="0.25">
      <c r="A3" s="4">
        <v>40865</v>
      </c>
      <c r="B3" s="24" t="str">
        <f ca="1">IF(ISERROR(MATCH(B$1,INDIRECT("Table!A"&amp;$U3):INDIRECT("Table!" &amp; $X$3 &amp; $U3),0)),"",INDIRECT(CONCATENATE("Table!",ADDRESS($Q3,MATCH(B$1,INDIRECT("Table!A" &amp; $U3):INDIRECT("Table!" &amp; $X$3 &amp; $U3),0)))))</f>
        <v/>
      </c>
      <c r="C3" s="24"/>
      <c r="D3" s="24"/>
      <c r="E3" s="24"/>
      <c r="F3" s="24"/>
      <c r="G3" s="24"/>
      <c r="H3" s="24"/>
      <c r="I3" s="24"/>
      <c r="J3" s="24"/>
      <c r="K3" s="24"/>
      <c r="L3" s="24"/>
      <c r="M3" s="24"/>
      <c r="Q3" s="22" t="e">
        <f>MATCH($A3,Table!$A:$A,0)+$S$2-1</f>
        <v>#N/A</v>
      </c>
      <c r="R3" s="32"/>
      <c r="S3" s="32"/>
      <c r="T3" s="32"/>
      <c r="U3" s="22" t="e">
        <f>MATCH($A3,Table!$A:$A,0)+$W$2-1</f>
        <v>#N/A</v>
      </c>
      <c r="V3" s="32"/>
      <c r="X3" t="s">
        <v>114</v>
      </c>
    </row>
    <row r="4" spans="1:24" x14ac:dyDescent="0.25">
      <c r="A4" s="4">
        <v>40864</v>
      </c>
      <c r="B4" s="24" t="str">
        <f ca="1">IF(ISERROR(MATCH(B$1,INDIRECT("Table!A"&amp;$U4):INDIRECT("Table!" &amp; $X$3 &amp; $U4),0)),"",INDIRECT(CONCATENATE("Table!",ADDRESS($Q4,MATCH(B$1,INDIRECT("Table!A" &amp; $U4):INDIRECT("Table!" &amp; $X$3 &amp; $U4),0)))))</f>
        <v/>
      </c>
      <c r="C4" s="24"/>
      <c r="D4" s="24"/>
      <c r="E4" s="24"/>
      <c r="F4" s="24"/>
      <c r="G4" s="24"/>
      <c r="H4" s="24"/>
      <c r="I4" s="24"/>
      <c r="J4" s="24"/>
      <c r="K4" s="24"/>
      <c r="L4" s="24"/>
      <c r="M4" s="24"/>
      <c r="Q4" s="22" t="e">
        <f>MATCH($A4,Table!$A:$A,0)+$S$2-1</f>
        <v>#N/A</v>
      </c>
      <c r="R4" s="32"/>
      <c r="S4" s="32"/>
      <c r="T4" s="32"/>
      <c r="U4" s="22" t="e">
        <f>MATCH($A4,Table!$A:$A,0)+$W$2-1</f>
        <v>#N/A</v>
      </c>
      <c r="V4" s="32"/>
      <c r="X4" t="s">
        <v>114</v>
      </c>
    </row>
    <row r="5" spans="1:24" x14ac:dyDescent="0.25">
      <c r="A5" s="4">
        <v>40863</v>
      </c>
      <c r="B5" s="24" t="str">
        <f ca="1">IF(ISERROR(MATCH(B$1,INDIRECT("Table!A"&amp;$U5):INDIRECT("Table!" &amp; $X$3 &amp; $U5),0)),"",INDIRECT(CONCATENATE("Table!",ADDRESS($Q5,MATCH(B$1,INDIRECT("Table!A" &amp; $U5):INDIRECT("Table!" &amp; $X$3 &amp; $U5),0)))))</f>
        <v/>
      </c>
      <c r="C5" s="24"/>
      <c r="D5" s="24"/>
      <c r="E5" s="24"/>
      <c r="F5" s="24"/>
      <c r="G5" s="24"/>
      <c r="H5" s="24"/>
      <c r="I5" s="24"/>
      <c r="J5" s="24"/>
      <c r="K5" s="24"/>
      <c r="L5" s="24"/>
      <c r="M5" s="24"/>
      <c r="Q5" s="22" t="e">
        <f>MATCH($A5,Table!$A:$A,0)+$S$2-1</f>
        <v>#N/A</v>
      </c>
      <c r="R5" s="32"/>
      <c r="S5" s="32"/>
      <c r="T5" s="32"/>
      <c r="U5" s="22" t="e">
        <f>MATCH($A5,Table!$A:$A,0)+$W$2-1</f>
        <v>#N/A</v>
      </c>
      <c r="V5" s="32"/>
      <c r="X5" t="s">
        <v>114</v>
      </c>
    </row>
    <row r="6" spans="1:24" x14ac:dyDescent="0.25">
      <c r="A6" s="4"/>
      <c r="B6" s="24"/>
      <c r="C6" s="24"/>
      <c r="D6" s="24"/>
      <c r="E6" s="24"/>
      <c r="F6" s="24"/>
      <c r="G6" s="24"/>
      <c r="H6" s="24"/>
      <c r="I6" s="24"/>
      <c r="J6" s="24"/>
      <c r="K6" s="24"/>
      <c r="L6" s="24"/>
      <c r="M6" s="24"/>
      <c r="Q6" s="22"/>
      <c r="R6" s="32"/>
      <c r="S6" s="32"/>
      <c r="T6" s="32"/>
      <c r="U6" s="22"/>
      <c r="V6" s="32"/>
    </row>
    <row r="7" spans="1:24" s="35" customFormat="1" x14ac:dyDescent="0.25"/>
    <row r="8" spans="1:24" x14ac:dyDescent="0.25">
      <c r="A8" s="38" t="s">
        <v>150</v>
      </c>
      <c r="B8" t="s">
        <v>130</v>
      </c>
      <c r="C8" t="s">
        <v>131</v>
      </c>
    </row>
    <row r="9" spans="1:24" ht="30" customHeight="1" x14ac:dyDescent="0.25">
      <c r="A9" t="s">
        <v>115</v>
      </c>
      <c r="B9" s="24" t="str">
        <f ca="1">IF(ISERROR(MATCH(B$1,INDIRECT("Table!A"&amp;$U3):INDIRECT("Table!" &amp; $X$5 &amp; $U3),0)),"",INDIRECT(CONCATENATE("Table!",ADDRESS($Q3,MATCH(B$1,INDIRECT("Table!A" &amp; $U3):INDIRECT("Table!" &amp; $X$5 &amp; $U3),0)))))</f>
        <v/>
      </c>
      <c r="C9" s="958" t="s">
        <v>117</v>
      </c>
      <c r="D9" s="958"/>
      <c r="E9" s="958"/>
      <c r="F9" s="958"/>
      <c r="G9" s="958"/>
      <c r="H9" s="958"/>
      <c r="I9" s="958"/>
      <c r="J9" s="958"/>
      <c r="K9" s="958"/>
      <c r="L9" s="958"/>
      <c r="M9" s="958"/>
      <c r="N9" s="958"/>
      <c r="O9" s="958"/>
      <c r="P9" s="15"/>
    </row>
    <row r="10" spans="1:24" x14ac:dyDescent="0.25">
      <c r="A10" t="s">
        <v>124</v>
      </c>
      <c r="B10" s="32" t="b">
        <f ca="1">ISERROR(MATCH(B$1,INDIRECT("Table!A"&amp;$U3):INDIRECT("Table!" &amp; $X$3 &amp; $U3),0))</f>
        <v>1</v>
      </c>
      <c r="C10" t="s">
        <v>123</v>
      </c>
    </row>
    <row r="11" spans="1:24" x14ac:dyDescent="0.25">
      <c r="A11" t="s">
        <v>125</v>
      </c>
      <c r="B11" s="24" t="e">
        <f ca="1">INDIRECT(CONCATENATE("Table!",ADDRESS($Q3,MATCH(B$1,INDIRECT("Table!A" &amp; $U3):INDIRECT("Table!" &amp; $X$5 &amp; $U3),0))))</f>
        <v>#N/A</v>
      </c>
      <c r="C11" t="s">
        <v>118</v>
      </c>
    </row>
    <row r="12" spans="1:24" x14ac:dyDescent="0.25">
      <c r="A12" t="s">
        <v>126</v>
      </c>
      <c r="B12" s="32" t="e">
        <f ca="1">CONCATENATE("Table!",ADDRESS($Q3,MATCH(B$1,INDIRECT("Table!A" &amp; $U3):INDIRECT("Table!" &amp; $X$5 &amp; $U3),0)))</f>
        <v>#N/A</v>
      </c>
      <c r="C12" t="s">
        <v>119</v>
      </c>
    </row>
    <row r="13" spans="1:24" x14ac:dyDescent="0.25">
      <c r="A13" t="s">
        <v>126</v>
      </c>
      <c r="B13" s="32" t="e">
        <f ca="1">ADDRESS($Q3,MATCH(B$1,INDIRECT("Table!A" &amp; $U3):INDIRECT("Table!" &amp; $X$5 &amp; $U3),0))</f>
        <v>#N/A</v>
      </c>
      <c r="C13" t="s">
        <v>120</v>
      </c>
    </row>
    <row r="14" spans="1:24" x14ac:dyDescent="0.25">
      <c r="A14" t="s">
        <v>127</v>
      </c>
      <c r="B14" s="32" t="e">
        <f ca="1">MATCH(B$1,INDIRECT("Table!A" &amp; $U3):INDIRECT("Table!" &amp; $X$5 &amp; $U3),0)</f>
        <v>#N/A</v>
      </c>
      <c r="C14" t="s">
        <v>121</v>
      </c>
    </row>
    <row r="15" spans="1:24" x14ac:dyDescent="0.25">
      <c r="A15" t="s">
        <v>128</v>
      </c>
      <c r="B15" s="32" t="e">
        <f ca="1">INDIRECT("Table!A" &amp; $U3)</f>
        <v>#N/A</v>
      </c>
      <c r="C15" t="s">
        <v>116</v>
      </c>
    </row>
    <row r="16" spans="1:24" x14ac:dyDescent="0.25">
      <c r="A16" t="s">
        <v>129</v>
      </c>
      <c r="B16" s="32" t="e">
        <f ca="1">INDIRECT("Table!" &amp; $X$5 &amp; $U3)</f>
        <v>#N/A</v>
      </c>
      <c r="C16" t="s">
        <v>122</v>
      </c>
    </row>
    <row r="17" spans="1:2" x14ac:dyDescent="0.25">
      <c r="B17" s="32"/>
    </row>
    <row r="18" spans="1:2" x14ac:dyDescent="0.25">
      <c r="B18" s="32"/>
    </row>
    <row r="19" spans="1:2" x14ac:dyDescent="0.25">
      <c r="A19" s="38" t="s">
        <v>152</v>
      </c>
      <c r="B19" s="32"/>
    </row>
    <row r="20" spans="1:2" x14ac:dyDescent="0.25">
      <c r="A20" t="s">
        <v>133</v>
      </c>
      <c r="B20" s="13" t="s">
        <v>143</v>
      </c>
    </row>
    <row r="21" spans="1:2" x14ac:dyDescent="0.25">
      <c r="A21" t="s">
        <v>132</v>
      </c>
      <c r="B21" s="13" t="s">
        <v>139</v>
      </c>
    </row>
    <row r="22" spans="1:2" x14ac:dyDescent="0.25">
      <c r="A22" t="s">
        <v>134</v>
      </c>
      <c r="B22" s="13" t="s">
        <v>140</v>
      </c>
    </row>
    <row r="23" spans="1:2" x14ac:dyDescent="0.25">
      <c r="A23" t="s">
        <v>135</v>
      </c>
      <c r="B23" s="13" t="s">
        <v>144</v>
      </c>
    </row>
    <row r="24" spans="1:2" x14ac:dyDescent="0.25">
      <c r="A24" t="s">
        <v>136</v>
      </c>
      <c r="B24" s="13" t="s">
        <v>141</v>
      </c>
    </row>
    <row r="25" spans="1:2" x14ac:dyDescent="0.25">
      <c r="A25" t="s">
        <v>137</v>
      </c>
      <c r="B25" s="13" t="s">
        <v>142</v>
      </c>
    </row>
    <row r="26" spans="1:2" x14ac:dyDescent="0.25">
      <c r="A26" t="s">
        <v>138</v>
      </c>
      <c r="B26" s="13" t="s">
        <v>145</v>
      </c>
    </row>
    <row r="27" spans="1:2" x14ac:dyDescent="0.25">
      <c r="B27" s="13"/>
    </row>
    <row r="28" spans="1:2" x14ac:dyDescent="0.25">
      <c r="A28" s="38" t="s">
        <v>153</v>
      </c>
      <c r="B28" s="13"/>
    </row>
    <row r="29" spans="1:2" ht="60" x14ac:dyDescent="0.25">
      <c r="A29" s="34" t="s">
        <v>149</v>
      </c>
    </row>
    <row r="30" spans="1:2" x14ac:dyDescent="0.25">
      <c r="A30" t="s">
        <v>146</v>
      </c>
    </row>
    <row r="31" spans="1:2" x14ac:dyDescent="0.25">
      <c r="A31" t="s">
        <v>147</v>
      </c>
    </row>
    <row r="32" spans="1:2" ht="30" x14ac:dyDescent="0.25">
      <c r="A32" s="34" t="s">
        <v>148</v>
      </c>
    </row>
  </sheetData>
  <mergeCells count="1">
    <mergeCell ref="C9:O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20"/>
  <sheetViews>
    <sheetView workbookViewId="0">
      <selection activeCell="G20" sqref="G20:M20"/>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x14ac:dyDescent="0.25">
      <c r="B1" t="s">
        <v>27</v>
      </c>
      <c r="C1" t="s">
        <v>28</v>
      </c>
      <c r="D1" t="s">
        <v>29</v>
      </c>
      <c r="E1" t="s">
        <v>29</v>
      </c>
      <c r="F1" t="s">
        <v>30</v>
      </c>
      <c r="H1" s="959" t="s">
        <v>75</v>
      </c>
      <c r="I1" s="959"/>
      <c r="J1" s="959"/>
    </row>
    <row r="2" spans="1:10" x14ac:dyDescent="0.25">
      <c r="A2" t="s">
        <v>31</v>
      </c>
      <c r="B2" t="s">
        <v>32</v>
      </c>
      <c r="C2" t="s">
        <v>32</v>
      </c>
      <c r="D2" t="s">
        <v>33</v>
      </c>
      <c r="E2" t="s">
        <v>34</v>
      </c>
      <c r="F2" t="s">
        <v>35</v>
      </c>
      <c r="H2" t="s">
        <v>73</v>
      </c>
      <c r="I2" t="s">
        <v>34</v>
      </c>
      <c r="J2" t="s">
        <v>74</v>
      </c>
    </row>
    <row r="3" spans="1:10" x14ac:dyDescent="0.25">
      <c r="A3" t="s">
        <v>36</v>
      </c>
      <c r="B3" s="6" t="s">
        <v>37</v>
      </c>
      <c r="C3" s="6" t="s">
        <v>37</v>
      </c>
      <c r="D3" s="6" t="s">
        <v>37</v>
      </c>
      <c r="E3" s="6" t="s">
        <v>39</v>
      </c>
      <c r="F3" s="6" t="s">
        <v>40</v>
      </c>
    </row>
    <row r="4" spans="1:10" x14ac:dyDescent="0.25">
      <c r="A4" t="s">
        <v>57</v>
      </c>
      <c r="B4" s="8">
        <v>2</v>
      </c>
      <c r="C4" s="8">
        <v>2</v>
      </c>
      <c r="D4" s="8">
        <v>2</v>
      </c>
      <c r="E4" s="8">
        <v>20</v>
      </c>
      <c r="F4" s="8">
        <v>674</v>
      </c>
      <c r="H4" s="9">
        <f>IF(I4&lt;0,"0",IF(J4&lt;0,"0",D$20-D4))</f>
        <v>14</v>
      </c>
      <c r="I4">
        <f>E$20-E4</f>
        <v>235</v>
      </c>
      <c r="J4">
        <f>F$20-F4</f>
        <v>11326</v>
      </c>
    </row>
    <row r="5" spans="1:10" x14ac:dyDescent="0.25">
      <c r="A5" t="s">
        <v>58</v>
      </c>
      <c r="B5" s="8">
        <v>2</v>
      </c>
      <c r="C5" s="8">
        <v>2</v>
      </c>
      <c r="D5" s="8">
        <v>2</v>
      </c>
      <c r="E5" s="8">
        <v>29</v>
      </c>
      <c r="F5" s="8">
        <v>977</v>
      </c>
      <c r="H5" s="9">
        <f t="shared" ref="H5:H17" si="0">IF(I5&lt;0,"0",IF(J5&lt;0,"0",D$20-D5))</f>
        <v>14</v>
      </c>
      <c r="I5">
        <f t="shared" ref="I5:I17" si="1">E$20-E5</f>
        <v>226</v>
      </c>
      <c r="J5">
        <f t="shared" ref="J5:J17" si="2">F$20-F5</f>
        <v>11023</v>
      </c>
    </row>
    <row r="6" spans="1:10" x14ac:dyDescent="0.25">
      <c r="A6" t="s">
        <v>59</v>
      </c>
      <c r="B6" s="8">
        <v>2</v>
      </c>
      <c r="C6" s="8">
        <v>3</v>
      </c>
      <c r="D6" s="8">
        <v>3</v>
      </c>
      <c r="E6" s="8">
        <v>38</v>
      </c>
      <c r="F6" s="8">
        <v>1281</v>
      </c>
      <c r="H6" s="9">
        <f t="shared" si="0"/>
        <v>13</v>
      </c>
      <c r="I6">
        <f t="shared" si="1"/>
        <v>217</v>
      </c>
      <c r="J6">
        <f t="shared" si="2"/>
        <v>10719</v>
      </c>
    </row>
    <row r="7" spans="1:10" x14ac:dyDescent="0.25">
      <c r="A7" t="s">
        <v>60</v>
      </c>
      <c r="B7" s="8">
        <v>2</v>
      </c>
      <c r="C7" s="8">
        <v>2</v>
      </c>
      <c r="D7" s="8">
        <v>3</v>
      </c>
      <c r="E7" s="8">
        <v>131</v>
      </c>
      <c r="F7" s="8">
        <v>32502</v>
      </c>
      <c r="H7" s="9" t="str">
        <f t="shared" si="0"/>
        <v>0</v>
      </c>
      <c r="I7">
        <f t="shared" si="1"/>
        <v>124</v>
      </c>
      <c r="J7">
        <f t="shared" si="2"/>
        <v>-20502</v>
      </c>
    </row>
    <row r="8" spans="1:10" x14ac:dyDescent="0.25">
      <c r="A8" t="s">
        <v>61</v>
      </c>
      <c r="B8" s="8">
        <v>2</v>
      </c>
      <c r="C8" s="8">
        <v>3</v>
      </c>
      <c r="D8" s="8">
        <v>3</v>
      </c>
      <c r="E8" s="8">
        <v>132</v>
      </c>
      <c r="F8" s="8">
        <v>4450</v>
      </c>
      <c r="H8" s="9">
        <f t="shared" si="0"/>
        <v>13</v>
      </c>
      <c r="I8">
        <f t="shared" si="1"/>
        <v>123</v>
      </c>
      <c r="J8">
        <f t="shared" si="2"/>
        <v>7550</v>
      </c>
    </row>
    <row r="9" spans="1:10" x14ac:dyDescent="0.25">
      <c r="A9" t="s">
        <v>62</v>
      </c>
      <c r="B9" s="8">
        <v>2</v>
      </c>
      <c r="C9" s="8">
        <v>2</v>
      </c>
      <c r="D9" s="8">
        <v>4</v>
      </c>
      <c r="E9" s="8">
        <v>21</v>
      </c>
      <c r="F9" s="8">
        <v>4956</v>
      </c>
      <c r="H9" s="9">
        <f t="shared" si="0"/>
        <v>12</v>
      </c>
      <c r="I9">
        <f t="shared" si="1"/>
        <v>234</v>
      </c>
      <c r="J9">
        <f t="shared" si="2"/>
        <v>7044</v>
      </c>
    </row>
    <row r="10" spans="1:10" x14ac:dyDescent="0.25">
      <c r="A10" t="s">
        <v>63</v>
      </c>
      <c r="B10" s="8">
        <v>2</v>
      </c>
      <c r="C10" s="8">
        <v>4</v>
      </c>
      <c r="D10" s="8">
        <v>4</v>
      </c>
      <c r="E10" s="8">
        <v>35</v>
      </c>
      <c r="F10" s="8">
        <v>1180</v>
      </c>
      <c r="H10" s="9">
        <f t="shared" si="0"/>
        <v>12</v>
      </c>
      <c r="I10">
        <f t="shared" si="1"/>
        <v>220</v>
      </c>
      <c r="J10">
        <f t="shared" si="2"/>
        <v>10820</v>
      </c>
    </row>
    <row r="11" spans="1:10" x14ac:dyDescent="0.25">
      <c r="A11" t="s">
        <v>64</v>
      </c>
      <c r="B11" s="8">
        <v>2</v>
      </c>
      <c r="C11" s="8">
        <v>3</v>
      </c>
      <c r="D11" s="8">
        <v>4</v>
      </c>
      <c r="E11" s="8">
        <v>37</v>
      </c>
      <c r="F11" s="8">
        <v>1247</v>
      </c>
      <c r="H11" s="9">
        <f t="shared" si="0"/>
        <v>12</v>
      </c>
      <c r="I11">
        <f t="shared" si="1"/>
        <v>218</v>
      </c>
      <c r="J11">
        <f t="shared" si="2"/>
        <v>10753</v>
      </c>
    </row>
    <row r="12" spans="1:10" x14ac:dyDescent="0.25">
      <c r="A12" t="s">
        <v>65</v>
      </c>
      <c r="B12" s="8">
        <v>2</v>
      </c>
      <c r="C12" s="8">
        <v>3</v>
      </c>
      <c r="D12" s="8">
        <v>4</v>
      </c>
      <c r="E12" s="8">
        <v>43</v>
      </c>
      <c r="F12" s="8">
        <v>1449</v>
      </c>
      <c r="H12" s="9">
        <f t="shared" si="0"/>
        <v>12</v>
      </c>
      <c r="I12">
        <f t="shared" si="1"/>
        <v>212</v>
      </c>
      <c r="J12">
        <f t="shared" si="2"/>
        <v>10551</v>
      </c>
    </row>
    <row r="13" spans="1:10" x14ac:dyDescent="0.25">
      <c r="A13" t="s">
        <v>66</v>
      </c>
      <c r="B13" s="8">
        <v>2</v>
      </c>
      <c r="C13" s="8">
        <v>3</v>
      </c>
      <c r="D13" s="8">
        <v>5</v>
      </c>
      <c r="E13" s="8">
        <v>129</v>
      </c>
      <c r="F13" s="8">
        <v>32435</v>
      </c>
      <c r="H13" s="9" t="str">
        <f t="shared" si="0"/>
        <v>0</v>
      </c>
      <c r="I13">
        <f t="shared" si="1"/>
        <v>126</v>
      </c>
      <c r="J13">
        <f t="shared" si="2"/>
        <v>-20435</v>
      </c>
    </row>
    <row r="14" spans="1:10" x14ac:dyDescent="0.25">
      <c r="A14" t="s">
        <v>67</v>
      </c>
      <c r="B14" s="8">
        <v>2</v>
      </c>
      <c r="C14" s="8">
        <v>3</v>
      </c>
      <c r="D14" s="8">
        <v>5</v>
      </c>
      <c r="E14" s="8">
        <v>151</v>
      </c>
      <c r="F14" s="8">
        <v>32098</v>
      </c>
      <c r="H14" s="9" t="str">
        <f t="shared" si="0"/>
        <v>0</v>
      </c>
      <c r="I14">
        <f t="shared" si="1"/>
        <v>104</v>
      </c>
      <c r="J14">
        <f t="shared" si="2"/>
        <v>-20098</v>
      </c>
    </row>
    <row r="15" spans="1:10" x14ac:dyDescent="0.25">
      <c r="A15" t="s">
        <v>68</v>
      </c>
      <c r="B15" s="8">
        <v>2</v>
      </c>
      <c r="C15" s="8">
        <v>3</v>
      </c>
      <c r="D15" s="8">
        <v>5</v>
      </c>
      <c r="E15" s="8">
        <v>155</v>
      </c>
      <c r="F15" s="8">
        <v>33312</v>
      </c>
      <c r="H15" s="9" t="str">
        <f t="shared" si="0"/>
        <v>0</v>
      </c>
      <c r="I15">
        <f t="shared" si="1"/>
        <v>100</v>
      </c>
      <c r="J15">
        <f t="shared" si="2"/>
        <v>-21312</v>
      </c>
    </row>
    <row r="16" spans="1:10" x14ac:dyDescent="0.25">
      <c r="A16" t="s">
        <v>69</v>
      </c>
      <c r="B16" s="8">
        <v>2</v>
      </c>
      <c r="C16" s="8">
        <v>2</v>
      </c>
      <c r="D16" s="8">
        <v>8</v>
      </c>
      <c r="E16" s="8">
        <v>44</v>
      </c>
      <c r="F16" s="8">
        <v>10452</v>
      </c>
      <c r="H16" s="9">
        <f t="shared" si="0"/>
        <v>8</v>
      </c>
      <c r="I16">
        <f t="shared" si="1"/>
        <v>211</v>
      </c>
      <c r="J16">
        <f t="shared" si="2"/>
        <v>1548</v>
      </c>
    </row>
    <row r="17" spans="1:13" x14ac:dyDescent="0.25">
      <c r="A17" t="s">
        <v>70</v>
      </c>
      <c r="B17" s="8">
        <v>2</v>
      </c>
      <c r="C17" s="8">
        <v>5</v>
      </c>
      <c r="D17" s="8">
        <v>8</v>
      </c>
      <c r="E17" s="8">
        <v>144</v>
      </c>
      <c r="F17" s="8">
        <v>4855</v>
      </c>
      <c r="H17" s="9">
        <f t="shared" si="0"/>
        <v>8</v>
      </c>
      <c r="I17">
        <f t="shared" si="1"/>
        <v>111</v>
      </c>
      <c r="J17">
        <f t="shared" si="2"/>
        <v>7145</v>
      </c>
    </row>
    <row r="18" spans="1:13" x14ac:dyDescent="0.25">
      <c r="G18" t="s">
        <v>76</v>
      </c>
      <c r="H18">
        <f>SUMIF(H4:H17,"&gt;0",H4:H17)</f>
        <v>118</v>
      </c>
      <c r="I18">
        <f>SUMIF(I4:I17,"&gt;0",I4:I17)</f>
        <v>2461</v>
      </c>
      <c r="J18">
        <f>SUMIF(J4:J17,"&gt;0",J4:J17)</f>
        <v>88479</v>
      </c>
    </row>
    <row r="20" spans="1:13" ht="72" customHeight="1" x14ac:dyDescent="0.25">
      <c r="A20" s="7" t="s">
        <v>71</v>
      </c>
      <c r="D20" s="8">
        <v>16</v>
      </c>
      <c r="E20" s="8">
        <v>255</v>
      </c>
      <c r="F20" s="8">
        <v>12000</v>
      </c>
      <c r="G20" s="957" t="s">
        <v>72</v>
      </c>
      <c r="H20" s="957"/>
      <c r="I20" s="957"/>
      <c r="J20" s="957"/>
      <c r="K20" s="957"/>
      <c r="L20" s="957"/>
      <c r="M20" s="957"/>
    </row>
  </sheetData>
  <mergeCells count="2">
    <mergeCell ref="G20:M20"/>
    <mergeCell ref="H1:J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22"/>
  <sheetViews>
    <sheetView workbookViewId="0">
      <selection activeCell="I30" sqref="I30"/>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x14ac:dyDescent="0.25">
      <c r="B1" t="s">
        <v>27</v>
      </c>
      <c r="C1" t="s">
        <v>28</v>
      </c>
      <c r="D1" t="s">
        <v>29</v>
      </c>
      <c r="E1" t="s">
        <v>29</v>
      </c>
      <c r="F1" t="s">
        <v>30</v>
      </c>
      <c r="H1" s="959" t="s">
        <v>75</v>
      </c>
      <c r="I1" s="959"/>
      <c r="J1" s="959"/>
    </row>
    <row r="2" spans="1:10" x14ac:dyDescent="0.25">
      <c r="A2" t="s">
        <v>31</v>
      </c>
      <c r="B2" t="s">
        <v>32</v>
      </c>
      <c r="C2" t="s">
        <v>32</v>
      </c>
      <c r="D2" t="s">
        <v>33</v>
      </c>
      <c r="E2" t="s">
        <v>34</v>
      </c>
      <c r="F2" t="s">
        <v>35</v>
      </c>
      <c r="H2" t="s">
        <v>73</v>
      </c>
      <c r="I2" t="s">
        <v>34</v>
      </c>
      <c r="J2" t="s">
        <v>74</v>
      </c>
    </row>
    <row r="3" spans="1:10" x14ac:dyDescent="0.25">
      <c r="A3" t="s">
        <v>36</v>
      </c>
      <c r="B3" s="6" t="s">
        <v>37</v>
      </c>
      <c r="C3" s="6" t="s">
        <v>37</v>
      </c>
      <c r="D3" s="6" t="s">
        <v>38</v>
      </c>
      <c r="E3" s="6" t="s">
        <v>39</v>
      </c>
      <c r="F3" s="6" t="s">
        <v>40</v>
      </c>
    </row>
    <row r="4" spans="1:10" x14ac:dyDescent="0.25">
      <c r="A4" t="s">
        <v>41</v>
      </c>
      <c r="B4" s="6">
        <v>2</v>
      </c>
      <c r="C4" s="6">
        <v>3</v>
      </c>
      <c r="D4" s="6">
        <v>3</v>
      </c>
      <c r="E4" s="6">
        <v>29</v>
      </c>
      <c r="F4" s="6">
        <v>977</v>
      </c>
      <c r="H4" s="9">
        <f>IF(I4&lt;0,"0",IF(J4&lt;0,"0",D$22-D4))</f>
        <v>13</v>
      </c>
      <c r="I4">
        <f>E$22-E4</f>
        <v>226</v>
      </c>
      <c r="J4">
        <f>F$22-F4</f>
        <v>11023</v>
      </c>
    </row>
    <row r="5" spans="1:10" x14ac:dyDescent="0.25">
      <c r="A5" t="s">
        <v>42</v>
      </c>
      <c r="B5" s="6">
        <v>2</v>
      </c>
      <c r="C5" s="6">
        <v>3</v>
      </c>
      <c r="D5" s="6">
        <v>3</v>
      </c>
      <c r="E5" s="6">
        <v>36</v>
      </c>
      <c r="F5" s="6">
        <v>1213</v>
      </c>
      <c r="H5" s="9">
        <f t="shared" ref="H5:H19" si="0">IF(I5&lt;0,"0",IF(J5&lt;0,"0",D$22-D5))</f>
        <v>13</v>
      </c>
      <c r="I5">
        <f t="shared" ref="I5:I19" si="1">E$22-E5</f>
        <v>219</v>
      </c>
      <c r="J5">
        <f t="shared" ref="J5:J19" si="2">F$22-F5</f>
        <v>10787</v>
      </c>
    </row>
    <row r="6" spans="1:10" x14ac:dyDescent="0.25">
      <c r="A6" t="s">
        <v>43</v>
      </c>
      <c r="B6" s="6">
        <v>2</v>
      </c>
      <c r="C6" s="6">
        <v>3</v>
      </c>
      <c r="D6" s="6">
        <v>3</v>
      </c>
      <c r="E6" s="6">
        <v>38</v>
      </c>
      <c r="F6" s="6">
        <v>1281</v>
      </c>
      <c r="H6" s="9">
        <f t="shared" si="0"/>
        <v>13</v>
      </c>
      <c r="I6">
        <f t="shared" si="1"/>
        <v>217</v>
      </c>
      <c r="J6">
        <f t="shared" si="2"/>
        <v>10719</v>
      </c>
    </row>
    <row r="7" spans="1:10" x14ac:dyDescent="0.25">
      <c r="A7" t="s">
        <v>44</v>
      </c>
      <c r="B7" s="6">
        <v>2</v>
      </c>
      <c r="C7" s="6">
        <v>3</v>
      </c>
      <c r="D7" s="6">
        <v>4</v>
      </c>
      <c r="E7" s="6">
        <v>24</v>
      </c>
      <c r="F7" s="6">
        <v>809</v>
      </c>
      <c r="H7" s="9">
        <f t="shared" si="0"/>
        <v>12</v>
      </c>
      <c r="I7">
        <f t="shared" si="1"/>
        <v>231</v>
      </c>
      <c r="J7">
        <f t="shared" si="2"/>
        <v>11191</v>
      </c>
    </row>
    <row r="8" spans="1:10" x14ac:dyDescent="0.25">
      <c r="A8" t="s">
        <v>45</v>
      </c>
      <c r="B8" s="6">
        <v>2</v>
      </c>
      <c r="C8" s="6">
        <v>4</v>
      </c>
      <c r="D8" s="6">
        <v>4</v>
      </c>
      <c r="E8" s="6">
        <v>24</v>
      </c>
      <c r="F8" s="6">
        <v>809</v>
      </c>
      <c r="H8" s="9">
        <f t="shared" si="0"/>
        <v>12</v>
      </c>
      <c r="I8">
        <f t="shared" si="1"/>
        <v>231</v>
      </c>
      <c r="J8">
        <f t="shared" si="2"/>
        <v>11191</v>
      </c>
    </row>
    <row r="9" spans="1:10" x14ac:dyDescent="0.25">
      <c r="A9" t="s">
        <v>46</v>
      </c>
      <c r="B9" s="6">
        <v>2</v>
      </c>
      <c r="C9" s="6">
        <v>3</v>
      </c>
      <c r="D9" s="6">
        <v>5</v>
      </c>
      <c r="E9" s="6">
        <v>33</v>
      </c>
      <c r="F9" s="6">
        <v>5360</v>
      </c>
      <c r="H9" s="9">
        <f t="shared" si="0"/>
        <v>11</v>
      </c>
      <c r="I9">
        <f t="shared" si="1"/>
        <v>222</v>
      </c>
      <c r="J9">
        <f t="shared" si="2"/>
        <v>6640</v>
      </c>
    </row>
    <row r="10" spans="1:10" x14ac:dyDescent="0.25">
      <c r="A10" t="s">
        <v>47</v>
      </c>
      <c r="B10" s="6">
        <v>2</v>
      </c>
      <c r="C10" s="6">
        <v>5</v>
      </c>
      <c r="D10" s="6">
        <v>5</v>
      </c>
      <c r="E10" s="6">
        <v>62</v>
      </c>
      <c r="F10" s="6">
        <v>2090</v>
      </c>
      <c r="H10" s="9">
        <f t="shared" si="0"/>
        <v>11</v>
      </c>
      <c r="I10">
        <f t="shared" si="1"/>
        <v>193</v>
      </c>
      <c r="J10">
        <f t="shared" si="2"/>
        <v>9910</v>
      </c>
    </row>
    <row r="11" spans="1:10" x14ac:dyDescent="0.25">
      <c r="A11" t="s">
        <v>48</v>
      </c>
      <c r="B11" s="6">
        <v>2</v>
      </c>
      <c r="C11" s="6">
        <v>3</v>
      </c>
      <c r="D11" s="6">
        <v>5</v>
      </c>
      <c r="E11" s="6">
        <v>159</v>
      </c>
      <c r="F11" s="6">
        <v>33447</v>
      </c>
      <c r="H11" s="9" t="str">
        <f t="shared" si="0"/>
        <v>0</v>
      </c>
      <c r="I11">
        <f t="shared" si="1"/>
        <v>96</v>
      </c>
      <c r="J11">
        <f t="shared" si="2"/>
        <v>-21447</v>
      </c>
    </row>
    <row r="12" spans="1:10" x14ac:dyDescent="0.25">
      <c r="A12" t="s">
        <v>49</v>
      </c>
      <c r="B12" s="6">
        <v>2</v>
      </c>
      <c r="C12" s="6">
        <v>6</v>
      </c>
      <c r="D12" s="6">
        <v>6</v>
      </c>
      <c r="E12" s="6">
        <v>17</v>
      </c>
      <c r="F12" s="6">
        <v>573</v>
      </c>
      <c r="H12" s="9">
        <f t="shared" si="0"/>
        <v>10</v>
      </c>
      <c r="I12">
        <f t="shared" si="1"/>
        <v>238</v>
      </c>
      <c r="J12">
        <f t="shared" si="2"/>
        <v>11427</v>
      </c>
    </row>
    <row r="13" spans="1:10" x14ac:dyDescent="0.25">
      <c r="A13" t="s">
        <v>50</v>
      </c>
      <c r="B13" s="6">
        <v>2</v>
      </c>
      <c r="C13" s="6">
        <v>6</v>
      </c>
      <c r="D13" s="6">
        <v>6</v>
      </c>
      <c r="E13" s="6">
        <v>25</v>
      </c>
      <c r="F13" s="6">
        <v>842</v>
      </c>
      <c r="H13" s="9">
        <f t="shared" si="0"/>
        <v>10</v>
      </c>
      <c r="I13">
        <f t="shared" si="1"/>
        <v>230</v>
      </c>
      <c r="J13">
        <f t="shared" si="2"/>
        <v>11158</v>
      </c>
    </row>
    <row r="14" spans="1:10" x14ac:dyDescent="0.25">
      <c r="A14" t="s">
        <v>51</v>
      </c>
      <c r="B14" s="6">
        <v>2</v>
      </c>
      <c r="C14" s="6">
        <v>4</v>
      </c>
      <c r="D14" s="6">
        <v>6</v>
      </c>
      <c r="E14" s="6">
        <v>163</v>
      </c>
      <c r="F14" s="6">
        <v>32502</v>
      </c>
      <c r="H14" s="9" t="str">
        <f t="shared" si="0"/>
        <v>0</v>
      </c>
      <c r="I14">
        <f t="shared" si="1"/>
        <v>92</v>
      </c>
      <c r="J14">
        <f t="shared" si="2"/>
        <v>-20502</v>
      </c>
    </row>
    <row r="15" spans="1:10" x14ac:dyDescent="0.25">
      <c r="A15" t="s">
        <v>52</v>
      </c>
      <c r="B15" s="6">
        <v>2</v>
      </c>
      <c r="C15" s="6">
        <v>5</v>
      </c>
      <c r="D15" s="6">
        <v>7</v>
      </c>
      <c r="E15" s="6">
        <v>28</v>
      </c>
      <c r="F15" s="6">
        <v>944</v>
      </c>
      <c r="H15" s="9">
        <f t="shared" si="0"/>
        <v>9</v>
      </c>
      <c r="I15">
        <f t="shared" si="1"/>
        <v>227</v>
      </c>
      <c r="J15">
        <f t="shared" si="2"/>
        <v>11056</v>
      </c>
    </row>
    <row r="16" spans="1:10" x14ac:dyDescent="0.25">
      <c r="A16" t="s">
        <v>53</v>
      </c>
      <c r="B16" s="6">
        <v>2</v>
      </c>
      <c r="C16" s="6">
        <v>3</v>
      </c>
      <c r="D16" s="6">
        <v>7</v>
      </c>
      <c r="E16" s="6">
        <v>262</v>
      </c>
      <c r="F16" s="6">
        <v>8833</v>
      </c>
      <c r="H16" s="9" t="str">
        <f t="shared" si="0"/>
        <v>0</v>
      </c>
      <c r="I16">
        <f t="shared" si="1"/>
        <v>-7</v>
      </c>
      <c r="J16">
        <f t="shared" si="2"/>
        <v>3167</v>
      </c>
    </row>
    <row r="17" spans="1:13" x14ac:dyDescent="0.25">
      <c r="A17" t="s">
        <v>54</v>
      </c>
      <c r="B17" s="6">
        <v>2</v>
      </c>
      <c r="C17" s="6">
        <v>5</v>
      </c>
      <c r="D17" s="6">
        <v>7</v>
      </c>
      <c r="E17" s="6">
        <v>295</v>
      </c>
      <c r="F17" s="6">
        <v>38032</v>
      </c>
      <c r="H17" s="9" t="str">
        <f t="shared" si="0"/>
        <v>0</v>
      </c>
      <c r="I17">
        <f t="shared" si="1"/>
        <v>-40</v>
      </c>
      <c r="J17">
        <f t="shared" si="2"/>
        <v>-26032</v>
      </c>
    </row>
    <row r="18" spans="1:13" x14ac:dyDescent="0.25">
      <c r="A18" t="s">
        <v>55</v>
      </c>
      <c r="B18" s="6">
        <v>2</v>
      </c>
      <c r="C18" s="6">
        <v>3</v>
      </c>
      <c r="D18" s="6">
        <v>8</v>
      </c>
      <c r="E18" s="6">
        <v>92</v>
      </c>
      <c r="F18" s="6">
        <v>12070</v>
      </c>
      <c r="H18" s="9" t="str">
        <f t="shared" si="0"/>
        <v>0</v>
      </c>
      <c r="I18">
        <f t="shared" si="1"/>
        <v>163</v>
      </c>
      <c r="J18">
        <f t="shared" si="2"/>
        <v>-70</v>
      </c>
    </row>
    <row r="19" spans="1:13" x14ac:dyDescent="0.25">
      <c r="A19" t="s">
        <v>56</v>
      </c>
      <c r="B19" s="6">
        <v>2</v>
      </c>
      <c r="C19" s="6">
        <v>3</v>
      </c>
      <c r="D19" s="6">
        <v>8</v>
      </c>
      <c r="E19" s="6">
        <v>139</v>
      </c>
      <c r="F19" s="6">
        <v>32772</v>
      </c>
      <c r="H19" s="9" t="str">
        <f t="shared" si="0"/>
        <v>0</v>
      </c>
      <c r="I19">
        <f t="shared" si="1"/>
        <v>116</v>
      </c>
      <c r="J19">
        <f t="shared" si="2"/>
        <v>-20772</v>
      </c>
    </row>
    <row r="20" spans="1:13" x14ac:dyDescent="0.25">
      <c r="G20" t="s">
        <v>76</v>
      </c>
      <c r="H20">
        <f>SUMIF(H4:H19,"&gt;0",H4:H19)</f>
        <v>114</v>
      </c>
      <c r="I20">
        <f>SUMIF(I4:I19,"&gt;0",I4:I19)</f>
        <v>2701</v>
      </c>
      <c r="J20">
        <f>SUMIF(J4:J19,"&gt;0",J4:J19)</f>
        <v>108269</v>
      </c>
    </row>
    <row r="22" spans="1:13" ht="72" customHeight="1" x14ac:dyDescent="0.25">
      <c r="A22" s="7" t="s">
        <v>71</v>
      </c>
      <c r="D22" s="8">
        <v>16</v>
      </c>
      <c r="E22" s="8">
        <v>255</v>
      </c>
      <c r="F22" s="8">
        <v>12000</v>
      </c>
      <c r="G22" s="957" t="s">
        <v>72</v>
      </c>
      <c r="H22" s="957"/>
      <c r="I22" s="957"/>
      <c r="J22" s="957"/>
      <c r="K22" s="957"/>
      <c r="L22" s="957"/>
      <c r="M22" s="957"/>
    </row>
  </sheetData>
  <mergeCells count="2">
    <mergeCell ref="H1:J1"/>
    <mergeCell ref="G22:M2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
  <sheetViews>
    <sheetView workbookViewId="0">
      <selection activeCell="B21" sqref="B21"/>
    </sheetView>
  </sheetViews>
  <sheetFormatPr defaultRowHeight="15" x14ac:dyDescent="0.25"/>
  <cols>
    <col min="2" max="2" width="23.140625" bestFit="1" customWidth="1"/>
  </cols>
  <sheetData>
    <row r="1" spans="1:33" s="591" customFormat="1" ht="15.75" thickBot="1" x14ac:dyDescent="0.3">
      <c r="A1" s="924">
        <v>41642</v>
      </c>
      <c r="B1" s="924"/>
      <c r="C1" s="924"/>
      <c r="D1" s="529"/>
      <c r="E1" s="529"/>
      <c r="F1" s="529"/>
      <c r="G1" s="529"/>
      <c r="H1" s="529"/>
      <c r="I1" s="525"/>
      <c r="J1" s="531"/>
      <c r="K1" s="531"/>
      <c r="L1" s="529"/>
      <c r="M1" s="529"/>
      <c r="N1" s="527"/>
      <c r="R1" s="526"/>
      <c r="S1" s="534"/>
      <c r="T1" s="534"/>
      <c r="U1" s="534"/>
      <c r="V1" s="534"/>
      <c r="W1" s="534"/>
      <c r="X1" s="534"/>
      <c r="Y1" s="534"/>
      <c r="Z1" s="534"/>
      <c r="AA1" s="941"/>
      <c r="AB1" s="942"/>
    </row>
    <row r="2" spans="1:33" s="591" customFormat="1" ht="15.75" thickBot="1" x14ac:dyDescent="0.3">
      <c r="A2" s="924" t="s">
        <v>1</v>
      </c>
      <c r="B2" s="926"/>
      <c r="C2" s="540" t="s">
        <v>12</v>
      </c>
      <c r="D2" s="539" t="s">
        <v>12</v>
      </c>
      <c r="E2" s="540" t="s">
        <v>13</v>
      </c>
      <c r="F2" s="530" t="s">
        <v>13</v>
      </c>
      <c r="G2" s="530" t="s">
        <v>13</v>
      </c>
      <c r="H2" s="530" t="s">
        <v>13</v>
      </c>
      <c r="I2" s="530" t="s">
        <v>13</v>
      </c>
      <c r="J2" s="536" t="s">
        <v>13</v>
      </c>
      <c r="K2" s="536" t="s">
        <v>13</v>
      </c>
      <c r="L2" s="539" t="s">
        <v>13</v>
      </c>
      <c r="M2" s="569" t="s">
        <v>2</v>
      </c>
      <c r="N2" s="530" t="s">
        <v>2</v>
      </c>
      <c r="O2" s="536" t="s">
        <v>2</v>
      </c>
      <c r="P2" s="530" t="s">
        <v>2</v>
      </c>
      <c r="Q2" s="536" t="s">
        <v>2</v>
      </c>
      <c r="R2" s="536" t="s">
        <v>2</v>
      </c>
      <c r="S2" s="539" t="s">
        <v>2</v>
      </c>
      <c r="T2" s="569" t="s">
        <v>183</v>
      </c>
      <c r="U2" s="570" t="s">
        <v>183</v>
      </c>
      <c r="V2" s="526"/>
      <c r="W2" s="534"/>
      <c r="X2" s="534"/>
      <c r="Y2" s="534"/>
      <c r="Z2" s="534"/>
      <c r="AA2" s="925" t="s">
        <v>1</v>
      </c>
      <c r="AB2" s="928"/>
      <c r="AC2" s="606" t="s">
        <v>12</v>
      </c>
      <c r="AD2" s="929" t="s">
        <v>13</v>
      </c>
      <c r="AE2" s="930"/>
      <c r="AF2" s="929" t="s">
        <v>2</v>
      </c>
      <c r="AG2" s="930"/>
    </row>
    <row r="3" spans="1:33" s="591" customFormat="1" ht="15.75" thickBot="1" x14ac:dyDescent="0.3">
      <c r="A3" s="931" t="s">
        <v>0</v>
      </c>
      <c r="B3" s="944"/>
      <c r="C3" s="298" t="s">
        <v>99</v>
      </c>
      <c r="D3" s="291" t="s">
        <v>100</v>
      </c>
      <c r="E3" s="298" t="s">
        <v>101</v>
      </c>
      <c r="F3" s="503" t="s">
        <v>102</v>
      </c>
      <c r="G3" s="503" t="s">
        <v>97</v>
      </c>
      <c r="H3" s="503" t="s">
        <v>104</v>
      </c>
      <c r="I3" s="503" t="s">
        <v>103</v>
      </c>
      <c r="J3" s="521" t="s">
        <v>178</v>
      </c>
      <c r="K3" s="521" t="s">
        <v>200</v>
      </c>
      <c r="L3" s="517" t="s">
        <v>207</v>
      </c>
      <c r="M3" s="298" t="s">
        <v>105</v>
      </c>
      <c r="N3" s="503" t="s">
        <v>107</v>
      </c>
      <c r="O3" s="505" t="s">
        <v>98</v>
      </c>
      <c r="P3" s="516" t="s">
        <v>106</v>
      </c>
      <c r="Q3" s="505" t="s">
        <v>179</v>
      </c>
      <c r="R3" s="505" t="s">
        <v>199</v>
      </c>
      <c r="S3" s="291" t="s">
        <v>208</v>
      </c>
      <c r="T3" s="317" t="s">
        <v>182</v>
      </c>
      <c r="U3" s="291" t="s">
        <v>184</v>
      </c>
      <c r="V3" s="526"/>
      <c r="W3" s="526"/>
      <c r="X3" s="526"/>
      <c r="Y3" s="526"/>
      <c r="Z3" s="526"/>
      <c r="AA3" s="931" t="s">
        <v>0</v>
      </c>
      <c r="AB3" s="945"/>
      <c r="AC3" s="317" t="s">
        <v>99</v>
      </c>
      <c r="AD3" s="298" t="s">
        <v>104</v>
      </c>
      <c r="AE3" s="291" t="s">
        <v>207</v>
      </c>
      <c r="AF3" s="396" t="s">
        <v>107</v>
      </c>
      <c r="AG3" s="392" t="s">
        <v>208</v>
      </c>
    </row>
    <row r="4" spans="1:33" s="591" customFormat="1" ht="30" x14ac:dyDescent="0.25">
      <c r="A4" s="935" t="s">
        <v>9</v>
      </c>
      <c r="B4" s="528" t="s">
        <v>4</v>
      </c>
      <c r="C4" s="541">
        <f>143393+ 97433.6</f>
        <v>240826.6</v>
      </c>
      <c r="D4" s="538">
        <v>150516.70000000001</v>
      </c>
      <c r="E4" s="541">
        <v>150516.70000000001</v>
      </c>
      <c r="F4" s="533">
        <v>181998.8</v>
      </c>
      <c r="G4" s="533">
        <v>165453.5</v>
      </c>
      <c r="H4" s="533">
        <f>132132.9+243584</f>
        <v>375716.9</v>
      </c>
      <c r="I4" s="533">
        <v>170968.6</v>
      </c>
      <c r="J4" s="537">
        <v>165453.5</v>
      </c>
      <c r="K4" s="537">
        <v>92411.6</v>
      </c>
      <c r="L4" s="538">
        <f>83196.1+132070.4</f>
        <v>215266.5</v>
      </c>
      <c r="M4" s="541">
        <v>193029.1</v>
      </c>
      <c r="N4" s="533">
        <f>132132.9+292299.3</f>
        <v>424432.19999999995</v>
      </c>
      <c r="O4" s="533">
        <v>82726.600000000006</v>
      </c>
      <c r="P4" s="533">
        <v>275755</v>
      </c>
      <c r="Q4" s="537">
        <v>82726.600000000006</v>
      </c>
      <c r="R4" s="537">
        <v>188981.6</v>
      </c>
      <c r="S4" s="538">
        <f>83196.1+132070.4</f>
        <v>215266.5</v>
      </c>
      <c r="T4" s="544">
        <v>55151</v>
      </c>
      <c r="U4" s="538">
        <v>33090.5</v>
      </c>
      <c r="V4" s="534"/>
      <c r="W4" s="534"/>
      <c r="X4" s="534"/>
      <c r="Y4" s="534"/>
      <c r="Z4" s="534"/>
      <c r="AA4" s="603" t="s">
        <v>195</v>
      </c>
      <c r="AB4" s="524" t="s">
        <v>4</v>
      </c>
      <c r="AC4" s="544">
        <v>143393</v>
      </c>
      <c r="AD4" s="541">
        <v>132132</v>
      </c>
      <c r="AE4" s="538">
        <v>83196.100000000006</v>
      </c>
      <c r="AF4" s="552">
        <v>132132.20000000001</v>
      </c>
      <c r="AG4" s="551">
        <v>83196.100000000006</v>
      </c>
    </row>
    <row r="5" spans="1:33" s="591" customFormat="1" x14ac:dyDescent="0.25">
      <c r="A5" s="936"/>
      <c r="B5" s="497" t="s">
        <v>5</v>
      </c>
      <c r="C5" s="572">
        <f>51964+38973</f>
        <v>90937</v>
      </c>
      <c r="D5" s="571">
        <v>81938.2</v>
      </c>
      <c r="E5" s="572">
        <v>82028</v>
      </c>
      <c r="F5" s="576">
        <v>155624</v>
      </c>
      <c r="G5" s="576">
        <v>110303</v>
      </c>
      <c r="H5" s="576">
        <f>58542.3+124350.5</f>
        <v>182892.79999999999</v>
      </c>
      <c r="I5" s="576">
        <v>110932</v>
      </c>
      <c r="J5" s="577">
        <v>29896.7</v>
      </c>
      <c r="K5" s="577">
        <v>57862.5</v>
      </c>
      <c r="L5" s="571">
        <f xml:space="preserve"> 2519.1+3817.1</f>
        <v>6336.2</v>
      </c>
      <c r="M5" s="572">
        <v>169074</v>
      </c>
      <c r="N5" s="576">
        <f>70731+109009</f>
        <v>179740</v>
      </c>
      <c r="O5" s="576">
        <v>56572</v>
      </c>
      <c r="P5" s="576">
        <v>203947</v>
      </c>
      <c r="Q5" s="577">
        <v>15547</v>
      </c>
      <c r="R5" s="577">
        <v>93035</v>
      </c>
      <c r="S5" s="571">
        <f>31444.9+33401.9</f>
        <v>64846.8</v>
      </c>
      <c r="T5" s="580">
        <v>13770</v>
      </c>
      <c r="U5" s="571">
        <v>6998</v>
      </c>
      <c r="V5" s="534"/>
      <c r="W5" s="534"/>
      <c r="X5" s="534"/>
      <c r="Y5" s="534"/>
      <c r="Z5" s="534"/>
      <c r="AA5" s="604"/>
      <c r="AB5" s="496" t="s">
        <v>5</v>
      </c>
      <c r="AC5" s="319">
        <v>51964.9</v>
      </c>
      <c r="AD5" s="300">
        <v>58542</v>
      </c>
      <c r="AE5" s="513">
        <v>2519</v>
      </c>
      <c r="AF5" s="398">
        <v>70731</v>
      </c>
      <c r="AG5" s="394">
        <v>31444.9</v>
      </c>
    </row>
    <row r="6" spans="1:33" s="591" customFormat="1" ht="15.75" thickBot="1" x14ac:dyDescent="0.3">
      <c r="A6" s="937"/>
      <c r="B6" s="504" t="s">
        <v>3</v>
      </c>
      <c r="C6" s="542">
        <f t="shared" ref="C6:L6" si="0">C5/C4</f>
        <v>0.37760363680756193</v>
      </c>
      <c r="D6" s="343">
        <f t="shared" si="0"/>
        <v>0.54437946088374245</v>
      </c>
      <c r="E6" s="542">
        <f t="shared" si="0"/>
        <v>0.54497607242252843</v>
      </c>
      <c r="F6" s="519">
        <f t="shared" si="0"/>
        <v>0.85508256098391866</v>
      </c>
      <c r="G6" s="498">
        <f t="shared" si="0"/>
        <v>0.66667069599615603</v>
      </c>
      <c r="H6" s="498">
        <f t="shared" si="0"/>
        <v>0.48678353302712757</v>
      </c>
      <c r="I6" s="498">
        <f t="shared" si="0"/>
        <v>0.64884429070601268</v>
      </c>
      <c r="J6" s="506">
        <f t="shared" si="0"/>
        <v>0.18069548241650979</v>
      </c>
      <c r="K6" s="506">
        <f t="shared" si="0"/>
        <v>0.62613892628198187</v>
      </c>
      <c r="L6" s="514">
        <f t="shared" si="0"/>
        <v>2.9434212940703731E-2</v>
      </c>
      <c r="M6" s="547">
        <f>M5/M4</f>
        <v>0.87589902247899409</v>
      </c>
      <c r="N6" s="498">
        <f>N5/N4</f>
        <v>0.42348342090915819</v>
      </c>
      <c r="O6" s="506">
        <f>O5/O4</f>
        <v>0.68384292355783982</v>
      </c>
      <c r="P6" s="498">
        <f>P5/P4</f>
        <v>0.73959493028231582</v>
      </c>
      <c r="Q6" s="506">
        <f>Q5/Q4</f>
        <v>0.18793229747142998</v>
      </c>
      <c r="R6" s="506">
        <f t="shared" ref="R6:S6" si="1">R5/R4</f>
        <v>0.49229660453716129</v>
      </c>
      <c r="S6" s="514">
        <f t="shared" si="1"/>
        <v>0.30123962623074191</v>
      </c>
      <c r="T6" s="545">
        <f>T5/T4</f>
        <v>0.2496781563344273</v>
      </c>
      <c r="U6" s="514">
        <f>U5/U4</f>
        <v>0.21148063643643947</v>
      </c>
      <c r="V6" s="534"/>
      <c r="W6" s="534"/>
      <c r="X6" s="534"/>
      <c r="Y6" s="534"/>
      <c r="Z6" s="534"/>
      <c r="AA6" s="605"/>
      <c r="AB6" s="347" t="s">
        <v>3</v>
      </c>
      <c r="AC6" s="395">
        <f>AC5/AC4</f>
        <v>0.36239495651810061</v>
      </c>
      <c r="AD6" s="542">
        <f>AD5/AD4</f>
        <v>0.44305694305694304</v>
      </c>
      <c r="AE6" s="514">
        <f>AE5/AE4</f>
        <v>3.0277861582453984E-2</v>
      </c>
      <c r="AF6" s="522">
        <f>AF5/AF4</f>
        <v>0.53530479322981073</v>
      </c>
      <c r="AG6" s="343">
        <f>AG5/AG4</f>
        <v>0.37796122654787906</v>
      </c>
    </row>
    <row r="7" spans="1:33" s="591" customFormat="1" ht="30" x14ac:dyDescent="0.25">
      <c r="A7" s="938" t="s">
        <v>6</v>
      </c>
      <c r="B7" s="553" t="s">
        <v>7</v>
      </c>
      <c r="C7" s="554">
        <v>5870</v>
      </c>
      <c r="D7" s="555">
        <v>3333</v>
      </c>
      <c r="E7" s="554">
        <v>3330</v>
      </c>
      <c r="F7" s="556">
        <v>9457</v>
      </c>
      <c r="G7" s="556">
        <v>7929</v>
      </c>
      <c r="H7" s="556">
        <v>15703</v>
      </c>
      <c r="I7" s="556">
        <v>8197</v>
      </c>
      <c r="J7" s="557">
        <v>9599</v>
      </c>
      <c r="K7" s="557">
        <v>4073</v>
      </c>
      <c r="L7" s="555">
        <v>6399</v>
      </c>
      <c r="M7" s="554">
        <v>9092</v>
      </c>
      <c r="N7" s="556">
        <v>11924</v>
      </c>
      <c r="O7" s="556">
        <v>4059</v>
      </c>
      <c r="P7" s="556">
        <v>10852</v>
      </c>
      <c r="Q7" s="557">
        <v>4799</v>
      </c>
      <c r="R7" s="557">
        <v>7192</v>
      </c>
      <c r="S7" s="555">
        <v>9599</v>
      </c>
      <c r="T7" s="558">
        <v>2480</v>
      </c>
      <c r="U7" s="555">
        <v>1570</v>
      </c>
      <c r="V7" s="559" t="s">
        <v>198</v>
      </c>
      <c r="W7" s="560"/>
      <c r="X7" s="561"/>
      <c r="Y7" s="561"/>
      <c r="Z7" s="561"/>
      <c r="AA7" s="562" t="s">
        <v>191</v>
      </c>
      <c r="AB7" s="553" t="s">
        <v>4</v>
      </c>
      <c r="AC7" s="564">
        <v>9191.7999999999993</v>
      </c>
      <c r="AD7" s="565">
        <v>13787.7</v>
      </c>
      <c r="AE7" s="566">
        <v>8804.7999999999993</v>
      </c>
      <c r="AF7" s="567">
        <v>13787.7</v>
      </c>
      <c r="AG7" s="568">
        <v>8804.7999999999993</v>
      </c>
    </row>
    <row r="8" spans="1:33" s="591" customFormat="1" x14ac:dyDescent="0.25">
      <c r="A8" s="939"/>
      <c r="B8" s="494" t="s">
        <v>11</v>
      </c>
      <c r="C8" s="302">
        <f t="shared" ref="C8:L8" si="2">C7*33.717</f>
        <v>197918.78999999998</v>
      </c>
      <c r="D8" s="512">
        <f t="shared" si="2"/>
        <v>112378.761</v>
      </c>
      <c r="E8" s="302">
        <f t="shared" si="2"/>
        <v>112277.61</v>
      </c>
      <c r="F8" s="355">
        <f t="shared" si="2"/>
        <v>318861.66899999999</v>
      </c>
      <c r="G8" s="499">
        <f t="shared" si="2"/>
        <v>267342.09299999999</v>
      </c>
      <c r="H8" s="354">
        <f t="shared" si="2"/>
        <v>529458.05099999998</v>
      </c>
      <c r="I8" s="354">
        <f t="shared" si="2"/>
        <v>276378.24900000001</v>
      </c>
      <c r="J8" s="355">
        <f t="shared" si="2"/>
        <v>323649.48300000001</v>
      </c>
      <c r="K8" s="507">
        <f t="shared" si="2"/>
        <v>137329.34099999999</v>
      </c>
      <c r="L8" s="512">
        <f t="shared" si="2"/>
        <v>215755.08299999998</v>
      </c>
      <c r="M8" s="322">
        <f>M7*33.717</f>
        <v>306554.96399999998</v>
      </c>
      <c r="N8" s="499">
        <f>N7*33.717</f>
        <v>402041.50799999997</v>
      </c>
      <c r="O8" s="499">
        <f>O7*33.717</f>
        <v>136857.30299999999</v>
      </c>
      <c r="P8" s="354">
        <f>P7*33.717</f>
        <v>365896.88399999996</v>
      </c>
      <c r="Q8" s="355">
        <f>Q7*33.717</f>
        <v>161807.883</v>
      </c>
      <c r="R8" s="507">
        <f t="shared" ref="R8:S8" si="3">R7*33.717</f>
        <v>242492.66399999999</v>
      </c>
      <c r="S8" s="512">
        <f t="shared" si="3"/>
        <v>323649.48300000001</v>
      </c>
      <c r="T8" s="302">
        <f>T7*33.717</f>
        <v>83618.16</v>
      </c>
      <c r="U8" s="354">
        <f>U7*33.717</f>
        <v>52935.689999999995</v>
      </c>
      <c r="V8" s="534"/>
      <c r="W8" s="534"/>
      <c r="X8" s="534"/>
      <c r="Y8" s="534"/>
      <c r="Z8" s="534"/>
      <c r="AA8" s="604"/>
      <c r="AB8" s="497" t="s">
        <v>5</v>
      </c>
      <c r="AC8" s="319">
        <v>7975.5</v>
      </c>
      <c r="AD8" s="300">
        <v>13649</v>
      </c>
      <c r="AE8" s="513">
        <v>1289.9000000000001</v>
      </c>
      <c r="AF8" s="398">
        <v>13642</v>
      </c>
      <c r="AG8" s="394">
        <v>5483.9</v>
      </c>
    </row>
    <row r="9" spans="1:33" s="591" customFormat="1" ht="15.75" thickBot="1" x14ac:dyDescent="0.3">
      <c r="A9" s="939"/>
      <c r="B9" s="494" t="s">
        <v>79</v>
      </c>
      <c r="C9" s="302">
        <v>164000</v>
      </c>
      <c r="D9" s="512">
        <v>109880</v>
      </c>
      <c r="E9" s="302">
        <v>109880</v>
      </c>
      <c r="F9" s="499">
        <v>328000</v>
      </c>
      <c r="G9" s="499">
        <v>330905</v>
      </c>
      <c r="H9" s="499">
        <v>264264</v>
      </c>
      <c r="I9" s="499">
        <v>242663.6</v>
      </c>
      <c r="J9" s="507">
        <v>328000</v>
      </c>
      <c r="K9" s="507">
        <v>328000</v>
      </c>
      <c r="L9" s="512">
        <v>328000</v>
      </c>
      <c r="M9" s="302">
        <v>328000</v>
      </c>
      <c r="N9" s="499">
        <v>264264.40000000002</v>
      </c>
      <c r="O9" s="499">
        <v>328000</v>
      </c>
      <c r="P9" s="499">
        <v>352965.4</v>
      </c>
      <c r="Q9" s="507">
        <v>328000</v>
      </c>
      <c r="R9" s="507">
        <v>328000</v>
      </c>
      <c r="S9" s="512">
        <v>328000</v>
      </c>
      <c r="T9" s="322">
        <f>2*T4</f>
        <v>110302</v>
      </c>
      <c r="U9" s="512">
        <f>2*U4</f>
        <v>66181</v>
      </c>
      <c r="V9" s="534"/>
      <c r="W9" s="534"/>
      <c r="X9" s="534"/>
      <c r="Y9" s="534"/>
      <c r="Z9" s="534"/>
      <c r="AA9" s="605"/>
      <c r="AB9" s="344" t="s">
        <v>3</v>
      </c>
      <c r="AC9" s="395">
        <f>AC8/AC7</f>
        <v>0.86767553689157739</v>
      </c>
      <c r="AD9" s="301">
        <f>AD8/AD7</f>
        <v>0.98994030911609621</v>
      </c>
      <c r="AE9" s="401">
        <f>AE8/AE7</f>
        <v>0.14649963656187537</v>
      </c>
      <c r="AF9" s="400">
        <f>AF8/AF7</f>
        <v>0.98943261022505558</v>
      </c>
      <c r="AG9" s="348">
        <f>AG8/AG7</f>
        <v>0.62283072869343992</v>
      </c>
    </row>
    <row r="10" spans="1:33" s="591" customFormat="1" ht="45" x14ac:dyDescent="0.25">
      <c r="A10" s="939"/>
      <c r="B10" s="497" t="s">
        <v>8</v>
      </c>
      <c r="C10" s="303">
        <f>SUM(C7-336)</f>
        <v>5534</v>
      </c>
      <c r="D10" s="511">
        <f>SUM(D7-468)</f>
        <v>2865</v>
      </c>
      <c r="E10" s="303">
        <f>SUM(E7-435)</f>
        <v>2895</v>
      </c>
      <c r="F10" s="502">
        <f>SUM(F7-1130)</f>
        <v>8327</v>
      </c>
      <c r="G10" s="502">
        <f>SUM(G7-4311)</f>
        <v>3618</v>
      </c>
      <c r="H10" s="502">
        <f>SUM(H7-2041)</f>
        <v>13662</v>
      </c>
      <c r="I10" s="502">
        <f>SUM(I7-(3284-2000))</f>
        <v>6913</v>
      </c>
      <c r="J10" s="508">
        <f>SUM(J7-8785)</f>
        <v>814</v>
      </c>
      <c r="K10" s="508">
        <f>SUM(K7-1056)</f>
        <v>3017</v>
      </c>
      <c r="L10" s="511">
        <f>SUM(L7-4196)</f>
        <v>2203</v>
      </c>
      <c r="M10" s="303">
        <f>SUM(M7-744)</f>
        <v>8348</v>
      </c>
      <c r="N10" s="502">
        <f>SUM(N7-986)</f>
        <v>10938</v>
      </c>
      <c r="O10" s="508">
        <f>SUM(O7-294)</f>
        <v>3765</v>
      </c>
      <c r="P10" s="502">
        <f>SUM(P7-(5089-2614))</f>
        <v>8377</v>
      </c>
      <c r="Q10" s="508">
        <f>SUM(Q7-3537)</f>
        <v>1262</v>
      </c>
      <c r="R10" s="508">
        <f>SUM(R7-4060)</f>
        <v>3132</v>
      </c>
      <c r="S10" s="511">
        <f>SUM(S7-3942)</f>
        <v>5657</v>
      </c>
      <c r="T10" s="323">
        <f>SUM(T7-859)</f>
        <v>1621</v>
      </c>
      <c r="U10" s="511">
        <f>SUM(U7-555)</f>
        <v>1015</v>
      </c>
      <c r="V10" s="526" t="s">
        <v>176</v>
      </c>
      <c r="W10" s="534"/>
      <c r="X10" s="534"/>
      <c r="Y10" s="534"/>
      <c r="Z10" s="534"/>
      <c r="AA10" s="603" t="s">
        <v>192</v>
      </c>
      <c r="AB10" s="528" t="s">
        <v>4</v>
      </c>
      <c r="AC10" s="544">
        <v>97433.600000000006</v>
      </c>
      <c r="AD10" s="541">
        <v>243584.4</v>
      </c>
      <c r="AE10" s="538">
        <v>132070.29999999999</v>
      </c>
      <c r="AF10" s="552">
        <v>292299.3</v>
      </c>
      <c r="AG10" s="551">
        <v>132070.39999999999</v>
      </c>
    </row>
    <row r="11" spans="1:33" s="591" customFormat="1" x14ac:dyDescent="0.25">
      <c r="A11" s="939"/>
      <c r="B11" s="495" t="s">
        <v>77</v>
      </c>
      <c r="C11" s="302">
        <f t="shared" ref="C11:H11" si="4">(C10*33.717)</f>
        <v>186589.878</v>
      </c>
      <c r="D11" s="338">
        <f t="shared" si="4"/>
        <v>96599.205000000002</v>
      </c>
      <c r="E11" s="302">
        <f t="shared" si="4"/>
        <v>97610.714999999997</v>
      </c>
      <c r="F11" s="338">
        <f t="shared" si="4"/>
        <v>280761.45899999997</v>
      </c>
      <c r="G11" s="500">
        <f t="shared" si="4"/>
        <v>121988.106</v>
      </c>
      <c r="H11" s="500">
        <f t="shared" si="4"/>
        <v>460641.65399999998</v>
      </c>
      <c r="I11" s="500">
        <f>(I10*33.717)-(2000*33.717)</f>
        <v>165651.62099999998</v>
      </c>
      <c r="J11" s="509">
        <f>J10*33.717</f>
        <v>27445.637999999999</v>
      </c>
      <c r="K11" s="509">
        <f>K10*33.717</f>
        <v>101724.189</v>
      </c>
      <c r="L11" s="261">
        <f>L10*33.717</f>
        <v>74278.550999999992</v>
      </c>
      <c r="M11" s="304">
        <f>M10*33.717</f>
        <v>281469.516</v>
      </c>
      <c r="N11" s="500">
        <f>N10*33.717</f>
        <v>368796.54599999997</v>
      </c>
      <c r="O11" s="500">
        <f>(O10*33.717)</f>
        <v>126944.50499999999</v>
      </c>
      <c r="P11" s="500">
        <f>P10*33.717-(2614*33.717)</f>
        <v>194311.071</v>
      </c>
      <c r="Q11" s="509">
        <f t="shared" ref="Q11:U11" si="5">Q10*33.717</f>
        <v>42550.853999999999</v>
      </c>
      <c r="R11" s="509">
        <f t="shared" si="5"/>
        <v>105601.644</v>
      </c>
      <c r="S11" s="261">
        <f t="shared" si="5"/>
        <v>190737.06899999999</v>
      </c>
      <c r="T11" s="324">
        <f t="shared" si="5"/>
        <v>54655.256999999998</v>
      </c>
      <c r="U11" s="518">
        <f t="shared" si="5"/>
        <v>34222.754999999997</v>
      </c>
      <c r="V11" s="532">
        <f>344240-H11</f>
        <v>-116401.65399999998</v>
      </c>
      <c r="W11" s="534" t="s">
        <v>177</v>
      </c>
      <c r="X11" s="534"/>
      <c r="Y11" s="534"/>
      <c r="Z11" s="534"/>
      <c r="AA11" s="604"/>
      <c r="AB11" s="497" t="s">
        <v>5</v>
      </c>
      <c r="AC11" s="319">
        <v>38973.199999999997</v>
      </c>
      <c r="AD11" s="300">
        <v>124350.5</v>
      </c>
      <c r="AE11" s="513">
        <v>3817.1</v>
      </c>
      <c r="AF11" s="398">
        <v>109009</v>
      </c>
      <c r="AG11" s="394">
        <v>33401</v>
      </c>
    </row>
    <row r="12" spans="1:33" s="591" customFormat="1" ht="15.75" thickBot="1" x14ac:dyDescent="0.3">
      <c r="A12" s="940"/>
      <c r="B12" s="504" t="s">
        <v>218</v>
      </c>
      <c r="C12" s="542">
        <f t="shared" ref="C12:U12" si="6">C11/C4</f>
        <v>0.77478932144538848</v>
      </c>
      <c r="D12" s="514">
        <f t="shared" si="6"/>
        <v>0.64178396815768612</v>
      </c>
      <c r="E12" s="543">
        <f t="shared" si="6"/>
        <v>0.64850421913315925</v>
      </c>
      <c r="F12" s="501">
        <f t="shared" si="6"/>
        <v>1.542655550476157</v>
      </c>
      <c r="G12" s="501">
        <f t="shared" si="6"/>
        <v>0.73729540928417958</v>
      </c>
      <c r="H12" s="501">
        <f t="shared" si="6"/>
        <v>1.2260338941367821</v>
      </c>
      <c r="I12" s="501">
        <f t="shared" si="6"/>
        <v>0.96890084495047613</v>
      </c>
      <c r="J12" s="520">
        <f t="shared" si="6"/>
        <v>0.16588127782126094</v>
      </c>
      <c r="K12" s="520">
        <f t="shared" si="6"/>
        <v>1.1007729440892702</v>
      </c>
      <c r="L12" s="515">
        <f t="shared" si="6"/>
        <v>0.34505392617987468</v>
      </c>
      <c r="M12" s="543">
        <f t="shared" si="6"/>
        <v>1.4581714156052119</v>
      </c>
      <c r="N12" s="501">
        <f t="shared" si="6"/>
        <v>0.86891745254012309</v>
      </c>
      <c r="O12" s="501">
        <f t="shared" si="6"/>
        <v>1.5345064948879801</v>
      </c>
      <c r="P12" s="510">
        <f t="shared" si="6"/>
        <v>0.70465112509292671</v>
      </c>
      <c r="Q12" s="520">
        <f t="shared" si="6"/>
        <v>0.5143551650859578</v>
      </c>
      <c r="R12" s="520">
        <f t="shared" si="6"/>
        <v>0.55879325817963232</v>
      </c>
      <c r="S12" s="515">
        <f t="shared" si="6"/>
        <v>0.88605086718091286</v>
      </c>
      <c r="T12" s="542">
        <f t="shared" si="6"/>
        <v>0.99101116933509814</v>
      </c>
      <c r="U12" s="514">
        <f t="shared" si="6"/>
        <v>1.034216920264124</v>
      </c>
      <c r="V12" s="535"/>
      <c r="W12" s="534"/>
      <c r="X12" s="534"/>
      <c r="Y12" s="534"/>
      <c r="Z12" s="534"/>
      <c r="AA12" s="605"/>
      <c r="AB12" s="504" t="s">
        <v>3</v>
      </c>
      <c r="AC12" s="545">
        <f>AC11/AC10</f>
        <v>0.39999753678402516</v>
      </c>
      <c r="AD12" s="542">
        <f>AD11/AD10</f>
        <v>0.51050272513346506</v>
      </c>
      <c r="AE12" s="514">
        <f>AE11/AE10</f>
        <v>2.8902031720984961E-2</v>
      </c>
      <c r="AF12" s="522">
        <f>AF11/AF10</f>
        <v>0.37293623351133581</v>
      </c>
      <c r="AG12" s="343">
        <f>AG11/AG10</f>
        <v>0.25290299718937781</v>
      </c>
    </row>
    <row r="13" spans="1:33" s="591" customFormat="1" ht="15.75" thickBot="1" x14ac:dyDescent="0.3">
      <c r="A13" s="612"/>
      <c r="B13" s="504" t="s">
        <v>219</v>
      </c>
      <c r="C13" s="303">
        <v>168566</v>
      </c>
      <c r="D13" s="303">
        <v>96194</v>
      </c>
      <c r="E13" s="303">
        <v>97205</v>
      </c>
      <c r="F13" s="303">
        <v>262762</v>
      </c>
      <c r="G13" s="303">
        <v>126645</v>
      </c>
      <c r="H13" s="303">
        <v>445574</v>
      </c>
      <c r="I13" s="303">
        <v>165652</v>
      </c>
      <c r="J13" s="303">
        <v>27482</v>
      </c>
      <c r="K13" s="303">
        <v>101798</v>
      </c>
      <c r="L13" s="303">
        <v>74362</v>
      </c>
      <c r="M13" s="303">
        <v>277512</v>
      </c>
      <c r="N13" s="303">
        <v>369005</v>
      </c>
      <c r="O13" s="303">
        <v>133944</v>
      </c>
      <c r="P13" s="303">
        <v>161875</v>
      </c>
      <c r="Q13" s="303">
        <v>42593</v>
      </c>
      <c r="R13" s="303">
        <v>100733</v>
      </c>
      <c r="S13" s="303">
        <v>191491</v>
      </c>
      <c r="T13" s="303">
        <v>54655</v>
      </c>
      <c r="U13" s="303">
        <v>34222</v>
      </c>
      <c r="V13" s="535"/>
      <c r="W13" s="534"/>
      <c r="X13" s="534"/>
      <c r="Y13" s="534"/>
      <c r="Z13" s="534"/>
      <c r="AA13" s="605" t="s">
        <v>220</v>
      </c>
      <c r="AB13" s="504" t="s">
        <v>3</v>
      </c>
      <c r="AC13" s="545">
        <f>(AC6+AC12)/2</f>
        <v>0.38119624665106289</v>
      </c>
      <c r="AD13" s="545">
        <f t="shared" ref="AD13:AG13" si="7">(AD6+AD12)/2</f>
        <v>0.47677983409520408</v>
      </c>
      <c r="AE13" s="545">
        <f t="shared" si="7"/>
        <v>2.9589946651719472E-2</v>
      </c>
      <c r="AF13" s="545">
        <f t="shared" si="7"/>
        <v>0.45412051337057324</v>
      </c>
      <c r="AG13" s="545">
        <f t="shared" si="7"/>
        <v>0.31543211186862841</v>
      </c>
    </row>
    <row r="14" spans="1:33" s="591" customFormat="1" ht="15.75" thickBot="1" x14ac:dyDescent="0.3">
      <c r="A14" s="612"/>
      <c r="B14" s="504" t="s">
        <v>217</v>
      </c>
      <c r="C14" s="543">
        <f t="shared" ref="C14:D14" si="8">C13/C4</f>
        <v>0.69994759715081301</v>
      </c>
      <c r="D14" s="543">
        <f t="shared" si="8"/>
        <v>0.63909187485508245</v>
      </c>
      <c r="E14" s="543">
        <f>E13/E4</f>
        <v>0.64580873750221734</v>
      </c>
      <c r="F14" s="543">
        <f t="shared" ref="F14:U14" si="9">F13/F4</f>
        <v>1.4437567720226727</v>
      </c>
      <c r="G14" s="543">
        <f t="shared" si="9"/>
        <v>0.76544164976866613</v>
      </c>
      <c r="H14" s="543">
        <f t="shared" si="9"/>
        <v>1.1859301511324083</v>
      </c>
      <c r="I14" s="543">
        <f t="shared" si="9"/>
        <v>0.96890306173180341</v>
      </c>
      <c r="J14" s="543">
        <f t="shared" si="9"/>
        <v>0.16610104953959873</v>
      </c>
      <c r="K14" s="543">
        <f t="shared" si="9"/>
        <v>1.1015716641633733</v>
      </c>
      <c r="L14" s="543">
        <f t="shared" si="9"/>
        <v>0.34544158055247798</v>
      </c>
      <c r="M14" s="543">
        <f t="shared" si="9"/>
        <v>1.4376692426167867</v>
      </c>
      <c r="N14" s="543">
        <f t="shared" si="9"/>
        <v>0.86940858869803006</v>
      </c>
      <c r="O14" s="543">
        <f t="shared" si="9"/>
        <v>1.6191164631448651</v>
      </c>
      <c r="P14" s="543">
        <f t="shared" si="9"/>
        <v>0.58702471396710854</v>
      </c>
      <c r="Q14" s="543">
        <f t="shared" si="9"/>
        <v>0.51486462637168695</v>
      </c>
      <c r="R14" s="543">
        <f t="shared" si="9"/>
        <v>0.53303072891752423</v>
      </c>
      <c r="S14" s="543">
        <f t="shared" si="9"/>
        <v>0.88955318175377962</v>
      </c>
      <c r="T14" s="543">
        <f t="shared" si="9"/>
        <v>0.9910065094014614</v>
      </c>
      <c r="U14" s="543">
        <f t="shared" si="9"/>
        <v>1.0341941040479896</v>
      </c>
      <c r="V14" s="535"/>
      <c r="W14" s="534"/>
      <c r="X14" s="534"/>
      <c r="Y14" s="534"/>
      <c r="Z14" s="534"/>
      <c r="AA14" s="605"/>
      <c r="AB14" s="504"/>
      <c r="AC14" s="545"/>
      <c r="AD14" s="542"/>
      <c r="AE14" s="514"/>
      <c r="AF14" s="522"/>
      <c r="AG14" s="343"/>
    </row>
  </sheetData>
  <mergeCells count="10">
    <mergeCell ref="A7:A12"/>
    <mergeCell ref="A1:C1"/>
    <mergeCell ref="AA1:AB1"/>
    <mergeCell ref="A2:B2"/>
    <mergeCell ref="AA2:AB2"/>
    <mergeCell ref="AD2:AE2"/>
    <mergeCell ref="AF2:AG2"/>
    <mergeCell ref="A3:B3"/>
    <mergeCell ref="AA3:AB3"/>
    <mergeCell ref="A4:A6"/>
  </mergeCells>
  <conditionalFormatting sqref="J12">
    <cfRule type="cellIs" dxfId="65" priority="63" stopIfTrue="1" operator="greaterThan">
      <formula>1.75</formula>
    </cfRule>
    <cfRule type="cellIs" dxfId="64" priority="64" stopIfTrue="1" operator="between">
      <formula>1.25</formula>
      <formula>1.75</formula>
    </cfRule>
  </conditionalFormatting>
  <conditionalFormatting sqref="V11">
    <cfRule type="cellIs" dxfId="63" priority="65" operator="lessThan">
      <formula>1000</formula>
    </cfRule>
    <cfRule type="cellIs" dxfId="62" priority="66" operator="lessThan">
      <formula>2000</formula>
    </cfRule>
  </conditionalFormatting>
  <conditionalFormatting sqref="C12:I12 M12:O12">
    <cfRule type="cellIs" dxfId="61" priority="59" stopIfTrue="1" operator="greaterThan">
      <formula>1.75</formula>
    </cfRule>
    <cfRule type="cellIs" dxfId="60" priority="60" stopIfTrue="1" operator="between">
      <formula>1.25</formula>
      <formula>1.75</formula>
    </cfRule>
  </conditionalFormatting>
  <conditionalFormatting sqref="C12:I12 M12:O12">
    <cfRule type="cellIs" dxfId="59" priority="57" stopIfTrue="1" operator="greaterThan">
      <formula>1.75</formula>
    </cfRule>
    <cfRule type="cellIs" dxfId="58" priority="58" stopIfTrue="1" operator="between">
      <formula>1.25</formula>
      <formula>1.75</formula>
    </cfRule>
  </conditionalFormatting>
  <conditionalFormatting sqref="P12">
    <cfRule type="cellIs" dxfId="57" priority="55" stopIfTrue="1" operator="greaterThan">
      <formula>1.75</formula>
    </cfRule>
    <cfRule type="cellIs" dxfId="56" priority="56" stopIfTrue="1" operator="between">
      <formula>1.25</formula>
      <formula>1.75</formula>
    </cfRule>
  </conditionalFormatting>
  <conditionalFormatting sqref="P12">
    <cfRule type="cellIs" dxfId="55" priority="53" stopIfTrue="1" operator="greaterThan">
      <formula>1.75</formula>
    </cfRule>
    <cfRule type="cellIs" dxfId="54" priority="54" stopIfTrue="1" operator="between">
      <formula>1.25</formula>
      <formula>1.75</formula>
    </cfRule>
  </conditionalFormatting>
  <conditionalFormatting sqref="P12">
    <cfRule type="cellIs" dxfId="53" priority="51" stopIfTrue="1" operator="greaterThan">
      <formula>1.75</formula>
    </cfRule>
    <cfRule type="cellIs" dxfId="52" priority="52" stopIfTrue="1" operator="between">
      <formula>1.25</formula>
      <formula>1.75</formula>
    </cfRule>
  </conditionalFormatting>
  <conditionalFormatting sqref="U12">
    <cfRule type="cellIs" dxfId="51" priority="49" stopIfTrue="1" operator="greaterThan">
      <formula>1.75</formula>
    </cfRule>
    <cfRule type="cellIs" dxfId="50" priority="50" stopIfTrue="1" operator="between">
      <formula>1.25</formula>
      <formula>1.75</formula>
    </cfRule>
  </conditionalFormatting>
  <conditionalFormatting sqref="T12">
    <cfRule type="cellIs" dxfId="49" priority="47" stopIfTrue="1" operator="greaterThan">
      <formula>1.75</formula>
    </cfRule>
    <cfRule type="cellIs" dxfId="48" priority="48" stopIfTrue="1" operator="between">
      <formula>1.25</formula>
      <formula>1.75</formula>
    </cfRule>
  </conditionalFormatting>
  <conditionalFormatting sqref="Q12">
    <cfRule type="cellIs" dxfId="47" priority="45" stopIfTrue="1" operator="greaterThan">
      <formula>1.75</formula>
    </cfRule>
    <cfRule type="cellIs" dxfId="46" priority="46" stopIfTrue="1" operator="between">
      <formula>1.25</formula>
      <formula>1.75</formula>
    </cfRule>
  </conditionalFormatting>
  <conditionalFormatting sqref="Q12">
    <cfRule type="cellIs" dxfId="45" priority="43" stopIfTrue="1" operator="greaterThan">
      <formula>1.75</formula>
    </cfRule>
    <cfRule type="cellIs" dxfId="44" priority="44" stopIfTrue="1" operator="between">
      <formula>1.25</formula>
      <formula>1.75</formula>
    </cfRule>
  </conditionalFormatting>
  <conditionalFormatting sqref="Q12">
    <cfRule type="cellIs" dxfId="43" priority="41" stopIfTrue="1" operator="greaterThan">
      <formula>1.75</formula>
    </cfRule>
    <cfRule type="cellIs" dxfId="42" priority="42" stopIfTrue="1" operator="between">
      <formula>1.25</formula>
      <formula>1.75</formula>
    </cfRule>
  </conditionalFormatting>
  <conditionalFormatting sqref="J12">
    <cfRule type="cellIs" dxfId="41" priority="39" stopIfTrue="1" operator="greaterThan">
      <formula>1.75</formula>
    </cfRule>
    <cfRule type="cellIs" dxfId="40" priority="40" stopIfTrue="1" operator="between">
      <formula>1.25</formula>
      <formula>1.75</formula>
    </cfRule>
  </conditionalFormatting>
  <conditionalFormatting sqref="J12">
    <cfRule type="cellIs" dxfId="39" priority="37" stopIfTrue="1" operator="greaterThan">
      <formula>1.75</formula>
    </cfRule>
    <cfRule type="cellIs" dxfId="38" priority="38" stopIfTrue="1" operator="between">
      <formula>1.25</formula>
      <formula>1.75</formula>
    </cfRule>
  </conditionalFormatting>
  <conditionalFormatting sqref="R12">
    <cfRule type="cellIs" dxfId="37" priority="35" stopIfTrue="1" operator="greaterThan">
      <formula>1.75</formula>
    </cfRule>
    <cfRule type="cellIs" dxfId="36" priority="36" stopIfTrue="1" operator="between">
      <formula>1.25</formula>
      <formula>1.75</formula>
    </cfRule>
  </conditionalFormatting>
  <conditionalFormatting sqref="K12">
    <cfRule type="cellIs" dxfId="35" priority="33" stopIfTrue="1" operator="greaterThan">
      <formula>1.75</formula>
    </cfRule>
    <cfRule type="cellIs" dxfId="34" priority="34" stopIfTrue="1" operator="between">
      <formula>1.25</formula>
      <formula>1.75</formula>
    </cfRule>
  </conditionalFormatting>
  <conditionalFormatting sqref="R12">
    <cfRule type="cellIs" dxfId="33" priority="31" stopIfTrue="1" operator="greaterThan">
      <formula>1.75</formula>
    </cfRule>
    <cfRule type="cellIs" dxfId="32" priority="32" stopIfTrue="1" operator="between">
      <formula>1.25</formula>
      <formula>1.75</formula>
    </cfRule>
  </conditionalFormatting>
  <conditionalFormatting sqref="R12">
    <cfRule type="cellIs" dxfId="31" priority="29" stopIfTrue="1" operator="greaterThan">
      <formula>1.75</formula>
    </cfRule>
    <cfRule type="cellIs" dxfId="30" priority="30" stopIfTrue="1" operator="between">
      <formula>1.25</formula>
      <formula>1.75</formula>
    </cfRule>
  </conditionalFormatting>
  <conditionalFormatting sqref="K12">
    <cfRule type="cellIs" dxfId="29" priority="27" stopIfTrue="1" operator="greaterThan">
      <formula>1.75</formula>
    </cfRule>
    <cfRule type="cellIs" dxfId="28" priority="28" stopIfTrue="1" operator="between">
      <formula>1.25</formula>
      <formula>1.75</formula>
    </cfRule>
  </conditionalFormatting>
  <conditionalFormatting sqref="K12">
    <cfRule type="cellIs" dxfId="27" priority="25" stopIfTrue="1" operator="greaterThan">
      <formula>1.75</formula>
    </cfRule>
    <cfRule type="cellIs" dxfId="26" priority="26" stopIfTrue="1" operator="between">
      <formula>1.25</formula>
      <formula>1.75</formula>
    </cfRule>
  </conditionalFormatting>
  <conditionalFormatting sqref="L12">
    <cfRule type="cellIs" dxfId="25" priority="23" stopIfTrue="1" operator="greaterThan">
      <formula>1.75</formula>
    </cfRule>
    <cfRule type="cellIs" dxfId="24" priority="24" stopIfTrue="1" operator="between">
      <formula>1.25</formula>
      <formula>1.75</formula>
    </cfRule>
  </conditionalFormatting>
  <conditionalFormatting sqref="L12">
    <cfRule type="cellIs" dxfId="23" priority="21" stopIfTrue="1" operator="greaterThan">
      <formula>1.75</formula>
    </cfRule>
    <cfRule type="cellIs" dxfId="22" priority="22" stopIfTrue="1" operator="between">
      <formula>1.25</formula>
      <formula>1.75</formula>
    </cfRule>
  </conditionalFormatting>
  <conditionalFormatting sqref="L12">
    <cfRule type="cellIs" dxfId="21" priority="19" stopIfTrue="1" operator="greaterThan">
      <formula>1.75</formula>
    </cfRule>
    <cfRule type="cellIs" dxfId="20" priority="20" stopIfTrue="1" operator="between">
      <formula>1.25</formula>
      <formula>1.75</formula>
    </cfRule>
  </conditionalFormatting>
  <conditionalFormatting sqref="S12">
    <cfRule type="cellIs" dxfId="19" priority="17" stopIfTrue="1" operator="greaterThan">
      <formula>1.75</formula>
    </cfRule>
    <cfRule type="cellIs" dxfId="18" priority="18" stopIfTrue="1" operator="between">
      <formula>1.25</formula>
      <formula>1.75</formula>
    </cfRule>
  </conditionalFormatting>
  <conditionalFormatting sqref="S12">
    <cfRule type="cellIs" dxfId="17" priority="15" stopIfTrue="1" operator="greaterThan">
      <formula>1.75</formula>
    </cfRule>
    <cfRule type="cellIs" dxfId="16" priority="16" stopIfTrue="1" operator="between">
      <formula>1.25</formula>
      <formula>1.75</formula>
    </cfRule>
  </conditionalFormatting>
  <conditionalFormatting sqref="S12">
    <cfRule type="cellIs" dxfId="15" priority="13" stopIfTrue="1" operator="greaterThan">
      <formula>1.75</formula>
    </cfRule>
    <cfRule type="cellIs" dxfId="14" priority="14" stopIfTrue="1" operator="between">
      <formula>1.25</formula>
      <formula>1.75</formula>
    </cfRule>
  </conditionalFormatting>
  <conditionalFormatting sqref="C12:I12 M12:O12">
    <cfRule type="cellIs" dxfId="13" priority="61" stopIfTrue="1" operator="greaterThan">
      <formula>1.75</formula>
    </cfRule>
    <cfRule type="cellIs" dxfId="12" priority="62" stopIfTrue="1" operator="between">
      <formula>1.25</formula>
      <formula>1.75</formula>
    </cfRule>
  </conditionalFormatting>
  <conditionalFormatting sqref="C14:E14">
    <cfRule type="cellIs" dxfId="11" priority="7" stopIfTrue="1" operator="greaterThan">
      <formula>1.75</formula>
    </cfRule>
    <cfRule type="cellIs" dxfId="10" priority="8" stopIfTrue="1" operator="between">
      <formula>1.25</formula>
      <formula>1.75</formula>
    </cfRule>
  </conditionalFormatting>
  <conditionalFormatting sqref="C14:E14">
    <cfRule type="cellIs" dxfId="9" priority="9" stopIfTrue="1" operator="greaterThan">
      <formula>1.75</formula>
    </cfRule>
    <cfRule type="cellIs" dxfId="8" priority="10" stopIfTrue="1" operator="between">
      <formula>1.25</formula>
      <formula>1.75</formula>
    </cfRule>
  </conditionalFormatting>
  <conditionalFormatting sqref="F14:U14">
    <cfRule type="cellIs" dxfId="7" priority="5" stopIfTrue="1" operator="greaterThan">
      <formula>1.75</formula>
    </cfRule>
    <cfRule type="cellIs" dxfId="6" priority="6" stopIfTrue="1" operator="between">
      <formula>1.25</formula>
      <formula>1.75</formula>
    </cfRule>
  </conditionalFormatting>
  <conditionalFormatting sqref="F14:U14">
    <cfRule type="cellIs" dxfId="5" priority="3" stopIfTrue="1" operator="greaterThan">
      <formula>1.75</formula>
    </cfRule>
    <cfRule type="cellIs" dxfId="4" priority="4" stopIfTrue="1" operator="between">
      <formula>1.25</formula>
      <formula>1.75</formula>
    </cfRule>
  </conditionalFormatting>
  <conditionalFormatting sqref="F14:U14">
    <cfRule type="cellIs" dxfId="3" priority="1" stopIfTrue="1" operator="greaterThan">
      <formula>1.75</formula>
    </cfRule>
    <cfRule type="cellIs" dxfId="2" priority="2" stopIfTrue="1" operator="between">
      <formula>1.25</formula>
      <formula>1.75</formula>
    </cfRule>
  </conditionalFormatting>
  <conditionalFormatting sqref="C14:E14">
    <cfRule type="cellIs" dxfId="1" priority="11" stopIfTrue="1" operator="greaterThan">
      <formula>1.75</formula>
    </cfRule>
    <cfRule type="cellIs" dxfId="0" priority="12" stopIfTrue="1" operator="between">
      <formula>1.25</formula>
      <formula>1.75</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topLeftCell="A37" workbookViewId="0">
      <selection activeCell="T73" sqref="T73"/>
    </sheetView>
  </sheetViews>
  <sheetFormatPr defaultRowHeight="15" x14ac:dyDescent="0.25"/>
  <cols>
    <col min="1" max="1" width="9.140625" style="743"/>
    <col min="2" max="2" width="14.5703125" style="743" bestFit="1" customWidth="1"/>
    <col min="3" max="3" width="9.140625" style="743"/>
    <col min="4" max="4" width="17.42578125" style="594" customWidth="1"/>
    <col min="5" max="5" width="20.5703125" style="743" bestFit="1" customWidth="1"/>
    <col min="6" max="6" width="9.140625" style="743"/>
    <col min="7" max="7" width="14.140625" style="743" customWidth="1"/>
    <col min="8" max="8" width="9.140625" style="743"/>
    <col min="9" max="12" width="9.7109375" style="743" bestFit="1" customWidth="1"/>
    <col min="13" max="14" width="10.7109375" style="743" bestFit="1" customWidth="1"/>
    <col min="15" max="18" width="9.7109375" style="743" bestFit="1" customWidth="1"/>
    <col min="19" max="20" width="10.7109375" style="743" bestFit="1" customWidth="1"/>
    <col min="21" max="25" width="9.7109375" style="743" bestFit="1" customWidth="1"/>
    <col min="26" max="16384" width="9.140625" style="743"/>
  </cols>
  <sheetData>
    <row r="1" spans="1:40" x14ac:dyDescent="0.25">
      <c r="A1" s="891"/>
      <c r="B1" s="891"/>
      <c r="C1" s="891"/>
      <c r="D1" s="970"/>
      <c r="E1" s="891"/>
      <c r="F1" s="964"/>
      <c r="G1" s="891"/>
      <c r="H1" s="891" t="s">
        <v>75</v>
      </c>
      <c r="I1" s="891" t="s">
        <v>75</v>
      </c>
      <c r="J1" s="891" t="s">
        <v>75</v>
      </c>
      <c r="K1" s="891" t="s">
        <v>75</v>
      </c>
      <c r="L1" s="891" t="s">
        <v>75</v>
      </c>
      <c r="M1" s="891" t="s">
        <v>75</v>
      </c>
      <c r="N1" s="891" t="s">
        <v>75</v>
      </c>
      <c r="O1" s="891" t="s">
        <v>75</v>
      </c>
      <c r="P1" s="891" t="s">
        <v>75</v>
      </c>
      <c r="Q1" s="891" t="s">
        <v>75</v>
      </c>
      <c r="R1" s="891" t="s">
        <v>75</v>
      </c>
      <c r="S1" s="891" t="s">
        <v>75</v>
      </c>
      <c r="T1" s="891" t="s">
        <v>75</v>
      </c>
      <c r="U1" s="891" t="s">
        <v>75</v>
      </c>
      <c r="V1" s="891" t="s">
        <v>75</v>
      </c>
      <c r="W1" s="891" t="s">
        <v>75</v>
      </c>
      <c r="X1" s="891" t="s">
        <v>75</v>
      </c>
      <c r="Y1" s="891" t="s">
        <v>75</v>
      </c>
      <c r="Z1" s="891"/>
    </row>
    <row r="2" spans="1:40" ht="23.25" x14ac:dyDescent="0.25">
      <c r="A2" s="891"/>
      <c r="B2" s="891"/>
      <c r="C2" s="965" t="s">
        <v>293</v>
      </c>
      <c r="D2" s="966" t="s">
        <v>294</v>
      </c>
      <c r="E2" s="966" t="s">
        <v>297</v>
      </c>
      <c r="F2" s="967" t="s">
        <v>295</v>
      </c>
      <c r="G2" s="968" t="s">
        <v>296</v>
      </c>
      <c r="H2" s="969">
        <v>41822</v>
      </c>
      <c r="I2" s="969">
        <v>41815</v>
      </c>
      <c r="J2" s="969">
        <v>41808</v>
      </c>
      <c r="K2" s="969">
        <v>41801</v>
      </c>
      <c r="L2" s="969">
        <v>41794</v>
      </c>
      <c r="M2" s="969">
        <v>41787</v>
      </c>
      <c r="N2" s="969">
        <v>41780</v>
      </c>
      <c r="O2" s="969">
        <v>41773</v>
      </c>
      <c r="P2" s="969">
        <v>41766</v>
      </c>
      <c r="Q2" s="969">
        <v>41752</v>
      </c>
      <c r="R2" s="969">
        <v>41745</v>
      </c>
      <c r="S2" s="969">
        <v>41739</v>
      </c>
      <c r="T2" s="969">
        <v>41732</v>
      </c>
      <c r="U2" s="969">
        <v>41725</v>
      </c>
      <c r="V2" s="969">
        <v>41709</v>
      </c>
      <c r="W2" s="969">
        <v>41704</v>
      </c>
      <c r="X2" s="969">
        <v>41703</v>
      </c>
      <c r="Y2" s="969">
        <v>41702</v>
      </c>
      <c r="Z2" s="891"/>
    </row>
    <row r="3" spans="1:40" x14ac:dyDescent="0.25">
      <c r="A3" s="960" t="s">
        <v>12</v>
      </c>
      <c r="B3" s="961" t="s">
        <v>99</v>
      </c>
      <c r="C3" s="891"/>
      <c r="D3" s="970">
        <v>1001.4699992414339</v>
      </c>
      <c r="E3" s="970">
        <v>250018.4</v>
      </c>
      <c r="F3" s="971">
        <v>0.58672921672964862</v>
      </c>
      <c r="G3" s="891">
        <v>103325.3</v>
      </c>
      <c r="H3" s="970">
        <v>146693.09999999998</v>
      </c>
      <c r="I3" s="970">
        <v>146954.09999999998</v>
      </c>
      <c r="J3" s="970">
        <v>147314.5</v>
      </c>
      <c r="K3" s="970">
        <v>147314.5</v>
      </c>
      <c r="L3" s="970">
        <v>147880.59999999998</v>
      </c>
      <c r="M3" s="970">
        <v>145722.5</v>
      </c>
      <c r="N3" s="970">
        <v>145702.09999999998</v>
      </c>
      <c r="O3" s="970">
        <v>146034.79999999999</v>
      </c>
      <c r="P3" s="970">
        <v>146123.1</v>
      </c>
      <c r="Q3" s="970">
        <v>145162.5</v>
      </c>
      <c r="R3" s="970">
        <v>144485.20000000001</v>
      </c>
      <c r="S3" s="970">
        <v>144573</v>
      </c>
      <c r="T3" s="970">
        <v>145463.9</v>
      </c>
      <c r="U3" s="970">
        <v>145988</v>
      </c>
      <c r="V3" s="970">
        <v>148723.70000000001</v>
      </c>
      <c r="W3" s="970">
        <v>149298.09999999998</v>
      </c>
      <c r="X3" s="970">
        <v>149332.59999999998</v>
      </c>
      <c r="Y3" s="970">
        <v>149329.70000000001</v>
      </c>
      <c r="Z3" s="891">
        <v>149329.70000000001</v>
      </c>
    </row>
    <row r="4" spans="1:40" x14ac:dyDescent="0.25">
      <c r="A4" s="960"/>
      <c r="B4" s="961" t="s">
        <v>298</v>
      </c>
      <c r="C4" s="891"/>
      <c r="D4" s="970"/>
      <c r="E4" s="970"/>
      <c r="F4" s="891"/>
      <c r="G4" s="891"/>
      <c r="H4" s="970">
        <v>261</v>
      </c>
      <c r="I4" s="970">
        <v>360.40000000002328</v>
      </c>
      <c r="J4" s="970">
        <v>0</v>
      </c>
      <c r="K4" s="970">
        <v>566.09999999997672</v>
      </c>
      <c r="L4" s="970">
        <v>-2158.0999999999767</v>
      </c>
      <c r="M4" s="970">
        <v>-20.400000000023283</v>
      </c>
      <c r="N4" s="970">
        <v>332.70000000001164</v>
      </c>
      <c r="O4" s="970">
        <v>88.300000000017462</v>
      </c>
      <c r="P4" s="970">
        <v>-960.60000000000582</v>
      </c>
      <c r="Q4" s="970">
        <v>-677.29999999998836</v>
      </c>
      <c r="R4" s="970">
        <v>87.799999999988358</v>
      </c>
      <c r="S4" s="970">
        <v>890.89999999999418</v>
      </c>
      <c r="T4" s="970">
        <v>524.10000000000582</v>
      </c>
      <c r="U4" s="970">
        <v>2735.7000000000116</v>
      </c>
      <c r="V4" s="970">
        <v>574.39999999996508</v>
      </c>
      <c r="W4" s="970">
        <v>34.5</v>
      </c>
      <c r="X4" s="970">
        <v>-2.8999999999650754</v>
      </c>
      <c r="Y4" s="970">
        <v>0</v>
      </c>
      <c r="Z4" s="891"/>
    </row>
    <row r="5" spans="1:40" x14ac:dyDescent="0.25">
      <c r="A5" s="960" t="s">
        <v>12</v>
      </c>
      <c r="B5" s="962" t="s">
        <v>100</v>
      </c>
      <c r="C5" s="891"/>
      <c r="D5" s="970">
        <v>1087.7965732934547</v>
      </c>
      <c r="E5" s="970">
        <v>150516.70000000001</v>
      </c>
      <c r="F5" s="971">
        <v>0.44289969152924569</v>
      </c>
      <c r="G5" s="891">
        <v>83852.899999999994</v>
      </c>
      <c r="H5" s="970">
        <v>66663.800000000017</v>
      </c>
      <c r="I5" s="970">
        <v>66722.200000000012</v>
      </c>
      <c r="J5" s="970">
        <v>66958.900000000009</v>
      </c>
      <c r="K5" s="970">
        <v>66958.900000000009</v>
      </c>
      <c r="L5" s="970">
        <v>66993.500000000015</v>
      </c>
      <c r="M5" s="970">
        <v>67079.700000000012</v>
      </c>
      <c r="N5" s="970">
        <v>66045.300000000017</v>
      </c>
      <c r="O5" s="970">
        <v>66072.900000000009</v>
      </c>
      <c r="P5" s="970">
        <v>66424.100000000006</v>
      </c>
      <c r="Q5" s="970">
        <v>66601.900000000009</v>
      </c>
      <c r="R5" s="970">
        <v>66632.200000000012</v>
      </c>
      <c r="S5" s="970">
        <v>66716.900000000009</v>
      </c>
      <c r="T5" s="970">
        <v>67174.200000000012</v>
      </c>
      <c r="U5" s="970">
        <v>67271.600000000006</v>
      </c>
      <c r="V5" s="970">
        <v>67406.800000000017</v>
      </c>
      <c r="W5" s="970">
        <v>67406.800000000017</v>
      </c>
      <c r="X5" s="970">
        <v>67766.900000000009</v>
      </c>
      <c r="Y5" s="970">
        <v>67766.900000000009</v>
      </c>
      <c r="Z5" s="891">
        <v>67766.900000000009</v>
      </c>
    </row>
    <row r="6" spans="1:40" x14ac:dyDescent="0.25">
      <c r="A6" s="960"/>
      <c r="B6" s="962" t="s">
        <v>298</v>
      </c>
      <c r="C6" s="891"/>
      <c r="D6" s="970"/>
      <c r="E6" s="970"/>
      <c r="F6" s="891"/>
      <c r="G6" s="891"/>
      <c r="H6" s="970">
        <v>58.399999999994179</v>
      </c>
      <c r="I6" s="970">
        <v>236.69999999999709</v>
      </c>
      <c r="J6" s="970">
        <v>0</v>
      </c>
      <c r="K6" s="970">
        <v>34.600000000005821</v>
      </c>
      <c r="L6" s="970">
        <v>86.19999999999709</v>
      </c>
      <c r="M6" s="970">
        <v>-1034.3999999999942</v>
      </c>
      <c r="N6" s="970">
        <v>27.599999999991269</v>
      </c>
      <c r="O6" s="970">
        <v>351.19999999999709</v>
      </c>
      <c r="P6" s="970">
        <v>177.80000000000291</v>
      </c>
      <c r="Q6" s="970">
        <v>30.30000000000291</v>
      </c>
      <c r="R6" s="970">
        <v>84.69999999999709</v>
      </c>
      <c r="S6" s="970">
        <v>457.30000000000291</v>
      </c>
      <c r="T6" s="970">
        <v>97.399999999994179</v>
      </c>
      <c r="U6" s="970">
        <v>135.20000000001164</v>
      </c>
      <c r="V6" s="970">
        <v>0</v>
      </c>
      <c r="W6" s="970">
        <v>360.09999999999127</v>
      </c>
      <c r="X6" s="970">
        <v>0</v>
      </c>
      <c r="Y6" s="970">
        <v>0</v>
      </c>
      <c r="Z6" s="891"/>
    </row>
    <row r="7" spans="1:40" x14ac:dyDescent="0.25">
      <c r="A7" s="960" t="s">
        <v>13</v>
      </c>
      <c r="B7" s="962" t="s">
        <v>101</v>
      </c>
      <c r="C7" s="891"/>
      <c r="D7" s="970">
        <v>2525.3873643905245</v>
      </c>
      <c r="E7" s="970">
        <v>150516.70000000001</v>
      </c>
      <c r="F7" s="971">
        <v>0.43818858638277353</v>
      </c>
      <c r="G7" s="891">
        <v>84562</v>
      </c>
      <c r="H7" s="970">
        <v>65954.700000000012</v>
      </c>
      <c r="I7" s="970">
        <v>66012.900000000009</v>
      </c>
      <c r="J7" s="970">
        <v>66207.100000000006</v>
      </c>
      <c r="K7" s="970">
        <v>66249.800000000017</v>
      </c>
      <c r="L7" s="970">
        <v>66315.500000000015</v>
      </c>
      <c r="M7" s="970">
        <v>65738.800000000017</v>
      </c>
      <c r="N7" s="970">
        <v>64706.700000000012</v>
      </c>
      <c r="O7" s="970">
        <v>64733.300000000017</v>
      </c>
      <c r="P7" s="970">
        <v>65082.2</v>
      </c>
      <c r="Q7" s="970">
        <v>65259.900000000009</v>
      </c>
      <c r="R7" s="970">
        <v>65290.100000000006</v>
      </c>
      <c r="S7" s="970">
        <v>65374.900000000009</v>
      </c>
      <c r="T7" s="970">
        <v>65826.400000000009</v>
      </c>
      <c r="U7" s="970">
        <v>65929.600000000006</v>
      </c>
      <c r="V7" s="970">
        <v>66064.600000000006</v>
      </c>
      <c r="W7" s="970">
        <v>66064.600000000006</v>
      </c>
      <c r="X7" s="970">
        <v>66064.600000000006</v>
      </c>
      <c r="Y7" s="970">
        <v>66424.800000000017</v>
      </c>
      <c r="Z7" s="891">
        <v>66424.800000000017</v>
      </c>
      <c r="AG7" s="743" t="s">
        <v>5</v>
      </c>
      <c r="AH7" s="743">
        <v>103325.3</v>
      </c>
      <c r="AI7" s="743">
        <v>83852.899999999994</v>
      </c>
      <c r="AJ7" s="743">
        <v>431762.00000000006</v>
      </c>
      <c r="AK7" s="743">
        <v>502784.89999999997</v>
      </c>
      <c r="AL7" s="743">
        <v>544675</v>
      </c>
      <c r="AM7" s="743">
        <v>490097.10000000003</v>
      </c>
      <c r="AN7" s="743">
        <v>26820.300000000003</v>
      </c>
    </row>
    <row r="8" spans="1:40" x14ac:dyDescent="0.25">
      <c r="A8" s="960"/>
      <c r="B8" s="962" t="s">
        <v>299</v>
      </c>
      <c r="C8" s="891"/>
      <c r="D8" s="970"/>
      <c r="E8" s="970"/>
      <c r="F8" s="891"/>
      <c r="G8" s="891"/>
      <c r="H8" s="970">
        <v>58.19999999999709</v>
      </c>
      <c r="I8" s="970">
        <v>194.19999999999709</v>
      </c>
      <c r="J8" s="970">
        <v>42.700000000011642</v>
      </c>
      <c r="K8" s="970">
        <v>65.69999999999709</v>
      </c>
      <c r="L8" s="970">
        <v>-576.69999999999709</v>
      </c>
      <c r="M8" s="970">
        <v>-1032.1000000000058</v>
      </c>
      <c r="N8" s="970">
        <v>26.600000000005821</v>
      </c>
      <c r="O8" s="970">
        <v>348.89999999997963</v>
      </c>
      <c r="P8" s="970">
        <v>177.70000000001164</v>
      </c>
      <c r="Q8" s="970">
        <v>30.19999999999709</v>
      </c>
      <c r="R8" s="970">
        <v>84.80000000000291</v>
      </c>
      <c r="S8" s="970">
        <v>451.5</v>
      </c>
      <c r="T8" s="970">
        <v>103.19999999999709</v>
      </c>
      <c r="U8" s="970">
        <v>135</v>
      </c>
      <c r="V8" s="970">
        <v>0</v>
      </c>
      <c r="W8" s="970">
        <v>0</v>
      </c>
      <c r="X8" s="970">
        <v>360.20000000001164</v>
      </c>
      <c r="Y8" s="970">
        <v>0</v>
      </c>
      <c r="Z8" s="891"/>
    </row>
    <row r="9" spans="1:40" x14ac:dyDescent="0.25">
      <c r="A9" s="960" t="s">
        <v>13</v>
      </c>
      <c r="B9" s="961" t="s">
        <v>102</v>
      </c>
      <c r="C9" s="891"/>
      <c r="D9" s="970">
        <v>-89.571199307982141</v>
      </c>
      <c r="E9" s="970">
        <v>181998.8</v>
      </c>
      <c r="F9" s="971">
        <v>0.24022246300525049</v>
      </c>
      <c r="G9" s="891">
        <v>138278.6</v>
      </c>
      <c r="H9" s="970">
        <v>43720.199999999983</v>
      </c>
      <c r="I9" s="970">
        <v>43780.099999999977</v>
      </c>
      <c r="J9" s="970">
        <v>43874.199999999983</v>
      </c>
      <c r="K9" s="970">
        <v>34187.399999999994</v>
      </c>
      <c r="L9" s="970">
        <v>34383.399999999994</v>
      </c>
      <c r="M9" s="970">
        <v>34657.5</v>
      </c>
      <c r="N9" s="970">
        <v>30556.799999999988</v>
      </c>
      <c r="O9" s="970">
        <v>30641</v>
      </c>
      <c r="P9" s="970">
        <v>30858.200000000012</v>
      </c>
      <c r="Q9" s="970">
        <v>31213.899999999994</v>
      </c>
      <c r="R9" s="970">
        <v>31466.399999999994</v>
      </c>
      <c r="S9" s="970">
        <v>31600.699999999983</v>
      </c>
      <c r="T9" s="970">
        <v>31790.799999999988</v>
      </c>
      <c r="U9" s="970">
        <v>32038.399999999994</v>
      </c>
      <c r="V9" s="970">
        <v>34934.299999999988</v>
      </c>
      <c r="W9" s="970">
        <v>34934.299999999988</v>
      </c>
      <c r="X9" s="970">
        <v>34934.299999999988</v>
      </c>
      <c r="Y9" s="970">
        <v>34934.299999999988</v>
      </c>
      <c r="Z9" s="891">
        <v>34934.299999999988</v>
      </c>
    </row>
    <row r="10" spans="1:40" x14ac:dyDescent="0.25">
      <c r="A10" s="960"/>
      <c r="B10" s="961" t="s">
        <v>299</v>
      </c>
      <c r="C10" s="891"/>
      <c r="D10" s="970"/>
      <c r="E10" s="970"/>
      <c r="F10" s="891"/>
      <c r="G10" s="891"/>
      <c r="H10" s="970">
        <v>59.899999999994179</v>
      </c>
      <c r="I10" s="970">
        <v>94.100000000005821</v>
      </c>
      <c r="J10" s="970">
        <v>-9686.7999999999884</v>
      </c>
      <c r="K10" s="970">
        <v>196</v>
      </c>
      <c r="L10" s="970">
        <v>274.10000000000582</v>
      </c>
      <c r="M10" s="970">
        <v>-4100.7000000000116</v>
      </c>
      <c r="N10" s="970">
        <v>84.200000000011642</v>
      </c>
      <c r="O10" s="970">
        <v>217.20000000001164</v>
      </c>
      <c r="P10" s="970">
        <v>355.69999999998254</v>
      </c>
      <c r="Q10" s="970">
        <v>252.5</v>
      </c>
      <c r="R10" s="970">
        <v>134.29999999998836</v>
      </c>
      <c r="S10" s="970">
        <v>190.10000000000582</v>
      </c>
      <c r="T10" s="970">
        <v>247.60000000000582</v>
      </c>
      <c r="U10" s="970">
        <v>2895.8999999999942</v>
      </c>
      <c r="V10" s="970">
        <v>0</v>
      </c>
      <c r="W10" s="970">
        <v>0</v>
      </c>
      <c r="X10" s="970">
        <v>0</v>
      </c>
      <c r="Y10" s="970">
        <v>0</v>
      </c>
      <c r="Z10" s="891"/>
    </row>
    <row r="11" spans="1:40" x14ac:dyDescent="0.25">
      <c r="A11" s="960" t="s">
        <v>13</v>
      </c>
      <c r="B11" s="962" t="s">
        <v>97</v>
      </c>
      <c r="C11" s="891"/>
      <c r="D11" s="970">
        <v>623.1706434782609</v>
      </c>
      <c r="E11" s="970">
        <v>165765.70000000001</v>
      </c>
      <c r="F11" s="971">
        <v>0.30022555932861866</v>
      </c>
      <c r="G11" s="891">
        <v>115998.6</v>
      </c>
      <c r="H11" s="970">
        <v>49767.100000000006</v>
      </c>
      <c r="I11" s="970">
        <v>50177.600000000006</v>
      </c>
      <c r="J11" s="970">
        <v>50280.400000000009</v>
      </c>
      <c r="K11" s="970">
        <v>51040.700000000012</v>
      </c>
      <c r="L11" s="970">
        <v>51372.800000000017</v>
      </c>
      <c r="M11" s="970">
        <v>51841.600000000006</v>
      </c>
      <c r="N11" s="970">
        <v>51947.300000000017</v>
      </c>
      <c r="O11" s="970">
        <v>52735.700000000012</v>
      </c>
      <c r="P11" s="970">
        <v>54543.3</v>
      </c>
      <c r="Q11" s="970">
        <v>54291.500000000015</v>
      </c>
      <c r="R11" s="970">
        <v>53144.500000000015</v>
      </c>
      <c r="S11" s="970">
        <v>50523.100000000006</v>
      </c>
      <c r="T11" s="970">
        <v>50767.000000000015</v>
      </c>
      <c r="U11" s="970">
        <v>51205.100000000006</v>
      </c>
      <c r="V11" s="970">
        <v>51204.600000000006</v>
      </c>
      <c r="W11" s="970">
        <v>51204.600000000006</v>
      </c>
      <c r="X11" s="970">
        <v>51204.600000000006</v>
      </c>
      <c r="Y11" s="970">
        <v>51204.600000000006</v>
      </c>
      <c r="Z11" s="891">
        <v>51204.600000000006</v>
      </c>
    </row>
    <row r="12" spans="1:40" x14ac:dyDescent="0.25">
      <c r="A12" s="960"/>
      <c r="B12" s="962" t="s">
        <v>299</v>
      </c>
      <c r="C12" s="891"/>
      <c r="D12" s="970"/>
      <c r="E12" s="970"/>
      <c r="F12" s="891"/>
      <c r="G12" s="891"/>
      <c r="H12" s="970">
        <v>410.5</v>
      </c>
      <c r="I12" s="970">
        <v>102.80000000000291</v>
      </c>
      <c r="J12" s="970">
        <v>760.30000000000291</v>
      </c>
      <c r="K12" s="970">
        <v>332.10000000000582</v>
      </c>
      <c r="L12" s="970">
        <v>468.79999999998836</v>
      </c>
      <c r="M12" s="970">
        <v>105.70000000001164</v>
      </c>
      <c r="N12" s="970">
        <v>788.39999999999418</v>
      </c>
      <c r="O12" s="970">
        <v>1807.5999999999913</v>
      </c>
      <c r="P12" s="970">
        <v>-251.79999999998836</v>
      </c>
      <c r="Q12" s="970">
        <v>-1147</v>
      </c>
      <c r="R12" s="970">
        <v>-2621.4000000000087</v>
      </c>
      <c r="S12" s="970">
        <v>243.90000000000873</v>
      </c>
      <c r="T12" s="970">
        <v>438.09999999999127</v>
      </c>
      <c r="U12" s="970">
        <v>-0.5</v>
      </c>
      <c r="V12" s="970">
        <v>0</v>
      </c>
      <c r="W12" s="970">
        <v>0</v>
      </c>
      <c r="X12" s="970">
        <v>0</v>
      </c>
      <c r="Y12" s="970">
        <v>0</v>
      </c>
      <c r="Z12" s="891"/>
    </row>
    <row r="13" spans="1:40" x14ac:dyDescent="0.25">
      <c r="A13" s="960" t="s">
        <v>13</v>
      </c>
      <c r="B13" s="961" t="s">
        <v>104</v>
      </c>
      <c r="C13" s="891"/>
      <c r="D13" s="970">
        <v>235.12371841781643</v>
      </c>
      <c r="E13" s="970">
        <v>389505</v>
      </c>
      <c r="F13" s="971">
        <v>0.44452266338044438</v>
      </c>
      <c r="G13" s="891">
        <v>216361.2</v>
      </c>
      <c r="H13" s="970">
        <v>173143.8</v>
      </c>
      <c r="I13" s="970">
        <v>173842.4</v>
      </c>
      <c r="J13" s="970">
        <v>174661.6</v>
      </c>
      <c r="K13" s="970">
        <v>175251.7</v>
      </c>
      <c r="L13" s="970">
        <v>175672.5</v>
      </c>
      <c r="M13" s="970">
        <v>176340.9</v>
      </c>
      <c r="N13" s="970">
        <v>177412.2</v>
      </c>
      <c r="O13" s="970">
        <v>178584.8</v>
      </c>
      <c r="P13" s="970">
        <v>179093.1</v>
      </c>
      <c r="Q13" s="970">
        <v>180376.6</v>
      </c>
      <c r="R13" s="970">
        <v>181250.5</v>
      </c>
      <c r="S13" s="970">
        <v>182902.2</v>
      </c>
      <c r="T13" s="970">
        <v>183386.7</v>
      </c>
      <c r="U13" s="970">
        <v>183935</v>
      </c>
      <c r="V13" s="970">
        <v>186398.9</v>
      </c>
      <c r="W13" s="970">
        <v>186398.9</v>
      </c>
      <c r="X13" s="970">
        <v>186398.9</v>
      </c>
      <c r="Y13" s="970">
        <v>186398.9</v>
      </c>
      <c r="Z13" s="891">
        <v>186398.9</v>
      </c>
    </row>
    <row r="14" spans="1:40" x14ac:dyDescent="0.25">
      <c r="A14" s="960"/>
      <c r="B14" s="961" t="s">
        <v>299</v>
      </c>
      <c r="C14" s="891"/>
      <c r="D14" s="970"/>
      <c r="E14" s="970"/>
      <c r="F14" s="891"/>
      <c r="G14" s="891"/>
      <c r="H14" s="970">
        <v>698.60000000000582</v>
      </c>
      <c r="I14" s="970">
        <v>819.20000000001164</v>
      </c>
      <c r="J14" s="970">
        <v>590.10000000000582</v>
      </c>
      <c r="K14" s="970">
        <v>420.79999999998836</v>
      </c>
      <c r="L14" s="970">
        <v>668.39999999999418</v>
      </c>
      <c r="M14" s="970">
        <v>1071.3000000000175</v>
      </c>
      <c r="N14" s="970">
        <v>1172.5999999999767</v>
      </c>
      <c r="O14" s="970">
        <v>508.30000000001746</v>
      </c>
      <c r="P14" s="970">
        <v>1283.5</v>
      </c>
      <c r="Q14" s="970">
        <v>873.89999999999418</v>
      </c>
      <c r="R14" s="970">
        <v>1651.7000000000116</v>
      </c>
      <c r="S14" s="970">
        <v>484.5</v>
      </c>
      <c r="T14" s="970">
        <v>548.29999999998836</v>
      </c>
      <c r="U14" s="970">
        <v>2463.8999999999942</v>
      </c>
      <c r="V14" s="970">
        <v>0</v>
      </c>
      <c r="W14" s="970">
        <v>0</v>
      </c>
      <c r="X14" s="970">
        <v>0</v>
      </c>
      <c r="Y14" s="970">
        <v>0</v>
      </c>
      <c r="Z14" s="891"/>
    </row>
    <row r="15" spans="1:40" ht="15.75" customHeight="1" x14ac:dyDescent="0.25">
      <c r="A15" s="960" t="s">
        <v>13</v>
      </c>
      <c r="B15" s="962" t="s">
        <v>103</v>
      </c>
      <c r="C15" s="891"/>
      <c r="D15" s="970">
        <v>225.90414704541982</v>
      </c>
      <c r="E15" s="970">
        <v>171975.5</v>
      </c>
      <c r="F15" s="971">
        <v>0.28824396498338423</v>
      </c>
      <c r="G15" s="891">
        <v>122404.6</v>
      </c>
      <c r="H15" s="970">
        <v>49570.899999999994</v>
      </c>
      <c r="I15" s="970">
        <v>49765.399999999994</v>
      </c>
      <c r="J15" s="970">
        <v>49966.399999999994</v>
      </c>
      <c r="K15" s="970">
        <v>50174.899999999994</v>
      </c>
      <c r="L15" s="970">
        <v>51073.3</v>
      </c>
      <c r="M15" s="970">
        <v>48514.600000000006</v>
      </c>
      <c r="N15" s="970">
        <v>46066.100000000006</v>
      </c>
      <c r="O15" s="970">
        <v>46780.899999999994</v>
      </c>
      <c r="P15" s="970">
        <v>46963.3</v>
      </c>
      <c r="Q15" s="970">
        <v>47158.3</v>
      </c>
      <c r="R15" s="970">
        <v>49485.100000000006</v>
      </c>
      <c r="S15" s="970">
        <v>50603.600000000006</v>
      </c>
      <c r="T15" s="970">
        <v>51093.7</v>
      </c>
      <c r="U15" s="970">
        <v>51993.100000000006</v>
      </c>
      <c r="V15" s="970">
        <v>53520.7</v>
      </c>
      <c r="W15" s="970">
        <v>53520.7</v>
      </c>
      <c r="X15" s="970">
        <v>53520.7</v>
      </c>
      <c r="Y15" s="970">
        <v>53520.7</v>
      </c>
      <c r="Z15" s="891">
        <v>53520.7</v>
      </c>
    </row>
    <row r="16" spans="1:40" ht="15.75" customHeight="1" x14ac:dyDescent="0.25">
      <c r="A16" s="960"/>
      <c r="B16" s="962" t="s">
        <v>299</v>
      </c>
      <c r="C16" s="891"/>
      <c r="D16" s="970"/>
      <c r="E16" s="970"/>
      <c r="F16" s="891"/>
      <c r="G16" s="891"/>
      <c r="H16" s="970">
        <v>194.5</v>
      </c>
      <c r="I16" s="970">
        <v>201</v>
      </c>
      <c r="J16" s="970">
        <v>208.5</v>
      </c>
      <c r="K16" s="970">
        <v>898.40000000000873</v>
      </c>
      <c r="L16" s="970">
        <v>-2558.6999999999971</v>
      </c>
      <c r="M16" s="970">
        <v>-2448.5</v>
      </c>
      <c r="N16" s="970">
        <v>714.79999999998836</v>
      </c>
      <c r="O16" s="970">
        <v>182.40000000000873</v>
      </c>
      <c r="P16" s="970">
        <v>195</v>
      </c>
      <c r="Q16" s="970">
        <v>2326.8000000000029</v>
      </c>
      <c r="R16" s="970">
        <v>1118.5</v>
      </c>
      <c r="S16" s="970">
        <v>490.09999999999127</v>
      </c>
      <c r="T16" s="970">
        <v>899.40000000000873</v>
      </c>
      <c r="U16" s="970">
        <v>1527.5999999999913</v>
      </c>
      <c r="V16" s="970">
        <v>0</v>
      </c>
      <c r="W16" s="970">
        <v>0</v>
      </c>
      <c r="X16" s="970">
        <v>0</v>
      </c>
      <c r="Y16" s="970">
        <v>0</v>
      </c>
      <c r="Z16" s="891"/>
    </row>
    <row r="17" spans="1:26" ht="15.75" customHeight="1" x14ac:dyDescent="0.25">
      <c r="A17" s="960" t="s">
        <v>13</v>
      </c>
      <c r="B17" s="962" t="s">
        <v>178</v>
      </c>
      <c r="C17" s="891"/>
      <c r="D17" s="970">
        <v>218.13808561224178</v>
      </c>
      <c r="E17" s="970">
        <v>166078</v>
      </c>
      <c r="F17" s="971">
        <v>0.69669974349402086</v>
      </c>
      <c r="G17" s="891">
        <v>50371.5</v>
      </c>
      <c r="H17" s="970">
        <v>115706.5</v>
      </c>
      <c r="I17" s="970">
        <v>115831.1</v>
      </c>
      <c r="J17" s="970">
        <v>116008.3</v>
      </c>
      <c r="K17" s="970">
        <v>116071</v>
      </c>
      <c r="L17" s="970">
        <v>116746.6</v>
      </c>
      <c r="M17" s="970">
        <v>116889.3</v>
      </c>
      <c r="N17" s="970">
        <v>117070.1</v>
      </c>
      <c r="O17" s="970">
        <v>117462</v>
      </c>
      <c r="P17" s="970">
        <v>118434.6</v>
      </c>
      <c r="Q17" s="970">
        <v>120343.29999999999</v>
      </c>
      <c r="R17" s="970">
        <v>121385.79999999999</v>
      </c>
      <c r="S17" s="970">
        <v>121456.2</v>
      </c>
      <c r="T17" s="970">
        <v>122795.79999999999</v>
      </c>
      <c r="U17" s="970">
        <v>122961.59999999999</v>
      </c>
      <c r="V17" s="970">
        <v>125254.2</v>
      </c>
      <c r="W17" s="970">
        <v>125254.2</v>
      </c>
      <c r="X17" s="970">
        <v>125254.2</v>
      </c>
      <c r="Y17" s="970">
        <v>125254.2</v>
      </c>
      <c r="Z17" s="891">
        <v>125254.2</v>
      </c>
    </row>
    <row r="18" spans="1:26" ht="15.75" customHeight="1" x14ac:dyDescent="0.25">
      <c r="A18" s="960"/>
      <c r="B18" s="962" t="s">
        <v>299</v>
      </c>
      <c r="C18" s="891"/>
      <c r="D18" s="970"/>
      <c r="E18" s="970"/>
      <c r="F18" s="891"/>
      <c r="G18" s="891"/>
      <c r="H18" s="970">
        <v>124.60000000000582</v>
      </c>
      <c r="I18" s="970">
        <v>177.19999999999709</v>
      </c>
      <c r="J18" s="970">
        <v>62.69999999999709</v>
      </c>
      <c r="K18" s="970">
        <v>675.60000000000582</v>
      </c>
      <c r="L18" s="970">
        <v>142.69999999999709</v>
      </c>
      <c r="M18" s="970">
        <v>180.80000000000291</v>
      </c>
      <c r="N18" s="970">
        <v>391.89999999999418</v>
      </c>
      <c r="O18" s="970">
        <v>972.60000000000582</v>
      </c>
      <c r="P18" s="970">
        <v>1908.6999999999825</v>
      </c>
      <c r="Q18" s="970">
        <v>1042.5</v>
      </c>
      <c r="R18" s="970">
        <v>70.400000000008731</v>
      </c>
      <c r="S18" s="970">
        <v>1339.5999999999913</v>
      </c>
      <c r="T18" s="970">
        <v>165.80000000000291</v>
      </c>
      <c r="U18" s="970">
        <v>2292.6000000000058</v>
      </c>
      <c r="V18" s="970">
        <v>0</v>
      </c>
      <c r="W18" s="970">
        <v>0</v>
      </c>
      <c r="X18" s="970">
        <v>0</v>
      </c>
      <c r="Y18" s="970">
        <v>0</v>
      </c>
      <c r="Z18" s="891"/>
    </row>
    <row r="19" spans="1:26" ht="15.75" customHeight="1" x14ac:dyDescent="0.25">
      <c r="A19" s="960" t="s">
        <v>13</v>
      </c>
      <c r="B19" s="962" t="s">
        <v>200</v>
      </c>
      <c r="C19" s="891"/>
      <c r="D19" s="970">
        <v>37.974085098931894</v>
      </c>
      <c r="E19" s="970">
        <v>124019.2</v>
      </c>
      <c r="F19" s="971">
        <v>0.32059148905975848</v>
      </c>
      <c r="G19" s="891">
        <v>84259.7</v>
      </c>
      <c r="H19" s="970">
        <v>39759.5</v>
      </c>
      <c r="I19" s="970">
        <v>40253.300000000003</v>
      </c>
      <c r="J19" s="970">
        <v>40676.800000000003</v>
      </c>
      <c r="K19" s="970">
        <v>41353.199999999997</v>
      </c>
      <c r="L19" s="970">
        <v>41469.300000000003</v>
      </c>
      <c r="M19" s="970">
        <v>41680.899999999994</v>
      </c>
      <c r="N19" s="970">
        <v>41911.300000000003</v>
      </c>
      <c r="O19" s="970">
        <v>42155.899999999994</v>
      </c>
      <c r="P19" s="970">
        <v>42408.7</v>
      </c>
      <c r="Q19" s="970">
        <v>46258</v>
      </c>
      <c r="R19" s="970">
        <v>46914.8</v>
      </c>
      <c r="S19" s="970">
        <v>47212.3</v>
      </c>
      <c r="T19" s="970">
        <v>47917.5</v>
      </c>
      <c r="U19" s="970">
        <v>48446.2</v>
      </c>
      <c r="V19" s="970">
        <v>58605.799999999996</v>
      </c>
      <c r="W19" s="970">
        <v>58605.799999999996</v>
      </c>
      <c r="X19" s="970">
        <v>58605.799999999996</v>
      </c>
      <c r="Y19" s="970">
        <v>58605.799999999996</v>
      </c>
      <c r="Z19" s="891">
        <v>58605.799999999996</v>
      </c>
    </row>
    <row r="20" spans="1:26" ht="15.75" customHeight="1" x14ac:dyDescent="0.25">
      <c r="A20" s="960"/>
      <c r="B20" s="962" t="s">
        <v>299</v>
      </c>
      <c r="C20" s="891"/>
      <c r="D20" s="970"/>
      <c r="E20" s="970"/>
      <c r="F20" s="891"/>
      <c r="G20" s="891"/>
      <c r="H20" s="970">
        <v>493.80000000000291</v>
      </c>
      <c r="I20" s="970">
        <v>423.5</v>
      </c>
      <c r="J20" s="970">
        <v>676.39999999999418</v>
      </c>
      <c r="K20" s="970">
        <v>116.10000000000582</v>
      </c>
      <c r="L20" s="970">
        <v>211.59999999999127</v>
      </c>
      <c r="M20" s="970">
        <v>230.40000000000873</v>
      </c>
      <c r="N20" s="970">
        <v>244.59999999999127</v>
      </c>
      <c r="O20" s="970">
        <v>252.80000000000291</v>
      </c>
      <c r="P20" s="970">
        <v>3849.3000000000029</v>
      </c>
      <c r="Q20" s="970">
        <v>656.80000000000291</v>
      </c>
      <c r="R20" s="970">
        <v>297.5</v>
      </c>
      <c r="S20" s="970">
        <v>705.19999999999709</v>
      </c>
      <c r="T20" s="970">
        <v>528.69999999999709</v>
      </c>
      <c r="U20" s="970">
        <v>10159.599999999999</v>
      </c>
      <c r="V20" s="970">
        <v>0</v>
      </c>
      <c r="W20" s="970">
        <v>0</v>
      </c>
      <c r="X20" s="970">
        <v>0</v>
      </c>
      <c r="Y20" s="970">
        <v>0</v>
      </c>
      <c r="Z20" s="891"/>
    </row>
    <row r="21" spans="1:26" ht="15.75" customHeight="1" x14ac:dyDescent="0.25">
      <c r="A21" s="960" t="s">
        <v>13</v>
      </c>
      <c r="B21" s="961" t="s">
        <v>207</v>
      </c>
      <c r="C21" s="891"/>
      <c r="D21" s="970">
        <v>51.519274818081236</v>
      </c>
      <c r="E21" s="970">
        <v>224071.2</v>
      </c>
      <c r="F21" s="971">
        <v>0.65581386630678107</v>
      </c>
      <c r="G21" s="891">
        <v>77122.2</v>
      </c>
      <c r="H21" s="970">
        <v>146949</v>
      </c>
      <c r="I21" s="970">
        <v>148286.70000000001</v>
      </c>
      <c r="J21" s="970">
        <v>151604.90000000002</v>
      </c>
      <c r="K21" s="970">
        <v>152563.5</v>
      </c>
      <c r="L21" s="970">
        <v>157165.1</v>
      </c>
      <c r="M21" s="970">
        <v>165178.70000000001</v>
      </c>
      <c r="N21" s="970">
        <v>165779.5</v>
      </c>
      <c r="O21" s="970">
        <v>169358</v>
      </c>
      <c r="P21" s="970">
        <v>171892.5</v>
      </c>
      <c r="Q21" s="970">
        <v>179030.80000000002</v>
      </c>
      <c r="R21" s="970">
        <v>181874.40000000002</v>
      </c>
      <c r="S21" s="970">
        <v>188864.1</v>
      </c>
      <c r="T21" s="970">
        <v>192083.90000000002</v>
      </c>
      <c r="U21" s="970">
        <v>192497.30000000002</v>
      </c>
      <c r="V21" s="970">
        <v>198290.6</v>
      </c>
      <c r="W21" s="970">
        <v>198290.6</v>
      </c>
      <c r="X21" s="970">
        <v>198290.6</v>
      </c>
      <c r="Y21" s="970">
        <v>198290.6</v>
      </c>
      <c r="Z21" s="891">
        <v>198290.6</v>
      </c>
    </row>
    <row r="22" spans="1:26" ht="15.75" customHeight="1" x14ac:dyDescent="0.25">
      <c r="A22" s="960"/>
      <c r="B22" s="961" t="s">
        <v>299</v>
      </c>
      <c r="C22" s="891"/>
      <c r="D22" s="970"/>
      <c r="E22" s="970"/>
      <c r="F22" s="891"/>
      <c r="G22" s="891"/>
      <c r="H22" s="970">
        <v>1337.7000000000116</v>
      </c>
      <c r="I22" s="970">
        <v>3318.2000000000116</v>
      </c>
      <c r="J22" s="970">
        <v>958.59999999997672</v>
      </c>
      <c r="K22" s="970">
        <v>4601.6000000000058</v>
      </c>
      <c r="L22" s="970">
        <v>8013.6000000000058</v>
      </c>
      <c r="M22" s="970">
        <v>600.79999999998836</v>
      </c>
      <c r="N22" s="970">
        <v>3578.5</v>
      </c>
      <c r="O22" s="970">
        <v>2534.5</v>
      </c>
      <c r="P22" s="970">
        <v>7138.3000000000175</v>
      </c>
      <c r="Q22" s="970">
        <v>2843.6000000000058</v>
      </c>
      <c r="R22" s="970">
        <v>6989.6999999999825</v>
      </c>
      <c r="S22" s="970">
        <v>3219.8000000000175</v>
      </c>
      <c r="T22" s="970">
        <v>413.39999999999418</v>
      </c>
      <c r="U22" s="970">
        <v>5793.2999999999884</v>
      </c>
      <c r="V22" s="970">
        <v>0</v>
      </c>
      <c r="W22" s="970">
        <v>0</v>
      </c>
      <c r="X22" s="970">
        <v>0</v>
      </c>
      <c r="Y22" s="970">
        <v>0</v>
      </c>
      <c r="Z22" s="891"/>
    </row>
    <row r="23" spans="1:26" ht="15.75" customHeight="1" x14ac:dyDescent="0.25">
      <c r="A23" s="963" t="s">
        <v>2</v>
      </c>
      <c r="B23" s="961" t="s">
        <v>105</v>
      </c>
      <c r="C23" s="891"/>
      <c r="D23" s="970">
        <v>-49.905372638792755</v>
      </c>
      <c r="E23" s="970">
        <v>193029.1</v>
      </c>
      <c r="F23" s="971">
        <v>0.29677442416713334</v>
      </c>
      <c r="G23" s="891">
        <v>135743</v>
      </c>
      <c r="H23" s="970">
        <v>57286.100000000006</v>
      </c>
      <c r="I23" s="970">
        <v>57425.600000000006</v>
      </c>
      <c r="J23" s="970">
        <v>57778.300000000017</v>
      </c>
      <c r="K23" s="970">
        <v>45751.800000000017</v>
      </c>
      <c r="L23" s="970">
        <v>46007.700000000012</v>
      </c>
      <c r="M23" s="970">
        <v>39037.600000000006</v>
      </c>
      <c r="N23" s="970">
        <v>33103.399999999994</v>
      </c>
      <c r="O23" s="970">
        <v>33202.800000000017</v>
      </c>
      <c r="P23" s="970">
        <v>33400.100000000006</v>
      </c>
      <c r="Q23" s="970">
        <v>33780.800000000017</v>
      </c>
      <c r="R23" s="970">
        <v>34240.800000000017</v>
      </c>
      <c r="S23" s="970">
        <v>34533.5</v>
      </c>
      <c r="T23" s="970">
        <v>34656.399999999994</v>
      </c>
      <c r="U23" s="970">
        <v>34790.600000000006</v>
      </c>
      <c r="V23" s="970">
        <v>36624</v>
      </c>
      <c r="W23" s="970">
        <v>36624</v>
      </c>
      <c r="X23" s="970">
        <v>36624</v>
      </c>
      <c r="Y23" s="970">
        <v>36624</v>
      </c>
      <c r="Z23" s="891">
        <v>36624</v>
      </c>
    </row>
    <row r="24" spans="1:26" ht="15.75" customHeight="1" x14ac:dyDescent="0.25">
      <c r="A24" s="963"/>
      <c r="B24" s="961" t="s">
        <v>299</v>
      </c>
      <c r="C24" s="891"/>
      <c r="D24" s="970"/>
      <c r="E24" s="970"/>
      <c r="F24" s="891"/>
      <c r="G24" s="891"/>
      <c r="H24" s="970">
        <v>139.5</v>
      </c>
      <c r="I24" s="970">
        <v>352.70000000001164</v>
      </c>
      <c r="J24" s="970">
        <v>-12026.5</v>
      </c>
      <c r="K24" s="970">
        <v>255.89999999999418</v>
      </c>
      <c r="L24" s="970">
        <v>-6970.1000000000058</v>
      </c>
      <c r="M24" s="970">
        <v>-5934.2000000000116</v>
      </c>
      <c r="N24" s="970">
        <v>99.400000000023283</v>
      </c>
      <c r="O24" s="970">
        <v>197.29999999998836</v>
      </c>
      <c r="P24" s="970">
        <v>380.70000000001164</v>
      </c>
      <c r="Q24" s="970">
        <v>460</v>
      </c>
      <c r="R24" s="970">
        <v>292.69999999998254</v>
      </c>
      <c r="S24" s="970">
        <v>122.89999999999418</v>
      </c>
      <c r="T24" s="970">
        <v>134.20000000001164</v>
      </c>
      <c r="U24" s="970">
        <v>1833.3999999999942</v>
      </c>
      <c r="V24" s="970">
        <v>0</v>
      </c>
      <c r="W24" s="970">
        <v>0</v>
      </c>
      <c r="X24" s="970">
        <v>0</v>
      </c>
      <c r="Y24" s="970">
        <v>0</v>
      </c>
      <c r="Z24" s="891"/>
    </row>
    <row r="25" spans="1:26" ht="15.75" customHeight="1" x14ac:dyDescent="0.25">
      <c r="A25" s="960" t="s">
        <v>2</v>
      </c>
      <c r="B25" s="961" t="s">
        <v>107</v>
      </c>
      <c r="C25" s="891"/>
      <c r="D25" s="970">
        <v>397.51301594746701</v>
      </c>
      <c r="E25" s="970">
        <v>438219.9</v>
      </c>
      <c r="F25" s="971">
        <v>0.51572144487276828</v>
      </c>
      <c r="G25" s="891">
        <v>212220.5</v>
      </c>
      <c r="H25" s="970">
        <v>225999.40000000002</v>
      </c>
      <c r="I25" s="970">
        <v>226318.30000000002</v>
      </c>
      <c r="J25" s="970">
        <v>226784.40000000002</v>
      </c>
      <c r="K25" s="970">
        <v>227141.40000000002</v>
      </c>
      <c r="L25" s="970">
        <v>227517.10000000003</v>
      </c>
      <c r="M25" s="970">
        <v>228113.10000000003</v>
      </c>
      <c r="N25" s="970">
        <v>228951.7</v>
      </c>
      <c r="O25" s="970">
        <v>229545.50000000003</v>
      </c>
      <c r="P25" s="970">
        <v>230049.5</v>
      </c>
      <c r="Q25" s="970">
        <v>231265.80000000002</v>
      </c>
      <c r="R25" s="970">
        <v>231893.90000000002</v>
      </c>
      <c r="S25" s="970">
        <v>233340.10000000003</v>
      </c>
      <c r="T25" s="970">
        <v>234481.30000000002</v>
      </c>
      <c r="U25" s="970">
        <v>234767.00000000003</v>
      </c>
      <c r="V25" s="970">
        <v>236233.00000000003</v>
      </c>
      <c r="W25" s="970">
        <v>236233.00000000003</v>
      </c>
      <c r="X25" s="970">
        <v>236233.00000000003</v>
      </c>
      <c r="Y25" s="970">
        <v>236233.00000000003</v>
      </c>
      <c r="Z25" s="891">
        <v>236233.00000000003</v>
      </c>
    </row>
    <row r="26" spans="1:26" ht="15.75" customHeight="1" x14ac:dyDescent="0.25">
      <c r="A26" s="960"/>
      <c r="B26" s="961" t="s">
        <v>299</v>
      </c>
      <c r="C26" s="891"/>
      <c r="D26" s="970"/>
      <c r="E26" s="970"/>
      <c r="F26" s="891"/>
      <c r="G26" s="891"/>
      <c r="H26" s="970">
        <v>318.89999999999418</v>
      </c>
      <c r="I26" s="970">
        <v>466.10000000000582</v>
      </c>
      <c r="J26" s="970">
        <v>357</v>
      </c>
      <c r="K26" s="970">
        <v>375.70000000001164</v>
      </c>
      <c r="L26" s="970">
        <v>596</v>
      </c>
      <c r="M26" s="970">
        <v>838.59999999997672</v>
      </c>
      <c r="N26" s="970">
        <v>593.80000000001746</v>
      </c>
      <c r="O26" s="970">
        <v>503.9999999999709</v>
      </c>
      <c r="P26" s="970">
        <v>1216.3000000000175</v>
      </c>
      <c r="Q26" s="970">
        <v>628.10000000000582</v>
      </c>
      <c r="R26" s="970">
        <v>1446.2000000000116</v>
      </c>
      <c r="S26" s="970">
        <v>1141.1999999999825</v>
      </c>
      <c r="T26" s="970">
        <v>285.70000000001164</v>
      </c>
      <c r="U26" s="970">
        <v>1466</v>
      </c>
      <c r="V26" s="970">
        <v>0</v>
      </c>
      <c r="W26" s="970">
        <v>0</v>
      </c>
      <c r="X26" s="970">
        <v>0</v>
      </c>
      <c r="Y26" s="970">
        <v>0</v>
      </c>
      <c r="Z26" s="891"/>
    </row>
    <row r="27" spans="1:26" ht="15.75" customHeight="1" x14ac:dyDescent="0.25">
      <c r="A27" s="960" t="s">
        <v>2</v>
      </c>
      <c r="B27" s="962" t="s">
        <v>98</v>
      </c>
      <c r="C27" s="891"/>
      <c r="D27" s="970">
        <v>-720.46757065839085</v>
      </c>
      <c r="E27" s="970">
        <v>83038.8</v>
      </c>
      <c r="F27" s="971">
        <v>0.29504159501341543</v>
      </c>
      <c r="G27" s="891">
        <v>58538.9</v>
      </c>
      <c r="H27" s="970">
        <v>24499.9</v>
      </c>
      <c r="I27" s="970">
        <v>24700.600000000006</v>
      </c>
      <c r="J27" s="970">
        <v>24747.5</v>
      </c>
      <c r="K27" s="970">
        <v>25123.9</v>
      </c>
      <c r="L27" s="970">
        <v>25281.200000000004</v>
      </c>
      <c r="M27" s="970">
        <v>25483.200000000004</v>
      </c>
      <c r="N27" s="970">
        <v>25673.9</v>
      </c>
      <c r="O27" s="970">
        <v>26055</v>
      </c>
      <c r="P27" s="970">
        <v>26940.800000000003</v>
      </c>
      <c r="Q27" s="970">
        <v>26937</v>
      </c>
      <c r="R27" s="970">
        <v>25159.4</v>
      </c>
      <c r="S27" s="970">
        <v>23850.100000000006</v>
      </c>
      <c r="T27" s="970">
        <v>23465.600000000006</v>
      </c>
      <c r="U27" s="970">
        <v>23679.800000000003</v>
      </c>
      <c r="V27" s="970">
        <v>23887.800000000003</v>
      </c>
      <c r="W27" s="970">
        <v>23887.800000000003</v>
      </c>
      <c r="X27" s="970">
        <v>23887.800000000003</v>
      </c>
      <c r="Y27" s="970">
        <v>23887.800000000003</v>
      </c>
      <c r="Z27" s="891">
        <v>23887.800000000003</v>
      </c>
    </row>
    <row r="28" spans="1:26" ht="15.75" customHeight="1" x14ac:dyDescent="0.25">
      <c r="A28" s="960"/>
      <c r="B28" s="962" t="s">
        <v>299</v>
      </c>
      <c r="C28" s="891"/>
      <c r="D28" s="970"/>
      <c r="E28" s="970"/>
      <c r="F28" s="891"/>
      <c r="G28" s="891"/>
      <c r="H28" s="970">
        <v>200.70000000000437</v>
      </c>
      <c r="I28" s="970">
        <v>46.899999999994179</v>
      </c>
      <c r="J28" s="970">
        <v>376.40000000000146</v>
      </c>
      <c r="K28" s="970">
        <v>157.30000000000291</v>
      </c>
      <c r="L28" s="970">
        <v>202</v>
      </c>
      <c r="M28" s="970">
        <v>190.69999999999709</v>
      </c>
      <c r="N28" s="970">
        <v>381.09999999999854</v>
      </c>
      <c r="O28" s="970">
        <v>885.80000000000291</v>
      </c>
      <c r="P28" s="970">
        <v>-3.8000000000029104</v>
      </c>
      <c r="Q28" s="970">
        <v>-1777.5999999999985</v>
      </c>
      <c r="R28" s="970">
        <v>-1309.2999999999956</v>
      </c>
      <c r="S28" s="970">
        <v>-384.5</v>
      </c>
      <c r="T28" s="970">
        <v>214.19999999999709</v>
      </c>
      <c r="U28" s="970">
        <v>208</v>
      </c>
      <c r="V28" s="970">
        <v>0</v>
      </c>
      <c r="W28" s="970">
        <v>0</v>
      </c>
      <c r="X28" s="970">
        <v>0</v>
      </c>
      <c r="Y28" s="970">
        <v>0</v>
      </c>
      <c r="Z28" s="891"/>
    </row>
    <row r="29" spans="1:26" ht="15.75" customHeight="1" x14ac:dyDescent="0.25">
      <c r="A29" s="960" t="s">
        <v>2</v>
      </c>
      <c r="B29" s="962" t="s">
        <v>106</v>
      </c>
      <c r="C29" s="891"/>
      <c r="D29" s="970">
        <v>110.18636419676984</v>
      </c>
      <c r="E29" s="970">
        <v>276130.40000000002</v>
      </c>
      <c r="F29" s="971">
        <v>0.17981069813392517</v>
      </c>
      <c r="G29" s="891">
        <v>226479.2</v>
      </c>
      <c r="H29" s="970">
        <v>49651.200000000012</v>
      </c>
      <c r="I29" s="970">
        <v>49973.000000000029</v>
      </c>
      <c r="J29" s="970">
        <v>50495.400000000023</v>
      </c>
      <c r="K29" s="970">
        <v>50903.200000000012</v>
      </c>
      <c r="L29" s="970">
        <v>52659.000000000029</v>
      </c>
      <c r="M29" s="970">
        <v>47523.500000000029</v>
      </c>
      <c r="N29" s="970">
        <v>42619.100000000035</v>
      </c>
      <c r="O29" s="970">
        <v>43883.900000000023</v>
      </c>
      <c r="P29" s="970">
        <v>44227</v>
      </c>
      <c r="Q29" s="970">
        <v>46025.400000000023</v>
      </c>
      <c r="R29" s="970">
        <v>50341.200000000012</v>
      </c>
      <c r="S29" s="970">
        <v>52545.200000000012</v>
      </c>
      <c r="T29" s="970">
        <v>53245.700000000012</v>
      </c>
      <c r="U29" s="970">
        <v>55029.500000000029</v>
      </c>
      <c r="V29" s="970">
        <v>57762.200000000012</v>
      </c>
      <c r="W29" s="970">
        <v>57762.200000000012</v>
      </c>
      <c r="X29" s="970">
        <v>57762.200000000012</v>
      </c>
      <c r="Y29" s="970">
        <v>57762.200000000012</v>
      </c>
      <c r="Z29" s="891">
        <v>57762.200000000012</v>
      </c>
    </row>
    <row r="30" spans="1:26" ht="15.75" customHeight="1" x14ac:dyDescent="0.25">
      <c r="A30" s="960"/>
      <c r="B30" s="962" t="s">
        <v>299</v>
      </c>
      <c r="C30" s="891"/>
      <c r="D30" s="970"/>
      <c r="E30" s="970"/>
      <c r="F30" s="891"/>
      <c r="G30" s="891"/>
      <c r="H30" s="970">
        <v>321.80000000001746</v>
      </c>
      <c r="I30" s="970">
        <v>522.39999999999418</v>
      </c>
      <c r="J30" s="970">
        <v>407.79999999998836</v>
      </c>
      <c r="K30" s="970">
        <v>1755.8000000000175</v>
      </c>
      <c r="L30" s="970">
        <v>-5135.5</v>
      </c>
      <c r="M30" s="970">
        <v>-4904.3999999999942</v>
      </c>
      <c r="N30" s="970">
        <v>1264.7999999999884</v>
      </c>
      <c r="O30" s="970">
        <v>343.09999999997672</v>
      </c>
      <c r="P30" s="970">
        <v>1798.4000000000233</v>
      </c>
      <c r="Q30" s="970">
        <v>4315.7999999999884</v>
      </c>
      <c r="R30" s="970">
        <v>2204</v>
      </c>
      <c r="S30" s="970">
        <v>700.5</v>
      </c>
      <c r="T30" s="970">
        <v>1783.8000000000175</v>
      </c>
      <c r="U30" s="970">
        <v>2732.6999999999825</v>
      </c>
      <c r="V30" s="970">
        <v>0</v>
      </c>
      <c r="W30" s="970">
        <v>0</v>
      </c>
      <c r="X30" s="970">
        <v>0</v>
      </c>
      <c r="Y30" s="970">
        <v>0</v>
      </c>
      <c r="Z30" s="891"/>
    </row>
    <row r="31" spans="1:26" ht="15.75" customHeight="1" x14ac:dyDescent="0.25">
      <c r="A31" s="960" t="s">
        <v>2</v>
      </c>
      <c r="B31" s="962" t="s">
        <v>179</v>
      </c>
      <c r="C31" s="891"/>
      <c r="D31" s="970">
        <v>210.30539953261464</v>
      </c>
      <c r="E31" s="970">
        <v>83038.8</v>
      </c>
      <c r="F31" s="971">
        <v>0.68636709586362044</v>
      </c>
      <c r="G31" s="891">
        <v>26043.7</v>
      </c>
      <c r="H31" s="970">
        <v>56995.100000000006</v>
      </c>
      <c r="I31" s="970">
        <v>57057.5</v>
      </c>
      <c r="J31" s="970">
        <v>57146.600000000006</v>
      </c>
      <c r="K31" s="970">
        <v>57178</v>
      </c>
      <c r="L31" s="970">
        <v>57515.8</v>
      </c>
      <c r="M31" s="970">
        <v>57587.200000000004</v>
      </c>
      <c r="N31" s="970">
        <v>57678.3</v>
      </c>
      <c r="O31" s="970">
        <v>57875.600000000006</v>
      </c>
      <c r="P31" s="970">
        <v>58398.9</v>
      </c>
      <c r="Q31" s="970">
        <v>59353.200000000004</v>
      </c>
      <c r="R31" s="970">
        <v>59874.400000000001</v>
      </c>
      <c r="S31" s="970">
        <v>59919.700000000004</v>
      </c>
      <c r="T31" s="970">
        <v>60590</v>
      </c>
      <c r="U31" s="970">
        <v>60722.600000000006</v>
      </c>
      <c r="V31" s="970">
        <v>61873.3</v>
      </c>
      <c r="W31" s="970">
        <v>61873.3</v>
      </c>
      <c r="X31" s="970">
        <v>61873.3</v>
      </c>
      <c r="Y31" s="970">
        <v>61873.3</v>
      </c>
      <c r="Z31" s="891">
        <v>61873.3</v>
      </c>
    </row>
    <row r="32" spans="1:26" ht="15.75" customHeight="1" x14ac:dyDescent="0.25">
      <c r="A32" s="960"/>
      <c r="B32" s="962" t="s">
        <v>299</v>
      </c>
      <c r="C32" s="891"/>
      <c r="D32" s="970"/>
      <c r="E32" s="970"/>
      <c r="F32" s="891"/>
      <c r="G32" s="891"/>
      <c r="H32" s="970">
        <v>62.399999999994179</v>
      </c>
      <c r="I32" s="970">
        <v>89.100000000005821</v>
      </c>
      <c r="J32" s="970">
        <v>31.399999999994179</v>
      </c>
      <c r="K32" s="970">
        <v>337.80000000000291</v>
      </c>
      <c r="L32" s="970">
        <v>71.400000000001455</v>
      </c>
      <c r="M32" s="970">
        <v>91.099999999998545</v>
      </c>
      <c r="N32" s="970">
        <v>197.30000000000291</v>
      </c>
      <c r="O32" s="970">
        <v>523.29999999999563</v>
      </c>
      <c r="P32" s="970">
        <v>954.30000000000291</v>
      </c>
      <c r="Q32" s="970">
        <v>521.19999999999709</v>
      </c>
      <c r="R32" s="970">
        <v>45.30000000000291</v>
      </c>
      <c r="S32" s="970">
        <v>670.29999999999563</v>
      </c>
      <c r="T32" s="970">
        <v>132.60000000000582</v>
      </c>
      <c r="U32" s="970">
        <v>1150.6999999999971</v>
      </c>
      <c r="V32" s="970">
        <v>0</v>
      </c>
      <c r="W32" s="970">
        <v>0</v>
      </c>
      <c r="X32" s="970">
        <v>0</v>
      </c>
      <c r="Y32" s="970">
        <v>0</v>
      </c>
      <c r="Z32" s="891"/>
    </row>
    <row r="33" spans="1:26" x14ac:dyDescent="0.25">
      <c r="A33" s="960" t="s">
        <v>2</v>
      </c>
      <c r="B33" s="962" t="s">
        <v>199</v>
      </c>
      <c r="C33" s="891"/>
      <c r="D33" s="970">
        <v>40.764940053544414</v>
      </c>
      <c r="E33" s="970">
        <v>191618.2</v>
      </c>
      <c r="F33" s="971">
        <v>0.30460885239502306</v>
      </c>
      <c r="G33" s="891">
        <v>133249.60000000001</v>
      </c>
      <c r="H33" s="970">
        <v>58368.600000000006</v>
      </c>
      <c r="I33" s="970">
        <v>59137.5</v>
      </c>
      <c r="J33" s="970">
        <v>59900.5</v>
      </c>
      <c r="K33" s="970">
        <v>65681.200000000012</v>
      </c>
      <c r="L33" s="970">
        <v>65877.300000000017</v>
      </c>
      <c r="M33" s="970">
        <v>62304.400000000009</v>
      </c>
      <c r="N33" s="970">
        <v>62747.100000000006</v>
      </c>
      <c r="O33" s="970">
        <v>65607.800000000017</v>
      </c>
      <c r="P33" s="970">
        <v>65894.899999999994</v>
      </c>
      <c r="Q33" s="970">
        <v>72302.000000000015</v>
      </c>
      <c r="R33" s="970">
        <v>73514.600000000006</v>
      </c>
      <c r="S33" s="970">
        <v>73619.100000000006</v>
      </c>
      <c r="T33" s="970">
        <v>75805.200000000012</v>
      </c>
      <c r="U33" s="970">
        <v>76091.900000000009</v>
      </c>
      <c r="V33" s="970">
        <v>84141.6</v>
      </c>
      <c r="W33" s="970">
        <v>84141.6</v>
      </c>
      <c r="X33" s="970">
        <v>84141.6</v>
      </c>
      <c r="Y33" s="970">
        <v>84141.6</v>
      </c>
      <c r="Z33" s="891">
        <v>84141.6</v>
      </c>
    </row>
    <row r="34" spans="1:26" x14ac:dyDescent="0.25">
      <c r="A34" s="960"/>
      <c r="B34" s="962" t="s">
        <v>299</v>
      </c>
      <c r="C34" s="891"/>
      <c r="D34" s="970"/>
      <c r="E34" s="970"/>
      <c r="F34" s="891"/>
      <c r="G34" s="891"/>
      <c r="H34" s="970">
        <v>768.89999999999418</v>
      </c>
      <c r="I34" s="970">
        <v>763</v>
      </c>
      <c r="J34" s="970">
        <v>5780.7000000000116</v>
      </c>
      <c r="K34" s="970">
        <v>196.10000000000582</v>
      </c>
      <c r="L34" s="970">
        <v>-3572.9000000000087</v>
      </c>
      <c r="M34" s="970">
        <v>442.69999999999709</v>
      </c>
      <c r="N34" s="970">
        <v>2860.7000000000116</v>
      </c>
      <c r="O34" s="970">
        <v>287.09999999997672</v>
      </c>
      <c r="P34" s="970">
        <v>6407.1000000000204</v>
      </c>
      <c r="Q34" s="970">
        <v>1212.5999999999913</v>
      </c>
      <c r="R34" s="970">
        <v>104.5</v>
      </c>
      <c r="S34" s="970">
        <v>2186.1000000000058</v>
      </c>
      <c r="T34" s="970">
        <v>286.69999999999709</v>
      </c>
      <c r="U34" s="970">
        <v>8049.6999999999971</v>
      </c>
      <c r="V34" s="970">
        <v>0</v>
      </c>
      <c r="W34" s="970">
        <v>0</v>
      </c>
      <c r="X34" s="970">
        <v>0</v>
      </c>
      <c r="Y34" s="970">
        <v>0</v>
      </c>
      <c r="Z34" s="891"/>
    </row>
    <row r="35" spans="1:26" x14ac:dyDescent="0.25">
      <c r="A35" s="960" t="s">
        <v>2</v>
      </c>
      <c r="B35" s="961" t="s">
        <v>208</v>
      </c>
      <c r="C35" s="891"/>
      <c r="D35" s="970">
        <v>63.816816804228743</v>
      </c>
      <c r="E35" s="970">
        <v>257886.5</v>
      </c>
      <c r="F35" s="971">
        <v>0.32796676057102647</v>
      </c>
      <c r="G35" s="891">
        <v>173308.3</v>
      </c>
      <c r="H35" s="970">
        <v>84578.200000000012</v>
      </c>
      <c r="I35" s="970">
        <v>85951.6</v>
      </c>
      <c r="J35" s="970">
        <v>86425.1</v>
      </c>
      <c r="K35" s="970">
        <v>90199.200000000012</v>
      </c>
      <c r="L35" s="970">
        <v>91734.399999999994</v>
      </c>
      <c r="M35" s="970">
        <v>94531</v>
      </c>
      <c r="N35" s="970">
        <v>98935.700000000012</v>
      </c>
      <c r="O35" s="970">
        <v>71374.800000000017</v>
      </c>
      <c r="P35" s="970">
        <v>73936.100000000006</v>
      </c>
      <c r="Q35" s="970">
        <v>79342.900000000023</v>
      </c>
      <c r="R35" s="970">
        <v>81272.5</v>
      </c>
      <c r="S35" s="970">
        <v>84041.800000000017</v>
      </c>
      <c r="T35" s="970">
        <v>98797.500000000015</v>
      </c>
      <c r="U35" s="970">
        <v>104038.00000000001</v>
      </c>
      <c r="V35" s="970">
        <v>108434.1</v>
      </c>
      <c r="W35" s="970">
        <v>108434.1</v>
      </c>
      <c r="X35" s="970">
        <v>108434.1</v>
      </c>
      <c r="Y35" s="970">
        <v>108434.1</v>
      </c>
      <c r="Z35" s="891">
        <v>108434.1</v>
      </c>
    </row>
    <row r="36" spans="1:26" x14ac:dyDescent="0.25">
      <c r="A36" s="960"/>
      <c r="B36" s="961" t="s">
        <v>299</v>
      </c>
      <c r="C36" s="891"/>
      <c r="D36" s="970"/>
      <c r="E36" s="970"/>
      <c r="F36" s="891"/>
      <c r="G36" s="891"/>
      <c r="H36" s="970">
        <v>1373.3999999999942</v>
      </c>
      <c r="I36" s="970">
        <v>473.5</v>
      </c>
      <c r="J36" s="970">
        <v>3774.1000000000058</v>
      </c>
      <c r="K36" s="970">
        <v>1535.1999999999825</v>
      </c>
      <c r="L36" s="970">
        <v>2796.6000000000058</v>
      </c>
      <c r="M36" s="970">
        <v>4404.7000000000116</v>
      </c>
      <c r="N36" s="970">
        <v>-27560.899999999994</v>
      </c>
      <c r="O36" s="970">
        <v>2561.2999999999884</v>
      </c>
      <c r="P36" s="970">
        <v>5406.8000000000175</v>
      </c>
      <c r="Q36" s="970">
        <v>1929.5999999999767</v>
      </c>
      <c r="R36" s="970">
        <v>2769.3000000000175</v>
      </c>
      <c r="S36" s="970">
        <v>14755.699999999997</v>
      </c>
      <c r="T36" s="970">
        <v>5240.5</v>
      </c>
      <c r="U36" s="970">
        <v>4396.0999999999913</v>
      </c>
      <c r="V36" s="970">
        <v>0</v>
      </c>
      <c r="W36" s="970">
        <v>0</v>
      </c>
      <c r="X36" s="970">
        <v>0</v>
      </c>
      <c r="Y36" s="970">
        <v>0</v>
      </c>
      <c r="Z36" s="891"/>
    </row>
    <row r="37" spans="1:26" x14ac:dyDescent="0.25">
      <c r="A37" s="892" t="s">
        <v>183</v>
      </c>
      <c r="B37" s="961" t="s">
        <v>182</v>
      </c>
      <c r="C37" s="891"/>
      <c r="D37" s="970">
        <v>277.8793241511853</v>
      </c>
      <c r="E37" s="970">
        <v>55151</v>
      </c>
      <c r="F37" s="971">
        <v>0.6991224093851427</v>
      </c>
      <c r="G37" s="891">
        <v>16593.7</v>
      </c>
      <c r="H37" s="970">
        <v>38557.300000000003</v>
      </c>
      <c r="I37" s="970">
        <v>38557.300000000003</v>
      </c>
      <c r="J37" s="970">
        <v>38557.300000000003</v>
      </c>
      <c r="K37" s="970">
        <v>38557.300000000003</v>
      </c>
      <c r="L37" s="970">
        <v>38557.300000000003</v>
      </c>
      <c r="M37" s="970">
        <v>38557.300000000003</v>
      </c>
      <c r="N37" s="970">
        <v>38557.300000000003</v>
      </c>
      <c r="O37" s="970">
        <v>39160.6</v>
      </c>
      <c r="P37" s="970">
        <v>39160.6</v>
      </c>
      <c r="Q37" s="970">
        <v>39160.6</v>
      </c>
      <c r="R37" s="970">
        <v>39160.6</v>
      </c>
      <c r="S37" s="970">
        <v>41054.9</v>
      </c>
      <c r="T37" s="970">
        <v>41054.9</v>
      </c>
      <c r="U37" s="970">
        <v>41054.9</v>
      </c>
      <c r="V37" s="970">
        <v>41054.9</v>
      </c>
      <c r="W37" s="970">
        <v>41054.9</v>
      </c>
      <c r="X37" s="970">
        <v>41054.9</v>
      </c>
      <c r="Y37" s="970">
        <v>41054.9</v>
      </c>
      <c r="Z37" s="891">
        <v>41054.9</v>
      </c>
    </row>
    <row r="38" spans="1:26" x14ac:dyDescent="0.25">
      <c r="A38" s="892"/>
      <c r="B38" s="961" t="s">
        <v>299</v>
      </c>
      <c r="C38" s="891"/>
      <c r="D38" s="970"/>
      <c r="E38" s="970"/>
      <c r="F38" s="891"/>
      <c r="G38" s="891"/>
      <c r="H38" s="970">
        <v>0</v>
      </c>
      <c r="I38" s="970">
        <v>0</v>
      </c>
      <c r="J38" s="970">
        <v>0</v>
      </c>
      <c r="K38" s="970">
        <v>0</v>
      </c>
      <c r="L38" s="970">
        <v>0</v>
      </c>
      <c r="M38" s="970">
        <v>0</v>
      </c>
      <c r="N38" s="970">
        <v>603.29999999999563</v>
      </c>
      <c r="O38" s="970">
        <v>0</v>
      </c>
      <c r="P38" s="970">
        <v>0</v>
      </c>
      <c r="Q38" s="970">
        <v>0</v>
      </c>
      <c r="R38" s="970">
        <v>1894.3000000000029</v>
      </c>
      <c r="S38" s="970">
        <v>0</v>
      </c>
      <c r="T38" s="970">
        <v>0</v>
      </c>
      <c r="U38" s="970">
        <v>0</v>
      </c>
      <c r="V38" s="970">
        <v>0</v>
      </c>
      <c r="W38" s="970">
        <v>0</v>
      </c>
      <c r="X38" s="970">
        <v>0</v>
      </c>
      <c r="Y38" s="970">
        <v>0</v>
      </c>
      <c r="Z38" s="891"/>
    </row>
    <row r="39" spans="1:26" x14ac:dyDescent="0.25">
      <c r="A39" s="892" t="s">
        <v>183</v>
      </c>
      <c r="B39" s="961" t="s">
        <v>184</v>
      </c>
      <c r="C39" s="891"/>
      <c r="D39" s="970">
        <v>141.56726634790692</v>
      </c>
      <c r="E39" s="970">
        <v>33090.5</v>
      </c>
      <c r="F39" s="971">
        <v>0.69095057493842649</v>
      </c>
      <c r="G39" s="891">
        <v>10226.6</v>
      </c>
      <c r="H39" s="970">
        <v>22863.9</v>
      </c>
      <c r="I39" s="970">
        <v>22863.9</v>
      </c>
      <c r="J39" s="970">
        <v>22863.9</v>
      </c>
      <c r="K39" s="970">
        <v>22863.9</v>
      </c>
      <c r="L39" s="970">
        <v>22863.9</v>
      </c>
      <c r="M39" s="970">
        <v>22863.9</v>
      </c>
      <c r="N39" s="970">
        <v>22863.9</v>
      </c>
      <c r="O39" s="970">
        <v>23634.1</v>
      </c>
      <c r="P39" s="970">
        <v>23634.6</v>
      </c>
      <c r="Q39" s="970">
        <v>23634.1</v>
      </c>
      <c r="R39" s="970">
        <v>23634.1</v>
      </c>
      <c r="S39" s="970">
        <v>25771</v>
      </c>
      <c r="T39" s="970">
        <v>25771</v>
      </c>
      <c r="U39" s="970">
        <v>25771</v>
      </c>
      <c r="V39" s="970">
        <v>25771</v>
      </c>
      <c r="W39" s="970">
        <v>25771</v>
      </c>
      <c r="X39" s="970">
        <v>25771</v>
      </c>
      <c r="Y39" s="970">
        <v>25771</v>
      </c>
      <c r="Z39" s="891">
        <v>25771</v>
      </c>
    </row>
    <row r="40" spans="1:26" x14ac:dyDescent="0.25">
      <c r="A40" s="892"/>
      <c r="B40" s="961" t="s">
        <v>299</v>
      </c>
      <c r="C40" s="891"/>
      <c r="D40" s="970"/>
      <c r="E40" s="970"/>
      <c r="F40" s="891"/>
      <c r="G40" s="891"/>
      <c r="H40" s="970">
        <v>0</v>
      </c>
      <c r="I40" s="970">
        <v>0</v>
      </c>
      <c r="J40" s="970">
        <v>0</v>
      </c>
      <c r="K40" s="970">
        <v>0</v>
      </c>
      <c r="L40" s="970">
        <v>0</v>
      </c>
      <c r="M40" s="970">
        <v>0</v>
      </c>
      <c r="N40" s="970">
        <v>770.19999999999709</v>
      </c>
      <c r="O40" s="970">
        <v>0.5</v>
      </c>
      <c r="P40" s="970">
        <v>-0.5</v>
      </c>
      <c r="Q40" s="970">
        <v>0</v>
      </c>
      <c r="R40" s="970">
        <v>2136.9000000000015</v>
      </c>
      <c r="S40" s="970">
        <v>0</v>
      </c>
      <c r="T40" s="970">
        <v>0</v>
      </c>
      <c r="U40" s="970">
        <v>0</v>
      </c>
      <c r="V40" s="970">
        <v>0</v>
      </c>
      <c r="W40" s="970">
        <v>0</v>
      </c>
      <c r="X40" s="970">
        <v>0</v>
      </c>
      <c r="Y40" s="970">
        <v>0</v>
      </c>
      <c r="Z40" s="891"/>
    </row>
    <row r="41" spans="1:26" x14ac:dyDescent="0.25">
      <c r="A41" s="892" t="s">
        <v>2</v>
      </c>
      <c r="B41" s="962" t="s">
        <v>222</v>
      </c>
      <c r="C41" s="891"/>
      <c r="D41" s="970">
        <v>134.93387351507232</v>
      </c>
      <c r="E41" s="970">
        <v>102196.5</v>
      </c>
      <c r="F41" s="971">
        <v>0.85458112557670762</v>
      </c>
      <c r="G41" s="891">
        <v>14861.3</v>
      </c>
      <c r="H41" s="970">
        <v>87335.2</v>
      </c>
      <c r="I41" s="970">
        <v>87399.2</v>
      </c>
      <c r="J41" s="970">
        <v>87450.5</v>
      </c>
      <c r="K41" s="970">
        <v>87765.4</v>
      </c>
      <c r="L41" s="970">
        <v>89683.1</v>
      </c>
      <c r="M41" s="970">
        <v>89748.4</v>
      </c>
      <c r="N41" s="970">
        <v>90074.3</v>
      </c>
      <c r="O41" s="970">
        <v>90940</v>
      </c>
      <c r="P41" s="970">
        <v>92679.6</v>
      </c>
      <c r="Q41" s="970">
        <v>94472.3</v>
      </c>
      <c r="R41" s="970">
        <v>95024.8</v>
      </c>
      <c r="S41" s="970">
        <v>95056.2</v>
      </c>
      <c r="T41" s="970">
        <v>95060.5</v>
      </c>
      <c r="U41" s="970">
        <v>95917.8</v>
      </c>
      <c r="V41" s="970">
        <v>98985.600000000006</v>
      </c>
      <c r="W41" s="970">
        <v>98985.600000000006</v>
      </c>
      <c r="X41" s="970">
        <v>98985.600000000006</v>
      </c>
      <c r="Y41" s="970">
        <v>98985.600000000006</v>
      </c>
      <c r="Z41" s="891">
        <v>98985.600000000006</v>
      </c>
    </row>
    <row r="42" spans="1:26" x14ac:dyDescent="0.25">
      <c r="A42" s="892"/>
      <c r="B42" s="962" t="s">
        <v>299</v>
      </c>
      <c r="C42" s="891"/>
      <c r="D42" s="970"/>
      <c r="E42" s="970"/>
      <c r="F42" s="891"/>
      <c r="G42" s="891"/>
      <c r="H42" s="970">
        <v>64</v>
      </c>
      <c r="I42" s="970">
        <v>51.30000000000291</v>
      </c>
      <c r="J42" s="970">
        <v>314.89999999999418</v>
      </c>
      <c r="K42" s="970">
        <v>1917.7000000000116</v>
      </c>
      <c r="L42" s="970">
        <v>65.299999999988358</v>
      </c>
      <c r="M42" s="970">
        <v>325.90000000000873</v>
      </c>
      <c r="N42" s="970">
        <v>865.69999999999709</v>
      </c>
      <c r="O42" s="970">
        <v>1739.6000000000058</v>
      </c>
      <c r="P42" s="970">
        <v>1792.6999999999971</v>
      </c>
      <c r="Q42" s="970">
        <v>552.5</v>
      </c>
      <c r="R42" s="970">
        <v>31.399999999994179</v>
      </c>
      <c r="S42" s="970">
        <v>4.3000000000029104</v>
      </c>
      <c r="T42" s="970">
        <v>857.30000000000291</v>
      </c>
      <c r="U42" s="970">
        <v>3067.8000000000029</v>
      </c>
      <c r="V42" s="970">
        <v>0</v>
      </c>
      <c r="W42" s="970">
        <v>0</v>
      </c>
      <c r="X42" s="970">
        <v>0</v>
      </c>
      <c r="Y42" s="970">
        <v>0</v>
      </c>
      <c r="Z42" s="891"/>
    </row>
    <row r="43" spans="1:26" x14ac:dyDescent="0.25">
      <c r="A43" s="892" t="s">
        <v>13</v>
      </c>
      <c r="B43" s="962" t="s">
        <v>223</v>
      </c>
      <c r="C43" s="891"/>
      <c r="D43" s="970">
        <v>138.87718394726349</v>
      </c>
      <c r="E43" s="970">
        <v>209496.5</v>
      </c>
      <c r="F43" s="971">
        <v>0.85812507607525668</v>
      </c>
      <c r="G43" s="891">
        <v>29722.3</v>
      </c>
      <c r="H43" s="970">
        <v>179774.2</v>
      </c>
      <c r="I43" s="970">
        <v>179902</v>
      </c>
      <c r="J43" s="970">
        <v>180004.6</v>
      </c>
      <c r="K43" s="970">
        <v>180634.3</v>
      </c>
      <c r="L43" s="970">
        <v>184469.8</v>
      </c>
      <c r="M43" s="970">
        <v>184600.3</v>
      </c>
      <c r="N43" s="970">
        <v>185251.4</v>
      </c>
      <c r="O43" s="970">
        <v>186983.7</v>
      </c>
      <c r="P43" s="970">
        <v>190462.4</v>
      </c>
      <c r="Q43" s="970">
        <v>194048.4</v>
      </c>
      <c r="R43" s="970">
        <v>195153.2</v>
      </c>
      <c r="S43" s="970">
        <v>195216</v>
      </c>
      <c r="T43" s="970">
        <v>195224.6</v>
      </c>
      <c r="U43" s="970">
        <v>196939.2</v>
      </c>
      <c r="V43" s="970">
        <v>203074.9</v>
      </c>
      <c r="W43" s="970">
        <v>203074.9</v>
      </c>
      <c r="X43" s="970">
        <v>203074.9</v>
      </c>
      <c r="Y43" s="970">
        <v>203074.9</v>
      </c>
      <c r="Z43" s="891">
        <v>203074.9</v>
      </c>
    </row>
    <row r="44" spans="1:26" x14ac:dyDescent="0.25">
      <c r="A44" s="892"/>
      <c r="B44" s="962" t="s">
        <v>300</v>
      </c>
      <c r="C44" s="891"/>
      <c r="D44" s="970"/>
      <c r="E44" s="970"/>
      <c r="F44" s="891"/>
      <c r="G44" s="891"/>
      <c r="H44" s="970">
        <v>127.79999999998836</v>
      </c>
      <c r="I44" s="970">
        <v>102.60000000000582</v>
      </c>
      <c r="J44" s="970">
        <v>629.69999999998254</v>
      </c>
      <c r="K44" s="970">
        <v>3835.5</v>
      </c>
      <c r="L44" s="970">
        <v>130.5</v>
      </c>
      <c r="M44" s="970">
        <v>651.10000000000582</v>
      </c>
      <c r="N44" s="970">
        <v>1732.3000000000175</v>
      </c>
      <c r="O44" s="970">
        <v>3478.6999999999825</v>
      </c>
      <c r="P44" s="970">
        <v>3586</v>
      </c>
      <c r="Q44" s="970">
        <v>1104.8000000000175</v>
      </c>
      <c r="R44" s="970">
        <v>62.799999999988358</v>
      </c>
      <c r="S44" s="970">
        <v>8.6000000000058208</v>
      </c>
      <c r="T44" s="970">
        <v>1714.6000000000058</v>
      </c>
      <c r="U44" s="970">
        <v>6135.6999999999825</v>
      </c>
      <c r="V44" s="970">
        <v>0</v>
      </c>
      <c r="W44" s="970">
        <v>0</v>
      </c>
      <c r="X44" s="970">
        <v>0</v>
      </c>
      <c r="Y44" s="970">
        <v>0</v>
      </c>
      <c r="Z44" s="891"/>
    </row>
    <row r="45" spans="1:26" x14ac:dyDescent="0.25">
      <c r="A45" s="892" t="s">
        <v>13</v>
      </c>
      <c r="B45" s="962" t="s">
        <v>256</v>
      </c>
      <c r="C45" s="891"/>
      <c r="D45" s="970">
        <v>61.711992238033631</v>
      </c>
      <c r="E45" s="970">
        <v>102196.5</v>
      </c>
      <c r="F45" s="971">
        <v>0.84869246989867553</v>
      </c>
      <c r="G45" s="891">
        <v>15463.1</v>
      </c>
      <c r="H45" s="970">
        <v>86733.4</v>
      </c>
      <c r="I45" s="970">
        <v>86743.4</v>
      </c>
      <c r="J45" s="970">
        <v>87070.6</v>
      </c>
      <c r="K45" s="970">
        <v>94159.2</v>
      </c>
      <c r="L45" s="970">
        <v>95340.3</v>
      </c>
      <c r="M45" s="970">
        <v>95590.399999999994</v>
      </c>
      <c r="N45" s="970">
        <v>98423.9</v>
      </c>
      <c r="O45" s="970">
        <v>100894.1</v>
      </c>
      <c r="P45" s="970">
        <v>100910.39999999999</v>
      </c>
      <c r="Q45" s="970">
        <v>100917.1</v>
      </c>
      <c r="R45" s="970">
        <v>102193.4</v>
      </c>
      <c r="S45" s="970">
        <v>102193.4</v>
      </c>
      <c r="T45" s="970"/>
      <c r="U45" s="970"/>
      <c r="V45" s="970"/>
      <c r="W45" s="970"/>
      <c r="X45" s="970"/>
      <c r="Y45" s="970"/>
      <c r="Z45" s="891"/>
    </row>
    <row r="46" spans="1:26" x14ac:dyDescent="0.25">
      <c r="A46" s="892"/>
      <c r="B46" s="962" t="s">
        <v>300</v>
      </c>
      <c r="C46" s="891"/>
      <c r="D46" s="970"/>
      <c r="E46" s="970"/>
      <c r="F46" s="891"/>
      <c r="G46" s="891"/>
      <c r="H46" s="970">
        <v>10</v>
      </c>
      <c r="I46" s="970">
        <v>327.20000000001164</v>
      </c>
      <c r="J46" s="970">
        <v>7088.5999999999913</v>
      </c>
      <c r="K46" s="970">
        <v>1181.1000000000058</v>
      </c>
      <c r="L46" s="970">
        <v>250.09999999999127</v>
      </c>
      <c r="M46" s="970">
        <v>2833.5</v>
      </c>
      <c r="N46" s="970">
        <v>2470.2000000000116</v>
      </c>
      <c r="O46" s="970">
        <v>16.299999999988358</v>
      </c>
      <c r="P46" s="970">
        <v>6.7000000000116415</v>
      </c>
      <c r="Q46" s="970">
        <v>1276.2999999999884</v>
      </c>
      <c r="R46" s="970">
        <v>0</v>
      </c>
      <c r="S46" s="970"/>
      <c r="T46" s="970"/>
      <c r="U46" s="970"/>
      <c r="V46" s="970"/>
      <c r="W46" s="970"/>
      <c r="X46" s="970"/>
      <c r="Y46" s="970"/>
      <c r="Z46" s="891"/>
    </row>
    <row r="47" spans="1:26" x14ac:dyDescent="0.25">
      <c r="A47" s="892" t="s">
        <v>2</v>
      </c>
      <c r="B47" s="962" t="s">
        <v>257</v>
      </c>
      <c r="C47" s="891"/>
      <c r="D47" s="970">
        <v>57.769082957001089</v>
      </c>
      <c r="E47" s="970">
        <v>209496.5</v>
      </c>
      <c r="F47" s="971">
        <v>0.85241567281553632</v>
      </c>
      <c r="G47" s="891">
        <v>30918.400000000001</v>
      </c>
      <c r="H47" s="970">
        <v>178578.1</v>
      </c>
      <c r="I47" s="970">
        <v>178599.6</v>
      </c>
      <c r="J47" s="970">
        <v>179260</v>
      </c>
      <c r="K47" s="970">
        <v>193437.3</v>
      </c>
      <c r="L47" s="970">
        <v>195799.9</v>
      </c>
      <c r="M47" s="970">
        <v>196303.5</v>
      </c>
      <c r="N47" s="970">
        <v>201961</v>
      </c>
      <c r="O47" s="970">
        <v>206902.5</v>
      </c>
      <c r="P47" s="970">
        <v>206934.6</v>
      </c>
      <c r="Q47" s="970">
        <v>206948.4</v>
      </c>
      <c r="R47" s="970">
        <v>209490.5</v>
      </c>
      <c r="S47" s="970"/>
      <c r="T47" s="970"/>
      <c r="U47" s="970"/>
      <c r="V47" s="970"/>
      <c r="W47" s="970"/>
      <c r="X47" s="970"/>
      <c r="Y47" s="970"/>
      <c r="Z47" s="891"/>
    </row>
    <row r="48" spans="1:26" x14ac:dyDescent="0.25">
      <c r="A48" s="892"/>
      <c r="B48" s="962" t="s">
        <v>300</v>
      </c>
      <c r="C48" s="891"/>
      <c r="D48" s="970"/>
      <c r="E48" s="970"/>
      <c r="F48" s="891"/>
      <c r="G48" s="891"/>
      <c r="H48" s="970">
        <v>21.5</v>
      </c>
      <c r="I48" s="970">
        <v>660.39999999999418</v>
      </c>
      <c r="J48" s="970">
        <v>14177.299999999988</v>
      </c>
      <c r="K48" s="970">
        <v>2362.6000000000058</v>
      </c>
      <c r="L48" s="970">
        <v>503.60000000000582</v>
      </c>
      <c r="M48" s="970">
        <v>5657.5</v>
      </c>
      <c r="N48" s="970">
        <v>4941.5</v>
      </c>
      <c r="O48" s="970">
        <v>32.100000000005821</v>
      </c>
      <c r="P48" s="970">
        <v>13.799999999988358</v>
      </c>
      <c r="Q48" s="970">
        <v>2542.1000000000058</v>
      </c>
      <c r="R48" s="970"/>
      <c r="S48" s="970"/>
      <c r="T48" s="970"/>
      <c r="U48" s="970"/>
      <c r="V48" s="970"/>
      <c r="W48" s="970"/>
      <c r="X48" s="970"/>
      <c r="Y48" s="970"/>
      <c r="Z48" s="891"/>
    </row>
    <row r="49" spans="1:26" x14ac:dyDescent="0.25">
      <c r="A49" s="892" t="s">
        <v>13</v>
      </c>
      <c r="B49" s="962" t="s">
        <v>267</v>
      </c>
      <c r="C49" s="891"/>
      <c r="D49" s="970">
        <v>1839481.2</v>
      </c>
      <c r="E49" s="970">
        <v>102196.5</v>
      </c>
      <c r="F49" s="971">
        <v>0.99996966628015627</v>
      </c>
      <c r="G49" s="891">
        <v>3.1</v>
      </c>
      <c r="H49" s="970">
        <v>102193.4</v>
      </c>
      <c r="I49" s="970">
        <v>102193.4</v>
      </c>
      <c r="J49" s="970">
        <v>102193.4</v>
      </c>
      <c r="K49" s="970">
        <v>102193.4</v>
      </c>
      <c r="L49" s="970">
        <v>102193.4</v>
      </c>
      <c r="M49" s="970">
        <v>102193.4</v>
      </c>
      <c r="N49" s="970">
        <v>102193.4</v>
      </c>
      <c r="O49" s="970">
        <v>102193.4</v>
      </c>
      <c r="P49" s="970">
        <v>102193.9</v>
      </c>
      <c r="Q49" s="970"/>
      <c r="R49" s="970"/>
      <c r="S49" s="970"/>
      <c r="T49" s="970"/>
      <c r="U49" s="970"/>
      <c r="V49" s="970"/>
      <c r="W49" s="970"/>
      <c r="X49" s="970"/>
      <c r="Y49" s="970"/>
      <c r="Z49" s="891"/>
    </row>
    <row r="50" spans="1:26" x14ac:dyDescent="0.25">
      <c r="A50" s="892"/>
      <c r="B50" s="962" t="s">
        <v>300</v>
      </c>
      <c r="C50" s="891"/>
      <c r="D50" s="970"/>
      <c r="E50" s="970"/>
      <c r="F50" s="891"/>
      <c r="G50" s="891"/>
      <c r="H50" s="970">
        <v>0</v>
      </c>
      <c r="I50" s="970">
        <v>0</v>
      </c>
      <c r="J50" s="970">
        <v>0</v>
      </c>
      <c r="K50" s="970">
        <v>0</v>
      </c>
      <c r="L50" s="970">
        <v>0</v>
      </c>
      <c r="M50" s="970">
        <v>0</v>
      </c>
      <c r="N50" s="970">
        <v>0</v>
      </c>
      <c r="O50" s="970">
        <v>0.5</v>
      </c>
      <c r="P50" s="970">
        <v>0</v>
      </c>
      <c r="Q50" s="970"/>
      <c r="R50" s="970"/>
      <c r="S50" s="970"/>
      <c r="T50" s="970"/>
      <c r="U50" s="970"/>
      <c r="V50" s="970"/>
      <c r="W50" s="970"/>
      <c r="X50" s="970"/>
      <c r="Y50" s="970"/>
      <c r="Z50" s="891"/>
    </row>
    <row r="51" spans="1:26" x14ac:dyDescent="0.25">
      <c r="A51" s="892" t="s">
        <v>2</v>
      </c>
      <c r="B51" s="962" t="s">
        <v>268</v>
      </c>
      <c r="C51" s="891"/>
      <c r="D51" s="970">
        <v>3770829</v>
      </c>
      <c r="E51" s="970">
        <v>209496.5</v>
      </c>
      <c r="F51" s="971">
        <v>0.99997135990338737</v>
      </c>
      <c r="G51" s="891">
        <v>6</v>
      </c>
      <c r="H51" s="970">
        <v>209490.5</v>
      </c>
      <c r="I51" s="970">
        <v>209490.5</v>
      </c>
      <c r="J51" s="970">
        <v>209490.5</v>
      </c>
      <c r="K51" s="970">
        <v>209490.5</v>
      </c>
      <c r="L51" s="970">
        <v>209490.5</v>
      </c>
      <c r="M51" s="970">
        <v>209490.5</v>
      </c>
      <c r="N51" s="970">
        <v>209490.5</v>
      </c>
      <c r="O51" s="970">
        <v>209490.5</v>
      </c>
      <c r="P51" s="970">
        <v>209491</v>
      </c>
      <c r="Q51" s="970"/>
      <c r="R51" s="970"/>
      <c r="S51" s="970"/>
      <c r="T51" s="970"/>
      <c r="U51" s="970"/>
      <c r="V51" s="970"/>
      <c r="W51" s="970"/>
      <c r="X51" s="970"/>
      <c r="Y51" s="970"/>
      <c r="Z51" s="891"/>
    </row>
    <row r="52" spans="1:26" x14ac:dyDescent="0.25">
      <c r="A52" s="892"/>
      <c r="B52" s="962" t="s">
        <v>300</v>
      </c>
      <c r="C52" s="891"/>
      <c r="D52" s="970"/>
      <c r="E52" s="970"/>
      <c r="F52" s="891"/>
      <c r="G52" s="891"/>
      <c r="H52" s="970">
        <v>0</v>
      </c>
      <c r="I52" s="970">
        <v>0</v>
      </c>
      <c r="J52" s="970">
        <v>0</v>
      </c>
      <c r="K52" s="970">
        <v>0</v>
      </c>
      <c r="L52" s="970">
        <v>0</v>
      </c>
      <c r="M52" s="970">
        <v>0</v>
      </c>
      <c r="N52" s="970">
        <v>0</v>
      </c>
      <c r="O52" s="970">
        <v>0.5</v>
      </c>
      <c r="P52" s="970">
        <v>0</v>
      </c>
      <c r="Q52" s="970"/>
      <c r="R52" s="970"/>
      <c r="S52" s="970"/>
      <c r="T52" s="970"/>
      <c r="U52" s="970"/>
      <c r="V52" s="970"/>
      <c r="W52" s="970"/>
      <c r="X52" s="970"/>
      <c r="Y52" s="970"/>
      <c r="Z52" s="891"/>
    </row>
    <row r="53" spans="1:26" x14ac:dyDescent="0.25">
      <c r="A53" s="892" t="s">
        <v>2</v>
      </c>
      <c r="B53" s="893" t="s">
        <v>269</v>
      </c>
      <c r="C53" s="891"/>
      <c r="D53" s="970">
        <v>-27.81484219527464</v>
      </c>
      <c r="E53" s="970">
        <v>328695.2</v>
      </c>
      <c r="F53" s="971">
        <v>0.92881459784018749</v>
      </c>
      <c r="G53" s="891">
        <v>23398.3</v>
      </c>
      <c r="H53" s="970">
        <v>305296.90000000002</v>
      </c>
      <c r="I53" s="970">
        <v>305321.5</v>
      </c>
      <c r="J53" s="970">
        <v>244293.40000000002</v>
      </c>
      <c r="K53" s="970">
        <v>210423.4</v>
      </c>
      <c r="L53" s="970">
        <v>213753.4</v>
      </c>
      <c r="M53" s="970">
        <v>222447.80000000002</v>
      </c>
      <c r="N53" s="970">
        <v>228464.6</v>
      </c>
      <c r="O53" s="970"/>
      <c r="P53" s="970"/>
      <c r="Q53" s="970"/>
      <c r="R53" s="970"/>
      <c r="S53" s="970"/>
      <c r="T53" s="970"/>
      <c r="U53" s="970"/>
      <c r="V53" s="970"/>
      <c r="W53" s="970"/>
      <c r="X53" s="970"/>
      <c r="Y53" s="970"/>
      <c r="Z53" s="891"/>
    </row>
    <row r="54" spans="1:26" x14ac:dyDescent="0.25">
      <c r="A54" s="892"/>
      <c r="B54" s="893" t="s">
        <v>300</v>
      </c>
      <c r="C54" s="891"/>
      <c r="D54" s="970"/>
      <c r="E54" s="970"/>
      <c r="F54" s="891"/>
      <c r="G54" s="891"/>
      <c r="H54" s="970">
        <v>24.599999999976717</v>
      </c>
      <c r="I54" s="970">
        <v>-61028.099999999977</v>
      </c>
      <c r="J54" s="970">
        <v>-33870.000000000029</v>
      </c>
      <c r="K54" s="970">
        <v>3330</v>
      </c>
      <c r="L54" s="970">
        <v>8694.4000000000233</v>
      </c>
      <c r="M54" s="970">
        <v>6016.7999999999884</v>
      </c>
      <c r="N54" s="970">
        <v>0</v>
      </c>
      <c r="O54" s="970"/>
      <c r="P54" s="970"/>
      <c r="Q54" s="970"/>
      <c r="R54" s="970"/>
      <c r="S54" s="970"/>
      <c r="T54" s="970"/>
      <c r="U54" s="970"/>
      <c r="V54" s="970"/>
      <c r="W54" s="970"/>
      <c r="X54" s="970"/>
      <c r="Y54" s="970"/>
      <c r="Z54" s="891"/>
    </row>
    <row r="55" spans="1:26" x14ac:dyDescent="0.25">
      <c r="A55" s="892" t="s">
        <v>2</v>
      </c>
      <c r="B55" s="893" t="s">
        <v>270</v>
      </c>
      <c r="C55" s="891"/>
      <c r="D55" s="970">
        <v>763465.20000000007</v>
      </c>
      <c r="E55" s="970">
        <v>190871.2</v>
      </c>
      <c r="F55" s="971">
        <v>0.99997432823809984</v>
      </c>
      <c r="G55" s="891">
        <v>4.9000000000000004</v>
      </c>
      <c r="H55" s="970">
        <v>190866.30000000002</v>
      </c>
      <c r="I55" s="970">
        <v>190866.30000000002</v>
      </c>
      <c r="J55" s="970">
        <v>190866.30000000002</v>
      </c>
      <c r="K55" s="970"/>
      <c r="L55" s="970"/>
      <c r="M55" s="970"/>
      <c r="N55" s="970"/>
      <c r="O55" s="970"/>
      <c r="P55" s="970"/>
      <c r="Q55" s="970"/>
      <c r="R55" s="970"/>
      <c r="S55" s="970"/>
      <c r="T55" s="970"/>
      <c r="U55" s="970"/>
      <c r="V55" s="970"/>
      <c r="W55" s="970"/>
      <c r="X55" s="970"/>
      <c r="Y55" s="970"/>
      <c r="Z55" s="891"/>
    </row>
    <row r="56" spans="1:26" x14ac:dyDescent="0.25">
      <c r="A56" s="892"/>
      <c r="B56" s="893" t="s">
        <v>300</v>
      </c>
      <c r="C56" s="891"/>
      <c r="D56" s="970"/>
      <c r="E56" s="970"/>
      <c r="F56" s="891"/>
      <c r="G56" s="891"/>
      <c r="H56" s="970">
        <v>0</v>
      </c>
      <c r="I56" s="970">
        <v>0</v>
      </c>
      <c r="J56" s="970">
        <v>1</v>
      </c>
      <c r="K56" s="970">
        <v>0</v>
      </c>
      <c r="L56" s="970"/>
      <c r="M56" s="970"/>
      <c r="N56" s="970"/>
      <c r="O56" s="970"/>
      <c r="P56" s="970"/>
      <c r="Q56" s="970"/>
      <c r="R56" s="970"/>
      <c r="S56" s="970"/>
      <c r="T56" s="970"/>
      <c r="U56" s="970"/>
      <c r="V56" s="970"/>
      <c r="W56" s="970"/>
      <c r="X56" s="970"/>
      <c r="Y56" s="970"/>
      <c r="Z56" s="891"/>
    </row>
    <row r="57" spans="1:26" x14ac:dyDescent="0.25">
      <c r="A57" s="892"/>
      <c r="B57" s="893"/>
      <c r="C57" s="891"/>
      <c r="D57" s="970"/>
      <c r="E57" s="970"/>
      <c r="F57" s="891"/>
      <c r="G57" s="891"/>
      <c r="H57" s="970"/>
      <c r="I57" s="970"/>
      <c r="J57" s="970"/>
      <c r="K57" s="970"/>
      <c r="L57" s="970"/>
      <c r="M57" s="970"/>
      <c r="N57" s="970"/>
      <c r="O57" s="891"/>
      <c r="P57" s="970"/>
      <c r="Q57" s="970"/>
      <c r="R57" s="970"/>
      <c r="S57" s="970"/>
      <c r="T57" s="970"/>
      <c r="U57" s="970"/>
      <c r="V57" s="970"/>
      <c r="W57" s="970"/>
      <c r="X57" s="970"/>
      <c r="Y57" s="970"/>
      <c r="Z57" s="891"/>
    </row>
    <row r="58" spans="1:26" s="38" customFormat="1" x14ac:dyDescent="0.25">
      <c r="A58" s="972"/>
      <c r="B58" s="972"/>
      <c r="C58" s="972"/>
      <c r="D58" s="973"/>
      <c r="E58" s="973">
        <v>5040313.8</v>
      </c>
      <c r="F58" s="972"/>
      <c r="G58" s="973">
        <v>2183317.5</v>
      </c>
      <c r="H58" s="973">
        <v>2864126.9999999995</v>
      </c>
      <c r="I58" s="973">
        <v>2812881.4</v>
      </c>
      <c r="J58" s="973">
        <v>2793535.3000000003</v>
      </c>
      <c r="K58" s="973">
        <v>2627816.6999999997</v>
      </c>
      <c r="L58" s="973">
        <v>2630020.0000000005</v>
      </c>
      <c r="M58" s="973">
        <v>2634186.8999999994</v>
      </c>
      <c r="N58" s="973">
        <v>2630768.2000000007</v>
      </c>
      <c r="O58" s="973">
        <v>2420137.5000000009</v>
      </c>
      <c r="P58" s="973">
        <v>2455569.6</v>
      </c>
      <c r="Q58" s="973">
        <v>2162882.4000000008</v>
      </c>
      <c r="R58" s="973">
        <v>2180458.5</v>
      </c>
      <c r="S58" s="973">
        <v>1998646</v>
      </c>
      <c r="T58" s="973">
        <v>1911068.2000000002</v>
      </c>
      <c r="U58" s="973">
        <v>1968246.5999999999</v>
      </c>
      <c r="V58" s="973">
        <v>1968821.0000000002</v>
      </c>
      <c r="W58" s="973">
        <v>1969215.6</v>
      </c>
      <c r="X58" s="973">
        <v>1969572.9000000001</v>
      </c>
      <c r="Y58" s="973">
        <v>1969572.9000000001</v>
      </c>
      <c r="Z58" s="972"/>
    </row>
    <row r="59" spans="1:26" x14ac:dyDescent="0.25">
      <c r="A59" s="891"/>
      <c r="B59" s="891"/>
      <c r="C59" s="891"/>
      <c r="D59" s="970"/>
      <c r="E59" s="891"/>
      <c r="F59" s="891"/>
      <c r="G59" s="891"/>
      <c r="H59" s="970"/>
      <c r="I59" s="972"/>
      <c r="J59" s="972"/>
      <c r="K59" s="972"/>
      <c r="L59" s="970"/>
      <c r="M59" s="972"/>
      <c r="N59" s="972"/>
      <c r="O59" s="891"/>
      <c r="P59" s="972"/>
      <c r="Q59" s="972"/>
      <c r="R59" s="972"/>
      <c r="S59" s="972"/>
      <c r="T59" s="972"/>
      <c r="U59" s="972"/>
      <c r="V59" s="972"/>
      <c r="W59" s="972"/>
      <c r="X59" s="972"/>
      <c r="Y59" s="972"/>
      <c r="Z59" s="891"/>
    </row>
    <row r="60" spans="1:26" x14ac:dyDescent="0.25">
      <c r="A60" s="891"/>
      <c r="B60" s="891"/>
      <c r="C60" s="891"/>
      <c r="D60" s="970"/>
      <c r="E60" s="891"/>
      <c r="F60" s="891"/>
      <c r="G60" s="891"/>
      <c r="H60" s="970"/>
      <c r="I60" s="891"/>
      <c r="J60" s="891"/>
      <c r="K60" s="891"/>
      <c r="L60" s="973"/>
      <c r="M60" s="891"/>
      <c r="N60" s="891"/>
      <c r="O60" s="891"/>
      <c r="P60" s="891"/>
      <c r="Q60" s="891"/>
      <c r="R60" s="891"/>
      <c r="S60" s="891"/>
      <c r="T60" s="891"/>
      <c r="U60" s="891"/>
      <c r="V60" s="891"/>
      <c r="W60" s="891"/>
      <c r="X60" s="891"/>
      <c r="Y60" s="891"/>
      <c r="Z60" s="891"/>
    </row>
    <row r="61" spans="1:26" x14ac:dyDescent="0.25">
      <c r="H61" s="594"/>
      <c r="L61" s="38"/>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4a405086127d0c7a8e58b57557e53ea7">
  <xsd:schema xmlns:xsd="http://www.w3.org/2001/XMLSchema" xmlns:xs="http://www.w3.org/2001/XMLSchema" xmlns:p="http://schemas.microsoft.com/office/2006/metadata/properties" targetNamespace="http://schemas.microsoft.com/office/2006/metadata/properties" ma:root="true" ma:fieldsID="afb976ab605b5f60333964a2e70d781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1DA2868-97B7-4917-982D-B6731652D047}">
  <ds:schemaRefs>
    <ds:schemaRef ds:uri="http://schemas.microsoft.com/sharepoint/v3/contenttype/forms"/>
  </ds:schemaRefs>
</ds:datastoreItem>
</file>

<file path=customXml/itemProps2.xml><?xml version="1.0" encoding="utf-8"?>
<ds:datastoreItem xmlns:ds="http://schemas.openxmlformats.org/officeDocument/2006/customXml" ds:itemID="{5A969B2D-3502-4249-8DE1-371F04DB6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A5C3ECD-DDA3-4F31-BA9F-EBF2F38E01C5}">
  <ds:schemaRefs>
    <ds:schemaRef ds:uri="http://schemas.microsoft.com/office/2006/metadata/longProperties"/>
  </ds:schemaRefs>
</ds:datastoreItem>
</file>

<file path=customXml/itemProps4.xml><?xml version="1.0" encoding="utf-8"?>
<ds:datastoreItem xmlns:ds="http://schemas.openxmlformats.org/officeDocument/2006/customXml" ds:itemID="{55D2A48B-9331-49D5-AAEC-3095FD6E140E}">
  <ds:schemaRefs>
    <ds:schemaRef ds:uri="http://purl.org/dc/terms/"/>
    <ds:schemaRef ds:uri="http://schemas.microsoft.com/office/infopath/2007/PartnerControls"/>
    <ds:schemaRef ds:uri="http://schemas.microsoft.com/office/2006/documentManagement/types"/>
    <ds:schemaRef ds:uri="http://purl.org/dc/dcmitype/"/>
    <ds:schemaRef ds:uri="http://purl.org/dc/elements/1.1/"/>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Source</vt:lpstr>
      <vt:lpstr>Report</vt:lpstr>
      <vt:lpstr>Table</vt:lpstr>
      <vt:lpstr>WeeklyReport</vt:lpstr>
      <vt:lpstr>used space Charts</vt:lpstr>
      <vt:lpstr>subscription charts</vt:lpstr>
      <vt:lpstr>Used GB Charts</vt:lpstr>
      <vt:lpstr>Allocated charts</vt:lpstr>
      <vt:lpstr>Usable  Feed</vt:lpstr>
      <vt:lpstr>Used Feed</vt:lpstr>
      <vt:lpstr>Alloc Feed</vt:lpstr>
      <vt:lpstr>Instructions</vt:lpstr>
      <vt:lpstr>Formula explanation</vt:lpstr>
      <vt:lpstr>678 port usage</vt:lpstr>
      <vt:lpstr>879 port usage</vt:lpstr>
      <vt:lpstr>Sheet1</vt:lpstr>
      <vt:lpstr>WeeklyReport-July14</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sm28519</dc:creator>
  <cp:lastModifiedBy>Ashok Kumar Reddy</cp:lastModifiedBy>
  <cp:lastPrinted>2012-04-16T10:09:09Z</cp:lastPrinted>
  <dcterms:created xsi:type="dcterms:W3CDTF">2010-04-19T13:59:20Z</dcterms:created>
  <dcterms:modified xsi:type="dcterms:W3CDTF">2014-07-01T10:49:20Z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ContentType">
    <vt:lpwstr>Document</vt:lpwstr>
  </property>
</Properties>
</file>